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9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0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11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14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drawings/drawing15.xml" ContentType="application/vnd.openxmlformats-officedocument.drawing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drawings/drawing16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drawings/drawing17.xml" ContentType="application/vnd.openxmlformats-officedocument.drawing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drawings/drawing18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drawings/drawing19.xml" ContentType="application/vnd.openxmlformats-officedocument.drawing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drawings/drawing20.xml" ContentType="application/vnd.openxmlformats-officedocument.drawing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drawings/drawing21.xml" ContentType="application/vnd.openxmlformats-officedocument.drawing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drawings/drawing22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drawings/drawing23.xml" ContentType="application/vnd.openxmlformats-officedocument.drawing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drawings/drawing24.xml" ContentType="application/vnd.openxmlformats-officedocument.drawing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drawings/drawing25.xml" ContentType="application/vnd.openxmlformats-officedocument.drawing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drawings/drawing26.xml" ContentType="application/vnd.openxmlformats-officedocument.drawing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rdoba-my.sharepoint.com/personal/z42copej_uco_es/Documents/2022_2023/21 -  Experimental IRTA/OneDrive_1_6-3-2023/02 - Experiments IRTA/2_Resultats/2_CCD_results/"/>
    </mc:Choice>
  </mc:AlternateContent>
  <xr:revisionPtr revIDLastSave="4387" documentId="8_{BCCEF2CA-32A8-458E-AE68-98E63E5DFECC}" xr6:coauthVersionLast="47" xr6:coauthVersionMax="47" xr10:uidLastSave="{EDE6854F-E1E1-4651-86CA-B2EDACC3742E}"/>
  <bookViews>
    <workbookView xWindow="28680" yWindow="2430" windowWidth="29040" windowHeight="15840" firstSheet="9" activeTab="18" xr2:uid="{433BC75B-5F88-47E3-BD5C-3F6FF8E6491D}"/>
  </bookViews>
  <sheets>
    <sheet name="LA_Calibration_curve" sheetId="22" r:id="rId1"/>
    <sheet name="R1" sheetId="1" r:id="rId2"/>
    <sheet name="R2" sheetId="3" r:id="rId3"/>
    <sheet name="R3" sheetId="4" r:id="rId4"/>
    <sheet name="R4" sheetId="11" r:id="rId5"/>
    <sheet name="R5" sheetId="12" r:id="rId6"/>
    <sheet name="R6" sheetId="13" r:id="rId7"/>
    <sheet name="R7" sheetId="14" r:id="rId8"/>
    <sheet name="R8" sheetId="15" r:id="rId9"/>
    <sheet name="R9" sheetId="16" r:id="rId10"/>
    <sheet name="R9_rep" sheetId="23" r:id="rId11"/>
    <sheet name="R10" sheetId="17" r:id="rId12"/>
    <sheet name="R10_rep" sheetId="24" r:id="rId13"/>
    <sheet name="R11" sheetId="18" r:id="rId14"/>
    <sheet name="R12" sheetId="19" r:id="rId15"/>
    <sheet name="R13" sheetId="20" r:id="rId16"/>
    <sheet name="R14" sheetId="21" r:id="rId17"/>
    <sheet name="R15" sheetId="8" r:id="rId18"/>
    <sheet name="R15_rep" sheetId="25" r:id="rId19"/>
    <sheet name="R16" sheetId="9" r:id="rId20"/>
    <sheet name="R16_rep" sheetId="26" r:id="rId21"/>
    <sheet name="R17" sheetId="10" r:id="rId22"/>
    <sheet name="R17_rep" sheetId="27" r:id="rId23"/>
    <sheet name="R18" sheetId="5" r:id="rId24"/>
    <sheet name="R19" sheetId="6" r:id="rId25"/>
    <sheet name="R20" sheetId="7" r:id="rId26"/>
  </sheets>
  <externalReferences>
    <externalReference r:id="rId2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8" i="27" l="1"/>
  <c r="J126" i="27"/>
  <c r="I126" i="27"/>
  <c r="D126" i="27"/>
  <c r="C126" i="27"/>
  <c r="H126" i="27" s="1"/>
  <c r="L126" i="27" s="1"/>
  <c r="B126" i="27"/>
  <c r="J125" i="27"/>
  <c r="I125" i="27"/>
  <c r="D125" i="27"/>
  <c r="C125" i="27"/>
  <c r="H125" i="27" s="1"/>
  <c r="L125" i="27" s="1"/>
  <c r="B125" i="27"/>
  <c r="J124" i="27"/>
  <c r="I124" i="27"/>
  <c r="D124" i="27"/>
  <c r="C124" i="27"/>
  <c r="H124" i="27" s="1"/>
  <c r="L124" i="27" s="1"/>
  <c r="J123" i="27"/>
  <c r="I123" i="27"/>
  <c r="M123" i="27" s="1"/>
  <c r="H123" i="27"/>
  <c r="L123" i="27" s="1"/>
  <c r="D123" i="27"/>
  <c r="C123" i="27"/>
  <c r="B123" i="27"/>
  <c r="J122" i="27"/>
  <c r="I122" i="27"/>
  <c r="H122" i="27"/>
  <c r="L122" i="27" s="1"/>
  <c r="D122" i="27"/>
  <c r="C122" i="27"/>
  <c r="B122" i="27"/>
  <c r="J121" i="27"/>
  <c r="I121" i="27"/>
  <c r="M121" i="27" s="1"/>
  <c r="H121" i="27"/>
  <c r="L121" i="27" s="1"/>
  <c r="D121" i="27"/>
  <c r="C121" i="27"/>
  <c r="B121" i="27"/>
  <c r="J120" i="27"/>
  <c r="I120" i="27"/>
  <c r="H120" i="27"/>
  <c r="L120" i="27" s="1"/>
  <c r="D120" i="27"/>
  <c r="C120" i="27"/>
  <c r="B120" i="27"/>
  <c r="J119" i="27"/>
  <c r="I119" i="27"/>
  <c r="M119" i="27" s="1"/>
  <c r="H119" i="27"/>
  <c r="L119" i="27" s="1"/>
  <c r="D119" i="27"/>
  <c r="C119" i="27"/>
  <c r="B119" i="27"/>
  <c r="J118" i="27"/>
  <c r="I118" i="27"/>
  <c r="M118" i="27" s="1"/>
  <c r="H118" i="27"/>
  <c r="L118" i="27" s="1"/>
  <c r="J117" i="27"/>
  <c r="I117" i="27"/>
  <c r="M117" i="27" s="1"/>
  <c r="D117" i="27"/>
  <c r="C117" i="27"/>
  <c r="H117" i="27" s="1"/>
  <c r="L117" i="27" s="1"/>
  <c r="J116" i="27"/>
  <c r="I116" i="27"/>
  <c r="M116" i="27" s="1"/>
  <c r="H116" i="27"/>
  <c r="L116" i="27" s="1"/>
  <c r="D116" i="27"/>
  <c r="C116" i="27"/>
  <c r="J115" i="27"/>
  <c r="H115" i="27"/>
  <c r="L115" i="27" s="1"/>
  <c r="D115" i="27"/>
  <c r="I115" i="27" s="1"/>
  <c r="C115" i="27"/>
  <c r="B115" i="27"/>
  <c r="J114" i="27"/>
  <c r="H114" i="27"/>
  <c r="L114" i="27" s="1"/>
  <c r="D114" i="27"/>
  <c r="I114" i="27" s="1"/>
  <c r="M114" i="27" s="1"/>
  <c r="C114" i="27"/>
  <c r="B114" i="27"/>
  <c r="J113" i="27"/>
  <c r="H113" i="27"/>
  <c r="L113" i="27" s="1"/>
  <c r="D113" i="27"/>
  <c r="I113" i="27" s="1"/>
  <c r="M113" i="27" s="1"/>
  <c r="C113" i="27"/>
  <c r="B113" i="27"/>
  <c r="J112" i="27"/>
  <c r="H112" i="27"/>
  <c r="L112" i="27" s="1"/>
  <c r="D112" i="27"/>
  <c r="I112" i="27" s="1"/>
  <c r="C112" i="27"/>
  <c r="B112" i="27"/>
  <c r="J111" i="27"/>
  <c r="H111" i="27"/>
  <c r="L111" i="27" s="1"/>
  <c r="D111" i="27"/>
  <c r="I111" i="27" s="1"/>
  <c r="M111" i="27" s="1"/>
  <c r="C111" i="27"/>
  <c r="B111" i="27"/>
  <c r="F102" i="27"/>
  <c r="J100" i="27"/>
  <c r="I100" i="27"/>
  <c r="O100" i="27" s="1"/>
  <c r="H100" i="27"/>
  <c r="D100" i="27"/>
  <c r="C100" i="27"/>
  <c r="B100" i="27"/>
  <c r="J99" i="27"/>
  <c r="I99" i="27"/>
  <c r="H99" i="27"/>
  <c r="D99" i="27"/>
  <c r="C99" i="27"/>
  <c r="B99" i="27"/>
  <c r="J98" i="27"/>
  <c r="I98" i="27"/>
  <c r="O98" i="27" s="1"/>
  <c r="H98" i="27"/>
  <c r="N98" i="27" s="1"/>
  <c r="D98" i="27"/>
  <c r="C98" i="27"/>
  <c r="J97" i="27"/>
  <c r="H97" i="27"/>
  <c r="D97" i="27"/>
  <c r="I97" i="27" s="1"/>
  <c r="C97" i="27"/>
  <c r="B97" i="27"/>
  <c r="J96" i="27"/>
  <c r="H96" i="27"/>
  <c r="D96" i="27"/>
  <c r="I96" i="27" s="1"/>
  <c r="C96" i="27"/>
  <c r="B96" i="27"/>
  <c r="J95" i="27"/>
  <c r="H95" i="27"/>
  <c r="D95" i="27"/>
  <c r="I95" i="27" s="1"/>
  <c r="O95" i="27" s="1"/>
  <c r="C95" i="27"/>
  <c r="B95" i="27"/>
  <c r="J94" i="27"/>
  <c r="H94" i="27"/>
  <c r="D94" i="27"/>
  <c r="I94" i="27" s="1"/>
  <c r="O94" i="27" s="1"/>
  <c r="C94" i="27"/>
  <c r="B94" i="27"/>
  <c r="J93" i="27"/>
  <c r="H93" i="27"/>
  <c r="D93" i="27"/>
  <c r="I93" i="27" s="1"/>
  <c r="C93" i="27"/>
  <c r="B93" i="27"/>
  <c r="O92" i="27"/>
  <c r="J92" i="27"/>
  <c r="I92" i="27"/>
  <c r="H92" i="27"/>
  <c r="N92" i="27" s="1"/>
  <c r="J91" i="27"/>
  <c r="I91" i="27"/>
  <c r="O91" i="27" s="1"/>
  <c r="H91" i="27"/>
  <c r="N91" i="27" s="1"/>
  <c r="D91" i="27"/>
  <c r="C91" i="27"/>
  <c r="J90" i="27"/>
  <c r="H90" i="27"/>
  <c r="N90" i="27" s="1"/>
  <c r="D90" i="27"/>
  <c r="I90" i="27" s="1"/>
  <c r="O90" i="27" s="1"/>
  <c r="C90" i="27"/>
  <c r="J89" i="27"/>
  <c r="D89" i="27"/>
  <c r="I89" i="27" s="1"/>
  <c r="C89" i="27"/>
  <c r="H89" i="27" s="1"/>
  <c r="B89" i="27"/>
  <c r="J88" i="27"/>
  <c r="D88" i="27"/>
  <c r="I88" i="27" s="1"/>
  <c r="C88" i="27"/>
  <c r="H88" i="27" s="1"/>
  <c r="B88" i="27"/>
  <c r="J87" i="27"/>
  <c r="D87" i="27"/>
  <c r="I87" i="27" s="1"/>
  <c r="C87" i="27"/>
  <c r="H87" i="27" s="1"/>
  <c r="B87" i="27"/>
  <c r="J86" i="27"/>
  <c r="D86" i="27"/>
  <c r="I86" i="27" s="1"/>
  <c r="C86" i="27"/>
  <c r="H86" i="27" s="1"/>
  <c r="B86" i="27"/>
  <c r="J85" i="27"/>
  <c r="D85" i="27"/>
  <c r="I85" i="27" s="1"/>
  <c r="O85" i="27" s="1"/>
  <c r="C85" i="27"/>
  <c r="H85" i="27" s="1"/>
  <c r="N85" i="27" s="1"/>
  <c r="B85" i="27"/>
  <c r="F77" i="27"/>
  <c r="J75" i="27"/>
  <c r="D75" i="27"/>
  <c r="I75" i="27" s="1"/>
  <c r="L75" i="27" s="1"/>
  <c r="B75" i="27"/>
  <c r="J74" i="27"/>
  <c r="D74" i="27"/>
  <c r="I74" i="27" s="1"/>
  <c r="L74" i="27" s="1"/>
  <c r="B74" i="27"/>
  <c r="J73" i="27"/>
  <c r="I73" i="27"/>
  <c r="L73" i="27" s="1"/>
  <c r="D73" i="27"/>
  <c r="J72" i="27"/>
  <c r="I72" i="27"/>
  <c r="L72" i="27" s="1"/>
  <c r="D72" i="27"/>
  <c r="B72" i="27"/>
  <c r="J71" i="27"/>
  <c r="I71" i="27"/>
  <c r="L71" i="27" s="1"/>
  <c r="D71" i="27"/>
  <c r="B71" i="27"/>
  <c r="J70" i="27"/>
  <c r="I70" i="27"/>
  <c r="D70" i="27"/>
  <c r="B70" i="27"/>
  <c r="J69" i="27"/>
  <c r="D69" i="27"/>
  <c r="I69" i="27" s="1"/>
  <c r="L69" i="27" s="1"/>
  <c r="B69" i="27"/>
  <c r="J68" i="27"/>
  <c r="I68" i="27"/>
  <c r="L68" i="27" s="1"/>
  <c r="D68" i="27"/>
  <c r="B68" i="27"/>
  <c r="J67" i="27"/>
  <c r="I67" i="27"/>
  <c r="L67" i="27" s="1"/>
  <c r="J66" i="27"/>
  <c r="I66" i="27"/>
  <c r="L66" i="27" s="1"/>
  <c r="D66" i="27"/>
  <c r="J65" i="27"/>
  <c r="I65" i="27"/>
  <c r="L65" i="27" s="1"/>
  <c r="D65" i="27"/>
  <c r="J64" i="27"/>
  <c r="I64" i="27"/>
  <c r="L64" i="27" s="1"/>
  <c r="D64" i="27"/>
  <c r="B64" i="27"/>
  <c r="J63" i="27"/>
  <c r="D63" i="27"/>
  <c r="I63" i="27" s="1"/>
  <c r="L63" i="27" s="1"/>
  <c r="B63" i="27"/>
  <c r="J62" i="27"/>
  <c r="I62" i="27"/>
  <c r="D62" i="27"/>
  <c r="B62" i="27"/>
  <c r="J61" i="27"/>
  <c r="D61" i="27"/>
  <c r="I61" i="27" s="1"/>
  <c r="L61" i="27" s="1"/>
  <c r="B61" i="27"/>
  <c r="J60" i="27"/>
  <c r="I60" i="27"/>
  <c r="L62" i="27" s="1"/>
  <c r="D60" i="27"/>
  <c r="F53" i="27"/>
  <c r="J51" i="27"/>
  <c r="C51" i="27"/>
  <c r="H51" i="27" s="1"/>
  <c r="B51" i="27"/>
  <c r="J50" i="27"/>
  <c r="H50" i="27"/>
  <c r="C50" i="27"/>
  <c r="B50" i="27"/>
  <c r="J49" i="27"/>
  <c r="C49" i="27"/>
  <c r="H49" i="27" s="1"/>
  <c r="M49" i="27" s="1"/>
  <c r="J48" i="27"/>
  <c r="C48" i="27"/>
  <c r="H48" i="27" s="1"/>
  <c r="B48" i="27"/>
  <c r="J47" i="27"/>
  <c r="H47" i="27"/>
  <c r="C47" i="27"/>
  <c r="B47" i="27"/>
  <c r="J46" i="27"/>
  <c r="C46" i="27"/>
  <c r="H46" i="27" s="1"/>
  <c r="B46" i="27"/>
  <c r="J45" i="27"/>
  <c r="H45" i="27"/>
  <c r="C45" i="27"/>
  <c r="B45" i="27"/>
  <c r="J44" i="27"/>
  <c r="C44" i="27"/>
  <c r="H44" i="27" s="1"/>
  <c r="B44" i="27"/>
  <c r="J43" i="27"/>
  <c r="H43" i="27"/>
  <c r="M43" i="27" s="1"/>
  <c r="J42" i="27"/>
  <c r="C42" i="27"/>
  <c r="H42" i="27" s="1"/>
  <c r="M42" i="27" s="1"/>
  <c r="J41" i="27"/>
  <c r="C41" i="27"/>
  <c r="H41" i="27" s="1"/>
  <c r="M41" i="27" s="1"/>
  <c r="J40" i="27"/>
  <c r="C40" i="27"/>
  <c r="H40" i="27" s="1"/>
  <c r="B40" i="27"/>
  <c r="J39" i="27"/>
  <c r="H39" i="27"/>
  <c r="C39" i="27"/>
  <c r="B39" i="27"/>
  <c r="J38" i="27"/>
  <c r="C38" i="27"/>
  <c r="H38" i="27" s="1"/>
  <c r="B38" i="27"/>
  <c r="J37" i="27"/>
  <c r="H37" i="27"/>
  <c r="C37" i="27"/>
  <c r="B37" i="27"/>
  <c r="J36" i="27"/>
  <c r="C36" i="27"/>
  <c r="H36" i="27" s="1"/>
  <c r="B36" i="27"/>
  <c r="F27" i="27"/>
  <c r="J25" i="27"/>
  <c r="C25" i="27"/>
  <c r="H25" i="27" s="1"/>
  <c r="N25" i="27" s="1"/>
  <c r="B25" i="27"/>
  <c r="J24" i="27"/>
  <c r="H24" i="27"/>
  <c r="C24" i="27"/>
  <c r="B24" i="27"/>
  <c r="J23" i="27"/>
  <c r="C23" i="27"/>
  <c r="H23" i="27" s="1"/>
  <c r="N23" i="27" s="1"/>
  <c r="J22" i="27"/>
  <c r="C22" i="27"/>
  <c r="H22" i="27" s="1"/>
  <c r="N22" i="27" s="1"/>
  <c r="B22" i="27"/>
  <c r="J21" i="27"/>
  <c r="H21" i="27"/>
  <c r="N21" i="27" s="1"/>
  <c r="C21" i="27"/>
  <c r="B21" i="27"/>
  <c r="J20" i="27"/>
  <c r="C20" i="27"/>
  <c r="H20" i="27" s="1"/>
  <c r="N20" i="27" s="1"/>
  <c r="B20" i="27"/>
  <c r="J19" i="27"/>
  <c r="H19" i="27"/>
  <c r="C19" i="27"/>
  <c r="B19" i="27"/>
  <c r="J18" i="27"/>
  <c r="C18" i="27"/>
  <c r="H18" i="27" s="1"/>
  <c r="B18" i="27"/>
  <c r="J17" i="27"/>
  <c r="H17" i="27"/>
  <c r="N17" i="27" s="1"/>
  <c r="J16" i="27"/>
  <c r="C16" i="27"/>
  <c r="H16" i="27" s="1"/>
  <c r="N16" i="27" s="1"/>
  <c r="J15" i="27"/>
  <c r="C15" i="27"/>
  <c r="H15" i="27" s="1"/>
  <c r="N15" i="27" s="1"/>
  <c r="J14" i="27"/>
  <c r="C14" i="27"/>
  <c r="H14" i="27" s="1"/>
  <c r="N14" i="27" s="1"/>
  <c r="B14" i="27"/>
  <c r="J13" i="27"/>
  <c r="H13" i="27"/>
  <c r="C13" i="27"/>
  <c r="B13" i="27"/>
  <c r="J12" i="27"/>
  <c r="C12" i="27"/>
  <c r="H12" i="27" s="1"/>
  <c r="B12" i="27"/>
  <c r="J11" i="27"/>
  <c r="H11" i="27"/>
  <c r="C11" i="27"/>
  <c r="B11" i="27"/>
  <c r="J10" i="27"/>
  <c r="C10" i="27"/>
  <c r="H10" i="27" s="1"/>
  <c r="B10" i="27"/>
  <c r="Q6" i="27"/>
  <c r="M124" i="27" s="1"/>
  <c r="P6" i="27"/>
  <c r="Q5" i="27"/>
  <c r="P5" i="27"/>
  <c r="Q4" i="27"/>
  <c r="P4" i="27"/>
  <c r="F128" i="26"/>
  <c r="J126" i="26"/>
  <c r="I126" i="26"/>
  <c r="D126" i="26"/>
  <c r="C126" i="26"/>
  <c r="H126" i="26" s="1"/>
  <c r="L126" i="26" s="1"/>
  <c r="B126" i="26"/>
  <c r="J125" i="26"/>
  <c r="I125" i="26"/>
  <c r="D125" i="26"/>
  <c r="C125" i="26"/>
  <c r="H125" i="26" s="1"/>
  <c r="L125" i="26" s="1"/>
  <c r="B125" i="26"/>
  <c r="J124" i="26"/>
  <c r="I124" i="26"/>
  <c r="M124" i="26" s="1"/>
  <c r="H124" i="26"/>
  <c r="L124" i="26" s="1"/>
  <c r="J123" i="26"/>
  <c r="D123" i="26"/>
  <c r="I123" i="26" s="1"/>
  <c r="C123" i="26"/>
  <c r="H123" i="26" s="1"/>
  <c r="L123" i="26" s="1"/>
  <c r="B123" i="26"/>
  <c r="J122" i="26"/>
  <c r="D122" i="26"/>
  <c r="I122" i="26" s="1"/>
  <c r="C122" i="26"/>
  <c r="H122" i="26" s="1"/>
  <c r="L122" i="26" s="1"/>
  <c r="B122" i="26"/>
  <c r="J121" i="26"/>
  <c r="D121" i="26"/>
  <c r="I121" i="26" s="1"/>
  <c r="C121" i="26"/>
  <c r="H121" i="26" s="1"/>
  <c r="L121" i="26" s="1"/>
  <c r="B121" i="26"/>
  <c r="J120" i="26"/>
  <c r="D120" i="26"/>
  <c r="I120" i="26" s="1"/>
  <c r="C120" i="26"/>
  <c r="H120" i="26" s="1"/>
  <c r="L120" i="26" s="1"/>
  <c r="B120" i="26"/>
  <c r="J119" i="26"/>
  <c r="D119" i="26"/>
  <c r="I119" i="26" s="1"/>
  <c r="C119" i="26"/>
  <c r="H119" i="26" s="1"/>
  <c r="L119" i="26" s="1"/>
  <c r="B119" i="26"/>
  <c r="J118" i="26"/>
  <c r="D118" i="26"/>
  <c r="I118" i="26" s="1"/>
  <c r="C118" i="26"/>
  <c r="H118" i="26" s="1"/>
  <c r="L118" i="26" s="1"/>
  <c r="J117" i="26"/>
  <c r="I117" i="26"/>
  <c r="D117" i="26"/>
  <c r="C117" i="26"/>
  <c r="H117" i="26" s="1"/>
  <c r="L117" i="26" s="1"/>
  <c r="J116" i="26"/>
  <c r="I116" i="26"/>
  <c r="H116" i="26"/>
  <c r="L116" i="26" s="1"/>
  <c r="D116" i="26"/>
  <c r="C116" i="26"/>
  <c r="J115" i="26"/>
  <c r="H115" i="26"/>
  <c r="L115" i="26" s="1"/>
  <c r="D115" i="26"/>
  <c r="I115" i="26" s="1"/>
  <c r="C115" i="26"/>
  <c r="B115" i="26"/>
  <c r="J114" i="26"/>
  <c r="H114" i="26"/>
  <c r="L114" i="26" s="1"/>
  <c r="D114" i="26"/>
  <c r="I114" i="26" s="1"/>
  <c r="C114" i="26"/>
  <c r="B114" i="26"/>
  <c r="J113" i="26"/>
  <c r="H113" i="26"/>
  <c r="L113" i="26" s="1"/>
  <c r="D113" i="26"/>
  <c r="I113" i="26" s="1"/>
  <c r="C113" i="26"/>
  <c r="B113" i="26"/>
  <c r="J112" i="26"/>
  <c r="H112" i="26"/>
  <c r="L112" i="26" s="1"/>
  <c r="D112" i="26"/>
  <c r="I112" i="26" s="1"/>
  <c r="C112" i="26"/>
  <c r="B112" i="26"/>
  <c r="J111" i="26"/>
  <c r="H111" i="26"/>
  <c r="L111" i="26" s="1"/>
  <c r="D111" i="26"/>
  <c r="I111" i="26" s="1"/>
  <c r="M111" i="26" s="1"/>
  <c r="C111" i="26"/>
  <c r="B111" i="26"/>
  <c r="F102" i="26"/>
  <c r="J100" i="26"/>
  <c r="I100" i="26"/>
  <c r="O100" i="26" s="1"/>
  <c r="H100" i="26"/>
  <c r="N100" i="26" s="1"/>
  <c r="D100" i="26"/>
  <c r="C100" i="26"/>
  <c r="B100" i="26"/>
  <c r="J99" i="26"/>
  <c r="I99" i="26"/>
  <c r="H99" i="26"/>
  <c r="N99" i="26" s="1"/>
  <c r="D99" i="26"/>
  <c r="C99" i="26"/>
  <c r="B99" i="26"/>
  <c r="J98" i="26"/>
  <c r="I98" i="26"/>
  <c r="O98" i="26" s="1"/>
  <c r="H98" i="26"/>
  <c r="C98" i="26"/>
  <c r="J97" i="26"/>
  <c r="D97" i="26"/>
  <c r="I97" i="26" s="1"/>
  <c r="O97" i="26" s="1"/>
  <c r="C97" i="26"/>
  <c r="H97" i="26" s="1"/>
  <c r="N97" i="26" s="1"/>
  <c r="B97" i="26"/>
  <c r="J96" i="26"/>
  <c r="D96" i="26"/>
  <c r="I96" i="26" s="1"/>
  <c r="O96" i="26" s="1"/>
  <c r="C96" i="26"/>
  <c r="H96" i="26" s="1"/>
  <c r="N96" i="26" s="1"/>
  <c r="B96" i="26"/>
  <c r="J95" i="26"/>
  <c r="D95" i="26"/>
  <c r="I95" i="26" s="1"/>
  <c r="O95" i="26" s="1"/>
  <c r="C95" i="26"/>
  <c r="H95" i="26" s="1"/>
  <c r="N95" i="26" s="1"/>
  <c r="B95" i="26"/>
  <c r="J94" i="26"/>
  <c r="D94" i="26"/>
  <c r="I94" i="26" s="1"/>
  <c r="O94" i="26" s="1"/>
  <c r="C94" i="26"/>
  <c r="H94" i="26" s="1"/>
  <c r="N94" i="26" s="1"/>
  <c r="B94" i="26"/>
  <c r="J93" i="26"/>
  <c r="D93" i="26"/>
  <c r="I93" i="26" s="1"/>
  <c r="O93" i="26" s="1"/>
  <c r="C93" i="26"/>
  <c r="H93" i="26" s="1"/>
  <c r="N93" i="26" s="1"/>
  <c r="B93" i="26"/>
  <c r="J92" i="26"/>
  <c r="D92" i="26"/>
  <c r="I92" i="26" s="1"/>
  <c r="O92" i="26" s="1"/>
  <c r="C92" i="26"/>
  <c r="H92" i="26" s="1"/>
  <c r="J91" i="26"/>
  <c r="I91" i="26"/>
  <c r="O91" i="26" s="1"/>
  <c r="D91" i="26"/>
  <c r="C91" i="26"/>
  <c r="H91" i="26" s="1"/>
  <c r="J90" i="26"/>
  <c r="I90" i="26"/>
  <c r="O90" i="26" s="1"/>
  <c r="H90" i="26"/>
  <c r="N90" i="26" s="1"/>
  <c r="D90" i="26"/>
  <c r="C90" i="26"/>
  <c r="J89" i="26"/>
  <c r="H89" i="26"/>
  <c r="N89" i="26" s="1"/>
  <c r="D89" i="26"/>
  <c r="I89" i="26" s="1"/>
  <c r="C89" i="26"/>
  <c r="B89" i="26"/>
  <c r="J88" i="26"/>
  <c r="H88" i="26"/>
  <c r="N88" i="26" s="1"/>
  <c r="D88" i="26"/>
  <c r="I88" i="26" s="1"/>
  <c r="C88" i="26"/>
  <c r="B88" i="26"/>
  <c r="J87" i="26"/>
  <c r="H87" i="26"/>
  <c r="N87" i="26" s="1"/>
  <c r="D87" i="26"/>
  <c r="I87" i="26" s="1"/>
  <c r="O87" i="26" s="1"/>
  <c r="C87" i="26"/>
  <c r="B87" i="26"/>
  <c r="J86" i="26"/>
  <c r="H86" i="26"/>
  <c r="N86" i="26" s="1"/>
  <c r="D86" i="26"/>
  <c r="I86" i="26" s="1"/>
  <c r="O86" i="26" s="1"/>
  <c r="C86" i="26"/>
  <c r="B86" i="26"/>
  <c r="J85" i="26"/>
  <c r="H85" i="26"/>
  <c r="N85" i="26" s="1"/>
  <c r="D85" i="26"/>
  <c r="I85" i="26" s="1"/>
  <c r="O85" i="26" s="1"/>
  <c r="C85" i="26"/>
  <c r="B85" i="26"/>
  <c r="F77" i="26"/>
  <c r="J75" i="26"/>
  <c r="D75" i="26"/>
  <c r="I75" i="26" s="1"/>
  <c r="L75" i="26" s="1"/>
  <c r="B75" i="26"/>
  <c r="J74" i="26"/>
  <c r="I74" i="26"/>
  <c r="L74" i="26" s="1"/>
  <c r="D74" i="26"/>
  <c r="B74" i="26"/>
  <c r="J73" i="26"/>
  <c r="I73" i="26"/>
  <c r="D73" i="26"/>
  <c r="J72" i="26"/>
  <c r="I72" i="26"/>
  <c r="L72" i="26" s="1"/>
  <c r="D72" i="26"/>
  <c r="B72" i="26"/>
  <c r="L71" i="26"/>
  <c r="J71" i="26"/>
  <c r="I71" i="26"/>
  <c r="D71" i="26"/>
  <c r="B71" i="26"/>
  <c r="J70" i="26"/>
  <c r="D70" i="26"/>
  <c r="I70" i="26" s="1"/>
  <c r="L70" i="26" s="1"/>
  <c r="B70" i="26"/>
  <c r="J69" i="26"/>
  <c r="I69" i="26"/>
  <c r="L69" i="26" s="1"/>
  <c r="D69" i="26"/>
  <c r="B69" i="26"/>
  <c r="J68" i="26"/>
  <c r="I68" i="26"/>
  <c r="L68" i="26" s="1"/>
  <c r="D68" i="26"/>
  <c r="B68" i="26"/>
  <c r="J67" i="26"/>
  <c r="D67" i="26"/>
  <c r="I67" i="26" s="1"/>
  <c r="L67" i="26" s="1"/>
  <c r="J66" i="26"/>
  <c r="D66" i="26"/>
  <c r="I66" i="26" s="1"/>
  <c r="J65" i="26"/>
  <c r="D65" i="26"/>
  <c r="I65" i="26" s="1"/>
  <c r="L65" i="26" s="1"/>
  <c r="L64" i="26"/>
  <c r="J64" i="26"/>
  <c r="I64" i="26"/>
  <c r="D64" i="26"/>
  <c r="B64" i="26"/>
  <c r="J63" i="26"/>
  <c r="D63" i="26"/>
  <c r="I63" i="26" s="1"/>
  <c r="L63" i="26" s="1"/>
  <c r="B63" i="26"/>
  <c r="J62" i="26"/>
  <c r="I62" i="26"/>
  <c r="L62" i="26" s="1"/>
  <c r="D62" i="26"/>
  <c r="B62" i="26"/>
  <c r="J61" i="26"/>
  <c r="I61" i="26"/>
  <c r="L61" i="26" s="1"/>
  <c r="D61" i="26"/>
  <c r="B61" i="26"/>
  <c r="L60" i="26"/>
  <c r="J60" i="26"/>
  <c r="I60" i="26"/>
  <c r="D60" i="26"/>
  <c r="B60" i="26"/>
  <c r="F53" i="26"/>
  <c r="J51" i="26"/>
  <c r="H51" i="26"/>
  <c r="C51" i="26"/>
  <c r="B51" i="26"/>
  <c r="J50" i="26"/>
  <c r="H50" i="26"/>
  <c r="C50" i="26"/>
  <c r="B50" i="26"/>
  <c r="J49" i="26"/>
  <c r="C49" i="26"/>
  <c r="H49" i="26" s="1"/>
  <c r="M49" i="26" s="1"/>
  <c r="J48" i="26"/>
  <c r="H48" i="26"/>
  <c r="C48" i="26"/>
  <c r="B48" i="26"/>
  <c r="J47" i="26"/>
  <c r="C47" i="26"/>
  <c r="H47" i="26" s="1"/>
  <c r="B47" i="26"/>
  <c r="J46" i="26"/>
  <c r="H46" i="26"/>
  <c r="C46" i="26"/>
  <c r="B46" i="26"/>
  <c r="J45" i="26"/>
  <c r="H45" i="26"/>
  <c r="C45" i="26"/>
  <c r="B45" i="26"/>
  <c r="J44" i="26"/>
  <c r="C44" i="26"/>
  <c r="H44" i="26" s="1"/>
  <c r="B44" i="26"/>
  <c r="J43" i="26"/>
  <c r="C43" i="26"/>
  <c r="H43" i="26" s="1"/>
  <c r="M43" i="26" s="1"/>
  <c r="J42" i="26"/>
  <c r="C42" i="26"/>
  <c r="H42" i="26" s="1"/>
  <c r="M42" i="26" s="1"/>
  <c r="J41" i="26"/>
  <c r="C41" i="26"/>
  <c r="H41" i="26" s="1"/>
  <c r="M41" i="26" s="1"/>
  <c r="J40" i="26"/>
  <c r="C40" i="26"/>
  <c r="H40" i="26" s="1"/>
  <c r="B40" i="26"/>
  <c r="J39" i="26"/>
  <c r="H39" i="26"/>
  <c r="C39" i="26"/>
  <c r="B39" i="26"/>
  <c r="J38" i="26"/>
  <c r="H38" i="26"/>
  <c r="C38" i="26"/>
  <c r="B38" i="26"/>
  <c r="J37" i="26"/>
  <c r="C37" i="26"/>
  <c r="H37" i="26" s="1"/>
  <c r="B37" i="26"/>
  <c r="J36" i="26"/>
  <c r="C36" i="26"/>
  <c r="H36" i="26" s="1"/>
  <c r="B36" i="26"/>
  <c r="F27" i="26"/>
  <c r="J25" i="26"/>
  <c r="H25" i="26"/>
  <c r="N25" i="26" s="1"/>
  <c r="C25" i="26"/>
  <c r="B25" i="26"/>
  <c r="J24" i="26"/>
  <c r="H24" i="26"/>
  <c r="C24" i="26"/>
  <c r="B24" i="26"/>
  <c r="J23" i="26"/>
  <c r="C23" i="26"/>
  <c r="H23" i="26" s="1"/>
  <c r="N23" i="26" s="1"/>
  <c r="J22" i="26"/>
  <c r="C22" i="26"/>
  <c r="H22" i="26" s="1"/>
  <c r="N22" i="26" s="1"/>
  <c r="B22" i="26"/>
  <c r="J21" i="26"/>
  <c r="H21" i="26"/>
  <c r="N21" i="26" s="1"/>
  <c r="C21" i="26"/>
  <c r="B21" i="26"/>
  <c r="J20" i="26"/>
  <c r="H20" i="26"/>
  <c r="N20" i="26" s="1"/>
  <c r="C20" i="26"/>
  <c r="B20" i="26"/>
  <c r="J19" i="26"/>
  <c r="H19" i="26"/>
  <c r="C19" i="26"/>
  <c r="B19" i="26"/>
  <c r="J18" i="26"/>
  <c r="C18" i="26"/>
  <c r="H18" i="26" s="1"/>
  <c r="N18" i="26" s="1"/>
  <c r="B18" i="26"/>
  <c r="J17" i="26"/>
  <c r="H17" i="26"/>
  <c r="N17" i="26" s="1"/>
  <c r="C17" i="26"/>
  <c r="J16" i="26"/>
  <c r="H16" i="26"/>
  <c r="N16" i="26" s="1"/>
  <c r="C16" i="26"/>
  <c r="J15" i="26"/>
  <c r="H15" i="26"/>
  <c r="C15" i="26"/>
  <c r="J14" i="26"/>
  <c r="H14" i="26"/>
  <c r="N14" i="26" s="1"/>
  <c r="C14" i="26"/>
  <c r="B14" i="26"/>
  <c r="J13" i="26"/>
  <c r="H13" i="26"/>
  <c r="N13" i="26" s="1"/>
  <c r="C13" i="26"/>
  <c r="B13" i="26"/>
  <c r="J12" i="26"/>
  <c r="C12" i="26"/>
  <c r="H12" i="26" s="1"/>
  <c r="N12" i="26" s="1"/>
  <c r="B12" i="26"/>
  <c r="J11" i="26"/>
  <c r="C11" i="26"/>
  <c r="H11" i="26" s="1"/>
  <c r="N11" i="26" s="1"/>
  <c r="B11" i="26"/>
  <c r="J10" i="26"/>
  <c r="H10" i="26"/>
  <c r="N10" i="26" s="1"/>
  <c r="C10" i="26"/>
  <c r="B10" i="26"/>
  <c r="P6" i="26"/>
  <c r="Q6" i="26" s="1"/>
  <c r="Q5" i="26"/>
  <c r="P5" i="26"/>
  <c r="P4" i="26"/>
  <c r="Q4" i="26" s="1"/>
  <c r="F128" i="25"/>
  <c r="J126" i="25"/>
  <c r="I126" i="25"/>
  <c r="M126" i="25" s="1"/>
  <c r="D126" i="25"/>
  <c r="C126" i="25"/>
  <c r="H126" i="25" s="1"/>
  <c r="B126" i="25"/>
  <c r="J125" i="25"/>
  <c r="I125" i="25"/>
  <c r="M125" i="25" s="1"/>
  <c r="D125" i="25"/>
  <c r="C125" i="25"/>
  <c r="H125" i="25" s="1"/>
  <c r="B125" i="25"/>
  <c r="J124" i="25"/>
  <c r="I124" i="25"/>
  <c r="M124" i="25" s="1"/>
  <c r="D124" i="25"/>
  <c r="C124" i="25"/>
  <c r="H124" i="25" s="1"/>
  <c r="L124" i="25" s="1"/>
  <c r="J123" i="25"/>
  <c r="I123" i="25"/>
  <c r="M123" i="25" s="1"/>
  <c r="H123" i="25"/>
  <c r="D123" i="25"/>
  <c r="C123" i="25"/>
  <c r="B123" i="25"/>
  <c r="J122" i="25"/>
  <c r="I122" i="25"/>
  <c r="M122" i="25" s="1"/>
  <c r="H122" i="25"/>
  <c r="D122" i="25"/>
  <c r="C122" i="25"/>
  <c r="B122" i="25"/>
  <c r="J121" i="25"/>
  <c r="I121" i="25"/>
  <c r="M121" i="25" s="1"/>
  <c r="H121" i="25"/>
  <c r="D121" i="25"/>
  <c r="C121" i="25"/>
  <c r="B121" i="25"/>
  <c r="J120" i="25"/>
  <c r="I120" i="25"/>
  <c r="M120" i="25" s="1"/>
  <c r="H120" i="25"/>
  <c r="D120" i="25"/>
  <c r="C120" i="25"/>
  <c r="B120" i="25"/>
  <c r="J119" i="25"/>
  <c r="I119" i="25"/>
  <c r="M119" i="25" s="1"/>
  <c r="H119" i="25"/>
  <c r="D119" i="25"/>
  <c r="C119" i="25"/>
  <c r="B119" i="25"/>
  <c r="J118" i="25"/>
  <c r="I118" i="25"/>
  <c r="M118" i="25" s="1"/>
  <c r="H118" i="25"/>
  <c r="L118" i="25" s="1"/>
  <c r="D118" i="25"/>
  <c r="C118" i="25"/>
  <c r="J117" i="25"/>
  <c r="H117" i="25"/>
  <c r="L117" i="25" s="1"/>
  <c r="D117" i="25"/>
  <c r="I117" i="25" s="1"/>
  <c r="M117" i="25" s="1"/>
  <c r="C117" i="25"/>
  <c r="J116" i="25"/>
  <c r="D116" i="25"/>
  <c r="I116" i="25" s="1"/>
  <c r="M116" i="25" s="1"/>
  <c r="C116" i="25"/>
  <c r="H116" i="25" s="1"/>
  <c r="L116" i="25" s="1"/>
  <c r="J115" i="25"/>
  <c r="I115" i="25"/>
  <c r="M115" i="25" s="1"/>
  <c r="D115" i="25"/>
  <c r="C115" i="25"/>
  <c r="H115" i="25" s="1"/>
  <c r="B115" i="25"/>
  <c r="J114" i="25"/>
  <c r="I114" i="25"/>
  <c r="M114" i="25" s="1"/>
  <c r="D114" i="25"/>
  <c r="C114" i="25"/>
  <c r="H114" i="25" s="1"/>
  <c r="B114" i="25"/>
  <c r="J113" i="25"/>
  <c r="I113" i="25"/>
  <c r="M113" i="25" s="1"/>
  <c r="D113" i="25"/>
  <c r="C113" i="25"/>
  <c r="H113" i="25" s="1"/>
  <c r="B113" i="25"/>
  <c r="J112" i="25"/>
  <c r="I112" i="25"/>
  <c r="M112" i="25" s="1"/>
  <c r="D112" i="25"/>
  <c r="C112" i="25"/>
  <c r="H112" i="25" s="1"/>
  <c r="B112" i="25"/>
  <c r="J111" i="25"/>
  <c r="I111" i="25"/>
  <c r="M111" i="25" s="1"/>
  <c r="D111" i="25"/>
  <c r="C111" i="25"/>
  <c r="H111" i="25" s="1"/>
  <c r="L111" i="25" s="1"/>
  <c r="B111" i="25"/>
  <c r="F102" i="25"/>
  <c r="J100" i="25"/>
  <c r="D100" i="25"/>
  <c r="I100" i="25" s="1"/>
  <c r="C100" i="25"/>
  <c r="H100" i="25" s="1"/>
  <c r="N100" i="25" s="1"/>
  <c r="B100" i="25"/>
  <c r="J99" i="25"/>
  <c r="D99" i="25"/>
  <c r="I99" i="25" s="1"/>
  <c r="C99" i="25"/>
  <c r="H99" i="25" s="1"/>
  <c r="N99" i="25" s="1"/>
  <c r="B99" i="25"/>
  <c r="J98" i="25"/>
  <c r="D98" i="25"/>
  <c r="I98" i="25" s="1"/>
  <c r="O98" i="25" s="1"/>
  <c r="C98" i="25"/>
  <c r="H98" i="25" s="1"/>
  <c r="N98" i="25" s="1"/>
  <c r="J97" i="25"/>
  <c r="I97" i="25"/>
  <c r="D97" i="25"/>
  <c r="C97" i="25"/>
  <c r="H97" i="25" s="1"/>
  <c r="N97" i="25" s="1"/>
  <c r="B97" i="25"/>
  <c r="J96" i="25"/>
  <c r="I96" i="25"/>
  <c r="D96" i="25"/>
  <c r="C96" i="25"/>
  <c r="H96" i="25" s="1"/>
  <c r="B96" i="25"/>
  <c r="J95" i="25"/>
  <c r="I95" i="25"/>
  <c r="D95" i="25"/>
  <c r="C95" i="25"/>
  <c r="H95" i="25" s="1"/>
  <c r="B95" i="25"/>
  <c r="J94" i="25"/>
  <c r="I94" i="25"/>
  <c r="D94" i="25"/>
  <c r="C94" i="25"/>
  <c r="H94" i="25" s="1"/>
  <c r="N94" i="25" s="1"/>
  <c r="B94" i="25"/>
  <c r="J93" i="25"/>
  <c r="I93" i="25"/>
  <c r="D93" i="25"/>
  <c r="C93" i="25"/>
  <c r="H93" i="25" s="1"/>
  <c r="N93" i="25" s="1"/>
  <c r="B93" i="25"/>
  <c r="J92" i="25"/>
  <c r="I92" i="25"/>
  <c r="O92" i="25" s="1"/>
  <c r="D92" i="25"/>
  <c r="C92" i="25"/>
  <c r="H92" i="25" s="1"/>
  <c r="N92" i="25" s="1"/>
  <c r="J91" i="25"/>
  <c r="I91" i="25"/>
  <c r="O91" i="25" s="1"/>
  <c r="H91" i="25"/>
  <c r="N91" i="25" s="1"/>
  <c r="D91" i="25"/>
  <c r="C91" i="25"/>
  <c r="J90" i="25"/>
  <c r="H90" i="25"/>
  <c r="N90" i="25" s="1"/>
  <c r="D90" i="25"/>
  <c r="I90" i="25" s="1"/>
  <c r="O90" i="25" s="1"/>
  <c r="C90" i="25"/>
  <c r="J89" i="25"/>
  <c r="D89" i="25"/>
  <c r="I89" i="25" s="1"/>
  <c r="C89" i="25"/>
  <c r="H89" i="25" s="1"/>
  <c r="B89" i="25"/>
  <c r="J88" i="25"/>
  <c r="D88" i="25"/>
  <c r="I88" i="25" s="1"/>
  <c r="C88" i="25"/>
  <c r="H88" i="25" s="1"/>
  <c r="B88" i="25"/>
  <c r="J87" i="25"/>
  <c r="D87" i="25"/>
  <c r="I87" i="25" s="1"/>
  <c r="C87" i="25"/>
  <c r="H87" i="25" s="1"/>
  <c r="B87" i="25"/>
  <c r="J86" i="25"/>
  <c r="D86" i="25"/>
  <c r="I86" i="25" s="1"/>
  <c r="C86" i="25"/>
  <c r="H86" i="25" s="1"/>
  <c r="B86" i="25"/>
  <c r="J85" i="25"/>
  <c r="D85" i="25"/>
  <c r="I85" i="25" s="1"/>
  <c r="O85" i="25" s="1"/>
  <c r="C85" i="25"/>
  <c r="H85" i="25" s="1"/>
  <c r="N85" i="25" s="1"/>
  <c r="B85" i="25"/>
  <c r="F77" i="25"/>
  <c r="J75" i="25"/>
  <c r="D75" i="25"/>
  <c r="I75" i="25" s="1"/>
  <c r="B75" i="25"/>
  <c r="J74" i="25"/>
  <c r="D74" i="25"/>
  <c r="I74" i="25" s="1"/>
  <c r="B74" i="25"/>
  <c r="J73" i="25"/>
  <c r="I73" i="25"/>
  <c r="N73" i="25" s="1"/>
  <c r="D73" i="25"/>
  <c r="J72" i="25"/>
  <c r="I72" i="25"/>
  <c r="D72" i="25"/>
  <c r="B72" i="25"/>
  <c r="J71" i="25"/>
  <c r="I71" i="25"/>
  <c r="D71" i="25"/>
  <c r="B71" i="25"/>
  <c r="J70" i="25"/>
  <c r="D70" i="25"/>
  <c r="I70" i="25" s="1"/>
  <c r="B70" i="25"/>
  <c r="J69" i="25"/>
  <c r="D69" i="25"/>
  <c r="I69" i="25" s="1"/>
  <c r="B69" i="25"/>
  <c r="J68" i="25"/>
  <c r="I68" i="25"/>
  <c r="D68" i="25"/>
  <c r="B68" i="25"/>
  <c r="J67" i="25"/>
  <c r="I67" i="25"/>
  <c r="N67" i="25" s="1"/>
  <c r="D67" i="25"/>
  <c r="J66" i="25"/>
  <c r="I66" i="25"/>
  <c r="N66" i="25" s="1"/>
  <c r="D66" i="25"/>
  <c r="J65" i="25"/>
  <c r="I65" i="25"/>
  <c r="N65" i="25" s="1"/>
  <c r="D65" i="25"/>
  <c r="J64" i="25"/>
  <c r="I64" i="25"/>
  <c r="D64" i="25"/>
  <c r="B64" i="25"/>
  <c r="J63" i="25"/>
  <c r="I63" i="25"/>
  <c r="D63" i="25"/>
  <c r="B63" i="25"/>
  <c r="J62" i="25"/>
  <c r="D62" i="25"/>
  <c r="I62" i="25" s="1"/>
  <c r="B62" i="25"/>
  <c r="J61" i="25"/>
  <c r="I61" i="25"/>
  <c r="D61" i="25"/>
  <c r="B61" i="25"/>
  <c r="J60" i="25"/>
  <c r="D60" i="25"/>
  <c r="I60" i="25" s="1"/>
  <c r="B60" i="25"/>
  <c r="F53" i="25"/>
  <c r="J51" i="25"/>
  <c r="C51" i="25"/>
  <c r="H51" i="25" s="1"/>
  <c r="N51" i="25" s="1"/>
  <c r="B51" i="25"/>
  <c r="J50" i="25"/>
  <c r="H50" i="25"/>
  <c r="N50" i="25" s="1"/>
  <c r="C50" i="25"/>
  <c r="B50" i="25"/>
  <c r="J49" i="25"/>
  <c r="C49" i="25"/>
  <c r="H49" i="25" s="1"/>
  <c r="N49" i="25" s="1"/>
  <c r="J48" i="25"/>
  <c r="C48" i="25"/>
  <c r="H48" i="25" s="1"/>
  <c r="N48" i="25" s="1"/>
  <c r="B48" i="25"/>
  <c r="N47" i="25"/>
  <c r="J47" i="25"/>
  <c r="H47" i="25"/>
  <c r="C47" i="25"/>
  <c r="B47" i="25"/>
  <c r="J46" i="25"/>
  <c r="C46" i="25"/>
  <c r="H46" i="25" s="1"/>
  <c r="N46" i="25" s="1"/>
  <c r="B46" i="25"/>
  <c r="J45" i="25"/>
  <c r="H45" i="25"/>
  <c r="N45" i="25" s="1"/>
  <c r="C45" i="25"/>
  <c r="B45" i="25"/>
  <c r="J44" i="25"/>
  <c r="C44" i="25"/>
  <c r="H44" i="25" s="1"/>
  <c r="N44" i="25" s="1"/>
  <c r="B44" i="25"/>
  <c r="J43" i="25"/>
  <c r="H43" i="25"/>
  <c r="C43" i="25"/>
  <c r="J42" i="25"/>
  <c r="H42" i="25"/>
  <c r="C42" i="25"/>
  <c r="J41" i="25"/>
  <c r="H41" i="25"/>
  <c r="C41" i="25"/>
  <c r="N40" i="25"/>
  <c r="J40" i="25"/>
  <c r="H40" i="25"/>
  <c r="C40" i="25"/>
  <c r="B40" i="25"/>
  <c r="J39" i="25"/>
  <c r="C39" i="25"/>
  <c r="H39" i="25" s="1"/>
  <c r="N39" i="25" s="1"/>
  <c r="B39" i="25"/>
  <c r="J38" i="25"/>
  <c r="H38" i="25"/>
  <c r="N38" i="25" s="1"/>
  <c r="C38" i="25"/>
  <c r="B38" i="25"/>
  <c r="J37" i="25"/>
  <c r="C37" i="25"/>
  <c r="H37" i="25" s="1"/>
  <c r="N37" i="25" s="1"/>
  <c r="B37" i="25"/>
  <c r="N36" i="25"/>
  <c r="J36" i="25"/>
  <c r="H36" i="25"/>
  <c r="C36" i="25"/>
  <c r="B36" i="25"/>
  <c r="F27" i="25"/>
  <c r="J25" i="25"/>
  <c r="H25" i="25"/>
  <c r="N25" i="25" s="1"/>
  <c r="C25" i="25"/>
  <c r="B25" i="25"/>
  <c r="J24" i="25"/>
  <c r="C24" i="25"/>
  <c r="H24" i="25" s="1"/>
  <c r="N24" i="25" s="1"/>
  <c r="B24" i="25"/>
  <c r="N23" i="25"/>
  <c r="J23" i="25"/>
  <c r="H23" i="25"/>
  <c r="C23" i="25"/>
  <c r="J22" i="25"/>
  <c r="H22" i="25"/>
  <c r="C22" i="25"/>
  <c r="B22" i="25"/>
  <c r="J21" i="25"/>
  <c r="C21" i="25"/>
  <c r="H21" i="25" s="1"/>
  <c r="N21" i="25" s="1"/>
  <c r="B21" i="25"/>
  <c r="J20" i="25"/>
  <c r="H20" i="25"/>
  <c r="N20" i="25" s="1"/>
  <c r="C20" i="25"/>
  <c r="B20" i="25"/>
  <c r="J19" i="25"/>
  <c r="C19" i="25"/>
  <c r="H19" i="25" s="1"/>
  <c r="N19" i="25" s="1"/>
  <c r="B19" i="25"/>
  <c r="J18" i="25"/>
  <c r="H18" i="25"/>
  <c r="C18" i="25"/>
  <c r="B18" i="25"/>
  <c r="J17" i="25"/>
  <c r="C17" i="25"/>
  <c r="H17" i="25" s="1"/>
  <c r="N17" i="25" s="1"/>
  <c r="J16" i="25"/>
  <c r="C16" i="25"/>
  <c r="H16" i="25" s="1"/>
  <c r="N16" i="25" s="1"/>
  <c r="J15" i="25"/>
  <c r="C15" i="25"/>
  <c r="H15" i="25" s="1"/>
  <c r="N15" i="25" s="1"/>
  <c r="J14" i="25"/>
  <c r="C14" i="25"/>
  <c r="H14" i="25" s="1"/>
  <c r="N14" i="25" s="1"/>
  <c r="B14" i="25"/>
  <c r="J13" i="25"/>
  <c r="H13" i="25"/>
  <c r="N13" i="25" s="1"/>
  <c r="C13" i="25"/>
  <c r="B13" i="25"/>
  <c r="J12" i="25"/>
  <c r="C12" i="25"/>
  <c r="H12" i="25" s="1"/>
  <c r="N12" i="25" s="1"/>
  <c r="B12" i="25"/>
  <c r="J11" i="25"/>
  <c r="H11" i="25"/>
  <c r="C11" i="25"/>
  <c r="B11" i="25"/>
  <c r="J10" i="25"/>
  <c r="C10" i="25"/>
  <c r="H10" i="25" s="1"/>
  <c r="B10" i="25"/>
  <c r="Q6" i="25"/>
  <c r="P6" i="25"/>
  <c r="Q5" i="25"/>
  <c r="N41" i="25" s="1"/>
  <c r="P5" i="25"/>
  <c r="Q4" i="25"/>
  <c r="P4" i="25"/>
  <c r="F128" i="24"/>
  <c r="J126" i="24"/>
  <c r="D126" i="24"/>
  <c r="I126" i="24" s="1"/>
  <c r="C126" i="24"/>
  <c r="H126" i="24" s="1"/>
  <c r="L126" i="24" s="1"/>
  <c r="B126" i="24"/>
  <c r="J125" i="24"/>
  <c r="D125" i="24"/>
  <c r="I125" i="24" s="1"/>
  <c r="C125" i="24"/>
  <c r="H125" i="24" s="1"/>
  <c r="L125" i="24" s="1"/>
  <c r="B125" i="24"/>
  <c r="J124" i="24"/>
  <c r="D124" i="24"/>
  <c r="I124" i="24" s="1"/>
  <c r="C124" i="24"/>
  <c r="H124" i="24" s="1"/>
  <c r="L124" i="24" s="1"/>
  <c r="J123" i="24"/>
  <c r="I123" i="24"/>
  <c r="D123" i="24"/>
  <c r="C123" i="24"/>
  <c r="H123" i="24" s="1"/>
  <c r="L123" i="24" s="1"/>
  <c r="B123" i="24"/>
  <c r="J122" i="24"/>
  <c r="I122" i="24"/>
  <c r="D122" i="24"/>
  <c r="C122" i="24"/>
  <c r="H122" i="24" s="1"/>
  <c r="B122" i="24"/>
  <c r="J121" i="24"/>
  <c r="I121" i="24"/>
  <c r="D121" i="24"/>
  <c r="C121" i="24"/>
  <c r="H121" i="24" s="1"/>
  <c r="B121" i="24"/>
  <c r="J120" i="24"/>
  <c r="I120" i="24"/>
  <c r="D120" i="24"/>
  <c r="C120" i="24"/>
  <c r="H120" i="24" s="1"/>
  <c r="B120" i="24"/>
  <c r="J119" i="24"/>
  <c r="I119" i="24"/>
  <c r="D119" i="24"/>
  <c r="C119" i="24"/>
  <c r="H119" i="24" s="1"/>
  <c r="L119" i="24" s="1"/>
  <c r="B119" i="24"/>
  <c r="J118" i="24"/>
  <c r="I118" i="24"/>
  <c r="D118" i="24"/>
  <c r="C118" i="24"/>
  <c r="H118" i="24" s="1"/>
  <c r="J117" i="24"/>
  <c r="I117" i="24"/>
  <c r="H117" i="24"/>
  <c r="L117" i="24" s="1"/>
  <c r="D117" i="24"/>
  <c r="C117" i="24"/>
  <c r="J116" i="24"/>
  <c r="H116" i="24"/>
  <c r="D116" i="24"/>
  <c r="I116" i="24" s="1"/>
  <c r="C116" i="24"/>
  <c r="J115" i="24"/>
  <c r="D115" i="24"/>
  <c r="I115" i="24" s="1"/>
  <c r="C115" i="24"/>
  <c r="H115" i="24" s="1"/>
  <c r="B115" i="24"/>
  <c r="J114" i="24"/>
  <c r="D114" i="24"/>
  <c r="I114" i="24" s="1"/>
  <c r="M114" i="24" s="1"/>
  <c r="C114" i="24"/>
  <c r="H114" i="24" s="1"/>
  <c r="B114" i="24"/>
  <c r="J113" i="24"/>
  <c r="D113" i="24"/>
  <c r="I113" i="24" s="1"/>
  <c r="M113" i="24" s="1"/>
  <c r="C113" i="24"/>
  <c r="H113" i="24" s="1"/>
  <c r="B113" i="24"/>
  <c r="J112" i="24"/>
  <c r="D112" i="24"/>
  <c r="I112" i="24" s="1"/>
  <c r="C112" i="24"/>
  <c r="H112" i="24" s="1"/>
  <c r="B112" i="24"/>
  <c r="J111" i="24"/>
  <c r="D111" i="24"/>
  <c r="I111" i="24" s="1"/>
  <c r="M111" i="24" s="1"/>
  <c r="C111" i="24"/>
  <c r="H111" i="24" s="1"/>
  <c r="L111" i="24" s="1"/>
  <c r="B111" i="24"/>
  <c r="F102" i="24"/>
  <c r="J100" i="24"/>
  <c r="I100" i="24"/>
  <c r="C100" i="24"/>
  <c r="H100" i="24" s="1"/>
  <c r="N100" i="24" s="1"/>
  <c r="B100" i="24"/>
  <c r="J99" i="24"/>
  <c r="D99" i="24"/>
  <c r="I99" i="24" s="1"/>
  <c r="C99" i="24"/>
  <c r="H99" i="24" s="1"/>
  <c r="N99" i="24" s="1"/>
  <c r="B99" i="24"/>
  <c r="J98" i="24"/>
  <c r="I98" i="24"/>
  <c r="H98" i="24"/>
  <c r="C98" i="24"/>
  <c r="J97" i="24"/>
  <c r="H97" i="24"/>
  <c r="N97" i="24" s="1"/>
  <c r="D97" i="24"/>
  <c r="I97" i="24" s="1"/>
  <c r="C97" i="24"/>
  <c r="B97" i="24"/>
  <c r="J96" i="24"/>
  <c r="I96" i="24"/>
  <c r="H96" i="24"/>
  <c r="N96" i="24" s="1"/>
  <c r="C96" i="24"/>
  <c r="B96" i="24"/>
  <c r="J95" i="24"/>
  <c r="D95" i="24"/>
  <c r="I95" i="24" s="1"/>
  <c r="C95" i="24"/>
  <c r="H95" i="24" s="1"/>
  <c r="N95" i="24" s="1"/>
  <c r="B95" i="24"/>
  <c r="J94" i="24"/>
  <c r="D94" i="24"/>
  <c r="I94" i="24" s="1"/>
  <c r="C94" i="24"/>
  <c r="H94" i="24" s="1"/>
  <c r="N94" i="24" s="1"/>
  <c r="B94" i="24"/>
  <c r="J93" i="24"/>
  <c r="D93" i="24"/>
  <c r="I93" i="24" s="1"/>
  <c r="C93" i="24"/>
  <c r="H93" i="24" s="1"/>
  <c r="N93" i="24" s="1"/>
  <c r="B93" i="24"/>
  <c r="J92" i="24"/>
  <c r="D92" i="24"/>
  <c r="I92" i="24" s="1"/>
  <c r="C92" i="24"/>
  <c r="H92" i="24" s="1"/>
  <c r="J91" i="24"/>
  <c r="I91" i="24"/>
  <c r="D91" i="24"/>
  <c r="C91" i="24"/>
  <c r="H91" i="24" s="1"/>
  <c r="J90" i="24"/>
  <c r="I90" i="24"/>
  <c r="H90" i="24"/>
  <c r="D90" i="24"/>
  <c r="C90" i="24"/>
  <c r="J89" i="24"/>
  <c r="H89" i="24"/>
  <c r="N89" i="24" s="1"/>
  <c r="D89" i="24"/>
  <c r="I89" i="24" s="1"/>
  <c r="C89" i="24"/>
  <c r="B89" i="24"/>
  <c r="J88" i="24"/>
  <c r="H88" i="24"/>
  <c r="N88" i="24" s="1"/>
  <c r="D88" i="24"/>
  <c r="I88" i="24" s="1"/>
  <c r="C88" i="24"/>
  <c r="B88" i="24"/>
  <c r="J87" i="24"/>
  <c r="H87" i="24"/>
  <c r="N87" i="24" s="1"/>
  <c r="D87" i="24"/>
  <c r="I87" i="24" s="1"/>
  <c r="C87" i="24"/>
  <c r="B87" i="24"/>
  <c r="J86" i="24"/>
  <c r="H86" i="24"/>
  <c r="N86" i="24" s="1"/>
  <c r="D86" i="24"/>
  <c r="I86" i="24" s="1"/>
  <c r="C86" i="24"/>
  <c r="B86" i="24"/>
  <c r="J85" i="24"/>
  <c r="H85" i="24"/>
  <c r="N85" i="24" s="1"/>
  <c r="D85" i="24"/>
  <c r="I85" i="24" s="1"/>
  <c r="C85" i="24"/>
  <c r="B85" i="24"/>
  <c r="F77" i="24"/>
  <c r="J75" i="24"/>
  <c r="D75" i="24"/>
  <c r="I75" i="24" s="1"/>
  <c r="L75" i="24" s="1"/>
  <c r="B75" i="24"/>
  <c r="J74" i="24"/>
  <c r="I74" i="24"/>
  <c r="L74" i="24" s="1"/>
  <c r="D74" i="24"/>
  <c r="B74" i="24"/>
  <c r="J73" i="24"/>
  <c r="D73" i="24"/>
  <c r="I73" i="24" s="1"/>
  <c r="L73" i="24" s="1"/>
  <c r="J72" i="24"/>
  <c r="D72" i="24"/>
  <c r="I72" i="24" s="1"/>
  <c r="L72" i="24" s="1"/>
  <c r="B72" i="24"/>
  <c r="L71" i="24"/>
  <c r="J71" i="24"/>
  <c r="I71" i="24"/>
  <c r="D71" i="24"/>
  <c r="B71" i="24"/>
  <c r="J70" i="24"/>
  <c r="D70" i="24"/>
  <c r="I70" i="24" s="1"/>
  <c r="L70" i="24" s="1"/>
  <c r="B70" i="24"/>
  <c r="J69" i="24"/>
  <c r="I69" i="24"/>
  <c r="L69" i="24" s="1"/>
  <c r="D69" i="24"/>
  <c r="B69" i="24"/>
  <c r="J68" i="24"/>
  <c r="D68" i="24"/>
  <c r="I68" i="24" s="1"/>
  <c r="L68" i="24" s="1"/>
  <c r="B68" i="24"/>
  <c r="J67" i="24"/>
  <c r="I67" i="24"/>
  <c r="D67" i="24"/>
  <c r="J66" i="24"/>
  <c r="I66" i="24"/>
  <c r="D66" i="24"/>
  <c r="J65" i="24"/>
  <c r="I65" i="24"/>
  <c r="D65" i="24"/>
  <c r="L64" i="24"/>
  <c r="J64" i="24"/>
  <c r="I64" i="24"/>
  <c r="D64" i="24"/>
  <c r="B64" i="24"/>
  <c r="J63" i="24"/>
  <c r="D63" i="24"/>
  <c r="I63" i="24" s="1"/>
  <c r="L63" i="24" s="1"/>
  <c r="B63" i="24"/>
  <c r="J62" i="24"/>
  <c r="I62" i="24"/>
  <c r="L62" i="24" s="1"/>
  <c r="D62" i="24"/>
  <c r="B62" i="24"/>
  <c r="J61" i="24"/>
  <c r="D61" i="24"/>
  <c r="I61" i="24" s="1"/>
  <c r="L61" i="24" s="1"/>
  <c r="B61" i="24"/>
  <c r="L60" i="24"/>
  <c r="J60" i="24"/>
  <c r="I60" i="24"/>
  <c r="D60" i="24"/>
  <c r="B60" i="24"/>
  <c r="F53" i="24"/>
  <c r="J51" i="24"/>
  <c r="H51" i="24"/>
  <c r="C51" i="24"/>
  <c r="B51" i="24"/>
  <c r="J50" i="24"/>
  <c r="C50" i="24"/>
  <c r="H50" i="24" s="1"/>
  <c r="B50" i="24"/>
  <c r="J49" i="24"/>
  <c r="H49" i="24"/>
  <c r="C49" i="24"/>
  <c r="J48" i="24"/>
  <c r="H48" i="24"/>
  <c r="C48" i="24"/>
  <c r="B48" i="24"/>
  <c r="J47" i="24"/>
  <c r="C47" i="24"/>
  <c r="H47" i="24" s="1"/>
  <c r="M47" i="24" s="1"/>
  <c r="B47" i="24"/>
  <c r="J46" i="24"/>
  <c r="H46" i="24"/>
  <c r="C46" i="24"/>
  <c r="B46" i="24"/>
  <c r="J45" i="24"/>
  <c r="C45" i="24"/>
  <c r="H45" i="24" s="1"/>
  <c r="B45" i="24"/>
  <c r="J44" i="24"/>
  <c r="H44" i="24"/>
  <c r="C44" i="24"/>
  <c r="B44" i="24"/>
  <c r="J43" i="24"/>
  <c r="C43" i="24"/>
  <c r="H43" i="24" s="1"/>
  <c r="M43" i="24" s="1"/>
  <c r="J42" i="24"/>
  <c r="C42" i="24"/>
  <c r="H42" i="24" s="1"/>
  <c r="M42" i="24" s="1"/>
  <c r="J41" i="24"/>
  <c r="C41" i="24"/>
  <c r="H41" i="24" s="1"/>
  <c r="M41" i="24" s="1"/>
  <c r="J40" i="24"/>
  <c r="C40" i="24"/>
  <c r="H40" i="24" s="1"/>
  <c r="M40" i="24" s="1"/>
  <c r="B40" i="24"/>
  <c r="J39" i="24"/>
  <c r="H39" i="24"/>
  <c r="C39" i="24"/>
  <c r="B39" i="24"/>
  <c r="J38" i="24"/>
  <c r="C38" i="24"/>
  <c r="H38" i="24" s="1"/>
  <c r="B38" i="24"/>
  <c r="J37" i="24"/>
  <c r="H37" i="24"/>
  <c r="C37" i="24"/>
  <c r="B37" i="24"/>
  <c r="J36" i="24"/>
  <c r="C36" i="24"/>
  <c r="H36" i="24" s="1"/>
  <c r="B36" i="24"/>
  <c r="F27" i="24"/>
  <c r="J25" i="24"/>
  <c r="C25" i="24"/>
  <c r="H25" i="24" s="1"/>
  <c r="N25" i="24" s="1"/>
  <c r="B25" i="24"/>
  <c r="J24" i="24"/>
  <c r="H24" i="24"/>
  <c r="C24" i="24"/>
  <c r="B24" i="24"/>
  <c r="J23" i="24"/>
  <c r="C23" i="24"/>
  <c r="H23" i="24" s="1"/>
  <c r="J22" i="24"/>
  <c r="C22" i="24"/>
  <c r="H22" i="24" s="1"/>
  <c r="N22" i="24" s="1"/>
  <c r="B22" i="24"/>
  <c r="J21" i="24"/>
  <c r="H21" i="24"/>
  <c r="N21" i="24" s="1"/>
  <c r="C21" i="24"/>
  <c r="B21" i="24"/>
  <c r="J20" i="24"/>
  <c r="C20" i="24"/>
  <c r="H20" i="24" s="1"/>
  <c r="N20" i="24" s="1"/>
  <c r="B20" i="24"/>
  <c r="J19" i="24"/>
  <c r="H19" i="24"/>
  <c r="C19" i="24"/>
  <c r="B19" i="24"/>
  <c r="J18" i="24"/>
  <c r="C18" i="24"/>
  <c r="H18" i="24" s="1"/>
  <c r="N18" i="24" s="1"/>
  <c r="B18" i="24"/>
  <c r="J17" i="24"/>
  <c r="H17" i="24"/>
  <c r="C17" i="24"/>
  <c r="J16" i="24"/>
  <c r="H16" i="24"/>
  <c r="C16" i="24"/>
  <c r="J15" i="24"/>
  <c r="H15" i="24"/>
  <c r="C15" i="24"/>
  <c r="J14" i="24"/>
  <c r="H14" i="24"/>
  <c r="N14" i="24" s="1"/>
  <c r="C14" i="24"/>
  <c r="B14" i="24"/>
  <c r="J13" i="24"/>
  <c r="C13" i="24"/>
  <c r="H13" i="24" s="1"/>
  <c r="N13" i="24" s="1"/>
  <c r="B13" i="24"/>
  <c r="J12" i="24"/>
  <c r="H12" i="24"/>
  <c r="C12" i="24"/>
  <c r="B12" i="24"/>
  <c r="J11" i="24"/>
  <c r="C11" i="24"/>
  <c r="H11" i="24" s="1"/>
  <c r="N11" i="24" s="1"/>
  <c r="B11" i="24"/>
  <c r="J10" i="24"/>
  <c r="H10" i="24"/>
  <c r="N24" i="24" s="1"/>
  <c r="C10" i="24"/>
  <c r="B10" i="24"/>
  <c r="P6" i="24"/>
  <c r="Q6" i="24" s="1"/>
  <c r="P5" i="24"/>
  <c r="Q5" i="24" s="1"/>
  <c r="P4" i="24"/>
  <c r="Q4" i="24" s="1"/>
  <c r="N90" i="24" s="1"/>
  <c r="F128" i="23"/>
  <c r="J126" i="23"/>
  <c r="I126" i="23"/>
  <c r="M126" i="23" s="1"/>
  <c r="D126" i="23"/>
  <c r="C126" i="23"/>
  <c r="H126" i="23" s="1"/>
  <c r="B126" i="23"/>
  <c r="J125" i="23"/>
  <c r="I125" i="23"/>
  <c r="M125" i="23" s="1"/>
  <c r="D125" i="23"/>
  <c r="C125" i="23"/>
  <c r="H125" i="23" s="1"/>
  <c r="B125" i="23"/>
  <c r="J124" i="23"/>
  <c r="I124" i="23"/>
  <c r="M124" i="23" s="1"/>
  <c r="D124" i="23"/>
  <c r="C124" i="23"/>
  <c r="H124" i="23" s="1"/>
  <c r="L124" i="23" s="1"/>
  <c r="J123" i="23"/>
  <c r="I123" i="23"/>
  <c r="M123" i="23" s="1"/>
  <c r="H123" i="23"/>
  <c r="D123" i="23"/>
  <c r="C123" i="23"/>
  <c r="B123" i="23"/>
  <c r="J122" i="23"/>
  <c r="I122" i="23"/>
  <c r="M122" i="23" s="1"/>
  <c r="H122" i="23"/>
  <c r="L122" i="23" s="1"/>
  <c r="D122" i="23"/>
  <c r="C122" i="23"/>
  <c r="B122" i="23"/>
  <c r="J121" i="23"/>
  <c r="I121" i="23"/>
  <c r="M121" i="23" s="1"/>
  <c r="H121" i="23"/>
  <c r="D121" i="23"/>
  <c r="C121" i="23"/>
  <c r="B121" i="23"/>
  <c r="J120" i="23"/>
  <c r="I120" i="23"/>
  <c r="M120" i="23" s="1"/>
  <c r="H120" i="23"/>
  <c r="L120" i="23" s="1"/>
  <c r="D120" i="23"/>
  <c r="C120" i="23"/>
  <c r="B120" i="23"/>
  <c r="J119" i="23"/>
  <c r="I119" i="23"/>
  <c r="M119" i="23" s="1"/>
  <c r="H119" i="23"/>
  <c r="D119" i="23"/>
  <c r="C119" i="23"/>
  <c r="B119" i="23"/>
  <c r="J118" i="23"/>
  <c r="I118" i="23"/>
  <c r="M118" i="23" s="1"/>
  <c r="H118" i="23"/>
  <c r="L118" i="23" s="1"/>
  <c r="D118" i="23"/>
  <c r="C118" i="23"/>
  <c r="J117" i="23"/>
  <c r="H117" i="23"/>
  <c r="L117" i="23" s="1"/>
  <c r="D117" i="23"/>
  <c r="I117" i="23" s="1"/>
  <c r="M117" i="23" s="1"/>
  <c r="C117" i="23"/>
  <c r="J116" i="23"/>
  <c r="D116" i="23"/>
  <c r="I116" i="23" s="1"/>
  <c r="M116" i="23" s="1"/>
  <c r="C116" i="23"/>
  <c r="H116" i="23" s="1"/>
  <c r="L116" i="23" s="1"/>
  <c r="J115" i="23"/>
  <c r="I115" i="23"/>
  <c r="M115" i="23" s="1"/>
  <c r="D115" i="23"/>
  <c r="C115" i="23"/>
  <c r="H115" i="23" s="1"/>
  <c r="B115" i="23"/>
  <c r="J114" i="23"/>
  <c r="I114" i="23"/>
  <c r="M114" i="23" s="1"/>
  <c r="D114" i="23"/>
  <c r="C114" i="23"/>
  <c r="H114" i="23" s="1"/>
  <c r="B114" i="23"/>
  <c r="J113" i="23"/>
  <c r="I113" i="23"/>
  <c r="M113" i="23" s="1"/>
  <c r="D113" i="23"/>
  <c r="C113" i="23"/>
  <c r="H113" i="23" s="1"/>
  <c r="L113" i="23" s="1"/>
  <c r="B113" i="23"/>
  <c r="J112" i="23"/>
  <c r="I112" i="23"/>
  <c r="M112" i="23" s="1"/>
  <c r="D112" i="23"/>
  <c r="C112" i="23"/>
  <c r="H112" i="23" s="1"/>
  <c r="L112" i="23" s="1"/>
  <c r="B112" i="23"/>
  <c r="J111" i="23"/>
  <c r="I111" i="23"/>
  <c r="M111" i="23" s="1"/>
  <c r="D111" i="23"/>
  <c r="C111" i="23"/>
  <c r="H111" i="23" s="1"/>
  <c r="L111" i="23" s="1"/>
  <c r="B111" i="23"/>
  <c r="F102" i="23"/>
  <c r="J100" i="23"/>
  <c r="I100" i="23"/>
  <c r="O100" i="23" s="1"/>
  <c r="H100" i="23"/>
  <c r="N100" i="23" s="1"/>
  <c r="D100" i="23"/>
  <c r="C100" i="23"/>
  <c r="B100" i="23"/>
  <c r="J99" i="23"/>
  <c r="I99" i="23"/>
  <c r="O99" i="23" s="1"/>
  <c r="H99" i="23"/>
  <c r="N99" i="23" s="1"/>
  <c r="D99" i="23"/>
  <c r="C99" i="23"/>
  <c r="B99" i="23"/>
  <c r="J98" i="23"/>
  <c r="I98" i="23"/>
  <c r="O98" i="23" s="1"/>
  <c r="H98" i="23"/>
  <c r="N98" i="23" s="1"/>
  <c r="D98" i="23"/>
  <c r="C98" i="23"/>
  <c r="J97" i="23"/>
  <c r="H97" i="23"/>
  <c r="N97" i="23" s="1"/>
  <c r="D97" i="23"/>
  <c r="I97" i="23" s="1"/>
  <c r="O97" i="23" s="1"/>
  <c r="C97" i="23"/>
  <c r="B97" i="23"/>
  <c r="J96" i="23"/>
  <c r="H96" i="23"/>
  <c r="N96" i="23" s="1"/>
  <c r="D96" i="23"/>
  <c r="I96" i="23" s="1"/>
  <c r="O96" i="23" s="1"/>
  <c r="C96" i="23"/>
  <c r="B96" i="23"/>
  <c r="J95" i="23"/>
  <c r="H95" i="23"/>
  <c r="N95" i="23" s="1"/>
  <c r="D95" i="23"/>
  <c r="I95" i="23" s="1"/>
  <c r="O95" i="23" s="1"/>
  <c r="C95" i="23"/>
  <c r="B95" i="23"/>
  <c r="J94" i="23"/>
  <c r="H94" i="23"/>
  <c r="N94" i="23" s="1"/>
  <c r="D94" i="23"/>
  <c r="I94" i="23" s="1"/>
  <c r="O94" i="23" s="1"/>
  <c r="C94" i="23"/>
  <c r="B94" i="23"/>
  <c r="J93" i="23"/>
  <c r="H93" i="23"/>
  <c r="N93" i="23" s="1"/>
  <c r="D93" i="23"/>
  <c r="I93" i="23" s="1"/>
  <c r="O93" i="23" s="1"/>
  <c r="C93" i="23"/>
  <c r="B93" i="23"/>
  <c r="J92" i="23"/>
  <c r="H92" i="23"/>
  <c r="N92" i="23" s="1"/>
  <c r="D92" i="23"/>
  <c r="I92" i="23" s="1"/>
  <c r="O92" i="23" s="1"/>
  <c r="C92" i="23"/>
  <c r="J91" i="23"/>
  <c r="D91" i="23"/>
  <c r="I91" i="23" s="1"/>
  <c r="C91" i="23"/>
  <c r="H91" i="23" s="1"/>
  <c r="N91" i="23" s="1"/>
  <c r="J90" i="23"/>
  <c r="I90" i="23"/>
  <c r="O90" i="23" s="1"/>
  <c r="D90" i="23"/>
  <c r="C90" i="23"/>
  <c r="H90" i="23" s="1"/>
  <c r="N90" i="23" s="1"/>
  <c r="J89" i="23"/>
  <c r="I89" i="23"/>
  <c r="O89" i="23" s="1"/>
  <c r="H89" i="23"/>
  <c r="N89" i="23" s="1"/>
  <c r="D89" i="23"/>
  <c r="C89" i="23"/>
  <c r="B89" i="23"/>
  <c r="J88" i="23"/>
  <c r="I88" i="23"/>
  <c r="O88" i="23" s="1"/>
  <c r="H88" i="23"/>
  <c r="N88" i="23" s="1"/>
  <c r="D88" i="23"/>
  <c r="C88" i="23"/>
  <c r="B88" i="23"/>
  <c r="J87" i="23"/>
  <c r="I87" i="23"/>
  <c r="O87" i="23" s="1"/>
  <c r="H87" i="23"/>
  <c r="N87" i="23" s="1"/>
  <c r="D87" i="23"/>
  <c r="C87" i="23"/>
  <c r="B87" i="23"/>
  <c r="J86" i="23"/>
  <c r="I86" i="23"/>
  <c r="O86" i="23" s="1"/>
  <c r="H86" i="23"/>
  <c r="N86" i="23" s="1"/>
  <c r="D86" i="23"/>
  <c r="C86" i="23"/>
  <c r="B86" i="23"/>
  <c r="J85" i="23"/>
  <c r="I85" i="23"/>
  <c r="O85" i="23" s="1"/>
  <c r="H85" i="23"/>
  <c r="N85" i="23" s="1"/>
  <c r="D85" i="23"/>
  <c r="C85" i="23"/>
  <c r="B85" i="23"/>
  <c r="F77" i="23"/>
  <c r="J75" i="23"/>
  <c r="I75" i="23"/>
  <c r="D75" i="23"/>
  <c r="B75" i="23"/>
  <c r="J74" i="23"/>
  <c r="I74" i="23"/>
  <c r="D74" i="23"/>
  <c r="B74" i="23"/>
  <c r="J73" i="23"/>
  <c r="I73" i="23"/>
  <c r="D73" i="23"/>
  <c r="J72" i="23"/>
  <c r="I72" i="23"/>
  <c r="D72" i="23"/>
  <c r="B72" i="23"/>
  <c r="J71" i="23"/>
  <c r="D71" i="23"/>
  <c r="I71" i="23" s="1"/>
  <c r="B71" i="23"/>
  <c r="J70" i="23"/>
  <c r="I70" i="23"/>
  <c r="D70" i="23"/>
  <c r="B70" i="23"/>
  <c r="J69" i="23"/>
  <c r="I69" i="23"/>
  <c r="D69" i="23"/>
  <c r="B69" i="23"/>
  <c r="J68" i="23"/>
  <c r="I68" i="23"/>
  <c r="D68" i="23"/>
  <c r="B68" i="23"/>
  <c r="J67" i="23"/>
  <c r="D67" i="23"/>
  <c r="I67" i="23" s="1"/>
  <c r="L67" i="23" s="1"/>
  <c r="J66" i="23"/>
  <c r="D66" i="23"/>
  <c r="I66" i="23" s="1"/>
  <c r="L66" i="23" s="1"/>
  <c r="J65" i="23"/>
  <c r="D65" i="23"/>
  <c r="I65" i="23" s="1"/>
  <c r="L65" i="23" s="1"/>
  <c r="J64" i="23"/>
  <c r="D64" i="23"/>
  <c r="I64" i="23" s="1"/>
  <c r="B64" i="23"/>
  <c r="J63" i="23"/>
  <c r="I63" i="23"/>
  <c r="D63" i="23"/>
  <c r="B63" i="23"/>
  <c r="J62" i="23"/>
  <c r="I62" i="23"/>
  <c r="D62" i="23"/>
  <c r="B62" i="23"/>
  <c r="J61" i="23"/>
  <c r="I61" i="23"/>
  <c r="D61" i="23"/>
  <c r="B61" i="23"/>
  <c r="J60" i="23"/>
  <c r="D60" i="23"/>
  <c r="I60" i="23" s="1"/>
  <c r="B60" i="23"/>
  <c r="F53" i="23"/>
  <c r="J51" i="23"/>
  <c r="H51" i="23"/>
  <c r="M51" i="23" s="1"/>
  <c r="C51" i="23"/>
  <c r="B51" i="23"/>
  <c r="J50" i="23"/>
  <c r="H50" i="23"/>
  <c r="C50" i="23"/>
  <c r="B50" i="23"/>
  <c r="J49" i="23"/>
  <c r="C49" i="23"/>
  <c r="H49" i="23" s="1"/>
  <c r="M49" i="23" s="1"/>
  <c r="J48" i="23"/>
  <c r="C48" i="23"/>
  <c r="H48" i="23" s="1"/>
  <c r="M48" i="23" s="1"/>
  <c r="B48" i="23"/>
  <c r="J47" i="23"/>
  <c r="H47" i="23"/>
  <c r="M47" i="23" s="1"/>
  <c r="C47" i="23"/>
  <c r="B47" i="23"/>
  <c r="J46" i="23"/>
  <c r="H46" i="23"/>
  <c r="M46" i="23" s="1"/>
  <c r="C46" i="23"/>
  <c r="B46" i="23"/>
  <c r="J45" i="23"/>
  <c r="H45" i="23"/>
  <c r="C45" i="23"/>
  <c r="B45" i="23"/>
  <c r="J44" i="23"/>
  <c r="C44" i="23"/>
  <c r="H44" i="23" s="1"/>
  <c r="M44" i="23" s="1"/>
  <c r="B44" i="23"/>
  <c r="J43" i="23"/>
  <c r="H43" i="23"/>
  <c r="M43" i="23" s="1"/>
  <c r="C43" i="23"/>
  <c r="J42" i="23"/>
  <c r="H42" i="23"/>
  <c r="M42" i="23" s="1"/>
  <c r="C42" i="23"/>
  <c r="J41" i="23"/>
  <c r="H41" i="23"/>
  <c r="M41" i="23" s="1"/>
  <c r="C41" i="23"/>
  <c r="J40" i="23"/>
  <c r="H40" i="23"/>
  <c r="M40" i="23" s="1"/>
  <c r="C40" i="23"/>
  <c r="B40" i="23"/>
  <c r="J39" i="23"/>
  <c r="H39" i="23"/>
  <c r="M39" i="23" s="1"/>
  <c r="C39" i="23"/>
  <c r="B39" i="23"/>
  <c r="J38" i="23"/>
  <c r="H38" i="23"/>
  <c r="C38" i="23"/>
  <c r="B38" i="23"/>
  <c r="J37" i="23"/>
  <c r="C37" i="23"/>
  <c r="H37" i="23" s="1"/>
  <c r="M37" i="23" s="1"/>
  <c r="B37" i="23"/>
  <c r="J36" i="23"/>
  <c r="H36" i="23"/>
  <c r="M36" i="23" s="1"/>
  <c r="C36" i="23"/>
  <c r="B36" i="23"/>
  <c r="F27" i="23"/>
  <c r="N25" i="23"/>
  <c r="J25" i="23"/>
  <c r="H25" i="23"/>
  <c r="C25" i="23"/>
  <c r="B25" i="23"/>
  <c r="J24" i="23"/>
  <c r="C24" i="23"/>
  <c r="H24" i="23" s="1"/>
  <c r="N24" i="23" s="1"/>
  <c r="B24" i="23"/>
  <c r="J23" i="23"/>
  <c r="H23" i="23"/>
  <c r="N23" i="23" s="1"/>
  <c r="C23" i="23"/>
  <c r="J22" i="23"/>
  <c r="H22" i="23"/>
  <c r="N22" i="23" s="1"/>
  <c r="C22" i="23"/>
  <c r="B22" i="23"/>
  <c r="J21" i="23"/>
  <c r="H21" i="23"/>
  <c r="N21" i="23" s="1"/>
  <c r="C21" i="23"/>
  <c r="B21" i="23"/>
  <c r="N20" i="23"/>
  <c r="J20" i="23"/>
  <c r="H20" i="23"/>
  <c r="C20" i="23"/>
  <c r="B20" i="23"/>
  <c r="J19" i="23"/>
  <c r="C19" i="23"/>
  <c r="H19" i="23" s="1"/>
  <c r="N19" i="23" s="1"/>
  <c r="B19" i="23"/>
  <c r="J18" i="23"/>
  <c r="H18" i="23"/>
  <c r="N18" i="23" s="1"/>
  <c r="C18" i="23"/>
  <c r="B18" i="23"/>
  <c r="J17" i="23"/>
  <c r="H17" i="23"/>
  <c r="N17" i="23" s="1"/>
  <c r="C17" i="23"/>
  <c r="J16" i="23"/>
  <c r="H16" i="23"/>
  <c r="N16" i="23" s="1"/>
  <c r="C16" i="23"/>
  <c r="J15" i="23"/>
  <c r="H15" i="23"/>
  <c r="N15" i="23" s="1"/>
  <c r="C15" i="23"/>
  <c r="J14" i="23"/>
  <c r="H14" i="23"/>
  <c r="N14" i="23" s="1"/>
  <c r="C14" i="23"/>
  <c r="B14" i="23"/>
  <c r="N13" i="23"/>
  <c r="J13" i="23"/>
  <c r="H13" i="23"/>
  <c r="C13" i="23"/>
  <c r="B13" i="23"/>
  <c r="J12" i="23"/>
  <c r="C12" i="23"/>
  <c r="H12" i="23" s="1"/>
  <c r="N12" i="23" s="1"/>
  <c r="B12" i="23"/>
  <c r="J11" i="23"/>
  <c r="H11" i="23"/>
  <c r="N11" i="23" s="1"/>
  <c r="C11" i="23"/>
  <c r="B11" i="23"/>
  <c r="J10" i="23"/>
  <c r="H10" i="23"/>
  <c r="N10" i="23" s="1"/>
  <c r="C10" i="23"/>
  <c r="B10" i="23"/>
  <c r="Q6" i="23"/>
  <c r="L73" i="23" s="1"/>
  <c r="P6" i="23"/>
  <c r="Q5" i="23"/>
  <c r="P5" i="23"/>
  <c r="Q4" i="23"/>
  <c r="P4" i="23"/>
  <c r="N12" i="27" l="1"/>
  <c r="N13" i="27"/>
  <c r="N18" i="27"/>
  <c r="M48" i="27"/>
  <c r="O86" i="27"/>
  <c r="O87" i="27"/>
  <c r="O88" i="27"/>
  <c r="O89" i="27"/>
  <c r="N95" i="27"/>
  <c r="O96" i="27"/>
  <c r="N99" i="27"/>
  <c r="M115" i="27"/>
  <c r="M125" i="27"/>
  <c r="N10" i="27"/>
  <c r="N24" i="27"/>
  <c r="N19" i="27"/>
  <c r="N11" i="27"/>
  <c r="M40" i="27"/>
  <c r="M46" i="27"/>
  <c r="M47" i="27"/>
  <c r="M51" i="27"/>
  <c r="O93" i="27"/>
  <c r="N96" i="27"/>
  <c r="O97" i="27"/>
  <c r="O99" i="27"/>
  <c r="M112" i="27"/>
  <c r="M120" i="27"/>
  <c r="M122" i="27"/>
  <c r="M126" i="27"/>
  <c r="M38" i="27"/>
  <c r="M39" i="27"/>
  <c r="M44" i="27"/>
  <c r="N93" i="27"/>
  <c r="N97" i="27"/>
  <c r="N100" i="27"/>
  <c r="M36" i="27"/>
  <c r="M50" i="27"/>
  <c r="M45" i="27"/>
  <c r="M37" i="27"/>
  <c r="N86" i="27"/>
  <c r="N87" i="27"/>
  <c r="N88" i="27"/>
  <c r="N89" i="27"/>
  <c r="N94" i="27"/>
  <c r="L70" i="27"/>
  <c r="L60" i="27"/>
  <c r="N15" i="26"/>
  <c r="M40" i="26"/>
  <c r="M47" i="26"/>
  <c r="L66" i="26"/>
  <c r="O88" i="26"/>
  <c r="O99" i="26"/>
  <c r="M112" i="26"/>
  <c r="M118" i="26"/>
  <c r="M119" i="26"/>
  <c r="M120" i="26"/>
  <c r="M121" i="26"/>
  <c r="M122" i="26"/>
  <c r="M123" i="26"/>
  <c r="M125" i="26"/>
  <c r="M37" i="26"/>
  <c r="M38" i="26"/>
  <c r="M39" i="26"/>
  <c r="M44" i="26"/>
  <c r="M45" i="26"/>
  <c r="M46" i="26"/>
  <c r="L73" i="26"/>
  <c r="O89" i="26"/>
  <c r="N91" i="26"/>
  <c r="N92" i="26"/>
  <c r="N98" i="26"/>
  <c r="M113" i="26"/>
  <c r="M116" i="26"/>
  <c r="M117" i="26"/>
  <c r="M126" i="26"/>
  <c r="M36" i="26"/>
  <c r="M48" i="26"/>
  <c r="M50" i="26"/>
  <c r="M51" i="26"/>
  <c r="M114" i="26"/>
  <c r="M115" i="26"/>
  <c r="N19" i="26"/>
  <c r="N24" i="26"/>
  <c r="O96" i="25"/>
  <c r="O99" i="25"/>
  <c r="N10" i="25"/>
  <c r="N18" i="25"/>
  <c r="N22" i="25"/>
  <c r="N11" i="25"/>
  <c r="N70" i="25"/>
  <c r="N71" i="25"/>
  <c r="N72" i="25"/>
  <c r="O93" i="25"/>
  <c r="N95" i="25"/>
  <c r="O97" i="25"/>
  <c r="L112" i="25"/>
  <c r="L120" i="25"/>
  <c r="L122" i="25"/>
  <c r="L115" i="25"/>
  <c r="N62" i="25"/>
  <c r="N64" i="25"/>
  <c r="N69" i="25"/>
  <c r="N75" i="25"/>
  <c r="N86" i="25"/>
  <c r="N87" i="25"/>
  <c r="N88" i="25"/>
  <c r="N89" i="25"/>
  <c r="O94" i="25"/>
  <c r="N96" i="25"/>
  <c r="L113" i="25"/>
  <c r="N60" i="25"/>
  <c r="N63" i="25"/>
  <c r="N61" i="25"/>
  <c r="N68" i="25"/>
  <c r="N74" i="25"/>
  <c r="O86" i="25"/>
  <c r="O87" i="25"/>
  <c r="O88" i="25"/>
  <c r="O89" i="25"/>
  <c r="O95" i="25"/>
  <c r="L114" i="25"/>
  <c r="L119" i="25"/>
  <c r="L121" i="25"/>
  <c r="L123" i="25"/>
  <c r="L125" i="25"/>
  <c r="O100" i="25"/>
  <c r="L126" i="25"/>
  <c r="N42" i="25"/>
  <c r="N43" i="25"/>
  <c r="N17" i="24"/>
  <c r="O89" i="24"/>
  <c r="M112" i="24"/>
  <c r="M115" i="24"/>
  <c r="M121" i="24"/>
  <c r="M49" i="24"/>
  <c r="L116" i="24"/>
  <c r="N16" i="24"/>
  <c r="M38" i="24"/>
  <c r="M39" i="24"/>
  <c r="M45" i="24"/>
  <c r="M46" i="24"/>
  <c r="O86" i="24"/>
  <c r="O92" i="24"/>
  <c r="O93" i="24"/>
  <c r="O94" i="24"/>
  <c r="O95" i="24"/>
  <c r="M118" i="24"/>
  <c r="L120" i="24"/>
  <c r="M122" i="24"/>
  <c r="M124" i="24"/>
  <c r="M125" i="24"/>
  <c r="M126" i="24"/>
  <c r="N92" i="24"/>
  <c r="N15" i="24"/>
  <c r="M36" i="24"/>
  <c r="M48" i="24"/>
  <c r="M44" i="24"/>
  <c r="M37" i="24"/>
  <c r="M50" i="24"/>
  <c r="M51" i="24"/>
  <c r="O87" i="24"/>
  <c r="O90" i="24"/>
  <c r="O97" i="24"/>
  <c r="N98" i="24"/>
  <c r="M119" i="24"/>
  <c r="L121" i="24"/>
  <c r="M123" i="24"/>
  <c r="O85" i="24"/>
  <c r="O96" i="24"/>
  <c r="N91" i="24"/>
  <c r="M117" i="24"/>
  <c r="L67" i="24"/>
  <c r="L65" i="24"/>
  <c r="O98" i="24"/>
  <c r="O91" i="24"/>
  <c r="L66" i="24"/>
  <c r="N23" i="24"/>
  <c r="O88" i="24"/>
  <c r="O99" i="24"/>
  <c r="O100" i="24"/>
  <c r="L112" i="24"/>
  <c r="L113" i="24"/>
  <c r="L114" i="24"/>
  <c r="L115" i="24"/>
  <c r="M116" i="24"/>
  <c r="L118" i="24"/>
  <c r="M120" i="24"/>
  <c r="L122" i="24"/>
  <c r="N19" i="24"/>
  <c r="N12" i="24"/>
  <c r="N10" i="24"/>
  <c r="L62" i="23"/>
  <c r="L63" i="23"/>
  <c r="L70" i="23"/>
  <c r="I103" i="23"/>
  <c r="J103" i="23" s="1"/>
  <c r="O91" i="23"/>
  <c r="L114" i="23"/>
  <c r="L119" i="23"/>
  <c r="L121" i="23"/>
  <c r="L123" i="23"/>
  <c r="L125" i="23"/>
  <c r="L60" i="23"/>
  <c r="L68" i="23"/>
  <c r="L61" i="23"/>
  <c r="L72" i="23"/>
  <c r="L71" i="23"/>
  <c r="L69" i="23"/>
  <c r="L64" i="23"/>
  <c r="L74" i="23"/>
  <c r="L75" i="23"/>
  <c r="L115" i="23"/>
  <c r="L126" i="23"/>
  <c r="M38" i="23"/>
  <c r="M50" i="23"/>
  <c r="M45" i="23"/>
  <c r="B73" i="5" l="1"/>
  <c r="B74" i="5"/>
  <c r="B75" i="5"/>
  <c r="B76" i="5"/>
  <c r="B77" i="5"/>
  <c r="B78" i="5"/>
  <c r="B79" i="5"/>
  <c r="B80" i="5"/>
  <c r="B81" i="5"/>
  <c r="B82" i="5"/>
  <c r="B83" i="5"/>
  <c r="B84" i="5"/>
  <c r="D117" i="1" l="1"/>
  <c r="D116" i="1"/>
  <c r="D115" i="1"/>
  <c r="F128" i="7"/>
  <c r="D114" i="5"/>
  <c r="F128" i="4"/>
  <c r="D124" i="4"/>
  <c r="F108" i="11"/>
  <c r="F128" i="1"/>
  <c r="F86" i="7"/>
  <c r="F129" i="6"/>
  <c r="F86" i="6"/>
  <c r="F127" i="5"/>
  <c r="F86" i="5"/>
  <c r="F108" i="13"/>
  <c r="F86" i="13"/>
  <c r="F108" i="12"/>
  <c r="F86" i="12"/>
  <c r="F86" i="11"/>
  <c r="F86" i="4"/>
  <c r="F127" i="3"/>
  <c r="F86" i="3"/>
  <c r="F108" i="1"/>
  <c r="F86" i="1"/>
  <c r="F65" i="7" l="1"/>
  <c r="F45" i="7"/>
  <c r="F23" i="7"/>
  <c r="F65" i="6"/>
  <c r="F45" i="6"/>
  <c r="F23" i="6"/>
  <c r="F65" i="5"/>
  <c r="F45" i="5"/>
  <c r="F23" i="5"/>
  <c r="F65" i="13"/>
  <c r="F45" i="13"/>
  <c r="F23" i="13"/>
  <c r="F65" i="12"/>
  <c r="F45" i="12"/>
  <c r="F23" i="12"/>
  <c r="F65" i="11"/>
  <c r="F45" i="11"/>
  <c r="F23" i="11"/>
  <c r="F65" i="4"/>
  <c r="F45" i="4"/>
  <c r="F23" i="4"/>
  <c r="F65" i="3"/>
  <c r="F45" i="3"/>
  <c r="F23" i="3"/>
  <c r="F65" i="1"/>
  <c r="F45" i="1"/>
  <c r="F23" i="1"/>
  <c r="B10" i="8" l="1"/>
  <c r="N40" i="22"/>
  <c r="M40" i="22"/>
  <c r="N39" i="22"/>
  <c r="M39" i="22"/>
  <c r="N38" i="22"/>
  <c r="M38" i="22"/>
  <c r="N37" i="22"/>
  <c r="M37" i="22"/>
  <c r="E37" i="22"/>
  <c r="E38" i="22" s="1"/>
  <c r="E39" i="22" s="1"/>
  <c r="E40" i="22" s="1"/>
  <c r="B37" i="22"/>
  <c r="B38" i="22" s="1"/>
  <c r="B39" i="22" s="1"/>
  <c r="B40" i="22" s="1"/>
  <c r="N36" i="22"/>
  <c r="M36" i="22"/>
  <c r="L36" i="22"/>
  <c r="L37" i="22" s="1"/>
  <c r="H36" i="22"/>
  <c r="H37" i="22" s="1"/>
  <c r="H38" i="22" s="1"/>
  <c r="H39" i="22" s="1"/>
  <c r="H40" i="22" s="1"/>
  <c r="E36" i="22"/>
  <c r="B36" i="22"/>
  <c r="N35" i="22"/>
  <c r="M35" i="22"/>
  <c r="N34" i="22"/>
  <c r="M34" i="22"/>
  <c r="N33" i="22"/>
  <c r="M33" i="22"/>
  <c r="N32" i="22"/>
  <c r="M32" i="22"/>
  <c r="N31" i="22"/>
  <c r="M31" i="22"/>
  <c r="N20" i="22"/>
  <c r="M20" i="22"/>
  <c r="N19" i="22"/>
  <c r="M19" i="22"/>
  <c r="N18" i="22"/>
  <c r="M18" i="22"/>
  <c r="N17" i="22"/>
  <c r="M17" i="22"/>
  <c r="L17" i="22"/>
  <c r="L18" i="22" s="1"/>
  <c r="L19" i="22" s="1"/>
  <c r="L20" i="22" s="1"/>
  <c r="H17" i="22"/>
  <c r="H18" i="22" s="1"/>
  <c r="H19" i="22" s="1"/>
  <c r="H20" i="22" s="1"/>
  <c r="N16" i="22"/>
  <c r="M16" i="22"/>
  <c r="L16" i="22"/>
  <c r="H16" i="22"/>
  <c r="E16" i="22"/>
  <c r="E17" i="22" s="1"/>
  <c r="E18" i="22" s="1"/>
  <c r="E19" i="22" s="1"/>
  <c r="E20" i="22" s="1"/>
  <c r="B16" i="22"/>
  <c r="B17" i="22" s="1"/>
  <c r="B18" i="22" s="1"/>
  <c r="B19" i="22" s="1"/>
  <c r="B20" i="22" s="1"/>
  <c r="N15" i="22"/>
  <c r="M15" i="22"/>
  <c r="N14" i="22"/>
  <c r="M14" i="22"/>
  <c r="N13" i="22"/>
  <c r="M13" i="22"/>
  <c r="N12" i="22"/>
  <c r="M12" i="22"/>
  <c r="N11" i="22"/>
  <c r="M11" i="22"/>
  <c r="L38" i="22" l="1"/>
  <c r="L39" i="22" s="1"/>
  <c r="L40" i="22" s="1"/>
  <c r="L26" i="22" a="1"/>
  <c r="L26" i="22" s="1"/>
  <c r="B10" i="21"/>
  <c r="C10" i="21"/>
  <c r="H10" i="21" s="1"/>
  <c r="B11" i="21"/>
  <c r="B12" i="21"/>
  <c r="B13" i="21"/>
  <c r="B14" i="21"/>
  <c r="C14" i="21"/>
  <c r="H14" i="21" s="1"/>
  <c r="B15" i="21"/>
  <c r="C15" i="21"/>
  <c r="H15" i="21" s="1"/>
  <c r="B16" i="21"/>
  <c r="B17" i="21"/>
  <c r="B18" i="21"/>
  <c r="B19" i="21"/>
  <c r="C19" i="21"/>
  <c r="H19" i="21"/>
  <c r="B20" i="21"/>
  <c r="C20" i="21"/>
  <c r="H20" i="21"/>
  <c r="B21" i="21"/>
  <c r="C21" i="21"/>
  <c r="H21" i="21" s="1"/>
  <c r="B32" i="21"/>
  <c r="C32" i="21"/>
  <c r="H32" i="21" s="1"/>
  <c r="B33" i="21"/>
  <c r="B34" i="21"/>
  <c r="B35" i="21"/>
  <c r="B36" i="21"/>
  <c r="C36" i="21"/>
  <c r="H36" i="21"/>
  <c r="B37" i="21"/>
  <c r="C37" i="21"/>
  <c r="H37" i="21" s="1"/>
  <c r="B38" i="21"/>
  <c r="B39" i="21"/>
  <c r="B40" i="21"/>
  <c r="B41" i="21"/>
  <c r="C41" i="21"/>
  <c r="H41" i="21"/>
  <c r="B42" i="21"/>
  <c r="C42" i="21"/>
  <c r="H42" i="21"/>
  <c r="B43" i="21"/>
  <c r="C43" i="21"/>
  <c r="H43" i="21" s="1"/>
  <c r="B52" i="21"/>
  <c r="D52" i="21"/>
  <c r="H52" i="21" s="1"/>
  <c r="B53" i="21"/>
  <c r="B54" i="21"/>
  <c r="B55" i="21"/>
  <c r="B56" i="21"/>
  <c r="D56" i="21"/>
  <c r="H56" i="21"/>
  <c r="B57" i="21"/>
  <c r="D57" i="21"/>
  <c r="H57" i="21" s="1"/>
  <c r="B58" i="21"/>
  <c r="B59" i="21"/>
  <c r="B60" i="21"/>
  <c r="B61" i="21"/>
  <c r="D61" i="21"/>
  <c r="H61" i="21"/>
  <c r="B62" i="21"/>
  <c r="D62" i="21"/>
  <c r="H62" i="21"/>
  <c r="B63" i="21"/>
  <c r="H63" i="21"/>
  <c r="C73" i="21"/>
  <c r="D73" i="21"/>
  <c r="H73" i="21"/>
  <c r="I73" i="21"/>
  <c r="B74" i="21"/>
  <c r="C74" i="21"/>
  <c r="D74" i="21"/>
  <c r="I74" i="21" s="1"/>
  <c r="H74" i="21"/>
  <c r="B75" i="21"/>
  <c r="C75" i="21"/>
  <c r="H75" i="21" s="1"/>
  <c r="D75" i="21"/>
  <c r="I75" i="21" s="1"/>
  <c r="B76" i="21"/>
  <c r="C76" i="21"/>
  <c r="H76" i="21" s="1"/>
  <c r="D76" i="21"/>
  <c r="I76" i="21"/>
  <c r="B77" i="21"/>
  <c r="C77" i="21"/>
  <c r="D77" i="21"/>
  <c r="H77" i="21"/>
  <c r="I77" i="21"/>
  <c r="B78" i="21"/>
  <c r="C78" i="21"/>
  <c r="D78" i="21"/>
  <c r="I78" i="21" s="1"/>
  <c r="H78" i="21"/>
  <c r="B79" i="21"/>
  <c r="C79" i="21"/>
  <c r="H79" i="21" s="1"/>
  <c r="D79" i="21"/>
  <c r="I79" i="21" s="1"/>
  <c r="B80" i="21"/>
  <c r="C80" i="21"/>
  <c r="H80" i="21" s="1"/>
  <c r="D80" i="21"/>
  <c r="I80" i="21"/>
  <c r="B81" i="21"/>
  <c r="C81" i="21"/>
  <c r="D81" i="21"/>
  <c r="H81" i="21"/>
  <c r="I81" i="21"/>
  <c r="B82" i="21"/>
  <c r="C82" i="21"/>
  <c r="D82" i="21"/>
  <c r="I82" i="21" s="1"/>
  <c r="H82" i="21"/>
  <c r="B83" i="21"/>
  <c r="C83" i="21"/>
  <c r="H83" i="21"/>
  <c r="I83" i="21"/>
  <c r="B84" i="21"/>
  <c r="C84" i="21"/>
  <c r="H84" i="21" s="1"/>
  <c r="D84" i="21"/>
  <c r="I84" i="21" s="1"/>
  <c r="B95" i="21"/>
  <c r="C95" i="21"/>
  <c r="H95" i="21" s="1"/>
  <c r="D95" i="21"/>
  <c r="I95" i="21"/>
  <c r="B96" i="21"/>
  <c r="C96" i="21"/>
  <c r="D96" i="21"/>
  <c r="H96" i="21"/>
  <c r="I96" i="21"/>
  <c r="B97" i="21"/>
  <c r="C97" i="21"/>
  <c r="D97" i="21"/>
  <c r="I97" i="21" s="1"/>
  <c r="H97" i="21"/>
  <c r="B98" i="21"/>
  <c r="C98" i="21"/>
  <c r="H98" i="21" s="1"/>
  <c r="D98" i="21"/>
  <c r="I98" i="21" s="1"/>
  <c r="B99" i="21"/>
  <c r="C99" i="21"/>
  <c r="H99" i="21" s="1"/>
  <c r="D99" i="21"/>
  <c r="I99" i="21"/>
  <c r="B100" i="21"/>
  <c r="C100" i="21"/>
  <c r="D100" i="21"/>
  <c r="H100" i="21"/>
  <c r="I100" i="21"/>
  <c r="B101" i="21"/>
  <c r="C101" i="21"/>
  <c r="D101" i="21"/>
  <c r="I101" i="21" s="1"/>
  <c r="H101" i="21"/>
  <c r="B102" i="21"/>
  <c r="C102" i="21"/>
  <c r="H102" i="21" s="1"/>
  <c r="D102" i="21"/>
  <c r="I102" i="21" s="1"/>
  <c r="B103" i="21"/>
  <c r="C103" i="21"/>
  <c r="H103" i="21" s="1"/>
  <c r="D103" i="21"/>
  <c r="I103" i="21"/>
  <c r="B104" i="21"/>
  <c r="C104" i="21"/>
  <c r="D104" i="21"/>
  <c r="H104" i="21"/>
  <c r="I104" i="21"/>
  <c r="B105" i="21"/>
  <c r="C105" i="21"/>
  <c r="D105" i="21"/>
  <c r="I105" i="21" s="1"/>
  <c r="H105" i="21"/>
  <c r="B106" i="21"/>
  <c r="C106" i="21"/>
  <c r="H106" i="21"/>
  <c r="I106" i="21"/>
  <c r="B10" i="20"/>
  <c r="C10" i="20"/>
  <c r="H10" i="20"/>
  <c r="B11" i="20"/>
  <c r="B12" i="20"/>
  <c r="B13" i="20"/>
  <c r="B14" i="20"/>
  <c r="C14" i="20"/>
  <c r="H14" i="20" s="1"/>
  <c r="B15" i="20"/>
  <c r="C15" i="20"/>
  <c r="H15" i="20" s="1"/>
  <c r="B16" i="20"/>
  <c r="B17" i="20"/>
  <c r="B18" i="20"/>
  <c r="B19" i="20"/>
  <c r="C19" i="20"/>
  <c r="H19" i="20"/>
  <c r="B20" i="20"/>
  <c r="C20" i="20"/>
  <c r="H20" i="20" s="1"/>
  <c r="B21" i="20"/>
  <c r="C21" i="20"/>
  <c r="H21" i="20" s="1"/>
  <c r="B32" i="20"/>
  <c r="C32" i="20"/>
  <c r="H32" i="20"/>
  <c r="B33" i="20"/>
  <c r="B34" i="20"/>
  <c r="B35" i="20"/>
  <c r="B36" i="20"/>
  <c r="C36" i="20"/>
  <c r="H36" i="20" s="1"/>
  <c r="B37" i="20"/>
  <c r="C37" i="20"/>
  <c r="H37" i="20" s="1"/>
  <c r="B38" i="20"/>
  <c r="B39" i="20"/>
  <c r="B40" i="20"/>
  <c r="B41" i="20"/>
  <c r="C41" i="20"/>
  <c r="H41" i="20"/>
  <c r="B42" i="20"/>
  <c r="C42" i="20"/>
  <c r="H42" i="20" s="1"/>
  <c r="B43" i="20"/>
  <c r="C43" i="20"/>
  <c r="H43" i="20" s="1"/>
  <c r="B52" i="20"/>
  <c r="D52" i="20"/>
  <c r="H52" i="20"/>
  <c r="B53" i="20"/>
  <c r="B54" i="20"/>
  <c r="B55" i="20"/>
  <c r="B56" i="20"/>
  <c r="D56" i="20"/>
  <c r="H56" i="20" s="1"/>
  <c r="B57" i="20"/>
  <c r="D57" i="20"/>
  <c r="H57" i="20" s="1"/>
  <c r="B58" i="20"/>
  <c r="B59" i="20"/>
  <c r="B60" i="20"/>
  <c r="B61" i="20"/>
  <c r="D61" i="20"/>
  <c r="H61" i="20"/>
  <c r="B62" i="20"/>
  <c r="D62" i="20"/>
  <c r="H62" i="20" s="1"/>
  <c r="B63" i="20"/>
  <c r="H63" i="20"/>
  <c r="B73" i="20"/>
  <c r="C73" i="20"/>
  <c r="D73" i="20"/>
  <c r="I73" i="20" s="1"/>
  <c r="H73" i="20"/>
  <c r="B74" i="20"/>
  <c r="C74" i="20"/>
  <c r="H74" i="20" s="1"/>
  <c r="D74" i="20"/>
  <c r="I74" i="20" s="1"/>
  <c r="B75" i="20"/>
  <c r="C75" i="20"/>
  <c r="H75" i="20" s="1"/>
  <c r="D75" i="20"/>
  <c r="I75" i="20"/>
  <c r="B76" i="20"/>
  <c r="C76" i="20"/>
  <c r="D76" i="20"/>
  <c r="H76" i="20"/>
  <c r="I76" i="20"/>
  <c r="B77" i="20"/>
  <c r="C77" i="20"/>
  <c r="D77" i="20"/>
  <c r="I77" i="20" s="1"/>
  <c r="H77" i="20"/>
  <c r="B78" i="20"/>
  <c r="C78" i="20"/>
  <c r="H78" i="20" s="1"/>
  <c r="D78" i="20"/>
  <c r="I78" i="20" s="1"/>
  <c r="B79" i="20"/>
  <c r="C79" i="20"/>
  <c r="H79" i="20" s="1"/>
  <c r="D79" i="20"/>
  <c r="I79" i="20"/>
  <c r="B80" i="20"/>
  <c r="C80" i="20"/>
  <c r="D80" i="20"/>
  <c r="H80" i="20"/>
  <c r="I80" i="20"/>
  <c r="B81" i="20"/>
  <c r="C81" i="20"/>
  <c r="D81" i="20"/>
  <c r="I81" i="20" s="1"/>
  <c r="H81" i="20"/>
  <c r="B82" i="20"/>
  <c r="C82" i="20"/>
  <c r="H82" i="20" s="1"/>
  <c r="D82" i="20"/>
  <c r="I82" i="20" s="1"/>
  <c r="B83" i="20"/>
  <c r="C83" i="20"/>
  <c r="H83" i="20" s="1"/>
  <c r="I83" i="20"/>
  <c r="B84" i="20"/>
  <c r="C84" i="20"/>
  <c r="H84" i="20" s="1"/>
  <c r="D84" i="20"/>
  <c r="I84" i="20"/>
  <c r="B95" i="20"/>
  <c r="C95" i="20"/>
  <c r="D95" i="20"/>
  <c r="H95" i="20"/>
  <c r="I95" i="20"/>
  <c r="B96" i="20"/>
  <c r="C96" i="20"/>
  <c r="D96" i="20"/>
  <c r="I96" i="20" s="1"/>
  <c r="H96" i="20"/>
  <c r="B97" i="20"/>
  <c r="C97" i="20"/>
  <c r="H97" i="20" s="1"/>
  <c r="D97" i="20"/>
  <c r="I97" i="20" s="1"/>
  <c r="B98" i="20"/>
  <c r="C98" i="20"/>
  <c r="H98" i="20" s="1"/>
  <c r="D98" i="20"/>
  <c r="I98" i="20"/>
  <c r="B99" i="20"/>
  <c r="C99" i="20"/>
  <c r="D99" i="20"/>
  <c r="H99" i="20"/>
  <c r="I99" i="20"/>
  <c r="B100" i="20"/>
  <c r="C100" i="20"/>
  <c r="D100" i="20"/>
  <c r="I100" i="20" s="1"/>
  <c r="H100" i="20"/>
  <c r="B101" i="20"/>
  <c r="C101" i="20"/>
  <c r="H101" i="20" s="1"/>
  <c r="D101" i="20"/>
  <c r="I101" i="20" s="1"/>
  <c r="B102" i="20"/>
  <c r="C102" i="20"/>
  <c r="H102" i="20" s="1"/>
  <c r="D102" i="20"/>
  <c r="I102" i="20"/>
  <c r="B103" i="20"/>
  <c r="C103" i="20"/>
  <c r="D103" i="20"/>
  <c r="H103" i="20"/>
  <c r="I103" i="20"/>
  <c r="B104" i="20"/>
  <c r="C104" i="20"/>
  <c r="D104" i="20"/>
  <c r="I104" i="20" s="1"/>
  <c r="H104" i="20"/>
  <c r="B105" i="20"/>
  <c r="C105" i="20"/>
  <c r="H105" i="20" s="1"/>
  <c r="D105" i="20"/>
  <c r="I105" i="20" s="1"/>
  <c r="B106" i="20"/>
  <c r="C106" i="20"/>
  <c r="H106" i="20" s="1"/>
  <c r="I106" i="20"/>
  <c r="B10" i="19"/>
  <c r="H10" i="19"/>
  <c r="B11" i="19"/>
  <c r="B12" i="19"/>
  <c r="B13" i="19"/>
  <c r="B14" i="19"/>
  <c r="C14" i="19"/>
  <c r="H14" i="19" s="1"/>
  <c r="B15" i="19"/>
  <c r="C15" i="19"/>
  <c r="H15" i="19" s="1"/>
  <c r="B16" i="19"/>
  <c r="B17" i="19"/>
  <c r="B18" i="19"/>
  <c r="B19" i="19"/>
  <c r="C19" i="19"/>
  <c r="H19" i="19"/>
  <c r="B20" i="19"/>
  <c r="H20" i="19"/>
  <c r="B21" i="19"/>
  <c r="C21" i="19"/>
  <c r="H21" i="19"/>
  <c r="B32" i="19"/>
  <c r="C32" i="19"/>
  <c r="H32" i="19"/>
  <c r="B33" i="19"/>
  <c r="B34" i="19"/>
  <c r="B35" i="19"/>
  <c r="B36" i="19"/>
  <c r="C36" i="19"/>
  <c r="H36" i="19" s="1"/>
  <c r="B37" i="19"/>
  <c r="C37" i="19"/>
  <c r="H37" i="19"/>
  <c r="B38" i="19"/>
  <c r="B39" i="19"/>
  <c r="B40" i="19"/>
  <c r="B41" i="19"/>
  <c r="C41" i="19"/>
  <c r="H41" i="19"/>
  <c r="B42" i="19"/>
  <c r="H42" i="19"/>
  <c r="B43" i="19"/>
  <c r="C43" i="19"/>
  <c r="H43" i="19"/>
  <c r="B52" i="19"/>
  <c r="D52" i="19"/>
  <c r="H52" i="19"/>
  <c r="B53" i="19"/>
  <c r="B54" i="19"/>
  <c r="B55" i="19"/>
  <c r="B56" i="19"/>
  <c r="D56" i="19"/>
  <c r="H56" i="19"/>
  <c r="B57" i="19"/>
  <c r="D57" i="19"/>
  <c r="H57" i="19"/>
  <c r="B58" i="19"/>
  <c r="B59" i="19"/>
  <c r="B60" i="19"/>
  <c r="B61" i="19"/>
  <c r="D61" i="19"/>
  <c r="H61" i="19" s="1"/>
  <c r="B62" i="19"/>
  <c r="D62" i="19"/>
  <c r="H62" i="19"/>
  <c r="B63" i="19"/>
  <c r="D63" i="19"/>
  <c r="H63" i="19"/>
  <c r="B73" i="19"/>
  <c r="C73" i="19"/>
  <c r="D73" i="19"/>
  <c r="H73" i="19"/>
  <c r="I73" i="19"/>
  <c r="B74" i="19"/>
  <c r="D74" i="19"/>
  <c r="H74" i="19"/>
  <c r="I74" i="19"/>
  <c r="B75" i="19"/>
  <c r="C75" i="19"/>
  <c r="D75" i="19"/>
  <c r="I75" i="19" s="1"/>
  <c r="H75" i="19"/>
  <c r="B76" i="19"/>
  <c r="C76" i="19"/>
  <c r="H76" i="19" s="1"/>
  <c r="D76" i="19"/>
  <c r="I76" i="19" s="1"/>
  <c r="B77" i="19"/>
  <c r="C77" i="19"/>
  <c r="H77" i="19" s="1"/>
  <c r="D77" i="19"/>
  <c r="I77" i="19"/>
  <c r="B78" i="19"/>
  <c r="C78" i="19"/>
  <c r="D78" i="19"/>
  <c r="H78" i="19"/>
  <c r="I78" i="19"/>
  <c r="B79" i="19"/>
  <c r="C79" i="19"/>
  <c r="D79" i="19"/>
  <c r="I79" i="19" s="1"/>
  <c r="H79" i="19"/>
  <c r="B80" i="19"/>
  <c r="C80" i="19"/>
  <c r="H80" i="19" s="1"/>
  <c r="D80" i="19"/>
  <c r="I80" i="19" s="1"/>
  <c r="B81" i="19"/>
  <c r="C81" i="19"/>
  <c r="H81" i="19" s="1"/>
  <c r="D81" i="19"/>
  <c r="I81" i="19"/>
  <c r="B82" i="19"/>
  <c r="C82" i="19"/>
  <c r="D82" i="19"/>
  <c r="H82" i="19"/>
  <c r="I82" i="19"/>
  <c r="B83" i="19"/>
  <c r="D83" i="19"/>
  <c r="H83" i="19"/>
  <c r="I83" i="19"/>
  <c r="B84" i="19"/>
  <c r="C84" i="19"/>
  <c r="D84" i="19"/>
  <c r="I84" i="19" s="1"/>
  <c r="H84" i="19"/>
  <c r="B95" i="19"/>
  <c r="C95" i="19"/>
  <c r="H95" i="19" s="1"/>
  <c r="D95" i="19"/>
  <c r="I95" i="19" s="1"/>
  <c r="B96" i="19"/>
  <c r="C96" i="19"/>
  <c r="H96" i="19" s="1"/>
  <c r="D96" i="19"/>
  <c r="I96" i="19"/>
  <c r="B97" i="19"/>
  <c r="C97" i="19"/>
  <c r="D97" i="19"/>
  <c r="H97" i="19"/>
  <c r="I97" i="19"/>
  <c r="B98" i="19"/>
  <c r="C98" i="19"/>
  <c r="D98" i="19"/>
  <c r="I98" i="19" s="1"/>
  <c r="H98" i="19"/>
  <c r="B99" i="19"/>
  <c r="C99" i="19"/>
  <c r="H99" i="19" s="1"/>
  <c r="D99" i="19"/>
  <c r="I99" i="19" s="1"/>
  <c r="B100" i="19"/>
  <c r="C100" i="19"/>
  <c r="H100" i="19" s="1"/>
  <c r="D100" i="19"/>
  <c r="I100" i="19"/>
  <c r="B101" i="19"/>
  <c r="C101" i="19"/>
  <c r="D101" i="19"/>
  <c r="H101" i="19"/>
  <c r="I101" i="19"/>
  <c r="B102" i="19"/>
  <c r="C102" i="19"/>
  <c r="D102" i="19"/>
  <c r="I102" i="19" s="1"/>
  <c r="H102" i="19"/>
  <c r="B103" i="19"/>
  <c r="C103" i="19"/>
  <c r="H103" i="19" s="1"/>
  <c r="D103" i="19"/>
  <c r="I103" i="19" s="1"/>
  <c r="B104" i="19"/>
  <c r="C104" i="19"/>
  <c r="H104" i="19" s="1"/>
  <c r="D104" i="19"/>
  <c r="I104" i="19"/>
  <c r="B105" i="19"/>
  <c r="D105" i="19"/>
  <c r="H105" i="19"/>
  <c r="I105" i="19"/>
  <c r="B106" i="19"/>
  <c r="C106" i="19"/>
  <c r="D106" i="19"/>
  <c r="H106" i="19"/>
  <c r="I106" i="19"/>
  <c r="B10" i="18"/>
  <c r="C10" i="18"/>
  <c r="H10" i="18"/>
  <c r="B11" i="18"/>
  <c r="B12" i="18"/>
  <c r="B13" i="18"/>
  <c r="B14" i="18"/>
  <c r="C14" i="18"/>
  <c r="H14" i="18" s="1"/>
  <c r="B15" i="18"/>
  <c r="C15" i="18"/>
  <c r="H15" i="18"/>
  <c r="B16" i="18"/>
  <c r="B17" i="18"/>
  <c r="B18" i="18"/>
  <c r="B19" i="18"/>
  <c r="C19" i="18"/>
  <c r="H19" i="18"/>
  <c r="B20" i="18"/>
  <c r="H20" i="18"/>
  <c r="B21" i="18"/>
  <c r="C21" i="18"/>
  <c r="H21" i="18"/>
  <c r="B32" i="18"/>
  <c r="C32" i="18"/>
  <c r="H32" i="18" s="1"/>
  <c r="B33" i="18"/>
  <c r="B34" i="18"/>
  <c r="B35" i="18"/>
  <c r="B36" i="18"/>
  <c r="C36" i="18"/>
  <c r="H36" i="18"/>
  <c r="B37" i="18"/>
  <c r="C37" i="18"/>
  <c r="H37" i="18"/>
  <c r="B38" i="18"/>
  <c r="B39" i="18"/>
  <c r="B40" i="18"/>
  <c r="B41" i="18"/>
  <c r="C41" i="18"/>
  <c r="H41" i="18" s="1"/>
  <c r="B42" i="18"/>
  <c r="H42" i="18"/>
  <c r="B43" i="18"/>
  <c r="C43" i="18"/>
  <c r="H43" i="18"/>
  <c r="B52" i="18"/>
  <c r="D52" i="18"/>
  <c r="H52" i="18" s="1"/>
  <c r="B53" i="18"/>
  <c r="B54" i="18"/>
  <c r="B55" i="18"/>
  <c r="B56" i="18"/>
  <c r="D56" i="18"/>
  <c r="H56" i="18"/>
  <c r="B57" i="18"/>
  <c r="D57" i="18"/>
  <c r="H57" i="18" s="1"/>
  <c r="B58" i="18"/>
  <c r="B59" i="18"/>
  <c r="B60" i="18"/>
  <c r="B61" i="18"/>
  <c r="D61" i="18"/>
  <c r="H61" i="18"/>
  <c r="B62" i="18"/>
  <c r="D62" i="18"/>
  <c r="H62" i="18"/>
  <c r="B63" i="18"/>
  <c r="D63" i="18"/>
  <c r="H63" i="18"/>
  <c r="B73" i="18"/>
  <c r="H73" i="18"/>
  <c r="I73" i="18"/>
  <c r="B74" i="18"/>
  <c r="H74" i="18"/>
  <c r="I74" i="18"/>
  <c r="B75" i="18"/>
  <c r="I75" i="18"/>
  <c r="H75" i="18"/>
  <c r="B76" i="18"/>
  <c r="H76" i="18"/>
  <c r="I76" i="18"/>
  <c r="B77" i="18"/>
  <c r="H77" i="18"/>
  <c r="I77" i="18"/>
  <c r="B78" i="18"/>
  <c r="H78" i="18"/>
  <c r="I78" i="18"/>
  <c r="B79" i="18"/>
  <c r="I79" i="18"/>
  <c r="H79" i="18"/>
  <c r="B80" i="18"/>
  <c r="H80" i="18"/>
  <c r="I80" i="18"/>
  <c r="B81" i="18"/>
  <c r="H81" i="18"/>
  <c r="I81" i="18"/>
  <c r="B82" i="18"/>
  <c r="H82" i="18"/>
  <c r="I82" i="18"/>
  <c r="B83" i="18"/>
  <c r="H83" i="18"/>
  <c r="I83" i="18"/>
  <c r="B84" i="18"/>
  <c r="I84" i="18"/>
  <c r="H84" i="18"/>
  <c r="B95" i="18"/>
  <c r="C95" i="18"/>
  <c r="H95" i="18" s="1"/>
  <c r="D95" i="18"/>
  <c r="I95" i="18" s="1"/>
  <c r="B96" i="18"/>
  <c r="H96" i="18"/>
  <c r="I96" i="18"/>
  <c r="B97" i="18"/>
  <c r="C97" i="18"/>
  <c r="H97" i="18" s="1"/>
  <c r="D97" i="18"/>
  <c r="I97" i="18" s="1"/>
  <c r="B98" i="18"/>
  <c r="C98" i="18"/>
  <c r="H98" i="18" s="1"/>
  <c r="D98" i="18"/>
  <c r="I98" i="18"/>
  <c r="B99" i="18"/>
  <c r="C99" i="18"/>
  <c r="D99" i="18"/>
  <c r="H99" i="18"/>
  <c r="I99" i="18"/>
  <c r="B100" i="18"/>
  <c r="C100" i="18"/>
  <c r="D100" i="18"/>
  <c r="I100" i="18" s="1"/>
  <c r="H100" i="18"/>
  <c r="B101" i="18"/>
  <c r="C101" i="18"/>
  <c r="H101" i="18" s="1"/>
  <c r="D101" i="18"/>
  <c r="I101" i="18" s="1"/>
  <c r="B102" i="18"/>
  <c r="C102" i="18"/>
  <c r="H102" i="18" s="1"/>
  <c r="D102" i="18"/>
  <c r="I102" i="18"/>
  <c r="B103" i="18"/>
  <c r="C103" i="18"/>
  <c r="D103" i="18"/>
  <c r="H103" i="18"/>
  <c r="I103" i="18"/>
  <c r="B104" i="18"/>
  <c r="C104" i="18"/>
  <c r="D104" i="18"/>
  <c r="I104" i="18" s="1"/>
  <c r="H104" i="18"/>
  <c r="B105" i="18"/>
  <c r="D105" i="18"/>
  <c r="I105" i="18" s="1"/>
  <c r="H105" i="18"/>
  <c r="B106" i="18"/>
  <c r="C106" i="18"/>
  <c r="H106" i="18" s="1"/>
  <c r="D106" i="18"/>
  <c r="I106" i="18" s="1"/>
  <c r="B10" i="17"/>
  <c r="C10" i="17"/>
  <c r="H10" i="17" s="1"/>
  <c r="B11" i="17"/>
  <c r="B12" i="17"/>
  <c r="B13" i="17"/>
  <c r="B14" i="17"/>
  <c r="C14" i="17"/>
  <c r="H14" i="17"/>
  <c r="B15" i="17"/>
  <c r="C15" i="17"/>
  <c r="H15" i="17" s="1"/>
  <c r="B16" i="17"/>
  <c r="B17" i="17"/>
  <c r="B18" i="17"/>
  <c r="B19" i="17"/>
  <c r="C19" i="17"/>
  <c r="H19" i="17"/>
  <c r="B20" i="17"/>
  <c r="C20" i="17"/>
  <c r="H20" i="17"/>
  <c r="B21" i="17"/>
  <c r="C21" i="17"/>
  <c r="H21" i="17" s="1"/>
  <c r="B32" i="17"/>
  <c r="C32" i="17"/>
  <c r="H32" i="17" s="1"/>
  <c r="B33" i="17"/>
  <c r="B34" i="17"/>
  <c r="B35" i="17"/>
  <c r="B36" i="17"/>
  <c r="C36" i="17"/>
  <c r="H36" i="17"/>
  <c r="B37" i="17"/>
  <c r="C37" i="17"/>
  <c r="H37" i="17" s="1"/>
  <c r="B38" i="17"/>
  <c r="B39" i="17"/>
  <c r="B40" i="17"/>
  <c r="B41" i="17"/>
  <c r="C41" i="17"/>
  <c r="H41" i="17"/>
  <c r="B42" i="17"/>
  <c r="C42" i="17"/>
  <c r="H42" i="17"/>
  <c r="B43" i="17"/>
  <c r="C43" i="17"/>
  <c r="H43" i="17" s="1"/>
  <c r="B52" i="17"/>
  <c r="D52" i="17"/>
  <c r="H52" i="17" s="1"/>
  <c r="B53" i="17"/>
  <c r="B54" i="17"/>
  <c r="B55" i="17"/>
  <c r="B56" i="17"/>
  <c r="D56" i="17"/>
  <c r="H56" i="17"/>
  <c r="B57" i="17"/>
  <c r="D57" i="17"/>
  <c r="H57" i="17" s="1"/>
  <c r="B58" i="17"/>
  <c r="B59" i="17"/>
  <c r="B60" i="17"/>
  <c r="B61" i="17"/>
  <c r="D61" i="17"/>
  <c r="H61" i="17"/>
  <c r="B62" i="17"/>
  <c r="D62" i="17"/>
  <c r="H62" i="17"/>
  <c r="B63" i="17"/>
  <c r="H63" i="17"/>
  <c r="B73" i="17"/>
  <c r="C73" i="17"/>
  <c r="H73" i="17" s="1"/>
  <c r="D73" i="17"/>
  <c r="I73" i="17" s="1"/>
  <c r="B74" i="17"/>
  <c r="C74" i="17"/>
  <c r="H74" i="17" s="1"/>
  <c r="D74" i="17"/>
  <c r="I74" i="17"/>
  <c r="B75" i="17"/>
  <c r="C75" i="17"/>
  <c r="D75" i="17"/>
  <c r="H75" i="17"/>
  <c r="I75" i="17"/>
  <c r="B76" i="17"/>
  <c r="C76" i="17"/>
  <c r="D76" i="17"/>
  <c r="I76" i="17" s="1"/>
  <c r="H76" i="17"/>
  <c r="B77" i="17"/>
  <c r="C77" i="17"/>
  <c r="H77" i="17" s="1"/>
  <c r="D77" i="17"/>
  <c r="I77" i="17" s="1"/>
  <c r="B78" i="17"/>
  <c r="C78" i="17"/>
  <c r="H78" i="17" s="1"/>
  <c r="D78" i="17"/>
  <c r="I78" i="17"/>
  <c r="B79" i="17"/>
  <c r="C79" i="17"/>
  <c r="D79" i="17"/>
  <c r="H79" i="17"/>
  <c r="I79" i="17"/>
  <c r="B80" i="17"/>
  <c r="C80" i="17"/>
  <c r="D80" i="17"/>
  <c r="I80" i="17" s="1"/>
  <c r="H80" i="17"/>
  <c r="B81" i="17"/>
  <c r="C81" i="17"/>
  <c r="H81" i="17" s="1"/>
  <c r="D81" i="17"/>
  <c r="I81" i="17" s="1"/>
  <c r="B82" i="17"/>
  <c r="C82" i="17"/>
  <c r="H82" i="17" s="1"/>
  <c r="D82" i="17"/>
  <c r="I82" i="17"/>
  <c r="B83" i="17"/>
  <c r="C83" i="17"/>
  <c r="D83" i="17"/>
  <c r="H83" i="17"/>
  <c r="I83" i="17"/>
  <c r="B84" i="17"/>
  <c r="C84" i="17"/>
  <c r="D84" i="17"/>
  <c r="I84" i="17" s="1"/>
  <c r="H84" i="17"/>
  <c r="B95" i="17"/>
  <c r="C95" i="17"/>
  <c r="H95" i="17" s="1"/>
  <c r="D95" i="17"/>
  <c r="I95" i="17" s="1"/>
  <c r="B96" i="17"/>
  <c r="C96" i="17"/>
  <c r="H96" i="17" s="1"/>
  <c r="D96" i="17"/>
  <c r="I96" i="17"/>
  <c r="B97" i="17"/>
  <c r="C97" i="17"/>
  <c r="D97" i="17"/>
  <c r="H97" i="17"/>
  <c r="I97" i="17"/>
  <c r="B98" i="17"/>
  <c r="C98" i="17"/>
  <c r="D98" i="17"/>
  <c r="I98" i="17" s="1"/>
  <c r="H98" i="17"/>
  <c r="B99" i="17"/>
  <c r="C99" i="17"/>
  <c r="H99" i="17" s="1"/>
  <c r="D99" i="17"/>
  <c r="I99" i="17" s="1"/>
  <c r="B100" i="17"/>
  <c r="C100" i="17"/>
  <c r="H100" i="17" s="1"/>
  <c r="D100" i="17"/>
  <c r="I100" i="17"/>
  <c r="B101" i="17"/>
  <c r="C101" i="17"/>
  <c r="D101" i="17"/>
  <c r="H101" i="17"/>
  <c r="I101" i="17"/>
  <c r="B102" i="17"/>
  <c r="C102" i="17"/>
  <c r="D102" i="17"/>
  <c r="I102" i="17" s="1"/>
  <c r="H102" i="17"/>
  <c r="B103" i="17"/>
  <c r="C103" i="17"/>
  <c r="H103" i="17" s="1"/>
  <c r="D103" i="17"/>
  <c r="I103" i="17" s="1"/>
  <c r="B104" i="17"/>
  <c r="C104" i="17"/>
  <c r="H104" i="17" s="1"/>
  <c r="D104" i="17"/>
  <c r="I104" i="17"/>
  <c r="B105" i="17"/>
  <c r="D105" i="17"/>
  <c r="H105" i="17"/>
  <c r="I105" i="17"/>
  <c r="B106" i="17"/>
  <c r="C106" i="17"/>
  <c r="D106" i="17"/>
  <c r="H106" i="17"/>
  <c r="I106" i="17"/>
  <c r="B10" i="16"/>
  <c r="C10" i="16"/>
  <c r="H10" i="16" s="1"/>
  <c r="B11" i="16"/>
  <c r="B12" i="16"/>
  <c r="B13" i="16"/>
  <c r="B14" i="16"/>
  <c r="C14" i="16"/>
  <c r="H14" i="16"/>
  <c r="B15" i="16"/>
  <c r="H15" i="16"/>
  <c r="B16" i="16"/>
  <c r="B17" i="16"/>
  <c r="B18" i="16"/>
  <c r="B19" i="16"/>
  <c r="C19" i="16"/>
  <c r="H19" i="16"/>
  <c r="B20" i="16"/>
  <c r="C20" i="16"/>
  <c r="H20" i="16" s="1"/>
  <c r="B21" i="16"/>
  <c r="C21" i="16"/>
  <c r="H21" i="16"/>
  <c r="B32" i="16"/>
  <c r="C32" i="16"/>
  <c r="H32" i="16" s="1"/>
  <c r="B33" i="16"/>
  <c r="B34" i="16"/>
  <c r="B35" i="16"/>
  <c r="B36" i="16"/>
  <c r="C36" i="16"/>
  <c r="H36" i="16" s="1"/>
  <c r="B37" i="16"/>
  <c r="H37" i="16"/>
  <c r="B38" i="16"/>
  <c r="B39" i="16"/>
  <c r="B40" i="16"/>
  <c r="B41" i="16"/>
  <c r="C41" i="16"/>
  <c r="H41" i="16" s="1"/>
  <c r="B42" i="16"/>
  <c r="C42" i="16"/>
  <c r="H42" i="16"/>
  <c r="B43" i="16"/>
  <c r="C43" i="16"/>
  <c r="H43" i="16"/>
  <c r="B52" i="16"/>
  <c r="D52" i="16"/>
  <c r="H52" i="16"/>
  <c r="B53" i="16"/>
  <c r="B54" i="16"/>
  <c r="B55" i="16"/>
  <c r="B56" i="16"/>
  <c r="D56" i="16"/>
  <c r="H56" i="16"/>
  <c r="B57" i="16"/>
  <c r="D57" i="16"/>
  <c r="H57" i="16"/>
  <c r="B58" i="16"/>
  <c r="B59" i="16"/>
  <c r="B60" i="16"/>
  <c r="B61" i="16"/>
  <c r="D61" i="16"/>
  <c r="H61" i="16" s="1"/>
  <c r="B62" i="16"/>
  <c r="D62" i="16"/>
  <c r="H62" i="16"/>
  <c r="B63" i="16"/>
  <c r="D63" i="16"/>
  <c r="H63" i="16"/>
  <c r="B73" i="16"/>
  <c r="C73" i="16"/>
  <c r="D73" i="16"/>
  <c r="H73" i="16"/>
  <c r="I73" i="16"/>
  <c r="B74" i="16"/>
  <c r="C74" i="16"/>
  <c r="D74" i="16"/>
  <c r="I74" i="16" s="1"/>
  <c r="H74" i="16"/>
  <c r="B75" i="16"/>
  <c r="C75" i="16"/>
  <c r="H75" i="16" s="1"/>
  <c r="D75" i="16"/>
  <c r="I75" i="16" s="1"/>
  <c r="B76" i="16"/>
  <c r="C76" i="16"/>
  <c r="H76" i="16" s="1"/>
  <c r="D76" i="16"/>
  <c r="I76" i="16"/>
  <c r="B77" i="16"/>
  <c r="C77" i="16"/>
  <c r="D77" i="16"/>
  <c r="H77" i="16"/>
  <c r="I77" i="16"/>
  <c r="B78" i="16"/>
  <c r="C78" i="16"/>
  <c r="D78" i="16"/>
  <c r="I78" i="16" s="1"/>
  <c r="H78" i="16"/>
  <c r="B79" i="16"/>
  <c r="C79" i="16"/>
  <c r="H79" i="16" s="1"/>
  <c r="D79" i="16"/>
  <c r="I79" i="16" s="1"/>
  <c r="B80" i="16"/>
  <c r="C80" i="16"/>
  <c r="H80" i="16" s="1"/>
  <c r="D80" i="16"/>
  <c r="I80" i="16"/>
  <c r="B81" i="16"/>
  <c r="C81" i="16"/>
  <c r="D81" i="16"/>
  <c r="H81" i="16"/>
  <c r="I81" i="16"/>
  <c r="B82" i="16"/>
  <c r="C82" i="16"/>
  <c r="D82" i="16"/>
  <c r="I82" i="16" s="1"/>
  <c r="H82" i="16"/>
  <c r="B83" i="16"/>
  <c r="C83" i="16"/>
  <c r="H83" i="16"/>
  <c r="I83" i="16"/>
  <c r="B84" i="16"/>
  <c r="C84" i="16"/>
  <c r="H84" i="16"/>
  <c r="I84" i="16"/>
  <c r="B95" i="16"/>
  <c r="C95" i="16"/>
  <c r="H95" i="16" s="1"/>
  <c r="D95" i="16"/>
  <c r="I95" i="16" s="1"/>
  <c r="B96" i="16"/>
  <c r="C96" i="16"/>
  <c r="H96" i="16" s="1"/>
  <c r="D96" i="16"/>
  <c r="I96" i="16"/>
  <c r="B97" i="16"/>
  <c r="C97" i="16"/>
  <c r="D97" i="16"/>
  <c r="H97" i="16"/>
  <c r="I97" i="16"/>
  <c r="B98" i="16"/>
  <c r="C98" i="16"/>
  <c r="D98" i="16"/>
  <c r="I98" i="16" s="1"/>
  <c r="H98" i="16"/>
  <c r="B99" i="16"/>
  <c r="C99" i="16"/>
  <c r="H99" i="16" s="1"/>
  <c r="D99" i="16"/>
  <c r="I99" i="16" s="1"/>
  <c r="B100" i="16"/>
  <c r="C100" i="16"/>
  <c r="H100" i="16" s="1"/>
  <c r="D100" i="16"/>
  <c r="I100" i="16"/>
  <c r="B101" i="16"/>
  <c r="C101" i="16"/>
  <c r="D101" i="16"/>
  <c r="H101" i="16"/>
  <c r="I101" i="16"/>
  <c r="B102" i="16"/>
  <c r="C102" i="16"/>
  <c r="D102" i="16"/>
  <c r="I102" i="16" s="1"/>
  <c r="H102" i="16"/>
  <c r="B103" i="16"/>
  <c r="C103" i="16"/>
  <c r="H103" i="16" s="1"/>
  <c r="D103" i="16"/>
  <c r="I103" i="16" s="1"/>
  <c r="B104" i="16"/>
  <c r="C104" i="16"/>
  <c r="H104" i="16" s="1"/>
  <c r="D104" i="16"/>
  <c r="I104" i="16"/>
  <c r="B105" i="16"/>
  <c r="C105" i="16"/>
  <c r="D105" i="16"/>
  <c r="H105" i="16"/>
  <c r="I105" i="16"/>
  <c r="B106" i="16"/>
  <c r="C106" i="16"/>
  <c r="D106" i="16"/>
  <c r="I106" i="16" s="1"/>
  <c r="H106" i="16"/>
  <c r="B10" i="15"/>
  <c r="C10" i="15"/>
  <c r="H10" i="15"/>
  <c r="B11" i="15"/>
  <c r="B12" i="15"/>
  <c r="B13" i="15"/>
  <c r="B14" i="15"/>
  <c r="C14" i="15"/>
  <c r="H14" i="15"/>
  <c r="B15" i="15"/>
  <c r="C15" i="15"/>
  <c r="H15" i="15" s="1"/>
  <c r="B16" i="15"/>
  <c r="B17" i="15"/>
  <c r="B18" i="15"/>
  <c r="B19" i="15"/>
  <c r="C19" i="15"/>
  <c r="H19" i="15"/>
  <c r="B20" i="15"/>
  <c r="C20" i="15"/>
  <c r="H20" i="15"/>
  <c r="B21" i="15"/>
  <c r="C21" i="15"/>
  <c r="H21" i="15" s="1"/>
  <c r="B32" i="15"/>
  <c r="C32" i="15"/>
  <c r="H32" i="15"/>
  <c r="B33" i="15"/>
  <c r="B34" i="15"/>
  <c r="B35" i="15"/>
  <c r="B36" i="15"/>
  <c r="C36" i="15"/>
  <c r="H36" i="15"/>
  <c r="B37" i="15"/>
  <c r="C37" i="15"/>
  <c r="H37" i="15" s="1"/>
  <c r="B38" i="15"/>
  <c r="B39" i="15"/>
  <c r="B40" i="15"/>
  <c r="B41" i="15"/>
  <c r="C41" i="15"/>
  <c r="H41" i="15"/>
  <c r="B42" i="15"/>
  <c r="C42" i="15"/>
  <c r="H42" i="15"/>
  <c r="B43" i="15"/>
  <c r="C43" i="15"/>
  <c r="H43" i="15" s="1"/>
  <c r="B52" i="15"/>
  <c r="D52" i="15"/>
  <c r="H52" i="15"/>
  <c r="B53" i="15"/>
  <c r="B54" i="15"/>
  <c r="B55" i="15"/>
  <c r="B56" i="15"/>
  <c r="D56" i="15"/>
  <c r="H56" i="15"/>
  <c r="B57" i="15"/>
  <c r="D57" i="15"/>
  <c r="H57" i="15" s="1"/>
  <c r="B58" i="15"/>
  <c r="B59" i="15"/>
  <c r="B60" i="15"/>
  <c r="B61" i="15"/>
  <c r="D61" i="15"/>
  <c r="H61" i="15"/>
  <c r="B62" i="15"/>
  <c r="D62" i="15"/>
  <c r="H62" i="15" s="1"/>
  <c r="B63" i="15"/>
  <c r="D63" i="15"/>
  <c r="H63" i="15" s="1"/>
  <c r="B73" i="15"/>
  <c r="C73" i="15"/>
  <c r="H73" i="15" s="1"/>
  <c r="D73" i="15"/>
  <c r="I73" i="15" s="1"/>
  <c r="B74" i="15"/>
  <c r="C74" i="15"/>
  <c r="H74" i="15" s="1"/>
  <c r="D74" i="15"/>
  <c r="I74" i="15"/>
  <c r="B75" i="15"/>
  <c r="C75" i="15"/>
  <c r="D75" i="15"/>
  <c r="H75" i="15"/>
  <c r="I75" i="15"/>
  <c r="B76" i="15"/>
  <c r="C76" i="15"/>
  <c r="D76" i="15"/>
  <c r="I76" i="15" s="1"/>
  <c r="H76" i="15"/>
  <c r="B77" i="15"/>
  <c r="C77" i="15"/>
  <c r="H77" i="15" s="1"/>
  <c r="D77" i="15"/>
  <c r="I77" i="15" s="1"/>
  <c r="B78" i="15"/>
  <c r="C78" i="15"/>
  <c r="H78" i="15" s="1"/>
  <c r="D78" i="15"/>
  <c r="I78" i="15"/>
  <c r="B79" i="15"/>
  <c r="C79" i="15"/>
  <c r="D79" i="15"/>
  <c r="H79" i="15"/>
  <c r="I79" i="15"/>
  <c r="B80" i="15"/>
  <c r="C80" i="15"/>
  <c r="D80" i="15"/>
  <c r="I80" i="15" s="1"/>
  <c r="H80" i="15"/>
  <c r="B81" i="15"/>
  <c r="C81" i="15"/>
  <c r="H81" i="15" s="1"/>
  <c r="D81" i="15"/>
  <c r="I81" i="15" s="1"/>
  <c r="B82" i="15"/>
  <c r="C82" i="15"/>
  <c r="H82" i="15" s="1"/>
  <c r="D82" i="15"/>
  <c r="I82" i="15"/>
  <c r="B83" i="15"/>
  <c r="C83" i="15"/>
  <c r="D83" i="15"/>
  <c r="H83" i="15"/>
  <c r="I83" i="15"/>
  <c r="B84" i="15"/>
  <c r="C84" i="15"/>
  <c r="D84" i="15"/>
  <c r="I84" i="15" s="1"/>
  <c r="H84" i="15"/>
  <c r="B95" i="15"/>
  <c r="C95" i="15"/>
  <c r="H95" i="15" s="1"/>
  <c r="D95" i="15"/>
  <c r="I95" i="15" s="1"/>
  <c r="B96" i="15"/>
  <c r="C96" i="15"/>
  <c r="H96" i="15" s="1"/>
  <c r="D96" i="15"/>
  <c r="I96" i="15"/>
  <c r="B97" i="15"/>
  <c r="C97" i="15"/>
  <c r="D97" i="15"/>
  <c r="H97" i="15"/>
  <c r="I97" i="15"/>
  <c r="B98" i="15"/>
  <c r="C98" i="15"/>
  <c r="D98" i="15"/>
  <c r="I98" i="15" s="1"/>
  <c r="H98" i="15"/>
  <c r="B99" i="15"/>
  <c r="C99" i="15"/>
  <c r="H99" i="15" s="1"/>
  <c r="D99" i="15"/>
  <c r="I99" i="15" s="1"/>
  <c r="B100" i="15"/>
  <c r="C100" i="15"/>
  <c r="H100" i="15" s="1"/>
  <c r="D100" i="15"/>
  <c r="I100" i="15"/>
  <c r="B101" i="15"/>
  <c r="C101" i="15"/>
  <c r="D101" i="15"/>
  <c r="H101" i="15"/>
  <c r="I101" i="15"/>
  <c r="B102" i="15"/>
  <c r="C102" i="15"/>
  <c r="D102" i="15"/>
  <c r="I102" i="15" s="1"/>
  <c r="H102" i="15"/>
  <c r="B103" i="15"/>
  <c r="C103" i="15"/>
  <c r="H103" i="15" s="1"/>
  <c r="D103" i="15"/>
  <c r="I103" i="15" s="1"/>
  <c r="B104" i="15"/>
  <c r="C104" i="15"/>
  <c r="H104" i="15" s="1"/>
  <c r="D104" i="15"/>
  <c r="I104" i="15"/>
  <c r="B105" i="15"/>
  <c r="C105" i="15"/>
  <c r="D105" i="15"/>
  <c r="H105" i="15"/>
  <c r="I105" i="15"/>
  <c r="B106" i="15"/>
  <c r="C106" i="15"/>
  <c r="D106" i="15"/>
  <c r="I106" i="15" s="1"/>
  <c r="H106" i="15"/>
  <c r="B10" i="14"/>
  <c r="C10" i="14"/>
  <c r="H10" i="14"/>
  <c r="B11" i="14"/>
  <c r="B12" i="14"/>
  <c r="B13" i="14"/>
  <c r="B14" i="14"/>
  <c r="C14" i="14"/>
  <c r="H14" i="14" s="1"/>
  <c r="B15" i="14"/>
  <c r="C15" i="14"/>
  <c r="H15" i="14" s="1"/>
  <c r="B16" i="14"/>
  <c r="B17" i="14"/>
  <c r="B18" i="14"/>
  <c r="B19" i="14"/>
  <c r="C19" i="14"/>
  <c r="H19" i="14"/>
  <c r="B20" i="14"/>
  <c r="C20" i="14"/>
  <c r="H20" i="14" s="1"/>
  <c r="B21" i="14"/>
  <c r="C21" i="14"/>
  <c r="H21" i="14" s="1"/>
  <c r="B32" i="14"/>
  <c r="C32" i="14"/>
  <c r="H32" i="14"/>
  <c r="B33" i="14"/>
  <c r="B34" i="14"/>
  <c r="B35" i="14"/>
  <c r="B36" i="14"/>
  <c r="C36" i="14"/>
  <c r="H36" i="14" s="1"/>
  <c r="B37" i="14"/>
  <c r="C37" i="14"/>
  <c r="H37" i="14" s="1"/>
  <c r="B38" i="14"/>
  <c r="B39" i="14"/>
  <c r="B40" i="14"/>
  <c r="B41" i="14"/>
  <c r="C41" i="14"/>
  <c r="H41" i="14"/>
  <c r="B42" i="14"/>
  <c r="C42" i="14"/>
  <c r="H42" i="14" s="1"/>
  <c r="B43" i="14"/>
  <c r="C43" i="14"/>
  <c r="H43" i="14" s="1"/>
  <c r="B52" i="14"/>
  <c r="D52" i="14"/>
  <c r="H52" i="14"/>
  <c r="B53" i="14"/>
  <c r="B54" i="14"/>
  <c r="B55" i="14"/>
  <c r="B56" i="14"/>
  <c r="D56" i="14"/>
  <c r="H56" i="14"/>
  <c r="B57" i="14"/>
  <c r="D57" i="14"/>
  <c r="H57" i="14" s="1"/>
  <c r="B58" i="14"/>
  <c r="B59" i="14"/>
  <c r="B60" i="14"/>
  <c r="B61" i="14"/>
  <c r="D61" i="14"/>
  <c r="H61" i="14"/>
  <c r="B62" i="14"/>
  <c r="D62" i="14"/>
  <c r="H62" i="14"/>
  <c r="B63" i="14"/>
  <c r="D63" i="14"/>
  <c r="H63" i="14" s="1"/>
  <c r="B73" i="14"/>
  <c r="C73" i="14"/>
  <c r="H73" i="14" s="1"/>
  <c r="D73" i="14"/>
  <c r="I73" i="14" s="1"/>
  <c r="B74" i="14"/>
  <c r="C74" i="14"/>
  <c r="H74" i="14" s="1"/>
  <c r="D74" i="14"/>
  <c r="I74" i="14"/>
  <c r="B75" i="14"/>
  <c r="C75" i="14"/>
  <c r="D75" i="14"/>
  <c r="H75" i="14"/>
  <c r="I75" i="14"/>
  <c r="B76" i="14"/>
  <c r="C76" i="14"/>
  <c r="D76" i="14"/>
  <c r="I76" i="14" s="1"/>
  <c r="H76" i="14"/>
  <c r="B77" i="14"/>
  <c r="C77" i="14"/>
  <c r="H77" i="14" s="1"/>
  <c r="D77" i="14"/>
  <c r="I77" i="14" s="1"/>
  <c r="B78" i="14"/>
  <c r="C78" i="14"/>
  <c r="H78" i="14" s="1"/>
  <c r="D78" i="14"/>
  <c r="I78" i="14"/>
  <c r="B79" i="14"/>
  <c r="C79" i="14"/>
  <c r="D79" i="14"/>
  <c r="H79" i="14"/>
  <c r="I79" i="14"/>
  <c r="B80" i="14"/>
  <c r="C80" i="14"/>
  <c r="D80" i="14"/>
  <c r="I80" i="14" s="1"/>
  <c r="H80" i="14"/>
  <c r="B81" i="14"/>
  <c r="C81" i="14"/>
  <c r="H81" i="14" s="1"/>
  <c r="D81" i="14"/>
  <c r="I81" i="14" s="1"/>
  <c r="B82" i="14"/>
  <c r="C82" i="14"/>
  <c r="H82" i="14" s="1"/>
  <c r="D82" i="14"/>
  <c r="I82" i="14"/>
  <c r="B83" i="14"/>
  <c r="C83" i="14"/>
  <c r="D83" i="14"/>
  <c r="H83" i="14"/>
  <c r="I83" i="14"/>
  <c r="B84" i="14"/>
  <c r="C84" i="14"/>
  <c r="D84" i="14"/>
  <c r="I84" i="14" s="1"/>
  <c r="H84" i="14"/>
  <c r="B95" i="14"/>
  <c r="C95" i="14"/>
  <c r="H95" i="14" s="1"/>
  <c r="D95" i="14"/>
  <c r="I95" i="14" s="1"/>
  <c r="B96" i="14"/>
  <c r="C96" i="14"/>
  <c r="H96" i="14" s="1"/>
  <c r="D96" i="14"/>
  <c r="I96" i="14"/>
  <c r="B97" i="14"/>
  <c r="C97" i="14"/>
  <c r="D97" i="14"/>
  <c r="H97" i="14"/>
  <c r="I97" i="14"/>
  <c r="B98" i="14"/>
  <c r="C98" i="14"/>
  <c r="D98" i="14"/>
  <c r="I98" i="14" s="1"/>
  <c r="H98" i="14"/>
  <c r="B99" i="14"/>
  <c r="C99" i="14"/>
  <c r="H99" i="14" s="1"/>
  <c r="D99" i="14"/>
  <c r="I99" i="14" s="1"/>
  <c r="B100" i="14"/>
  <c r="C100" i="14"/>
  <c r="H100" i="14" s="1"/>
  <c r="D100" i="14"/>
  <c r="I100" i="14"/>
  <c r="B101" i="14"/>
  <c r="C101" i="14"/>
  <c r="D101" i="14"/>
  <c r="H101" i="14"/>
  <c r="I101" i="14"/>
  <c r="B102" i="14"/>
  <c r="C102" i="14"/>
  <c r="D102" i="14"/>
  <c r="I102" i="14" s="1"/>
  <c r="H102" i="14"/>
  <c r="B103" i="14"/>
  <c r="C103" i="14"/>
  <c r="H103" i="14" s="1"/>
  <c r="D103" i="14"/>
  <c r="I103" i="14" s="1"/>
  <c r="B104" i="14"/>
  <c r="C104" i="14"/>
  <c r="H104" i="14" s="1"/>
  <c r="I104" i="14"/>
  <c r="B105" i="14"/>
  <c r="C105" i="14"/>
  <c r="H105" i="14" s="1"/>
  <c r="D105" i="14"/>
  <c r="I105" i="14"/>
  <c r="B106" i="14"/>
  <c r="C106" i="14"/>
  <c r="D106" i="14"/>
  <c r="H106" i="14"/>
  <c r="I106" i="14"/>
  <c r="B10" i="13"/>
  <c r="C10" i="13"/>
  <c r="H10" i="13"/>
  <c r="B11" i="13"/>
  <c r="B12" i="13"/>
  <c r="B13" i="13"/>
  <c r="B14" i="13"/>
  <c r="C14" i="13"/>
  <c r="H14" i="13" s="1"/>
  <c r="B15" i="13"/>
  <c r="C15" i="13"/>
  <c r="H15" i="13" s="1"/>
  <c r="B16" i="13"/>
  <c r="B17" i="13"/>
  <c r="B18" i="13"/>
  <c r="B19" i="13"/>
  <c r="C19" i="13"/>
  <c r="H19" i="13"/>
  <c r="B20" i="13"/>
  <c r="C20" i="13"/>
  <c r="H20" i="13" s="1"/>
  <c r="B21" i="13"/>
  <c r="C21" i="13"/>
  <c r="H21" i="13" s="1"/>
  <c r="B32" i="13"/>
  <c r="C32" i="13"/>
  <c r="H32" i="13"/>
  <c r="B33" i="13"/>
  <c r="B34" i="13"/>
  <c r="B35" i="13"/>
  <c r="B36" i="13"/>
  <c r="C36" i="13"/>
  <c r="H36" i="13" s="1"/>
  <c r="B37" i="13"/>
  <c r="C37" i="13"/>
  <c r="H37" i="13" s="1"/>
  <c r="B38" i="13"/>
  <c r="B39" i="13"/>
  <c r="B40" i="13"/>
  <c r="B41" i="13"/>
  <c r="C41" i="13"/>
  <c r="H41" i="13"/>
  <c r="B42" i="13"/>
  <c r="C42" i="13"/>
  <c r="H42" i="13" s="1"/>
  <c r="B43" i="13"/>
  <c r="C43" i="13"/>
  <c r="H43" i="13" s="1"/>
  <c r="B52" i="13"/>
  <c r="D52" i="13"/>
  <c r="H52" i="13"/>
  <c r="B53" i="13"/>
  <c r="B54" i="13"/>
  <c r="B55" i="13"/>
  <c r="B56" i="13"/>
  <c r="D56" i="13"/>
  <c r="H56" i="13" s="1"/>
  <c r="B57" i="13"/>
  <c r="D57" i="13"/>
  <c r="H57" i="13" s="1"/>
  <c r="B58" i="13"/>
  <c r="B59" i="13"/>
  <c r="B60" i="13"/>
  <c r="B61" i="13"/>
  <c r="D61" i="13"/>
  <c r="H61" i="13"/>
  <c r="B62" i="13"/>
  <c r="D62" i="13"/>
  <c r="H62" i="13" s="1"/>
  <c r="B63" i="13"/>
  <c r="D63" i="13"/>
  <c r="H63" i="13" s="1"/>
  <c r="B73" i="13"/>
  <c r="C73" i="13"/>
  <c r="D73" i="13"/>
  <c r="I73" i="13" s="1"/>
  <c r="H73" i="13"/>
  <c r="B74" i="13"/>
  <c r="C74" i="13"/>
  <c r="H74" i="13" s="1"/>
  <c r="D74" i="13"/>
  <c r="I74" i="13" s="1"/>
  <c r="B75" i="13"/>
  <c r="C75" i="13"/>
  <c r="H75" i="13" s="1"/>
  <c r="D75" i="13"/>
  <c r="I75" i="13"/>
  <c r="B76" i="13"/>
  <c r="C76" i="13"/>
  <c r="D76" i="13"/>
  <c r="H76" i="13"/>
  <c r="I76" i="13"/>
  <c r="B77" i="13"/>
  <c r="C77" i="13"/>
  <c r="D77" i="13"/>
  <c r="I77" i="13" s="1"/>
  <c r="H77" i="13"/>
  <c r="B78" i="13"/>
  <c r="C78" i="13"/>
  <c r="H78" i="13" s="1"/>
  <c r="D78" i="13"/>
  <c r="I78" i="13" s="1"/>
  <c r="B79" i="13"/>
  <c r="C79" i="13"/>
  <c r="H79" i="13" s="1"/>
  <c r="D79" i="13"/>
  <c r="I79" i="13"/>
  <c r="B80" i="13"/>
  <c r="C80" i="13"/>
  <c r="D80" i="13"/>
  <c r="H80" i="13"/>
  <c r="I80" i="13"/>
  <c r="B81" i="13"/>
  <c r="C81" i="13"/>
  <c r="D81" i="13"/>
  <c r="I81" i="13" s="1"/>
  <c r="H81" i="13"/>
  <c r="B82" i="13"/>
  <c r="C82" i="13"/>
  <c r="H82" i="13" s="1"/>
  <c r="D82" i="13"/>
  <c r="I82" i="13" s="1"/>
  <c r="B83" i="13"/>
  <c r="C83" i="13"/>
  <c r="H83" i="13" s="1"/>
  <c r="D83" i="13"/>
  <c r="I83" i="13"/>
  <c r="B84" i="13"/>
  <c r="C84" i="13"/>
  <c r="D84" i="13"/>
  <c r="H84" i="13"/>
  <c r="I84" i="13"/>
  <c r="B95" i="13"/>
  <c r="C95" i="13"/>
  <c r="D95" i="13"/>
  <c r="I95" i="13" s="1"/>
  <c r="H95" i="13"/>
  <c r="B96" i="13"/>
  <c r="C96" i="13"/>
  <c r="H96" i="13" s="1"/>
  <c r="D96" i="13"/>
  <c r="I96" i="13" s="1"/>
  <c r="B97" i="13"/>
  <c r="C97" i="13"/>
  <c r="H97" i="13" s="1"/>
  <c r="D97" i="13"/>
  <c r="I97" i="13"/>
  <c r="B98" i="13"/>
  <c r="C98" i="13"/>
  <c r="D98" i="13"/>
  <c r="H98" i="13"/>
  <c r="I98" i="13"/>
  <c r="B99" i="13"/>
  <c r="C99" i="13"/>
  <c r="D99" i="13"/>
  <c r="I99" i="13" s="1"/>
  <c r="H99" i="13"/>
  <c r="B100" i="13"/>
  <c r="C100" i="13"/>
  <c r="H100" i="13" s="1"/>
  <c r="D100" i="13"/>
  <c r="I100" i="13" s="1"/>
  <c r="B101" i="13"/>
  <c r="C101" i="13"/>
  <c r="H101" i="13" s="1"/>
  <c r="D101" i="13"/>
  <c r="I101" i="13"/>
  <c r="B102" i="13"/>
  <c r="C102" i="13"/>
  <c r="D102" i="13"/>
  <c r="H102" i="13"/>
  <c r="I102" i="13"/>
  <c r="B103" i="13"/>
  <c r="C103" i="13"/>
  <c r="D103" i="13"/>
  <c r="I103" i="13" s="1"/>
  <c r="H103" i="13"/>
  <c r="B104" i="13"/>
  <c r="C104" i="13"/>
  <c r="H104" i="13" s="1"/>
  <c r="D104" i="13"/>
  <c r="I104" i="13" s="1"/>
  <c r="B105" i="13"/>
  <c r="C105" i="13"/>
  <c r="H105" i="13" s="1"/>
  <c r="D105" i="13"/>
  <c r="I105" i="13"/>
  <c r="B106" i="13"/>
  <c r="C106" i="13"/>
  <c r="D106" i="13"/>
  <c r="H106" i="13"/>
  <c r="I106" i="13"/>
  <c r="B10" i="12"/>
  <c r="C10" i="12"/>
  <c r="H10" i="12"/>
  <c r="B11" i="12"/>
  <c r="B12" i="12"/>
  <c r="B13" i="12"/>
  <c r="B14" i="12"/>
  <c r="C14" i="12"/>
  <c r="H14" i="12" s="1"/>
  <c r="B15" i="12"/>
  <c r="C15" i="12"/>
  <c r="H15" i="12" s="1"/>
  <c r="B16" i="12"/>
  <c r="B17" i="12"/>
  <c r="B18" i="12"/>
  <c r="B19" i="12"/>
  <c r="C19" i="12"/>
  <c r="H19" i="12"/>
  <c r="B20" i="12"/>
  <c r="C20" i="12"/>
  <c r="H20" i="12" s="1"/>
  <c r="B21" i="12"/>
  <c r="C21" i="12"/>
  <c r="H21" i="12" s="1"/>
  <c r="B32" i="12"/>
  <c r="C32" i="12"/>
  <c r="H32" i="12"/>
  <c r="B33" i="12"/>
  <c r="B34" i="12"/>
  <c r="B35" i="12"/>
  <c r="B36" i="12"/>
  <c r="H36" i="12"/>
  <c r="B37" i="12"/>
  <c r="C37" i="12"/>
  <c r="H37" i="12"/>
  <c r="B38" i="12"/>
  <c r="B39" i="12"/>
  <c r="B40" i="12"/>
  <c r="B41" i="12"/>
  <c r="C41" i="12"/>
  <c r="B42" i="12"/>
  <c r="C42" i="12"/>
  <c r="H42" i="12"/>
  <c r="B43" i="12"/>
  <c r="C43" i="12"/>
  <c r="H43" i="12"/>
  <c r="B52" i="12"/>
  <c r="D52" i="12"/>
  <c r="H52" i="12"/>
  <c r="B53" i="12"/>
  <c r="B54" i="12"/>
  <c r="B55" i="12"/>
  <c r="B56" i="12"/>
  <c r="D56" i="12"/>
  <c r="H56" i="12"/>
  <c r="B57" i="12"/>
  <c r="H57" i="12"/>
  <c r="B58" i="12"/>
  <c r="B59" i="12"/>
  <c r="B60" i="12"/>
  <c r="B61" i="12"/>
  <c r="D61" i="12"/>
  <c r="H61" i="12"/>
  <c r="B62" i="12"/>
  <c r="D62" i="12"/>
  <c r="H62" i="12"/>
  <c r="B63" i="12"/>
  <c r="D63" i="12"/>
  <c r="H63" i="12"/>
  <c r="B73" i="12"/>
  <c r="C73" i="12"/>
  <c r="H73" i="12" s="1"/>
  <c r="D73" i="12"/>
  <c r="I73" i="12"/>
  <c r="B74" i="12"/>
  <c r="C74" i="12"/>
  <c r="D74" i="12"/>
  <c r="H74" i="12"/>
  <c r="I74" i="12"/>
  <c r="B75" i="12"/>
  <c r="C75" i="12"/>
  <c r="D75" i="12"/>
  <c r="I75" i="12" s="1"/>
  <c r="H75" i="12"/>
  <c r="B76" i="12"/>
  <c r="C76" i="12"/>
  <c r="H76" i="12" s="1"/>
  <c r="D76" i="12"/>
  <c r="I76" i="12" s="1"/>
  <c r="B77" i="12"/>
  <c r="C77" i="12"/>
  <c r="H77" i="12" s="1"/>
  <c r="D77" i="12"/>
  <c r="I77" i="12"/>
  <c r="B78" i="12"/>
  <c r="C78" i="12"/>
  <c r="D78" i="12"/>
  <c r="H78" i="12"/>
  <c r="I78" i="12"/>
  <c r="B79" i="12"/>
  <c r="C79" i="12"/>
  <c r="D79" i="12"/>
  <c r="I79" i="12" s="1"/>
  <c r="H79" i="12"/>
  <c r="B80" i="12"/>
  <c r="C80" i="12"/>
  <c r="H80" i="12" s="1"/>
  <c r="D80" i="12"/>
  <c r="I80" i="12" s="1"/>
  <c r="B81" i="12"/>
  <c r="C81" i="12"/>
  <c r="H81" i="12" s="1"/>
  <c r="D81" i="12"/>
  <c r="I81" i="12"/>
  <c r="B82" i="12"/>
  <c r="C82" i="12"/>
  <c r="D82" i="12"/>
  <c r="H82" i="12"/>
  <c r="I82" i="12"/>
  <c r="B83" i="12"/>
  <c r="C83" i="12"/>
  <c r="D83" i="12"/>
  <c r="I83" i="12" s="1"/>
  <c r="H83" i="12"/>
  <c r="B84" i="12"/>
  <c r="C84" i="12"/>
  <c r="H84" i="12" s="1"/>
  <c r="D84" i="12"/>
  <c r="I84" i="12" s="1"/>
  <c r="B95" i="12"/>
  <c r="C95" i="12"/>
  <c r="H95" i="12" s="1"/>
  <c r="D95" i="12"/>
  <c r="I95" i="12"/>
  <c r="B96" i="12"/>
  <c r="C96" i="12"/>
  <c r="D96" i="12"/>
  <c r="H96" i="12"/>
  <c r="I96" i="12"/>
  <c r="B97" i="12"/>
  <c r="C97" i="12"/>
  <c r="D97" i="12"/>
  <c r="I97" i="12" s="1"/>
  <c r="H97" i="12"/>
  <c r="B98" i="12"/>
  <c r="C98" i="12"/>
  <c r="H98" i="12" s="1"/>
  <c r="D98" i="12"/>
  <c r="I98" i="12" s="1"/>
  <c r="B99" i="12"/>
  <c r="C99" i="12"/>
  <c r="H99" i="12" s="1"/>
  <c r="D99" i="12"/>
  <c r="I99" i="12"/>
  <c r="B100" i="12"/>
  <c r="C100" i="12"/>
  <c r="D100" i="12"/>
  <c r="H100" i="12"/>
  <c r="I100" i="12"/>
  <c r="B101" i="12"/>
  <c r="C101" i="12"/>
  <c r="D101" i="12"/>
  <c r="I101" i="12" s="1"/>
  <c r="H101" i="12"/>
  <c r="B102" i="12"/>
  <c r="C102" i="12"/>
  <c r="H102" i="12" s="1"/>
  <c r="D102" i="12"/>
  <c r="I102" i="12" s="1"/>
  <c r="B103" i="12"/>
  <c r="H103" i="12"/>
  <c r="I103" i="12"/>
  <c r="B104" i="12"/>
  <c r="C104" i="12"/>
  <c r="D104" i="12"/>
  <c r="I104" i="12" s="1"/>
  <c r="H104" i="12"/>
  <c r="B105" i="12"/>
  <c r="C105" i="12"/>
  <c r="H105" i="12" s="1"/>
  <c r="D105" i="12"/>
  <c r="I105" i="12" s="1"/>
  <c r="B106" i="12"/>
  <c r="C106" i="12"/>
  <c r="H106" i="12" s="1"/>
  <c r="D106" i="12"/>
  <c r="I106" i="12"/>
  <c r="B10" i="11"/>
  <c r="C10" i="11"/>
  <c r="H10" i="11"/>
  <c r="B11" i="11"/>
  <c r="B12" i="11"/>
  <c r="B13" i="11"/>
  <c r="B14" i="11"/>
  <c r="C14" i="11"/>
  <c r="H14" i="11"/>
  <c r="B15" i="11"/>
  <c r="C15" i="11"/>
  <c r="H15" i="11"/>
  <c r="B16" i="11"/>
  <c r="B17" i="11"/>
  <c r="B18" i="11"/>
  <c r="B19" i="11"/>
  <c r="C19" i="11"/>
  <c r="H19" i="11" s="1"/>
  <c r="B20" i="11"/>
  <c r="C20" i="11"/>
  <c r="H20" i="11"/>
  <c r="B21" i="11"/>
  <c r="C21" i="11"/>
  <c r="H21" i="11"/>
  <c r="B32" i="11"/>
  <c r="C32" i="11"/>
  <c r="H32" i="11"/>
  <c r="B33" i="11"/>
  <c r="B34" i="11"/>
  <c r="B35" i="11"/>
  <c r="B36" i="11"/>
  <c r="C36" i="11"/>
  <c r="H36" i="11"/>
  <c r="B37" i="11"/>
  <c r="C37" i="11"/>
  <c r="H37" i="11"/>
  <c r="B38" i="11"/>
  <c r="B39" i="11"/>
  <c r="B40" i="11"/>
  <c r="B41" i="11"/>
  <c r="C41" i="11"/>
  <c r="H41" i="11" s="1"/>
  <c r="B42" i="11"/>
  <c r="C42" i="11"/>
  <c r="H42" i="11"/>
  <c r="B43" i="11"/>
  <c r="C43" i="11"/>
  <c r="H43" i="11"/>
  <c r="B52" i="11"/>
  <c r="D52" i="11"/>
  <c r="H52" i="11"/>
  <c r="B53" i="11"/>
  <c r="B54" i="11"/>
  <c r="B55" i="11"/>
  <c r="B56" i="11"/>
  <c r="D56" i="11"/>
  <c r="H56" i="11"/>
  <c r="B57" i="11"/>
  <c r="D57" i="11"/>
  <c r="H57" i="11"/>
  <c r="B58" i="11"/>
  <c r="B59" i="11"/>
  <c r="B60" i="11"/>
  <c r="B61" i="11"/>
  <c r="D61" i="11"/>
  <c r="H61" i="11" s="1"/>
  <c r="B62" i="11"/>
  <c r="D62" i="11"/>
  <c r="H62" i="11"/>
  <c r="B63" i="11"/>
  <c r="D63" i="11"/>
  <c r="H63" i="11"/>
  <c r="B73" i="11"/>
  <c r="C73" i="11"/>
  <c r="D73" i="11"/>
  <c r="H73" i="11"/>
  <c r="I73" i="11"/>
  <c r="B74" i="11"/>
  <c r="C74" i="11"/>
  <c r="D74" i="11"/>
  <c r="I74" i="11" s="1"/>
  <c r="H74" i="11"/>
  <c r="B75" i="11"/>
  <c r="C75" i="11"/>
  <c r="H75" i="11" s="1"/>
  <c r="D75" i="11"/>
  <c r="I75" i="11" s="1"/>
  <c r="B76" i="11"/>
  <c r="C76" i="11"/>
  <c r="H76" i="11" s="1"/>
  <c r="D76" i="11"/>
  <c r="I76" i="11"/>
  <c r="B77" i="11"/>
  <c r="C77" i="11"/>
  <c r="D77" i="11"/>
  <c r="H77" i="11"/>
  <c r="I77" i="11"/>
  <c r="B78" i="11"/>
  <c r="C78" i="11"/>
  <c r="D78" i="11"/>
  <c r="I78" i="11" s="1"/>
  <c r="H78" i="11"/>
  <c r="B79" i="11"/>
  <c r="C79" i="11"/>
  <c r="H79" i="11" s="1"/>
  <c r="D79" i="11"/>
  <c r="I79" i="11" s="1"/>
  <c r="B80" i="11"/>
  <c r="C80" i="11"/>
  <c r="H80" i="11" s="1"/>
  <c r="D80" i="11"/>
  <c r="I80" i="11"/>
  <c r="B81" i="11"/>
  <c r="C81" i="11"/>
  <c r="D81" i="11"/>
  <c r="H81" i="11"/>
  <c r="I81" i="11"/>
  <c r="B82" i="11"/>
  <c r="C82" i="11"/>
  <c r="D82" i="11"/>
  <c r="I82" i="11" s="1"/>
  <c r="H82" i="11"/>
  <c r="B83" i="11"/>
  <c r="C83" i="11"/>
  <c r="H83" i="11" s="1"/>
  <c r="D83" i="11"/>
  <c r="I83" i="11" s="1"/>
  <c r="B84" i="11"/>
  <c r="C84" i="11"/>
  <c r="H84" i="11" s="1"/>
  <c r="D84" i="11"/>
  <c r="I84" i="11"/>
  <c r="B95" i="11"/>
  <c r="C95" i="11"/>
  <c r="D95" i="11"/>
  <c r="H95" i="11"/>
  <c r="I95" i="11"/>
  <c r="B96" i="11"/>
  <c r="C96" i="11"/>
  <c r="D96" i="11"/>
  <c r="I96" i="11" s="1"/>
  <c r="H96" i="11"/>
  <c r="B97" i="11"/>
  <c r="C97" i="11"/>
  <c r="H97" i="11" s="1"/>
  <c r="D97" i="11"/>
  <c r="I97" i="11" s="1"/>
  <c r="B98" i="11"/>
  <c r="C98" i="11"/>
  <c r="H98" i="11" s="1"/>
  <c r="D98" i="11"/>
  <c r="I98" i="11"/>
  <c r="B99" i="11"/>
  <c r="C99" i="11"/>
  <c r="D99" i="11"/>
  <c r="H99" i="11"/>
  <c r="I99" i="11"/>
  <c r="B100" i="11"/>
  <c r="C100" i="11"/>
  <c r="D100" i="11"/>
  <c r="I100" i="11" s="1"/>
  <c r="H100" i="11"/>
  <c r="B101" i="11"/>
  <c r="C101" i="11"/>
  <c r="H101" i="11" s="1"/>
  <c r="D101" i="11"/>
  <c r="I101" i="11" s="1"/>
  <c r="B102" i="11"/>
  <c r="C102" i="11"/>
  <c r="H102" i="11" s="1"/>
  <c r="D102" i="11"/>
  <c r="I102" i="11"/>
  <c r="B103" i="11"/>
  <c r="C103" i="11"/>
  <c r="D103" i="11"/>
  <c r="H103" i="11"/>
  <c r="I103" i="11"/>
  <c r="B104" i="11"/>
  <c r="C104" i="11"/>
  <c r="D104" i="11"/>
  <c r="I104" i="11" s="1"/>
  <c r="H104" i="11"/>
  <c r="B105" i="11"/>
  <c r="C105" i="11"/>
  <c r="H105" i="11" s="1"/>
  <c r="D105" i="11"/>
  <c r="I105" i="11" s="1"/>
  <c r="B106" i="11"/>
  <c r="C106" i="11"/>
  <c r="H106" i="11" s="1"/>
  <c r="D106" i="11"/>
  <c r="I106" i="11"/>
  <c r="B10" i="10"/>
  <c r="C10" i="10"/>
  <c r="H10" i="10"/>
  <c r="B11" i="10"/>
  <c r="B12" i="10"/>
  <c r="B13" i="10"/>
  <c r="B14" i="10"/>
  <c r="C14" i="10"/>
  <c r="H14" i="10"/>
  <c r="B15" i="10"/>
  <c r="C15" i="10"/>
  <c r="H15" i="10" s="1"/>
  <c r="B16" i="10"/>
  <c r="B17" i="10"/>
  <c r="B18" i="10"/>
  <c r="B19" i="10"/>
  <c r="C19" i="10"/>
  <c r="H19" i="10" s="1"/>
  <c r="B20" i="10"/>
  <c r="C20" i="10"/>
  <c r="H20" i="10"/>
  <c r="B21" i="10"/>
  <c r="C21" i="10"/>
  <c r="H21" i="10" s="1"/>
  <c r="B32" i="10"/>
  <c r="C32" i="10"/>
  <c r="H32" i="10"/>
  <c r="B33" i="10"/>
  <c r="B34" i="10"/>
  <c r="B35" i="10"/>
  <c r="B36" i="10"/>
  <c r="C36" i="10"/>
  <c r="H36" i="10"/>
  <c r="B37" i="10"/>
  <c r="C37" i="10"/>
  <c r="H37" i="10" s="1"/>
  <c r="B38" i="10"/>
  <c r="B39" i="10"/>
  <c r="B40" i="10"/>
  <c r="B41" i="10"/>
  <c r="C41" i="10"/>
  <c r="H41" i="10"/>
  <c r="B42" i="10"/>
  <c r="C42" i="10"/>
  <c r="H42" i="10"/>
  <c r="B43" i="10"/>
  <c r="C43" i="10"/>
  <c r="H43" i="10" s="1"/>
  <c r="B52" i="10"/>
  <c r="D52" i="10"/>
  <c r="I52" i="10"/>
  <c r="B53" i="10"/>
  <c r="B54" i="10"/>
  <c r="B55" i="10"/>
  <c r="B56" i="10"/>
  <c r="D56" i="10"/>
  <c r="I56" i="10"/>
  <c r="B57" i="10"/>
  <c r="D57" i="10"/>
  <c r="I57" i="10" s="1"/>
  <c r="B58" i="10"/>
  <c r="B59" i="10"/>
  <c r="B60" i="10"/>
  <c r="B61" i="10"/>
  <c r="D61" i="10"/>
  <c r="I61" i="10"/>
  <c r="B62" i="10"/>
  <c r="D62" i="10"/>
  <c r="I62" i="10"/>
  <c r="B63" i="10"/>
  <c r="D63" i="10"/>
  <c r="I63" i="10" s="1"/>
  <c r="B73" i="10"/>
  <c r="C73" i="10"/>
  <c r="H73" i="10" s="1"/>
  <c r="D73" i="10"/>
  <c r="I73" i="10" s="1"/>
  <c r="B74" i="10"/>
  <c r="C74" i="10"/>
  <c r="H74" i="10" s="1"/>
  <c r="D74" i="10"/>
  <c r="I74" i="10"/>
  <c r="B75" i="10"/>
  <c r="C75" i="10"/>
  <c r="D75" i="10"/>
  <c r="H75" i="10"/>
  <c r="I75" i="10"/>
  <c r="B76" i="10"/>
  <c r="C76" i="10"/>
  <c r="D76" i="10"/>
  <c r="I76" i="10" s="1"/>
  <c r="H76" i="10"/>
  <c r="B77" i="10"/>
  <c r="C77" i="10"/>
  <c r="H77" i="10" s="1"/>
  <c r="D77" i="10"/>
  <c r="I77" i="10" s="1"/>
  <c r="B78" i="10"/>
  <c r="C78" i="10"/>
  <c r="H78" i="10" s="1"/>
  <c r="I78" i="10"/>
  <c r="B79" i="10"/>
  <c r="C79" i="10"/>
  <c r="H79" i="10" s="1"/>
  <c r="I79" i="10"/>
  <c r="B80" i="10"/>
  <c r="C80" i="10"/>
  <c r="H80" i="10" s="1"/>
  <c r="I80" i="10"/>
  <c r="B81" i="10"/>
  <c r="C81" i="10"/>
  <c r="H81" i="10" s="1"/>
  <c r="I81" i="10"/>
  <c r="B82" i="10"/>
  <c r="C82" i="10"/>
  <c r="H82" i="10" s="1"/>
  <c r="I82" i="10"/>
  <c r="B83" i="10"/>
  <c r="C83" i="10"/>
  <c r="H83" i="10" s="1"/>
  <c r="I83" i="10"/>
  <c r="B84" i="10"/>
  <c r="C84" i="10"/>
  <c r="H84" i="10" s="1"/>
  <c r="I84" i="10"/>
  <c r="B95" i="10"/>
  <c r="C95" i="10"/>
  <c r="H95" i="10" s="1"/>
  <c r="D95" i="10"/>
  <c r="I95" i="10"/>
  <c r="B96" i="10"/>
  <c r="C96" i="10"/>
  <c r="D96" i="10"/>
  <c r="H96" i="10"/>
  <c r="I96" i="10"/>
  <c r="B97" i="10"/>
  <c r="C97" i="10"/>
  <c r="D97" i="10"/>
  <c r="I97" i="10" s="1"/>
  <c r="H97" i="10"/>
  <c r="B98" i="10"/>
  <c r="C98" i="10"/>
  <c r="H98" i="10" s="1"/>
  <c r="D98" i="10"/>
  <c r="I98" i="10" s="1"/>
  <c r="B99" i="10"/>
  <c r="C99" i="10"/>
  <c r="H99" i="10" s="1"/>
  <c r="D99" i="10"/>
  <c r="I99" i="10"/>
  <c r="B100" i="10"/>
  <c r="C100" i="10"/>
  <c r="D100" i="10"/>
  <c r="H100" i="10"/>
  <c r="I100" i="10"/>
  <c r="B101" i="10"/>
  <c r="D101" i="10"/>
  <c r="H101" i="10"/>
  <c r="I101" i="10"/>
  <c r="B102" i="10"/>
  <c r="C102" i="10"/>
  <c r="D102" i="10"/>
  <c r="I102" i="10" s="1"/>
  <c r="H102" i="10"/>
  <c r="B103" i="10"/>
  <c r="C103" i="10"/>
  <c r="H103" i="10" s="1"/>
  <c r="D103" i="10"/>
  <c r="I103" i="10" s="1"/>
  <c r="B104" i="10"/>
  <c r="C104" i="10"/>
  <c r="H104" i="10" s="1"/>
  <c r="D104" i="10"/>
  <c r="I104" i="10"/>
  <c r="B105" i="10"/>
  <c r="D105" i="10"/>
  <c r="H105" i="10"/>
  <c r="I105" i="10"/>
  <c r="B106" i="10"/>
  <c r="C106" i="10"/>
  <c r="D106" i="10"/>
  <c r="H106" i="10"/>
  <c r="I106" i="10"/>
  <c r="B10" i="9"/>
  <c r="C10" i="9"/>
  <c r="H10" i="9"/>
  <c r="B11" i="9"/>
  <c r="B12" i="9"/>
  <c r="B13" i="9"/>
  <c r="B14" i="9"/>
  <c r="H14" i="9"/>
  <c r="B15" i="9"/>
  <c r="C15" i="9"/>
  <c r="H15" i="9"/>
  <c r="B16" i="9"/>
  <c r="B17" i="9"/>
  <c r="B18" i="9"/>
  <c r="B19" i="9"/>
  <c r="C19" i="9"/>
  <c r="H19" i="9" s="1"/>
  <c r="B20" i="9"/>
  <c r="C20" i="9"/>
  <c r="H20" i="9"/>
  <c r="B21" i="9"/>
  <c r="C21" i="9"/>
  <c r="H21" i="9"/>
  <c r="B32" i="9"/>
  <c r="C32" i="9"/>
  <c r="H32" i="9"/>
  <c r="B33" i="9"/>
  <c r="B34" i="9"/>
  <c r="B35" i="9"/>
  <c r="B36" i="9"/>
  <c r="C36" i="9"/>
  <c r="H36" i="9"/>
  <c r="B37" i="9"/>
  <c r="C37" i="9"/>
  <c r="H37" i="9"/>
  <c r="B38" i="9"/>
  <c r="B39" i="9"/>
  <c r="B40" i="9"/>
  <c r="B41" i="9"/>
  <c r="C41" i="9"/>
  <c r="H41" i="9" s="1"/>
  <c r="B42" i="9"/>
  <c r="C42" i="9"/>
  <c r="H42" i="9"/>
  <c r="B43" i="9"/>
  <c r="C43" i="9"/>
  <c r="H43" i="9"/>
  <c r="B52" i="9"/>
  <c r="D52" i="9"/>
  <c r="H52" i="9"/>
  <c r="B53" i="9"/>
  <c r="B54" i="9"/>
  <c r="B55" i="9"/>
  <c r="B56" i="9"/>
  <c r="D56" i="9"/>
  <c r="H56" i="9"/>
  <c r="B57" i="9"/>
  <c r="D57" i="9"/>
  <c r="H57" i="9"/>
  <c r="B58" i="9"/>
  <c r="B59" i="9"/>
  <c r="B60" i="9"/>
  <c r="B61" i="9"/>
  <c r="D61" i="9"/>
  <c r="H61" i="9" s="1"/>
  <c r="B62" i="9"/>
  <c r="D62" i="9"/>
  <c r="H62" i="9"/>
  <c r="B63" i="9"/>
  <c r="D63" i="9"/>
  <c r="H63" i="9"/>
  <c r="B73" i="9"/>
  <c r="C73" i="9"/>
  <c r="D73" i="9"/>
  <c r="H73" i="9"/>
  <c r="I73" i="9"/>
  <c r="B74" i="9"/>
  <c r="C74" i="9"/>
  <c r="D74" i="9"/>
  <c r="I74" i="9" s="1"/>
  <c r="H74" i="9"/>
  <c r="B75" i="9"/>
  <c r="C75" i="9"/>
  <c r="H75" i="9" s="1"/>
  <c r="D75" i="9"/>
  <c r="I75" i="9" s="1"/>
  <c r="B76" i="9"/>
  <c r="C76" i="9"/>
  <c r="H76" i="9" s="1"/>
  <c r="D76" i="9"/>
  <c r="I76" i="9"/>
  <c r="B77" i="9"/>
  <c r="C77" i="9"/>
  <c r="D77" i="9"/>
  <c r="H77" i="9"/>
  <c r="I77" i="9"/>
  <c r="B78" i="9"/>
  <c r="C78" i="9"/>
  <c r="D78" i="9"/>
  <c r="I78" i="9" s="1"/>
  <c r="H78" i="9"/>
  <c r="B79" i="9"/>
  <c r="C79" i="9"/>
  <c r="H79" i="9" s="1"/>
  <c r="D79" i="9"/>
  <c r="I79" i="9" s="1"/>
  <c r="B80" i="9"/>
  <c r="C80" i="9"/>
  <c r="H80" i="9" s="1"/>
  <c r="D80" i="9"/>
  <c r="I80" i="9"/>
  <c r="B81" i="9"/>
  <c r="C81" i="9"/>
  <c r="D81" i="9"/>
  <c r="H81" i="9"/>
  <c r="I81" i="9"/>
  <c r="B82" i="9"/>
  <c r="C82" i="9"/>
  <c r="D82" i="9"/>
  <c r="I82" i="9" s="1"/>
  <c r="H82" i="9"/>
  <c r="B83" i="9"/>
  <c r="C83" i="9"/>
  <c r="H83" i="9" s="1"/>
  <c r="D83" i="9"/>
  <c r="I83" i="9" s="1"/>
  <c r="B84" i="9"/>
  <c r="C84" i="9"/>
  <c r="H84" i="9" s="1"/>
  <c r="D84" i="9"/>
  <c r="I84" i="9"/>
  <c r="B95" i="9"/>
  <c r="C95" i="9"/>
  <c r="D95" i="9"/>
  <c r="H95" i="9"/>
  <c r="I95" i="9"/>
  <c r="B96" i="9"/>
  <c r="C96" i="9"/>
  <c r="D96" i="9"/>
  <c r="I96" i="9" s="1"/>
  <c r="H96" i="9"/>
  <c r="B97" i="9"/>
  <c r="C97" i="9"/>
  <c r="H97" i="9" s="1"/>
  <c r="D97" i="9"/>
  <c r="I97" i="9" s="1"/>
  <c r="B98" i="9"/>
  <c r="C98" i="9"/>
  <c r="H98" i="9" s="1"/>
  <c r="D98" i="9"/>
  <c r="I98" i="9"/>
  <c r="B99" i="9"/>
  <c r="C99" i="9"/>
  <c r="D99" i="9"/>
  <c r="H99" i="9"/>
  <c r="I99" i="9"/>
  <c r="B100" i="9"/>
  <c r="C100" i="9"/>
  <c r="D100" i="9"/>
  <c r="I100" i="9" s="1"/>
  <c r="H100" i="9"/>
  <c r="B101" i="9"/>
  <c r="D101" i="9"/>
  <c r="I101" i="9" s="1"/>
  <c r="H101" i="9"/>
  <c r="B102" i="9"/>
  <c r="C102" i="9"/>
  <c r="H102" i="9" s="1"/>
  <c r="D102" i="9"/>
  <c r="I102" i="9" s="1"/>
  <c r="B103" i="9"/>
  <c r="C103" i="9"/>
  <c r="H103" i="9" s="1"/>
  <c r="D103" i="9"/>
  <c r="I103" i="9"/>
  <c r="B104" i="9"/>
  <c r="C104" i="9"/>
  <c r="D104" i="9"/>
  <c r="H104" i="9"/>
  <c r="I104" i="9"/>
  <c r="B105" i="9"/>
  <c r="C105" i="9"/>
  <c r="D105" i="9"/>
  <c r="I105" i="9" s="1"/>
  <c r="H105" i="9"/>
  <c r="B106" i="9"/>
  <c r="C106" i="9"/>
  <c r="H106" i="9" s="1"/>
  <c r="D106" i="9"/>
  <c r="I106" i="9" s="1"/>
  <c r="C10" i="8"/>
  <c r="H10" i="8" s="1"/>
  <c r="B11" i="8"/>
  <c r="B12" i="8"/>
  <c r="B13" i="8"/>
  <c r="B14" i="8"/>
  <c r="C14" i="8"/>
  <c r="H14" i="8"/>
  <c r="B15" i="8"/>
  <c r="C15" i="8"/>
  <c r="H15" i="8"/>
  <c r="B16" i="8"/>
  <c r="B17" i="8"/>
  <c r="B18" i="8"/>
  <c r="B19" i="8"/>
  <c r="C19" i="8"/>
  <c r="H19" i="8"/>
  <c r="B20" i="8"/>
  <c r="C20" i="8"/>
  <c r="H20" i="8"/>
  <c r="B21" i="8"/>
  <c r="C21" i="8"/>
  <c r="H21" i="8"/>
  <c r="B32" i="8"/>
  <c r="C32" i="8"/>
  <c r="H32" i="8" s="1"/>
  <c r="B33" i="8"/>
  <c r="B34" i="8"/>
  <c r="B35" i="8"/>
  <c r="B36" i="8"/>
  <c r="C36" i="8"/>
  <c r="H36" i="8"/>
  <c r="B37" i="8"/>
  <c r="C37" i="8"/>
  <c r="H37" i="8"/>
  <c r="B38" i="8"/>
  <c r="B39" i="8"/>
  <c r="B40" i="8"/>
  <c r="B41" i="8"/>
  <c r="C41" i="8"/>
  <c r="H41" i="8"/>
  <c r="B42" i="8"/>
  <c r="C42" i="8"/>
  <c r="H42" i="8"/>
  <c r="B43" i="8"/>
  <c r="C43" i="8"/>
  <c r="H43" i="8"/>
  <c r="B52" i="8"/>
  <c r="D52" i="8"/>
  <c r="I52" i="8" s="1"/>
  <c r="B53" i="8"/>
  <c r="B54" i="8"/>
  <c r="B55" i="8"/>
  <c r="B56" i="8"/>
  <c r="D56" i="8"/>
  <c r="I56" i="8"/>
  <c r="B57" i="8"/>
  <c r="D57" i="8"/>
  <c r="I57" i="8"/>
  <c r="B58" i="8"/>
  <c r="B59" i="8"/>
  <c r="B60" i="8"/>
  <c r="B61" i="8"/>
  <c r="D61" i="8"/>
  <c r="I61" i="8"/>
  <c r="B62" i="8"/>
  <c r="D62" i="8"/>
  <c r="I62" i="8"/>
  <c r="B63" i="8"/>
  <c r="D63" i="8"/>
  <c r="I63" i="8"/>
  <c r="B73" i="8"/>
  <c r="C73" i="8"/>
  <c r="H73" i="8" s="1"/>
  <c r="D73" i="8"/>
  <c r="I73" i="8"/>
  <c r="B74" i="8"/>
  <c r="C74" i="8"/>
  <c r="D74" i="8"/>
  <c r="H74" i="8"/>
  <c r="I74" i="8"/>
  <c r="B75" i="8"/>
  <c r="C75" i="8"/>
  <c r="D75" i="8"/>
  <c r="I75" i="8" s="1"/>
  <c r="H75" i="8"/>
  <c r="B76" i="8"/>
  <c r="C76" i="8"/>
  <c r="H76" i="8" s="1"/>
  <c r="D76" i="8"/>
  <c r="I76" i="8" s="1"/>
  <c r="B77" i="8"/>
  <c r="C77" i="8"/>
  <c r="H77" i="8" s="1"/>
  <c r="D77" i="8"/>
  <c r="I77" i="8"/>
  <c r="B78" i="8"/>
  <c r="C78" i="8"/>
  <c r="D78" i="8"/>
  <c r="H78" i="8"/>
  <c r="I78" i="8"/>
  <c r="B79" i="8"/>
  <c r="C79" i="8"/>
  <c r="D79" i="8"/>
  <c r="I79" i="8" s="1"/>
  <c r="H79" i="8"/>
  <c r="B80" i="8"/>
  <c r="C80" i="8"/>
  <c r="H80" i="8" s="1"/>
  <c r="D80" i="8"/>
  <c r="I80" i="8" s="1"/>
  <c r="B81" i="8"/>
  <c r="C81" i="8"/>
  <c r="H81" i="8" s="1"/>
  <c r="D81" i="8"/>
  <c r="I81" i="8"/>
  <c r="B82" i="8"/>
  <c r="C82" i="8"/>
  <c r="D82" i="8"/>
  <c r="H82" i="8"/>
  <c r="I82" i="8"/>
  <c r="B83" i="8"/>
  <c r="C83" i="8"/>
  <c r="D83" i="8"/>
  <c r="I83" i="8" s="1"/>
  <c r="H83" i="8"/>
  <c r="B84" i="8"/>
  <c r="C84" i="8"/>
  <c r="H84" i="8" s="1"/>
  <c r="D84" i="8"/>
  <c r="I84" i="8" s="1"/>
  <c r="B95" i="8"/>
  <c r="C95" i="8"/>
  <c r="H95" i="8" s="1"/>
  <c r="D95" i="8"/>
  <c r="I95" i="8"/>
  <c r="B96" i="8"/>
  <c r="C96" i="8"/>
  <c r="D96" i="8"/>
  <c r="H96" i="8"/>
  <c r="I96" i="8"/>
  <c r="B97" i="8"/>
  <c r="C97" i="8"/>
  <c r="D97" i="8"/>
  <c r="I97" i="8" s="1"/>
  <c r="H97" i="8"/>
  <c r="B98" i="8"/>
  <c r="C98" i="8"/>
  <c r="H98" i="8" s="1"/>
  <c r="D98" i="8"/>
  <c r="I98" i="8" s="1"/>
  <c r="B99" i="8"/>
  <c r="C99" i="8"/>
  <c r="H99" i="8" s="1"/>
  <c r="D99" i="8"/>
  <c r="I99" i="8"/>
  <c r="B100" i="8"/>
  <c r="C100" i="8"/>
  <c r="D100" i="8"/>
  <c r="H100" i="8"/>
  <c r="I100" i="8"/>
  <c r="B101" i="8"/>
  <c r="D101" i="8"/>
  <c r="H101" i="8"/>
  <c r="I101" i="8"/>
  <c r="B102" i="8"/>
  <c r="C102" i="8"/>
  <c r="D102" i="8"/>
  <c r="I102" i="8" s="1"/>
  <c r="H102" i="8"/>
  <c r="B103" i="8"/>
  <c r="C103" i="8"/>
  <c r="H103" i="8" s="1"/>
  <c r="D103" i="8"/>
  <c r="I103" i="8" s="1"/>
  <c r="B104" i="8"/>
  <c r="C104" i="8"/>
  <c r="H104" i="8" s="1"/>
  <c r="D104" i="8"/>
  <c r="I104" i="8"/>
  <c r="B105" i="8"/>
  <c r="C105" i="8"/>
  <c r="D105" i="8"/>
  <c r="H105" i="8"/>
  <c r="I105" i="8"/>
  <c r="B106" i="8"/>
  <c r="C106" i="8"/>
  <c r="D106" i="8"/>
  <c r="I106" i="8" s="1"/>
  <c r="H106" i="8"/>
  <c r="N26" i="22" l="1"/>
  <c r="C118" i="1"/>
  <c r="C117" i="3"/>
  <c r="C118" i="4"/>
  <c r="C117" i="5"/>
  <c r="C119" i="6"/>
  <c r="H119" i="6" s="1"/>
  <c r="C118" i="7"/>
  <c r="D118" i="1"/>
  <c r="D125" i="1"/>
  <c r="D124" i="3"/>
  <c r="I124" i="3" s="1"/>
  <c r="C124" i="3"/>
  <c r="C125" i="4"/>
  <c r="H125" i="4" s="1"/>
  <c r="D125" i="4"/>
  <c r="D124" i="5"/>
  <c r="D126" i="6"/>
  <c r="D125" i="7"/>
  <c r="I125" i="7"/>
  <c r="C125" i="7"/>
  <c r="H125" i="7" s="1"/>
  <c r="C126" i="6"/>
  <c r="D126" i="7"/>
  <c r="C126" i="7"/>
  <c r="D124" i="7"/>
  <c r="I124" i="7" s="1"/>
  <c r="C124" i="7"/>
  <c r="D123" i="7"/>
  <c r="I123" i="7" s="1"/>
  <c r="C123" i="7"/>
  <c r="D122" i="7"/>
  <c r="C122" i="7"/>
  <c r="D121" i="7"/>
  <c r="C121" i="7"/>
  <c r="D120" i="7"/>
  <c r="C120" i="7"/>
  <c r="H120" i="7" s="1"/>
  <c r="D119" i="7"/>
  <c r="I119" i="7" s="1"/>
  <c r="C119" i="7"/>
  <c r="H119" i="7" s="1"/>
  <c r="D118" i="7"/>
  <c r="D117" i="7"/>
  <c r="C117" i="7"/>
  <c r="D116" i="7"/>
  <c r="I116" i="7" s="1"/>
  <c r="C116" i="7"/>
  <c r="H116" i="7" s="1"/>
  <c r="D115" i="7"/>
  <c r="I115" i="7" s="1"/>
  <c r="C115" i="7"/>
  <c r="I126" i="7"/>
  <c r="H126" i="7"/>
  <c r="B126" i="7"/>
  <c r="B125" i="7"/>
  <c r="H124" i="7"/>
  <c r="B124" i="7"/>
  <c r="H123" i="7"/>
  <c r="B123" i="7"/>
  <c r="I122" i="7"/>
  <c r="H122" i="7"/>
  <c r="B122" i="7"/>
  <c r="H121" i="7"/>
  <c r="I121" i="7"/>
  <c r="B121" i="7"/>
  <c r="I120" i="7"/>
  <c r="B120" i="7"/>
  <c r="B119" i="7"/>
  <c r="I118" i="7"/>
  <c r="H118" i="7"/>
  <c r="B118" i="7"/>
  <c r="I117" i="7"/>
  <c r="H117" i="7"/>
  <c r="B117" i="7"/>
  <c r="B116" i="7"/>
  <c r="H115" i="7"/>
  <c r="B115" i="7"/>
  <c r="D127" i="6"/>
  <c r="C127" i="6"/>
  <c r="H126" i="6"/>
  <c r="D125" i="6"/>
  <c r="I125" i="6" s="1"/>
  <c r="C125" i="6"/>
  <c r="D124" i="6"/>
  <c r="I124" i="6" s="1"/>
  <c r="C124" i="6"/>
  <c r="H124" i="6" s="1"/>
  <c r="D123" i="6"/>
  <c r="C123" i="6"/>
  <c r="D122" i="6"/>
  <c r="C122" i="6"/>
  <c r="D121" i="6"/>
  <c r="I121" i="6" s="1"/>
  <c r="C121" i="6"/>
  <c r="D120" i="6"/>
  <c r="I120" i="6" s="1"/>
  <c r="C120" i="6"/>
  <c r="H120" i="6" s="1"/>
  <c r="D119" i="6"/>
  <c r="D118" i="6"/>
  <c r="I118" i="6" s="1"/>
  <c r="C118" i="6"/>
  <c r="D117" i="6"/>
  <c r="I117" i="6" s="1"/>
  <c r="C117" i="6"/>
  <c r="D116" i="6"/>
  <c r="I116" i="6" s="1"/>
  <c r="C116" i="6"/>
  <c r="H116" i="6" s="1"/>
  <c r="I127" i="6"/>
  <c r="H127" i="6"/>
  <c r="B127" i="6"/>
  <c r="I126" i="6"/>
  <c r="B126" i="6"/>
  <c r="H125" i="6"/>
  <c r="B125" i="6"/>
  <c r="B124" i="6"/>
  <c r="I123" i="6"/>
  <c r="H123" i="6"/>
  <c r="B123" i="6"/>
  <c r="I122" i="6"/>
  <c r="H122" i="6"/>
  <c r="B122" i="6"/>
  <c r="H121" i="6"/>
  <c r="B121" i="6"/>
  <c r="B120" i="6"/>
  <c r="I119" i="6"/>
  <c r="B119" i="6"/>
  <c r="H118" i="6"/>
  <c r="B118" i="6"/>
  <c r="H117" i="6"/>
  <c r="B117" i="6"/>
  <c r="B116" i="6"/>
  <c r="D125" i="5"/>
  <c r="I125" i="5" s="1"/>
  <c r="C125" i="5"/>
  <c r="H125" i="5" s="1"/>
  <c r="D123" i="5"/>
  <c r="I123" i="5" s="1"/>
  <c r="C123" i="5"/>
  <c r="D122" i="5"/>
  <c r="I122" i="5" s="1"/>
  <c r="C122" i="5"/>
  <c r="H122" i="5" s="1"/>
  <c r="D121" i="5"/>
  <c r="C121" i="5"/>
  <c r="D120" i="5"/>
  <c r="C120" i="5"/>
  <c r="D119" i="5"/>
  <c r="C119" i="5"/>
  <c r="D118" i="5"/>
  <c r="I118" i="5" s="1"/>
  <c r="C118" i="5"/>
  <c r="D117" i="5"/>
  <c r="D116" i="5"/>
  <c r="I116" i="5" s="1"/>
  <c r="C116" i="5"/>
  <c r="D115" i="5"/>
  <c r="I115" i="5" s="1"/>
  <c r="C115" i="5"/>
  <c r="H115" i="5" s="1"/>
  <c r="C114" i="5"/>
  <c r="H114" i="5" s="1"/>
  <c r="B125" i="5"/>
  <c r="I124" i="5"/>
  <c r="H124" i="5"/>
  <c r="B124" i="5"/>
  <c r="H123" i="5"/>
  <c r="B123" i="5"/>
  <c r="B122" i="5"/>
  <c r="I121" i="5"/>
  <c r="H121" i="5"/>
  <c r="B121" i="5"/>
  <c r="I120" i="5"/>
  <c r="H120" i="5"/>
  <c r="B120" i="5"/>
  <c r="H119" i="5"/>
  <c r="I119" i="5"/>
  <c r="B119" i="5"/>
  <c r="H118" i="5"/>
  <c r="B118" i="5"/>
  <c r="I117" i="5"/>
  <c r="H117" i="5"/>
  <c r="B117" i="5"/>
  <c r="H116" i="5"/>
  <c r="B116" i="5"/>
  <c r="B115" i="5"/>
  <c r="I114" i="5"/>
  <c r="B114" i="5"/>
  <c r="D126" i="4"/>
  <c r="C126" i="4"/>
  <c r="I125" i="4"/>
  <c r="C124" i="4"/>
  <c r="H124" i="4" s="1"/>
  <c r="D123" i="4"/>
  <c r="C123" i="4"/>
  <c r="D122" i="4"/>
  <c r="C122" i="4"/>
  <c r="D121" i="4"/>
  <c r="I121" i="4" s="1"/>
  <c r="C121" i="4"/>
  <c r="H121" i="4" s="1"/>
  <c r="D120" i="4"/>
  <c r="C120" i="4"/>
  <c r="D119" i="4"/>
  <c r="C119" i="4"/>
  <c r="D118" i="4"/>
  <c r="H118" i="4"/>
  <c r="D117" i="4"/>
  <c r="C117" i="4"/>
  <c r="D116" i="4"/>
  <c r="C116" i="4"/>
  <c r="D115" i="4"/>
  <c r="I115" i="4" s="1"/>
  <c r="C115" i="4"/>
  <c r="H115" i="4" s="1"/>
  <c r="I126" i="4"/>
  <c r="H126" i="4"/>
  <c r="B126" i="4"/>
  <c r="B125" i="4"/>
  <c r="I124" i="4"/>
  <c r="B124" i="4"/>
  <c r="H123" i="4"/>
  <c r="I123" i="4"/>
  <c r="B123" i="4"/>
  <c r="I122" i="4"/>
  <c r="H122" i="4"/>
  <c r="B122" i="4"/>
  <c r="B121" i="4"/>
  <c r="I120" i="4"/>
  <c r="H120" i="4"/>
  <c r="B120" i="4"/>
  <c r="H119" i="4"/>
  <c r="I119" i="4"/>
  <c r="B119" i="4"/>
  <c r="I118" i="4"/>
  <c r="B118" i="4"/>
  <c r="I117" i="4"/>
  <c r="H117" i="4"/>
  <c r="B117" i="4"/>
  <c r="I116" i="4"/>
  <c r="H116" i="4"/>
  <c r="B116" i="4"/>
  <c r="B115" i="4"/>
  <c r="D125" i="3"/>
  <c r="C125" i="3"/>
  <c r="H124" i="3"/>
  <c r="D123" i="3"/>
  <c r="C123" i="3"/>
  <c r="H123" i="3" s="1"/>
  <c r="D122" i="3"/>
  <c r="I122" i="3" s="1"/>
  <c r="C122" i="3"/>
  <c r="H122" i="3" s="1"/>
  <c r="D121" i="3"/>
  <c r="C121" i="3"/>
  <c r="D120" i="3"/>
  <c r="I120" i="3" s="1"/>
  <c r="C120" i="3"/>
  <c r="D119" i="3"/>
  <c r="C119" i="3"/>
  <c r="D118" i="3"/>
  <c r="I118" i="3" s="1"/>
  <c r="C118" i="3"/>
  <c r="D117" i="3"/>
  <c r="H117" i="3"/>
  <c r="D116" i="3"/>
  <c r="C116" i="3"/>
  <c r="D115" i="3"/>
  <c r="I115" i="3" s="1"/>
  <c r="C115" i="3"/>
  <c r="D114" i="3"/>
  <c r="I114" i="3" s="1"/>
  <c r="C114" i="3"/>
  <c r="H114" i="3" s="1"/>
  <c r="I125" i="3"/>
  <c r="H125" i="3"/>
  <c r="B125" i="3"/>
  <c r="B124" i="3"/>
  <c r="I123" i="3"/>
  <c r="B123" i="3"/>
  <c r="B122" i="3"/>
  <c r="I121" i="3"/>
  <c r="H121" i="3"/>
  <c r="B121" i="3"/>
  <c r="H120" i="3"/>
  <c r="B120" i="3"/>
  <c r="I119" i="3"/>
  <c r="H119" i="3"/>
  <c r="B119" i="3"/>
  <c r="H118" i="3"/>
  <c r="B118" i="3"/>
  <c r="I117" i="3"/>
  <c r="B117" i="3"/>
  <c r="I116" i="3"/>
  <c r="H116" i="3"/>
  <c r="B116" i="3"/>
  <c r="H115" i="3"/>
  <c r="B115" i="3"/>
  <c r="B114" i="3"/>
  <c r="D126" i="1"/>
  <c r="I126" i="1" s="1"/>
  <c r="C126" i="1"/>
  <c r="H126" i="1" s="1"/>
  <c r="I125" i="1"/>
  <c r="D124" i="1"/>
  <c r="I124" i="1" s="1"/>
  <c r="C124" i="1"/>
  <c r="H124" i="1" s="1"/>
  <c r="D123" i="1"/>
  <c r="I123" i="1" s="1"/>
  <c r="C123" i="1"/>
  <c r="H123" i="1" s="1"/>
  <c r="D122" i="1"/>
  <c r="I122" i="1" s="1"/>
  <c r="C122" i="1"/>
  <c r="D121" i="1"/>
  <c r="C121" i="1"/>
  <c r="H121" i="1" s="1"/>
  <c r="D120" i="1"/>
  <c r="I120" i="1" s="1"/>
  <c r="C120" i="1"/>
  <c r="D119" i="1"/>
  <c r="C117" i="1"/>
  <c r="C116" i="1"/>
  <c r="C115" i="1"/>
  <c r="H115" i="1" s="1"/>
  <c r="B126" i="1"/>
  <c r="H125" i="1"/>
  <c r="B125" i="1"/>
  <c r="B124" i="1"/>
  <c r="B123" i="1"/>
  <c r="H122" i="1"/>
  <c r="B122" i="1"/>
  <c r="I121" i="1"/>
  <c r="B121" i="1"/>
  <c r="H120" i="1"/>
  <c r="B120" i="1"/>
  <c r="I119" i="1"/>
  <c r="H119" i="1"/>
  <c r="B119" i="1"/>
  <c r="I118" i="1"/>
  <c r="H118" i="1"/>
  <c r="B118" i="1"/>
  <c r="I117" i="1"/>
  <c r="H117" i="1"/>
  <c r="B117" i="1"/>
  <c r="H116" i="1"/>
  <c r="I116" i="1"/>
  <c r="B116" i="1"/>
  <c r="I115" i="1"/>
  <c r="B115" i="1"/>
  <c r="D106" i="5"/>
  <c r="I106" i="5" s="1"/>
  <c r="C20" i="1"/>
  <c r="C21" i="1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7" i="4"/>
  <c r="H74" i="4"/>
  <c r="I74" i="4"/>
  <c r="H75" i="4"/>
  <c r="I75" i="4"/>
  <c r="H76" i="4"/>
  <c r="I76" i="4"/>
  <c r="H77" i="4"/>
  <c r="I77" i="4"/>
  <c r="H78" i="4"/>
  <c r="I78" i="4"/>
  <c r="H79" i="4"/>
  <c r="I79" i="4"/>
  <c r="H80" i="4"/>
  <c r="I80" i="4"/>
  <c r="H81" i="4"/>
  <c r="I81" i="4"/>
  <c r="H82" i="4"/>
  <c r="I82" i="4"/>
  <c r="H83" i="4"/>
  <c r="I83" i="4"/>
  <c r="H84" i="4"/>
  <c r="I84" i="4"/>
  <c r="D83" i="4"/>
  <c r="C83" i="4"/>
  <c r="D82" i="4"/>
  <c r="C82" i="4"/>
  <c r="D81" i="4"/>
  <c r="C81" i="4"/>
  <c r="D80" i="4"/>
  <c r="C80" i="4"/>
  <c r="D79" i="4"/>
  <c r="C79" i="4"/>
  <c r="D79" i="3"/>
  <c r="D78" i="4"/>
  <c r="C78" i="4"/>
  <c r="D77" i="4"/>
  <c r="C77" i="4"/>
  <c r="D63" i="4"/>
  <c r="D62" i="4"/>
  <c r="D61" i="4"/>
  <c r="D57" i="4"/>
  <c r="C43" i="4"/>
  <c r="C42" i="4"/>
  <c r="C41" i="4"/>
  <c r="C21" i="4"/>
  <c r="H21" i="4" s="1"/>
  <c r="H20" i="4"/>
  <c r="H19" i="4"/>
  <c r="C19" i="4"/>
  <c r="C20" i="4"/>
  <c r="C15" i="4"/>
  <c r="B106" i="4"/>
  <c r="B105" i="4"/>
  <c r="B104" i="4"/>
  <c r="B103" i="4"/>
  <c r="B102" i="4"/>
  <c r="B101" i="4"/>
  <c r="B100" i="4"/>
  <c r="B99" i="4"/>
  <c r="B98" i="4"/>
  <c r="B97" i="4"/>
  <c r="B96" i="4"/>
  <c r="B95" i="4"/>
  <c r="B84" i="4"/>
  <c r="B83" i="4"/>
  <c r="B82" i="4"/>
  <c r="B81" i="4"/>
  <c r="B80" i="4"/>
  <c r="B79" i="4"/>
  <c r="B78" i="4"/>
  <c r="B77" i="4"/>
  <c r="B76" i="4"/>
  <c r="B75" i="4"/>
  <c r="B74" i="4"/>
  <c r="B73" i="4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5" i="3"/>
  <c r="I105" i="3"/>
  <c r="H106" i="3"/>
  <c r="I106" i="3"/>
  <c r="D105" i="3"/>
  <c r="C105" i="3"/>
  <c r="D106" i="3"/>
  <c r="D104" i="3"/>
  <c r="C104" i="3"/>
  <c r="D102" i="3"/>
  <c r="C102" i="3"/>
  <c r="D101" i="3"/>
  <c r="C101" i="3"/>
  <c r="D100" i="3"/>
  <c r="C100" i="3"/>
  <c r="B106" i="3"/>
  <c r="B105" i="3"/>
  <c r="B104" i="3"/>
  <c r="B103" i="3"/>
  <c r="B102" i="3"/>
  <c r="B101" i="3"/>
  <c r="B100" i="3"/>
  <c r="B99" i="3"/>
  <c r="B98" i="3"/>
  <c r="B97" i="3"/>
  <c r="B96" i="3"/>
  <c r="B95" i="3"/>
  <c r="C97" i="3"/>
  <c r="C79" i="3"/>
  <c r="H79" i="3" s="1"/>
  <c r="D84" i="3"/>
  <c r="I84" i="3" s="1"/>
  <c r="D83" i="3"/>
  <c r="C83" i="3"/>
  <c r="D82" i="3"/>
  <c r="C82" i="3"/>
  <c r="D81" i="3"/>
  <c r="C81" i="3"/>
  <c r="H81" i="3" s="1"/>
  <c r="H74" i="3"/>
  <c r="I74" i="3"/>
  <c r="H75" i="3"/>
  <c r="I75" i="3"/>
  <c r="H76" i="3"/>
  <c r="I76" i="3"/>
  <c r="H77" i="3"/>
  <c r="I77" i="3"/>
  <c r="H78" i="3"/>
  <c r="I78" i="3"/>
  <c r="I79" i="3"/>
  <c r="H80" i="3"/>
  <c r="I80" i="3"/>
  <c r="I81" i="3"/>
  <c r="H82" i="3"/>
  <c r="I82" i="3"/>
  <c r="H83" i="3"/>
  <c r="I83" i="3"/>
  <c r="H84" i="3"/>
  <c r="D78" i="3"/>
  <c r="C78" i="3"/>
  <c r="D80" i="3"/>
  <c r="C80" i="3"/>
  <c r="D77" i="3"/>
  <c r="C77" i="3"/>
  <c r="D75" i="3"/>
  <c r="D63" i="3"/>
  <c r="D62" i="3"/>
  <c r="D61" i="3"/>
  <c r="D57" i="3"/>
  <c r="C42" i="3"/>
  <c r="C41" i="3"/>
  <c r="C37" i="3"/>
  <c r="C21" i="3"/>
  <c r="C20" i="3"/>
  <c r="C19" i="3"/>
  <c r="C15" i="3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D105" i="1"/>
  <c r="C105" i="1"/>
  <c r="D104" i="1"/>
  <c r="C104" i="1"/>
  <c r="D103" i="1"/>
  <c r="C103" i="1"/>
  <c r="D102" i="1"/>
  <c r="C102" i="1"/>
  <c r="D99" i="1"/>
  <c r="D98" i="1"/>
  <c r="C98" i="1"/>
  <c r="B106" i="1"/>
  <c r="B105" i="1"/>
  <c r="B104" i="1"/>
  <c r="B103" i="1"/>
  <c r="B102" i="1"/>
  <c r="B101" i="1"/>
  <c r="B100" i="1"/>
  <c r="B99" i="1"/>
  <c r="B98" i="1"/>
  <c r="B97" i="1"/>
  <c r="B96" i="1"/>
  <c r="B95" i="1"/>
  <c r="D101" i="1"/>
  <c r="C101" i="1"/>
  <c r="D100" i="1"/>
  <c r="C100" i="1"/>
  <c r="C83" i="1"/>
  <c r="D82" i="1"/>
  <c r="D74" i="1"/>
  <c r="D63" i="1"/>
  <c r="D62" i="1"/>
  <c r="D61" i="1"/>
  <c r="D57" i="1"/>
  <c r="C43" i="1"/>
  <c r="C42" i="1"/>
  <c r="C41" i="1"/>
  <c r="C37" i="1"/>
  <c r="H32" i="1"/>
  <c r="H19" i="1"/>
  <c r="C19" i="1"/>
  <c r="H15" i="1"/>
  <c r="C15" i="1"/>
  <c r="D63" i="7"/>
  <c r="D62" i="7"/>
  <c r="D61" i="7"/>
  <c r="C43" i="7"/>
  <c r="C42" i="7"/>
  <c r="C41" i="7"/>
  <c r="C21" i="7"/>
  <c r="C20" i="7"/>
  <c r="C19" i="7"/>
  <c r="D63" i="6"/>
  <c r="D62" i="6"/>
  <c r="H62" i="6" s="1"/>
  <c r="C43" i="6"/>
  <c r="H43" i="6" s="1"/>
  <c r="C42" i="6"/>
  <c r="H42" i="6" s="1"/>
  <c r="C41" i="6"/>
  <c r="C21" i="6"/>
  <c r="C20" i="6"/>
  <c r="C19" i="6"/>
  <c r="D63" i="5"/>
  <c r="D62" i="5"/>
  <c r="D61" i="5"/>
  <c r="C43" i="5"/>
  <c r="C42" i="5"/>
  <c r="C41" i="5"/>
  <c r="C21" i="5"/>
  <c r="C20" i="5"/>
  <c r="C19" i="5"/>
  <c r="D106" i="7"/>
  <c r="C106" i="7"/>
  <c r="D84" i="7"/>
  <c r="I84" i="7" s="1"/>
  <c r="C84" i="7"/>
  <c r="D106" i="6"/>
  <c r="C106" i="6"/>
  <c r="C84" i="6"/>
  <c r="C106" i="5"/>
  <c r="C84" i="5"/>
  <c r="D105" i="7"/>
  <c r="C105" i="7"/>
  <c r="H105" i="7" s="1"/>
  <c r="D83" i="7"/>
  <c r="I83" i="7" s="1"/>
  <c r="C83" i="7"/>
  <c r="D105" i="6"/>
  <c r="C105" i="6"/>
  <c r="H105" i="6" s="1"/>
  <c r="C83" i="6"/>
  <c r="H83" i="6" s="1"/>
  <c r="D105" i="5"/>
  <c r="I105" i="5" s="1"/>
  <c r="C105" i="5"/>
  <c r="H105" i="5" s="1"/>
  <c r="C83" i="5"/>
  <c r="D104" i="7"/>
  <c r="C104" i="7"/>
  <c r="D82" i="7"/>
  <c r="I82" i="7" s="1"/>
  <c r="C82" i="7"/>
  <c r="D104" i="6"/>
  <c r="C104" i="6"/>
  <c r="D82" i="6"/>
  <c r="I82" i="6" s="1"/>
  <c r="C82" i="6"/>
  <c r="H82" i="6" s="1"/>
  <c r="D104" i="5"/>
  <c r="C104" i="5"/>
  <c r="H104" i="5" s="1"/>
  <c r="H82" i="5"/>
  <c r="I82" i="5"/>
  <c r="H83" i="5"/>
  <c r="I83" i="5"/>
  <c r="H84" i="5"/>
  <c r="I84" i="5"/>
  <c r="D82" i="5"/>
  <c r="C82" i="5"/>
  <c r="D103" i="7"/>
  <c r="C103" i="7"/>
  <c r="D81" i="7"/>
  <c r="I81" i="7" s="1"/>
  <c r="D103" i="6"/>
  <c r="I103" i="6" s="1"/>
  <c r="C103" i="6"/>
  <c r="H103" i="6" s="1"/>
  <c r="D81" i="6"/>
  <c r="I81" i="6" s="1"/>
  <c r="C81" i="6"/>
  <c r="D103" i="5"/>
  <c r="I103" i="5" s="1"/>
  <c r="C103" i="5"/>
  <c r="D81" i="5"/>
  <c r="C81" i="5"/>
  <c r="D102" i="7"/>
  <c r="I102" i="7" s="1"/>
  <c r="C102" i="7"/>
  <c r="D80" i="7"/>
  <c r="I80" i="7" s="1"/>
  <c r="C80" i="7"/>
  <c r="H80" i="7" s="1"/>
  <c r="D102" i="6"/>
  <c r="I102" i="6" s="1"/>
  <c r="C102" i="6"/>
  <c r="D80" i="6"/>
  <c r="C80" i="6"/>
  <c r="D102" i="5"/>
  <c r="C102" i="5"/>
  <c r="D80" i="5"/>
  <c r="C80" i="5"/>
  <c r="D101" i="7"/>
  <c r="I101" i="7" s="1"/>
  <c r="C101" i="7"/>
  <c r="D79" i="7"/>
  <c r="C79" i="7"/>
  <c r="B101" i="7"/>
  <c r="B102" i="7"/>
  <c r="B103" i="7"/>
  <c r="B104" i="7"/>
  <c r="B105" i="7"/>
  <c r="B106" i="7"/>
  <c r="B79" i="7"/>
  <c r="B80" i="7"/>
  <c r="B81" i="7"/>
  <c r="B82" i="7"/>
  <c r="B83" i="7"/>
  <c r="B84" i="7"/>
  <c r="B37" i="7"/>
  <c r="B38" i="7"/>
  <c r="B39" i="7"/>
  <c r="B40" i="7"/>
  <c r="B41" i="7"/>
  <c r="B42" i="7"/>
  <c r="B43" i="7"/>
  <c r="D101" i="6"/>
  <c r="C101" i="6"/>
  <c r="D79" i="6"/>
  <c r="C79" i="6"/>
  <c r="B38" i="6"/>
  <c r="B39" i="6"/>
  <c r="B40" i="6"/>
  <c r="B41" i="6"/>
  <c r="B42" i="6"/>
  <c r="B43" i="6"/>
  <c r="B57" i="6"/>
  <c r="B58" i="6"/>
  <c r="B59" i="6"/>
  <c r="B60" i="6"/>
  <c r="B61" i="6"/>
  <c r="B62" i="6"/>
  <c r="B63" i="6"/>
  <c r="B78" i="6"/>
  <c r="B79" i="6"/>
  <c r="B80" i="6"/>
  <c r="B81" i="6"/>
  <c r="B82" i="6"/>
  <c r="B83" i="6"/>
  <c r="B84" i="6"/>
  <c r="B100" i="6"/>
  <c r="B101" i="6"/>
  <c r="B102" i="6"/>
  <c r="B103" i="6"/>
  <c r="B104" i="6"/>
  <c r="B105" i="6"/>
  <c r="B106" i="6"/>
  <c r="D101" i="5"/>
  <c r="C101" i="5"/>
  <c r="H101" i="5" s="1"/>
  <c r="D79" i="5"/>
  <c r="C79" i="5"/>
  <c r="D100" i="7"/>
  <c r="C100" i="7"/>
  <c r="D78" i="7"/>
  <c r="C78" i="7"/>
  <c r="B100" i="7"/>
  <c r="B78" i="7"/>
  <c r="B57" i="7"/>
  <c r="B58" i="7"/>
  <c r="B59" i="7"/>
  <c r="B60" i="7"/>
  <c r="B61" i="7"/>
  <c r="B62" i="7"/>
  <c r="B63" i="7"/>
  <c r="D57" i="7"/>
  <c r="C37" i="7"/>
  <c r="C15" i="7"/>
  <c r="B15" i="7"/>
  <c r="B16" i="7"/>
  <c r="B17" i="7"/>
  <c r="B18" i="7"/>
  <c r="B19" i="7"/>
  <c r="B20" i="7"/>
  <c r="B21" i="7"/>
  <c r="D100" i="6"/>
  <c r="C100" i="6"/>
  <c r="D78" i="6"/>
  <c r="C78" i="6"/>
  <c r="D57" i="6"/>
  <c r="H57" i="6" s="1"/>
  <c r="B37" i="6"/>
  <c r="C37" i="6"/>
  <c r="H37" i="6" s="1"/>
  <c r="C15" i="6"/>
  <c r="D100" i="5"/>
  <c r="I100" i="5" s="1"/>
  <c r="C100" i="5"/>
  <c r="D78" i="5"/>
  <c r="C78" i="5"/>
  <c r="D57" i="5"/>
  <c r="H57" i="5" s="1"/>
  <c r="C37" i="5"/>
  <c r="C15" i="5"/>
  <c r="H15" i="5" s="1"/>
  <c r="D99" i="7"/>
  <c r="D77" i="7"/>
  <c r="C77" i="7"/>
  <c r="D56" i="7"/>
  <c r="H56" i="7" s="1"/>
  <c r="C14" i="7"/>
  <c r="H14" i="7" s="1"/>
  <c r="B99" i="7"/>
  <c r="B98" i="7"/>
  <c r="B97" i="7"/>
  <c r="B96" i="7"/>
  <c r="B95" i="7"/>
  <c r="B77" i="7"/>
  <c r="B76" i="7"/>
  <c r="B75" i="7"/>
  <c r="B74" i="7"/>
  <c r="B73" i="7"/>
  <c r="B56" i="7"/>
  <c r="B55" i="7"/>
  <c r="B54" i="7"/>
  <c r="B53" i="7"/>
  <c r="B52" i="7"/>
  <c r="B14" i="7"/>
  <c r="B13" i="7"/>
  <c r="B12" i="7"/>
  <c r="B11" i="7"/>
  <c r="B10" i="7"/>
  <c r="B34" i="7"/>
  <c r="B35" i="7"/>
  <c r="B36" i="7"/>
  <c r="B33" i="7"/>
  <c r="B32" i="7"/>
  <c r="D99" i="6"/>
  <c r="I99" i="6" s="1"/>
  <c r="C99" i="6"/>
  <c r="D77" i="6"/>
  <c r="C77" i="6"/>
  <c r="H77" i="6" s="1"/>
  <c r="D56" i="6"/>
  <c r="C14" i="6"/>
  <c r="H14" i="6" s="1"/>
  <c r="B99" i="6"/>
  <c r="B98" i="6"/>
  <c r="B97" i="6"/>
  <c r="B96" i="6"/>
  <c r="B95" i="6"/>
  <c r="B77" i="6"/>
  <c r="B76" i="6"/>
  <c r="B75" i="6"/>
  <c r="B74" i="6"/>
  <c r="B73" i="6"/>
  <c r="B56" i="6"/>
  <c r="B55" i="6"/>
  <c r="B54" i="6"/>
  <c r="B53" i="6"/>
  <c r="B52" i="6"/>
  <c r="B36" i="6"/>
  <c r="B35" i="6"/>
  <c r="B34" i="6"/>
  <c r="B33" i="6"/>
  <c r="B32" i="6"/>
  <c r="B12" i="6"/>
  <c r="B13" i="6"/>
  <c r="B14" i="6"/>
  <c r="B15" i="6"/>
  <c r="B16" i="6"/>
  <c r="B17" i="6"/>
  <c r="B18" i="6"/>
  <c r="B19" i="6"/>
  <c r="B20" i="6"/>
  <c r="B21" i="6"/>
  <c r="B11" i="6"/>
  <c r="B10" i="6"/>
  <c r="D99" i="5"/>
  <c r="D77" i="5"/>
  <c r="C77" i="5"/>
  <c r="D56" i="5"/>
  <c r="C14" i="5"/>
  <c r="B97" i="5"/>
  <c r="B98" i="5"/>
  <c r="B99" i="5"/>
  <c r="B100" i="5"/>
  <c r="B101" i="5"/>
  <c r="B102" i="5"/>
  <c r="B103" i="5"/>
  <c r="B104" i="5"/>
  <c r="B105" i="5"/>
  <c r="B106" i="5"/>
  <c r="B96" i="5"/>
  <c r="B95" i="5"/>
  <c r="B54" i="5"/>
  <c r="B55" i="5"/>
  <c r="B56" i="5"/>
  <c r="B57" i="5"/>
  <c r="B58" i="5"/>
  <c r="B59" i="5"/>
  <c r="B60" i="5"/>
  <c r="B61" i="5"/>
  <c r="B62" i="5"/>
  <c r="B63" i="5"/>
  <c r="B84" i="3"/>
  <c r="B83" i="3"/>
  <c r="B82" i="3"/>
  <c r="B81" i="3"/>
  <c r="B80" i="3"/>
  <c r="B79" i="3"/>
  <c r="B78" i="3"/>
  <c r="B77" i="3"/>
  <c r="B76" i="3"/>
  <c r="B75" i="3"/>
  <c r="B74" i="3"/>
  <c r="B73" i="3"/>
  <c r="D84" i="1"/>
  <c r="D83" i="1"/>
  <c r="D81" i="1"/>
  <c r="D80" i="1"/>
  <c r="D78" i="1"/>
  <c r="C82" i="1"/>
  <c r="C81" i="1"/>
  <c r="C80" i="1"/>
  <c r="C79" i="1"/>
  <c r="C78" i="1"/>
  <c r="D77" i="1"/>
  <c r="C77" i="1"/>
  <c r="B84" i="1"/>
  <c r="B83" i="1"/>
  <c r="B82" i="1"/>
  <c r="B81" i="1"/>
  <c r="B80" i="1"/>
  <c r="B79" i="1"/>
  <c r="B78" i="1"/>
  <c r="B77" i="1"/>
  <c r="B76" i="1"/>
  <c r="B75" i="1"/>
  <c r="B74" i="1"/>
  <c r="B73" i="1"/>
  <c r="D56" i="4"/>
  <c r="B63" i="4"/>
  <c r="B62" i="4"/>
  <c r="B61" i="4"/>
  <c r="B60" i="4"/>
  <c r="B59" i="4"/>
  <c r="B58" i="4"/>
  <c r="B57" i="4"/>
  <c r="B56" i="4"/>
  <c r="B55" i="4"/>
  <c r="B54" i="4"/>
  <c r="B53" i="4"/>
  <c r="B52" i="4"/>
  <c r="D56" i="3"/>
  <c r="B63" i="3"/>
  <c r="B62" i="3"/>
  <c r="B61" i="3"/>
  <c r="B60" i="3"/>
  <c r="B59" i="3"/>
  <c r="B58" i="3"/>
  <c r="B57" i="3"/>
  <c r="B56" i="3"/>
  <c r="B55" i="3"/>
  <c r="B54" i="3"/>
  <c r="B53" i="3"/>
  <c r="B52" i="3"/>
  <c r="D56" i="1"/>
  <c r="B63" i="1"/>
  <c r="B62" i="1"/>
  <c r="B61" i="1"/>
  <c r="B60" i="1"/>
  <c r="B59" i="1"/>
  <c r="B58" i="1"/>
  <c r="B57" i="1"/>
  <c r="B56" i="1"/>
  <c r="B55" i="1"/>
  <c r="B54" i="1"/>
  <c r="B53" i="1"/>
  <c r="B52" i="1"/>
  <c r="C36" i="4"/>
  <c r="B43" i="4"/>
  <c r="B42" i="4"/>
  <c r="B41" i="4"/>
  <c r="B40" i="4"/>
  <c r="B39" i="4"/>
  <c r="B38" i="4"/>
  <c r="B37" i="4"/>
  <c r="B36" i="4"/>
  <c r="B35" i="4"/>
  <c r="B34" i="4"/>
  <c r="B33" i="4"/>
  <c r="B32" i="4"/>
  <c r="C36" i="3"/>
  <c r="B43" i="3"/>
  <c r="B42" i="3"/>
  <c r="B41" i="3"/>
  <c r="B40" i="3"/>
  <c r="B39" i="3"/>
  <c r="B38" i="3"/>
  <c r="B37" i="3"/>
  <c r="B36" i="3"/>
  <c r="B35" i="3"/>
  <c r="B34" i="3"/>
  <c r="B33" i="3"/>
  <c r="B32" i="3"/>
  <c r="B35" i="1"/>
  <c r="B36" i="1"/>
  <c r="B37" i="1"/>
  <c r="B38" i="1"/>
  <c r="B39" i="1"/>
  <c r="B40" i="1"/>
  <c r="B41" i="1"/>
  <c r="B42" i="1"/>
  <c r="B43" i="1"/>
  <c r="B34" i="1"/>
  <c r="B33" i="1"/>
  <c r="B32" i="1"/>
  <c r="C14" i="4"/>
  <c r="B14" i="4"/>
  <c r="B15" i="4"/>
  <c r="B16" i="4"/>
  <c r="B17" i="4"/>
  <c r="B18" i="4"/>
  <c r="B19" i="4"/>
  <c r="B20" i="4"/>
  <c r="B21" i="4"/>
  <c r="B13" i="4"/>
  <c r="B12" i="4"/>
  <c r="B11" i="4"/>
  <c r="B10" i="4"/>
  <c r="C14" i="3"/>
  <c r="B14" i="3"/>
  <c r="B15" i="3"/>
  <c r="B16" i="3"/>
  <c r="B17" i="3"/>
  <c r="B18" i="3"/>
  <c r="B19" i="3"/>
  <c r="B20" i="3"/>
  <c r="B21" i="3"/>
  <c r="B13" i="3"/>
  <c r="B12" i="3"/>
  <c r="B11" i="3"/>
  <c r="B10" i="3"/>
  <c r="C14" i="1"/>
  <c r="B16" i="1"/>
  <c r="B17" i="1"/>
  <c r="B18" i="1"/>
  <c r="B19" i="1"/>
  <c r="B20" i="1"/>
  <c r="B21" i="1"/>
  <c r="B13" i="1"/>
  <c r="B14" i="1"/>
  <c r="B15" i="1"/>
  <c r="B12" i="1"/>
  <c r="B11" i="1"/>
  <c r="B10" i="1"/>
  <c r="B53" i="5"/>
  <c r="B52" i="5"/>
  <c r="B34" i="5"/>
  <c r="B35" i="5"/>
  <c r="B36" i="5"/>
  <c r="B37" i="5"/>
  <c r="B38" i="5"/>
  <c r="B39" i="5"/>
  <c r="B40" i="5"/>
  <c r="B41" i="5"/>
  <c r="B42" i="5"/>
  <c r="B43" i="5"/>
  <c r="B33" i="5"/>
  <c r="B32" i="5"/>
  <c r="B11" i="5"/>
  <c r="B10" i="5"/>
  <c r="B14" i="5"/>
  <c r="B15" i="5"/>
  <c r="B16" i="5"/>
  <c r="B17" i="5"/>
  <c r="B18" i="5"/>
  <c r="B19" i="5"/>
  <c r="B20" i="5"/>
  <c r="B21" i="5"/>
  <c r="B12" i="5"/>
  <c r="B13" i="5"/>
  <c r="D98" i="7"/>
  <c r="C98" i="7"/>
  <c r="H98" i="7"/>
  <c r="D98" i="6"/>
  <c r="I98" i="6" s="1"/>
  <c r="C98" i="6"/>
  <c r="D98" i="5"/>
  <c r="C98" i="5"/>
  <c r="D76" i="7"/>
  <c r="C76" i="7"/>
  <c r="D76" i="6"/>
  <c r="C76" i="6"/>
  <c r="D76" i="5"/>
  <c r="C76" i="5"/>
  <c r="H76" i="5" s="1"/>
  <c r="H77" i="5"/>
  <c r="D97" i="7"/>
  <c r="I97" i="7" s="1"/>
  <c r="C97" i="7"/>
  <c r="D97" i="6"/>
  <c r="C97" i="6"/>
  <c r="H97" i="6" s="1"/>
  <c r="D97" i="5"/>
  <c r="C97" i="5"/>
  <c r="D75" i="7"/>
  <c r="C75" i="7"/>
  <c r="D75" i="6"/>
  <c r="I75" i="6" s="1"/>
  <c r="C75" i="6"/>
  <c r="D75" i="5"/>
  <c r="C75" i="5"/>
  <c r="D96" i="7"/>
  <c r="C96" i="7"/>
  <c r="H96" i="7" s="1"/>
  <c r="D96" i="6"/>
  <c r="I96" i="6" s="1"/>
  <c r="C96" i="6"/>
  <c r="D96" i="5"/>
  <c r="C96" i="5"/>
  <c r="H96" i="5" s="1"/>
  <c r="D74" i="7"/>
  <c r="C74" i="7"/>
  <c r="D74" i="6"/>
  <c r="I74" i="6" s="1"/>
  <c r="C74" i="6"/>
  <c r="H74" i="6" s="1"/>
  <c r="D74" i="5"/>
  <c r="I74" i="5" s="1"/>
  <c r="C74" i="5"/>
  <c r="H74" i="5"/>
  <c r="D95" i="7"/>
  <c r="C95" i="7"/>
  <c r="D95" i="6"/>
  <c r="C95" i="6"/>
  <c r="D95" i="5"/>
  <c r="C95" i="5"/>
  <c r="D73" i="7"/>
  <c r="I73" i="7" s="1"/>
  <c r="C73" i="7"/>
  <c r="D73" i="6"/>
  <c r="I73" i="6" s="1"/>
  <c r="C73" i="6"/>
  <c r="H73" i="6" s="1"/>
  <c r="D73" i="5"/>
  <c r="C73" i="5"/>
  <c r="D52" i="7"/>
  <c r="H52" i="7" s="1"/>
  <c r="D52" i="6"/>
  <c r="D52" i="5"/>
  <c r="C32" i="7"/>
  <c r="C10" i="7"/>
  <c r="C10" i="6"/>
  <c r="C10" i="5"/>
  <c r="H10" i="5" s="1"/>
  <c r="I106" i="7"/>
  <c r="H106" i="7"/>
  <c r="I105" i="7"/>
  <c r="I104" i="7"/>
  <c r="H104" i="7"/>
  <c r="I103" i="7"/>
  <c r="H103" i="7"/>
  <c r="H102" i="7"/>
  <c r="H101" i="7"/>
  <c r="I100" i="7"/>
  <c r="H100" i="7"/>
  <c r="I99" i="7"/>
  <c r="H99" i="7"/>
  <c r="I98" i="7"/>
  <c r="H97" i="7"/>
  <c r="I96" i="7"/>
  <c r="I95" i="7"/>
  <c r="H95" i="7"/>
  <c r="H84" i="7"/>
  <c r="H83" i="7"/>
  <c r="H82" i="7"/>
  <c r="H81" i="7"/>
  <c r="I79" i="7"/>
  <c r="H79" i="7"/>
  <c r="I78" i="7"/>
  <c r="H78" i="7"/>
  <c r="I77" i="7"/>
  <c r="H77" i="7"/>
  <c r="I76" i="7"/>
  <c r="H76" i="7"/>
  <c r="I75" i="7"/>
  <c r="H75" i="7"/>
  <c r="I74" i="7"/>
  <c r="H74" i="7"/>
  <c r="H73" i="7"/>
  <c r="H63" i="7"/>
  <c r="H62" i="7"/>
  <c r="H61" i="7"/>
  <c r="H57" i="7"/>
  <c r="H43" i="7"/>
  <c r="H42" i="7"/>
  <c r="H41" i="7"/>
  <c r="H37" i="7"/>
  <c r="H36" i="7"/>
  <c r="H32" i="7"/>
  <c r="H21" i="7"/>
  <c r="H20" i="7"/>
  <c r="H19" i="7"/>
  <c r="H15" i="7"/>
  <c r="H10" i="7"/>
  <c r="I106" i="6"/>
  <c r="H106" i="6"/>
  <c r="I105" i="6"/>
  <c r="I104" i="6"/>
  <c r="H104" i="6"/>
  <c r="H102" i="6"/>
  <c r="I101" i="6"/>
  <c r="H101" i="6"/>
  <c r="I100" i="6"/>
  <c r="H100" i="6"/>
  <c r="H99" i="6"/>
  <c r="H98" i="6"/>
  <c r="I97" i="6"/>
  <c r="H96" i="6"/>
  <c r="H95" i="6"/>
  <c r="I95" i="6"/>
  <c r="I84" i="6"/>
  <c r="H84" i="6"/>
  <c r="I83" i="6"/>
  <c r="H81" i="6"/>
  <c r="I80" i="6"/>
  <c r="H80" i="6"/>
  <c r="I79" i="6"/>
  <c r="H79" i="6"/>
  <c r="I78" i="6"/>
  <c r="H78" i="6"/>
  <c r="I77" i="6"/>
  <c r="I76" i="6"/>
  <c r="H76" i="6"/>
  <c r="H75" i="6"/>
  <c r="H63" i="6"/>
  <c r="H61" i="6"/>
  <c r="H56" i="6"/>
  <c r="H52" i="6"/>
  <c r="H41" i="6"/>
  <c r="H36" i="6"/>
  <c r="C32" i="6"/>
  <c r="H32" i="6" s="1"/>
  <c r="H21" i="6"/>
  <c r="H20" i="6"/>
  <c r="H19" i="6"/>
  <c r="H15" i="6"/>
  <c r="H10" i="6"/>
  <c r="H106" i="5"/>
  <c r="I104" i="5"/>
  <c r="H103" i="5"/>
  <c r="I102" i="5"/>
  <c r="H102" i="5"/>
  <c r="I101" i="5"/>
  <c r="H100" i="5"/>
  <c r="I99" i="5"/>
  <c r="H99" i="5"/>
  <c r="I98" i="5"/>
  <c r="H98" i="5"/>
  <c r="I97" i="5"/>
  <c r="H97" i="5"/>
  <c r="I96" i="5"/>
  <c r="I95" i="5"/>
  <c r="H95" i="5"/>
  <c r="I81" i="5"/>
  <c r="H81" i="5"/>
  <c r="I80" i="5"/>
  <c r="H80" i="5"/>
  <c r="I79" i="5"/>
  <c r="H79" i="5"/>
  <c r="I78" i="5"/>
  <c r="H78" i="5"/>
  <c r="I77" i="5"/>
  <c r="I76" i="5"/>
  <c r="I75" i="5"/>
  <c r="H75" i="5"/>
  <c r="I73" i="5"/>
  <c r="H73" i="5"/>
  <c r="H63" i="5"/>
  <c r="H62" i="5"/>
  <c r="H61" i="5"/>
  <c r="H56" i="5"/>
  <c r="H52" i="5"/>
  <c r="H43" i="5"/>
  <c r="H42" i="5"/>
  <c r="H41" i="5"/>
  <c r="H37" i="5"/>
  <c r="H36" i="5"/>
  <c r="C32" i="5"/>
  <c r="H32" i="5" s="1"/>
  <c r="H21" i="5"/>
  <c r="H20" i="5"/>
  <c r="H19" i="5"/>
  <c r="H14" i="5"/>
  <c r="D98" i="4"/>
  <c r="C98" i="4"/>
  <c r="D98" i="3"/>
  <c r="C98" i="3"/>
  <c r="D76" i="4"/>
  <c r="C76" i="4"/>
  <c r="D76" i="3"/>
  <c r="C76" i="3"/>
  <c r="D76" i="1"/>
  <c r="C76" i="1"/>
  <c r="D97" i="4"/>
  <c r="D97" i="3"/>
  <c r="D97" i="1"/>
  <c r="C97" i="1"/>
  <c r="D75" i="4"/>
  <c r="C75" i="4"/>
  <c r="C75" i="3"/>
  <c r="D75" i="1"/>
  <c r="C75" i="1"/>
  <c r="D96" i="4"/>
  <c r="C96" i="4"/>
  <c r="D96" i="3"/>
  <c r="C96" i="3"/>
  <c r="D96" i="1"/>
  <c r="C96" i="1"/>
  <c r="D74" i="4"/>
  <c r="C74" i="4"/>
  <c r="D74" i="3"/>
  <c r="C74" i="3"/>
  <c r="C74" i="1"/>
  <c r="D95" i="4"/>
  <c r="D95" i="3"/>
  <c r="C95" i="4"/>
  <c r="C95" i="3" l="1"/>
  <c r="D95" i="1"/>
  <c r="C95" i="1"/>
  <c r="D73" i="4"/>
  <c r="C73" i="4"/>
  <c r="D73" i="3"/>
  <c r="C73" i="3"/>
  <c r="D73" i="1"/>
  <c r="C73" i="1"/>
  <c r="D52" i="4"/>
  <c r="C32" i="4"/>
  <c r="D52" i="3"/>
  <c r="D52" i="1"/>
  <c r="C32" i="3"/>
  <c r="C32" i="1"/>
  <c r="C10" i="4"/>
  <c r="C10" i="3"/>
  <c r="C10" i="1"/>
  <c r="H42" i="4"/>
  <c r="H42" i="3"/>
  <c r="H42" i="1"/>
  <c r="H20" i="3"/>
  <c r="H20" i="1"/>
  <c r="H63" i="4"/>
  <c r="H63" i="3"/>
  <c r="H63" i="1"/>
  <c r="H43" i="4"/>
  <c r="H43" i="3"/>
  <c r="H43" i="1"/>
  <c r="H21" i="3"/>
  <c r="H21" i="1"/>
  <c r="H62" i="4"/>
  <c r="H62" i="3"/>
  <c r="H62" i="1"/>
  <c r="H61" i="4"/>
  <c r="H61" i="3"/>
  <c r="H41" i="4"/>
  <c r="H41" i="3"/>
  <c r="H19" i="3"/>
  <c r="H61" i="1" l="1"/>
  <c r="H41" i="1" l="1"/>
  <c r="H57" i="4"/>
  <c r="H57" i="3"/>
  <c r="H57" i="1"/>
  <c r="H37" i="4"/>
  <c r="H37" i="3"/>
  <c r="H37" i="1"/>
  <c r="H15" i="4"/>
  <c r="H15" i="3"/>
  <c r="H56" i="4" l="1"/>
  <c r="H36" i="4"/>
  <c r="H14" i="4"/>
  <c r="H56" i="3"/>
  <c r="H36" i="3"/>
  <c r="H14" i="3"/>
  <c r="H56" i="1"/>
  <c r="H36" i="1"/>
  <c r="H14" i="1"/>
  <c r="I73" i="4"/>
  <c r="H73" i="4"/>
  <c r="H52" i="4"/>
  <c r="H32" i="4"/>
  <c r="H10" i="4"/>
  <c r="H32" i="3"/>
  <c r="I73" i="3"/>
  <c r="H73" i="3"/>
  <c r="I95" i="4"/>
  <c r="H95" i="4"/>
  <c r="I95" i="3"/>
  <c r="H95" i="3"/>
  <c r="H52" i="3"/>
  <c r="H10" i="3"/>
  <c r="I95" i="1"/>
  <c r="H95" i="1"/>
  <c r="I73" i="1"/>
  <c r="H73" i="1"/>
  <c r="H52" i="1"/>
  <c r="H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tc={7B67541A-2F0D-43D0-A58B-9AFF9C91A885}</author>
  </authors>
  <commentList>
    <comment ref="C96" authorId="0" shapeId="0" xr:uid="{7B67541A-2F0D-43D0-A58B-9AFF9C91A8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"Pegote" de cèl·lules que pot fer que sobreestimem la concentració real.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tc={85ACE1D0-9E46-434C-96C1-E98B65D98927}</author>
    <author>tc={19C05F83-C998-4345-93AD-E4C8C9715DF6}</author>
  </authors>
  <commentList>
    <comment ref="C96" authorId="0" shapeId="0" xr:uid="{85ACE1D0-9E46-434C-96C1-E98B65D989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Placa mal sembrada. Hi havia un pegote de cèl·lules que pot fer que sobreestimem la concentració real</t>
      </text>
    </comment>
    <comment ref="C106" authorId="1" shapeId="0" xr:uid="{19C05F83-C998-4345-93AD-E4C8C9715D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va sembrar el cultiu de la CTC494 enlloc del cultiu amb la 23K.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tc={81866FBC-1469-49E3-9177-57AC1011B31D}</author>
  </authors>
  <commentList>
    <comment ref="C97" authorId="0" shapeId="0" xr:uid="{81866FBC-1469-49E3-9177-57AC1011B3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Placa mal sembrada. Pegote de cèl·lules que pot ser que fem una sobreestimació de la concentració.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tc={CF67D501-F4B6-4EB3-B4AA-00E1105754A8}</author>
  </authors>
  <commentList>
    <comment ref="D104" authorId="0" shapeId="0" xr:uid="{CF67D501-F4B6-4EB3-B4AA-00E1105754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Placa buida, no tenim recompte.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tc={7D9F5D22-1984-4428-A621-DF74C1AA13E8}</author>
    <author>tc={E79C9F4D-BDB4-4DBA-B251-89C950BC5715}</author>
  </authors>
  <commentList>
    <comment ref="C15" authorId="0" shapeId="0" xr:uid="{7D9F5D22-1984-4428-A621-DF74C1AA13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Placa buida, no tenim recompte.</t>
      </text>
    </comment>
    <comment ref="C37" authorId="1" shapeId="0" xr:uid="{E79C9F4D-BDB4-4DBA-B251-89C950BC57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Placa buida, no tenim recompte.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tc={AE5777DF-4850-4E8D-A854-0986657061CF}</author>
  </authors>
  <commentList>
    <comment ref="C96" authorId="0" shapeId="0" xr:uid="{AE5777DF-4850-4E8D-A854-0986657061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"Pegote" de cèl·lules que pot fer que sobreestimem la concentració real.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tc={4C086477-A7C5-4C92-A62D-4D8A2A5F9010}</author>
  </authors>
  <commentList>
    <comment ref="L96" authorId="0" shapeId="0" xr:uid="{4C086477-A7C5-4C92-A62D-4D8A2A5F90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va sortir bé l'assaig. Cal repetir-lo.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tc={3FE82A79-BD45-4A27-9445-2214B1F6C6E9}</author>
    <author>tc={CBC04A75-FF99-4ACF-B469-2C1ED6E38505}</author>
  </authors>
  <commentList>
    <comment ref="C105" authorId="0" shapeId="0" xr:uid="{3FE82A79-BD45-4A27-9445-2214B1F6C6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Pegote de cèl·lules a la placa...</t>
      </text>
    </comment>
    <comment ref="D106" authorId="1" shapeId="0" xr:uid="{CBC04A75-FF99-4ACF-B469-2C1ED6E385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Falten plaques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<sst xmlns="http://schemas.openxmlformats.org/spreadsheetml/2006/main" count="1873" uniqueCount="49">
  <si>
    <t>Project</t>
  </si>
  <si>
    <t>NG-SAUSAGING</t>
  </si>
  <si>
    <t>Experiment</t>
  </si>
  <si>
    <t>Calibration curve of LA in FeCl3</t>
  </si>
  <si>
    <t>Date</t>
  </si>
  <si>
    <t>7-11/03/2022</t>
  </si>
  <si>
    <t>Participants</t>
  </si>
  <si>
    <t>N. Ferrer, J. Correia, M. Viella, A. Jofré</t>
  </si>
  <si>
    <t>Corba calibració 1</t>
  </si>
  <si>
    <t>Corba calibració 2</t>
  </si>
  <si>
    <t>Corba calibració 3</t>
  </si>
  <si>
    <t>Mean</t>
  </si>
  <si>
    <t>SD</t>
  </si>
  <si>
    <t>LA (g/L)</t>
  </si>
  <si>
    <r>
      <t>Abs (</t>
    </r>
    <r>
      <rPr>
        <sz val="11"/>
        <color theme="1"/>
        <rFont val="Calibri"/>
        <family val="2"/>
      </rPr>
      <t>λ=390nm)</t>
    </r>
  </si>
  <si>
    <r>
      <t>Abs (</t>
    </r>
    <r>
      <rPr>
        <b/>
        <sz val="11"/>
        <color theme="1"/>
        <rFont val="Calibri"/>
        <family val="2"/>
      </rPr>
      <t>λ=390nm)</t>
    </r>
  </si>
  <si>
    <t>Linear equation</t>
  </si>
  <si>
    <t>m</t>
  </si>
  <si>
    <t>n</t>
  </si>
  <si>
    <t>r^2</t>
  </si>
  <si>
    <t>Interaction of LAB &amp; LM in MSM broth (20ºC)</t>
  </si>
  <si>
    <t>15-18/03/2022</t>
  </si>
  <si>
    <t>CTC494</t>
  </si>
  <si>
    <t>Date; hour</t>
  </si>
  <si>
    <t>Time</t>
  </si>
  <si>
    <t>LAB (cfu/mL)</t>
  </si>
  <si>
    <t>LM (cfu/mL)</t>
  </si>
  <si>
    <r>
      <t xml:space="preserve">LA (Abs </t>
    </r>
    <r>
      <rPr>
        <sz val="11"/>
        <color theme="1"/>
        <rFont val="Calibri"/>
        <family val="2"/>
      </rPr>
      <t>λ=390nm)</t>
    </r>
  </si>
  <si>
    <t>pH</t>
  </si>
  <si>
    <t>LOG LAB</t>
  </si>
  <si>
    <t>LOG LM</t>
  </si>
  <si>
    <t>pH min</t>
  </si>
  <si>
    <t>23K</t>
  </si>
  <si>
    <t>nd</t>
  </si>
  <si>
    <t>LM 1034</t>
  </si>
  <si>
    <t>CTC494 + LM1034</t>
  </si>
  <si>
    <t>Incontable??</t>
  </si>
  <si>
    <t>23K + LM1034</t>
  </si>
  <si>
    <t>??</t>
  </si>
  <si>
    <t>28-31/03/2022</t>
  </si>
  <si>
    <t>0,831/0,729</t>
  </si>
  <si>
    <t>ND</t>
  </si>
  <si>
    <t xml:space="preserve"> </t>
  </si>
  <si>
    <t>Inòculs t15, 18, 21</t>
  </si>
  <si>
    <t>temps</t>
  </si>
  <si>
    <t>Gota (10^3 AU/mL)</t>
  </si>
  <si>
    <t>log change</t>
  </si>
  <si>
    <t>N, Ferrer, J, Correia, M, Viella, A, Jofré</t>
  </si>
  <si>
    <t>Incontable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</si>
</sst>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B6793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/>
    <xf numFmtId="2" fontId="0" fillId="0" borderId="2" xfId="0" applyNumberFormat="1" applyBorder="1"/>
    <xf numFmtId="0" fontId="1" fillId="0" borderId="2" xfId="0" applyFont="1" applyBorder="1"/>
    <xf numFmtId="2" fontId="1" fillId="0" borderId="2" xfId="0" applyNumberFormat="1" applyFont="1" applyBorder="1"/>
    <xf numFmtId="0" fontId="1" fillId="0" borderId="3" xfId="0" applyFont="1" applyBorder="1"/>
    <xf numFmtId="0" fontId="0" fillId="0" borderId="1" xfId="0" applyBorder="1"/>
    <xf numFmtId="0" fontId="4" fillId="3" borderId="1" xfId="0" applyFont="1" applyFill="1" applyBorder="1"/>
    <xf numFmtId="0" fontId="4" fillId="4" borderId="1" xfId="0" applyFont="1" applyFill="1" applyBorder="1"/>
    <xf numFmtId="2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11" fontId="0" fillId="0" borderId="0" xfId="0" applyNumberFormat="1" applyAlignment="1">
      <alignment horizontal="center"/>
    </xf>
    <xf numFmtId="11" fontId="7" fillId="0" borderId="0" xfId="0" applyNumberFormat="1" applyFont="1" applyAlignment="1">
      <alignment horizontal="center"/>
    </xf>
    <xf numFmtId="11" fontId="8" fillId="0" borderId="0" xfId="0" applyNumberFormat="1" applyFont="1" applyAlignment="1">
      <alignment horizontal="center"/>
    </xf>
    <xf numFmtId="11" fontId="0" fillId="0" borderId="0" xfId="0" applyNumberFormat="1"/>
    <xf numFmtId="11" fontId="0" fillId="6" borderId="0" xfId="0" applyNumberFormat="1" applyFill="1" applyAlignment="1">
      <alignment horizontal="center"/>
    </xf>
    <xf numFmtId="11" fontId="8" fillId="6" borderId="0" xfId="0" applyNumberFormat="1" applyFont="1" applyFill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11" fontId="0" fillId="5" borderId="0" xfId="0" applyNumberFormat="1" applyFill="1" applyAlignment="1">
      <alignment horizont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8" borderId="0" xfId="0" applyFill="1"/>
    <xf numFmtId="22" fontId="0" fillId="9" borderId="0" xfId="0" applyNumberFormat="1" applyFill="1" applyAlignment="1">
      <alignment horizontal="left"/>
    </xf>
    <xf numFmtId="2" fontId="0" fillId="9" borderId="0" xfId="0" applyNumberFormat="1" applyFill="1" applyAlignment="1">
      <alignment horizontal="center"/>
    </xf>
    <xf numFmtId="11" fontId="0" fillId="10" borderId="0" xfId="0" applyNumberFormat="1" applyFill="1" applyAlignment="1">
      <alignment horizontal="center"/>
    </xf>
    <xf numFmtId="0" fontId="0" fillId="10" borderId="0" xfId="0" applyFill="1"/>
    <xf numFmtId="16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10" borderId="0" xfId="0" applyNumberFormat="1" applyFill="1"/>
    <xf numFmtId="11" fontId="0" fillId="9" borderId="0" xfId="0" applyNumberFormat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2" fontId="0" fillId="9" borderId="0" xfId="0" applyNumberFormat="1" applyFill="1"/>
    <xf numFmtId="165" fontId="0" fillId="0" borderId="0" xfId="0" applyNumberFormat="1" applyAlignment="1">
      <alignment horizontal="center"/>
    </xf>
    <xf numFmtId="11" fontId="8" fillId="10" borderId="0" xfId="0" applyNumberFormat="1" applyFont="1" applyFill="1" applyAlignment="1">
      <alignment horizontal="center"/>
    </xf>
    <xf numFmtId="2" fontId="0" fillId="7" borderId="0" xfId="0" applyNumberFormat="1" applyFill="1" applyAlignment="1">
      <alignment horizontal="center"/>
    </xf>
    <xf numFmtId="11" fontId="8" fillId="9" borderId="0" xfId="0" applyNumberFormat="1" applyFont="1" applyFill="1" applyAlignment="1">
      <alignment horizontal="center"/>
    </xf>
    <xf numFmtId="164" fontId="0" fillId="9" borderId="0" xfId="0" applyNumberFormat="1" applyFill="1" applyAlignment="1">
      <alignment horizontal="center"/>
    </xf>
    <xf numFmtId="2" fontId="8" fillId="10" borderId="0" xfId="0" applyNumberFormat="1" applyFont="1" applyFill="1" applyAlignment="1">
      <alignment horizontal="center"/>
    </xf>
    <xf numFmtId="2" fontId="8" fillId="9" borderId="0" xfId="0" applyNumberFormat="1" applyFont="1" applyFill="1" applyAlignment="1">
      <alignment horizontal="center"/>
    </xf>
    <xf numFmtId="166" fontId="0" fillId="9" borderId="0" xfId="0" applyNumberFormat="1" applyFill="1" applyAlignment="1">
      <alignment horizontal="center"/>
    </xf>
    <xf numFmtId="0" fontId="8" fillId="0" borderId="0" xfId="0" applyFont="1"/>
    <xf numFmtId="0" fontId="10" fillId="0" borderId="0" xfId="0" applyFont="1"/>
    <xf numFmtId="0" fontId="10" fillId="10" borderId="0" xfId="0" applyFont="1" applyFill="1"/>
    <xf numFmtId="0" fontId="10" fillId="9" borderId="0" xfId="0" applyFont="1" applyFill="1"/>
    <xf numFmtId="0" fontId="11" fillId="0" borderId="0" xfId="0" applyFont="1"/>
    <xf numFmtId="0" fontId="1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6793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17795336336966"/>
                  <c:y val="0.183719743365412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a-ES"/>
                </a:p>
              </c:txPr>
            </c:trendlineLbl>
          </c:trendline>
          <c:xVal>
            <c:numRef>
              <c:f>LA_Calibration_curve!$L$11:$L$16</c:f>
              <c:numCache>
                <c:formatCode>0.00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2.5</c:v>
                </c:pt>
                <c:pt idx="3">
                  <c:v>1.25</c:v>
                </c:pt>
                <c:pt idx="4">
                  <c:v>0.625</c:v>
                </c:pt>
                <c:pt idx="5">
                  <c:v>0.3125</c:v>
                </c:pt>
              </c:numCache>
            </c:numRef>
          </c:xVal>
          <c:yVal>
            <c:numRef>
              <c:f>LA_Calibration_curve!$M$11:$M$16</c:f>
              <c:numCache>
                <c:formatCode>General</c:formatCode>
                <c:ptCount val="6"/>
                <c:pt idx="0">
                  <c:v>1.2999999999999998</c:v>
                </c:pt>
                <c:pt idx="1">
                  <c:v>0.67233333333333334</c:v>
                </c:pt>
                <c:pt idx="2">
                  <c:v>0.34266666666666667</c:v>
                </c:pt>
                <c:pt idx="3">
                  <c:v>0.15733333333333335</c:v>
                </c:pt>
                <c:pt idx="4">
                  <c:v>8.1000000000000003E-2</c:v>
                </c:pt>
                <c:pt idx="5">
                  <c:v>4.1000000000000002E-2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5C-436F-BB53-181A29B8C06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48189869789055E-2"/>
                  <c:y val="4.787575898798237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a-E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LA_Calibration_curve!$N$32:$N$40</c:f>
                <c:numCache>
                  <c:formatCode>General</c:formatCode>
                  <c:ptCount val="9"/>
                  <c:pt idx="0">
                    <c:v>1.2256517540566834E-2</c:v>
                  </c:pt>
                  <c:pt idx="1">
                    <c:v>4.8928519290900259E-2</c:v>
                  </c:pt>
                  <c:pt idx="2">
                    <c:v>4.9216076867444709E-3</c:v>
                  </c:pt>
                  <c:pt idx="3">
                    <c:v>4.1096093353126546E-3</c:v>
                  </c:pt>
                  <c:pt idx="4">
                    <c:v>8.6409875978771481E-3</c:v>
                  </c:pt>
                  <c:pt idx="5">
                    <c:v>1.4142135623730965E-3</c:v>
                  </c:pt>
                  <c:pt idx="6">
                    <c:v>1.2472191289246467E-3</c:v>
                  </c:pt>
                  <c:pt idx="7">
                    <c:v>1.7133463034528531E-2</c:v>
                  </c:pt>
                  <c:pt idx="8">
                    <c:v>2.0548046676563255E-3</c:v>
                  </c:pt>
                </c:numCache>
              </c:numRef>
            </c:plus>
            <c:minus>
              <c:numRef>
                <c:f>LA_Calibration_curve!$N$32:$N$40</c:f>
                <c:numCache>
                  <c:formatCode>General</c:formatCode>
                  <c:ptCount val="9"/>
                  <c:pt idx="0">
                    <c:v>1.2256517540566834E-2</c:v>
                  </c:pt>
                  <c:pt idx="1">
                    <c:v>4.8928519290900259E-2</c:v>
                  </c:pt>
                  <c:pt idx="2">
                    <c:v>4.9216076867444709E-3</c:v>
                  </c:pt>
                  <c:pt idx="3">
                    <c:v>4.1096093353126546E-3</c:v>
                  </c:pt>
                  <c:pt idx="4">
                    <c:v>8.6409875978771481E-3</c:v>
                  </c:pt>
                  <c:pt idx="5">
                    <c:v>1.4142135623730965E-3</c:v>
                  </c:pt>
                  <c:pt idx="6">
                    <c:v>1.2472191289246467E-3</c:v>
                  </c:pt>
                  <c:pt idx="7">
                    <c:v>1.7133463034528531E-2</c:v>
                  </c:pt>
                  <c:pt idx="8">
                    <c:v>2.0548046676563255E-3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LA_Calibration_curve!$L$32:$L$40</c:f>
              <c:numCache>
                <c:formatCode>0.00</c:formatCode>
                <c:ptCount val="9"/>
                <c:pt idx="0">
                  <c:v>5</c:v>
                </c:pt>
                <c:pt idx="1">
                  <c:v>2.5</c:v>
                </c:pt>
                <c:pt idx="2">
                  <c:v>1.25</c:v>
                </c:pt>
                <c:pt idx="3">
                  <c:v>0.625</c:v>
                </c:pt>
                <c:pt idx="4">
                  <c:v>0.3125</c:v>
                </c:pt>
                <c:pt idx="5">
                  <c:v>0.15625</c:v>
                </c:pt>
                <c:pt idx="6">
                  <c:v>7.8125E-2</c:v>
                </c:pt>
                <c:pt idx="7">
                  <c:v>3.90625E-2</c:v>
                </c:pt>
                <c:pt idx="8">
                  <c:v>1.953125E-2</c:v>
                </c:pt>
              </c:numCache>
            </c:numRef>
          </c:xVal>
          <c:yVal>
            <c:numRef>
              <c:f>LA_Calibration_curve!$M$32:$M$40</c:f>
              <c:numCache>
                <c:formatCode>General</c:formatCode>
                <c:ptCount val="9"/>
                <c:pt idx="0">
                  <c:v>1.3363333333333332</c:v>
                </c:pt>
                <c:pt idx="1">
                  <c:v>0.69799999999999995</c:v>
                </c:pt>
                <c:pt idx="2">
                  <c:v>0.37433333333333335</c:v>
                </c:pt>
                <c:pt idx="3">
                  <c:v>0.19366666666666665</c:v>
                </c:pt>
                <c:pt idx="4">
                  <c:v>0.10400000000000002</c:v>
                </c:pt>
                <c:pt idx="5">
                  <c:v>5.3999999999999999E-2</c:v>
                </c:pt>
                <c:pt idx="6">
                  <c:v>2.4333333333333335E-2</c:v>
                </c:pt>
                <c:pt idx="7">
                  <c:v>3.1333333333333331E-2</c:v>
                </c:pt>
                <c:pt idx="8">
                  <c:v>5.6666666666666671E-3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5C-436F-BB53-181A29B8C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37128"/>
        <c:axId val="179346272"/>
      </c:scatterChart>
      <c:valAx>
        <c:axId val="15323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79346272"/>
        <c:crosses val="autoZero"/>
        <c:crossBetween val="midCat"/>
      </c:valAx>
      <c:valAx>
        <c:axId val="17934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53237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'R1'!$B$10:$B$21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'R1'!$H$10:$H$21</c:f>
              <c:numCache>
                <c:formatCode>General</c:formatCode>
                <c:ptCount val="12"/>
                <c:pt idx="0" formatCode="0.00">
                  <c:v>5.2504200023088936</c:v>
                </c:pt>
                <c:pt idx="4" formatCode="0.00">
                  <c:v>6.8808135922807914</c:v>
                </c:pt>
                <c:pt idx="5" formatCode="0.00">
                  <c:v>8.1986570869544231</c:v>
                </c:pt>
                <c:pt idx="9" formatCode="0.00">
                  <c:v>8.0253058652647695</c:v>
                </c:pt>
                <c:pt idx="10" formatCode="0.00">
                  <c:v>8.0492180226701819</c:v>
                </c:pt>
                <c:pt idx="11" formatCode="0.00">
                  <c:v>7.9344984512435675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C-4DE2-8996-8E5BA170B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</a:t>
            </a:r>
          </a:p>
        </c:rich>
      </c:tx>
      <c:layout>
        <c:manualLayout>
          <c:xMode val="edge"/>
          <c:yMode val="edge"/>
          <c:x val="0.4247222222222222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'R1'!$B$32:$B$43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'R1'!$H$32:$H$43</c:f>
              <c:numCache>
                <c:formatCode>General</c:formatCode>
                <c:ptCount val="12"/>
                <c:pt idx="0" formatCode="0.00">
                  <c:v>3.7781512503836434</c:v>
                </c:pt>
                <c:pt idx="4" formatCode="0.00">
                  <c:v>0</c:v>
                </c:pt>
                <c:pt idx="5" formatCode="0.00">
                  <c:v>7.3979400086720375</c:v>
                </c:pt>
                <c:pt idx="9" formatCode="0.00">
                  <c:v>8.5728716022004807</c:v>
                </c:pt>
                <c:pt idx="10" formatCode="0.00">
                  <c:v>8.4623979978989556</c:v>
                </c:pt>
                <c:pt idx="11" formatCode="0.00">
                  <c:v>7.982271233039568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4-41CD-BA16-C58E5F3E5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'R1'!$B$52:$B$63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'R1'!$H$52:$H$63</c:f>
              <c:numCache>
                <c:formatCode>General</c:formatCode>
                <c:ptCount val="12"/>
                <c:pt idx="0" formatCode="0.00">
                  <c:v>3.6232492903979003</c:v>
                </c:pt>
                <c:pt idx="4" formatCode="0.00">
                  <c:v>5.1409268419924299</c:v>
                </c:pt>
                <c:pt idx="5" formatCode="0.00">
                  <c:v>7</c:v>
                </c:pt>
                <c:pt idx="9" formatCode="0.00">
                  <c:v>8.2734034933637854</c:v>
                </c:pt>
                <c:pt idx="10" formatCode="0.00">
                  <c:v>8.5888317255942077</c:v>
                </c:pt>
                <c:pt idx="11" formatCode="0.00">
                  <c:v>8.6551384348113825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E8-47BF-A2AD-45AE7240A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'R1'!$H$73:$H$84</c:f>
              <c:numCache>
                <c:formatCode>0.00</c:formatCode>
                <c:ptCount val="12"/>
                <c:pt idx="0">
                  <c:v>5.1271047983648073</c:v>
                </c:pt>
                <c:pt idx="1">
                  <c:v>5.6294095991027193</c:v>
                </c:pt>
                <c:pt idx="2">
                  <c:v>5.9542425094393252</c:v>
                </c:pt>
                <c:pt idx="3">
                  <c:v>6.5237464668115646</c:v>
                </c:pt>
                <c:pt idx="4">
                  <c:v>6.8808135922807914</c:v>
                </c:pt>
                <c:pt idx="5">
                  <c:v>8.1139433523068369</c:v>
                </c:pt>
                <c:pt idx="6">
                  <c:v>7.5797835966168101</c:v>
                </c:pt>
                <c:pt idx="7">
                  <c:v>8.0934216851622356</c:v>
                </c:pt>
                <c:pt idx="8">
                  <c:v>8.0934216851622356</c:v>
                </c:pt>
                <c:pt idx="9">
                  <c:v>8.1003705451175634</c:v>
                </c:pt>
                <c:pt idx="10">
                  <c:v>8.1702617153949575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9-424B-A339-658600224C1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'R1'!$I$73:$I$84</c:f>
              <c:numCache>
                <c:formatCode>0.00</c:formatCode>
                <c:ptCount val="12"/>
                <c:pt idx="0">
                  <c:v>3.7323937598229686</c:v>
                </c:pt>
                <c:pt idx="1">
                  <c:v>3.9637878273455551</c:v>
                </c:pt>
                <c:pt idx="2">
                  <c:v>4.2741578492636796</c:v>
                </c:pt>
                <c:pt idx="3">
                  <c:v>4.7075701760979367</c:v>
                </c:pt>
                <c:pt idx="4">
                  <c:v>5.1283992687178062</c:v>
                </c:pt>
                <c:pt idx="5">
                  <c:v>2.5211380837040362</c:v>
                </c:pt>
                <c:pt idx="6">
                  <c:v>0</c:v>
                </c:pt>
                <c:pt idx="7">
                  <c:v>1.893206753059848</c:v>
                </c:pt>
                <c:pt idx="8">
                  <c:v>2.2211533219547053</c:v>
                </c:pt>
                <c:pt idx="9">
                  <c:v>2.4885507165004443</c:v>
                </c:pt>
                <c:pt idx="10">
                  <c:v>2.2041199826559246</c:v>
                </c:pt>
                <c:pt idx="11">
                  <c:v>3.0492180226701815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B9-424B-A339-658600224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'R1'!$B$95:$B$106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'R1'!$H$95:$H$106</c:f>
              <c:numCache>
                <c:formatCode>0.00</c:formatCode>
                <c:ptCount val="12"/>
                <c:pt idx="0">
                  <c:v>3.7781512503836434</c:v>
                </c:pt>
                <c:pt idx="1">
                  <c:v>3.9030899869919438</c:v>
                </c:pt>
                <c:pt idx="2">
                  <c:v>4.7781512503836439</c:v>
                </c:pt>
                <c:pt idx="3">
                  <c:v>5.0791812460476251</c:v>
                </c:pt>
                <c:pt idx="4">
                  <c:v>0</c:v>
                </c:pt>
                <c:pt idx="5">
                  <c:v>7</c:v>
                </c:pt>
                <c:pt idx="6">
                  <c:v>7.4471580313422194</c:v>
                </c:pt>
                <c:pt idx="7">
                  <c:v>7.924279286061882</c:v>
                </c:pt>
                <c:pt idx="8">
                  <c:v>8.1335389083702179</c:v>
                </c:pt>
                <c:pt idx="9">
                  <c:v>8.2355284469075496</c:v>
                </c:pt>
                <c:pt idx="10">
                  <c:v>8.1702617153949575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E6-4F0B-814F-3386148563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'R1'!$I$95:$I$106</c:f>
              <c:numCache>
                <c:formatCode>0.00</c:formatCode>
                <c:ptCount val="12"/>
                <c:pt idx="0">
                  <c:v>3.7323937598229686</c:v>
                </c:pt>
                <c:pt idx="1">
                  <c:v>3.9637878273455551</c:v>
                </c:pt>
                <c:pt idx="2">
                  <c:v>4.4048337166199385</c:v>
                </c:pt>
                <c:pt idx="3">
                  <c:v>4.5078558716958312</c:v>
                </c:pt>
                <c:pt idx="4">
                  <c:v>4.8633228601204559</c:v>
                </c:pt>
                <c:pt idx="5">
                  <c:v>7.1105897102992488</c:v>
                </c:pt>
                <c:pt idx="6">
                  <c:v>7.2787536009528289</c:v>
                </c:pt>
                <c:pt idx="7">
                  <c:v>7.3263358609287517</c:v>
                </c:pt>
                <c:pt idx="8">
                  <c:v>7.50740605862413</c:v>
                </c:pt>
                <c:pt idx="9">
                  <c:v>7.3747483460101035</c:v>
                </c:pt>
                <c:pt idx="10">
                  <c:v>7.2973957110088872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E6-4F0B-814F-338614856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'R1'!$B$115:$B$126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'R1'!$H$115:$H$126</c:f>
              <c:numCache>
                <c:formatCode>0.00</c:formatCode>
                <c:ptCount val="12"/>
                <c:pt idx="0">
                  <c:v>5.4996870826184034</c:v>
                </c:pt>
                <c:pt idx="1">
                  <c:v>5.6493348587121419</c:v>
                </c:pt>
                <c:pt idx="2">
                  <c:v>6.4969296480732153</c:v>
                </c:pt>
                <c:pt idx="3">
                  <c:v>7.0413926851582254</c:v>
                </c:pt>
                <c:pt idx="4">
                  <c:v>7.3802112417116064</c:v>
                </c:pt>
                <c:pt idx="5">
                  <c:v>8.1335389083702179</c:v>
                </c:pt>
                <c:pt idx="6">
                  <c:v>8.0644579892269181</c:v>
                </c:pt>
                <c:pt idx="7">
                  <c:v>8.2253092817258633</c:v>
                </c:pt>
                <c:pt idx="8">
                  <c:v>8.1818435879447726</c:v>
                </c:pt>
                <c:pt idx="9">
                  <c:v>8.1461280356782382</c:v>
                </c:pt>
                <c:pt idx="10">
                  <c:v>8.1461280356782382</c:v>
                </c:pt>
                <c:pt idx="11">
                  <c:v>8.008600171761918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19-420C-ADC3-5CAB845947A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'R1'!$I$115:$I$126</c:f>
              <c:numCache>
                <c:formatCode>0.00</c:formatCode>
                <c:ptCount val="12"/>
                <c:pt idx="0">
                  <c:v>3.3222192947339191</c:v>
                </c:pt>
                <c:pt idx="1">
                  <c:v>3.8920946026904804</c:v>
                </c:pt>
                <c:pt idx="2">
                  <c:v>3.9956351945975501</c:v>
                </c:pt>
                <c:pt idx="3">
                  <c:v>4.2552725051033065</c:v>
                </c:pt>
                <c:pt idx="4">
                  <c:v>5.0170333392987807</c:v>
                </c:pt>
                <c:pt idx="5">
                  <c:v>5.6020599913279625</c:v>
                </c:pt>
                <c:pt idx="6">
                  <c:v>5.5797835966168101</c:v>
                </c:pt>
                <c:pt idx="7">
                  <c:v>5.5797835966168101</c:v>
                </c:pt>
                <c:pt idx="8">
                  <c:v>5.4149733479708182</c:v>
                </c:pt>
                <c:pt idx="9">
                  <c:v>5.2552725051033065</c:v>
                </c:pt>
                <c:pt idx="10">
                  <c:v>5.3692158574101425</c:v>
                </c:pt>
                <c:pt idx="11">
                  <c:v>5.2552725051033065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19-420C-ADC3-5CAB84594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'R2'!$B$10:$B$21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'R2'!$H$10:$H$21</c:f>
              <c:numCache>
                <c:formatCode>General</c:formatCode>
                <c:ptCount val="12"/>
                <c:pt idx="0" formatCode="0.00">
                  <c:v>5.3263358609287517</c:v>
                </c:pt>
                <c:pt idx="4" formatCode="0.00">
                  <c:v>6.7481880270062007</c:v>
                </c:pt>
                <c:pt idx="5" formatCode="0.00">
                  <c:v>8.0934216851622356</c:v>
                </c:pt>
                <c:pt idx="9" formatCode="0.00">
                  <c:v>8.1643528557844363</c:v>
                </c:pt>
                <c:pt idx="10" formatCode="0.00">
                  <c:v>8.0791812460476251</c:v>
                </c:pt>
                <c:pt idx="11" formatCode="0.00">
                  <c:v>8.1072099696478688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22-4C60-A89D-572F5378B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'R2'!$B$32:$B$43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'R2'!$H$32:$H$43</c:f>
              <c:numCache>
                <c:formatCode>General</c:formatCode>
                <c:ptCount val="12"/>
                <c:pt idx="0" formatCode="0.00">
                  <c:v>3.6020599913279625</c:v>
                </c:pt>
                <c:pt idx="4" formatCode="0.00">
                  <c:v>5.6020599913279625</c:v>
                </c:pt>
                <c:pt idx="5" formatCode="0.00">
                  <c:v>7.3010299956639813</c:v>
                </c:pt>
                <c:pt idx="9" formatCode="0.00">
                  <c:v>8.1643528557844363</c:v>
                </c:pt>
                <c:pt idx="10" formatCode="0.00">
                  <c:v>8.0934216851622356</c:v>
                </c:pt>
                <c:pt idx="11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B-4701-B488-5184C127D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'R2'!$B$52:$B$63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'R2'!$H$52:$H$63</c:f>
              <c:numCache>
                <c:formatCode>General</c:formatCode>
                <c:ptCount val="12"/>
                <c:pt idx="0" formatCode="0.00">
                  <c:v>3.7923916894982539</c:v>
                </c:pt>
                <c:pt idx="4" formatCode="0.00">
                  <c:v>5.1346020532876793</c:v>
                </c:pt>
                <c:pt idx="5" formatCode="0.00">
                  <c:v>7.1583624920952493</c:v>
                </c:pt>
                <c:pt idx="9" formatCode="0.00">
                  <c:v>8.4329692908744054</c:v>
                </c:pt>
                <c:pt idx="10" formatCode="0.00">
                  <c:v>8.7512791039833431</c:v>
                </c:pt>
                <c:pt idx="11" formatCode="0.00">
                  <c:v>8.6937269489236471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A-4562-9A97-8E7725B03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'R2'!$H$73:$H$84</c:f>
              <c:numCache>
                <c:formatCode>0.00</c:formatCode>
                <c:ptCount val="12"/>
                <c:pt idx="0">
                  <c:v>5.2922560713564764</c:v>
                </c:pt>
                <c:pt idx="1">
                  <c:v>5.5932860670204576</c:v>
                </c:pt>
                <c:pt idx="2">
                  <c:v>6.0934216851622347</c:v>
                </c:pt>
                <c:pt idx="3">
                  <c:v>6.4683473304121577</c:v>
                </c:pt>
                <c:pt idx="4">
                  <c:v>6.9637878273455556</c:v>
                </c:pt>
                <c:pt idx="5">
                  <c:v>8.1583624920952502</c:v>
                </c:pt>
                <c:pt idx="6">
                  <c:v>8.1583624920952502</c:v>
                </c:pt>
                <c:pt idx="7">
                  <c:v>8.2355284469075496</c:v>
                </c:pt>
                <c:pt idx="8">
                  <c:v>8.2455126678141504</c:v>
                </c:pt>
                <c:pt idx="9">
                  <c:v>8.1072099696478688</c:v>
                </c:pt>
                <c:pt idx="10">
                  <c:v>8.1818435879447726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C9-4DB6-89B4-EB09DDE9C87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'R2'!$B$73:$B$84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'R2'!$I$73:$I$84</c:f>
              <c:numCache>
                <c:formatCode>0.00</c:formatCode>
                <c:ptCount val="12"/>
                <c:pt idx="0">
                  <c:v>3.6020599913279625</c:v>
                </c:pt>
                <c:pt idx="1">
                  <c:v>3.6812412373755872</c:v>
                </c:pt>
                <c:pt idx="2">
                  <c:v>4.0863598306747484</c:v>
                </c:pt>
                <c:pt idx="3">
                  <c:v>4.6627578316815743</c:v>
                </c:pt>
                <c:pt idx="4">
                  <c:v>4.7435097647284294</c:v>
                </c:pt>
                <c:pt idx="5">
                  <c:v>2.6020599913279625</c:v>
                </c:pt>
                <c:pt idx="6">
                  <c:v>1.6020599913279623</c:v>
                </c:pt>
                <c:pt idx="7">
                  <c:v>1.0839801289293935</c:v>
                </c:pt>
                <c:pt idx="8">
                  <c:v>1.1760912590556813</c:v>
                </c:pt>
                <c:pt idx="9">
                  <c:v>0.7323937598229685</c:v>
                </c:pt>
                <c:pt idx="10">
                  <c:v>0.90308998699194354</c:v>
                </c:pt>
                <c:pt idx="11">
                  <c:v>0.6020599913279624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C9-4DB6-89B4-EB09DDE9C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'R2'!$B$95:$B$106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'R2'!$H$95:$H$106</c:f>
              <c:numCache>
                <c:formatCode>0.00</c:formatCode>
                <c:ptCount val="12"/>
                <c:pt idx="0">
                  <c:v>3.255272505103306</c:v>
                </c:pt>
                <c:pt idx="1">
                  <c:v>4.1461280356782382</c:v>
                </c:pt>
                <c:pt idx="2">
                  <c:v>4.3010299956639813</c:v>
                </c:pt>
                <c:pt idx="3">
                  <c:v>4.7781512503836439</c:v>
                </c:pt>
                <c:pt idx="4">
                  <c:v>0</c:v>
                </c:pt>
                <c:pt idx="5">
                  <c:v>7.1461280356782382</c:v>
                </c:pt>
                <c:pt idx="6">
                  <c:v>7.5051499783199063</c:v>
                </c:pt>
                <c:pt idx="7">
                  <c:v>8</c:v>
                </c:pt>
                <c:pt idx="8">
                  <c:v>0</c:v>
                </c:pt>
                <c:pt idx="9">
                  <c:v>8.1335389083702179</c:v>
                </c:pt>
                <c:pt idx="10">
                  <c:v>8.2552725051033065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1C-4F0A-8EDA-A9710FB23B2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'R2'!$B$95:$B$106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'R2'!$I$95:$I$106</c:f>
              <c:numCache>
                <c:formatCode>0.00</c:formatCode>
                <c:ptCount val="12"/>
                <c:pt idx="0">
                  <c:v>3.7323937598229686</c:v>
                </c:pt>
                <c:pt idx="1">
                  <c:v>3.8450980400142569</c:v>
                </c:pt>
                <c:pt idx="2">
                  <c:v>4.2787536009528289</c:v>
                </c:pt>
                <c:pt idx="3">
                  <c:v>4.8020892578817325</c:v>
                </c:pt>
                <c:pt idx="4">
                  <c:v>5.3010299956639813</c:v>
                </c:pt>
                <c:pt idx="5">
                  <c:v>6.9946103967603888</c:v>
                </c:pt>
                <c:pt idx="6">
                  <c:v>7.2584776449785178</c:v>
                </c:pt>
                <c:pt idx="7">
                  <c:v>7.3598354823398884</c:v>
                </c:pt>
                <c:pt idx="8">
                  <c:v>0</c:v>
                </c:pt>
                <c:pt idx="9">
                  <c:v>7.5056021329488827</c:v>
                </c:pt>
                <c:pt idx="10">
                  <c:v>7.2863067388432752</c:v>
                </c:pt>
                <c:pt idx="11">
                  <c:v>7.343080204765978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1C-4F0A-8EDA-A9710FB23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'R2'!$B$114:$B$125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'R2'!$H$114:$H$125</c:f>
              <c:numCache>
                <c:formatCode>0.00</c:formatCode>
                <c:ptCount val="12"/>
                <c:pt idx="0">
                  <c:v>5.3979400086720375</c:v>
                </c:pt>
                <c:pt idx="1">
                  <c:v>5.5843312243675305</c:v>
                </c:pt>
                <c:pt idx="2">
                  <c:v>6.4969296480732153</c:v>
                </c:pt>
                <c:pt idx="3">
                  <c:v>7.0569048513364727</c:v>
                </c:pt>
                <c:pt idx="4">
                  <c:v>7.5440680443502757</c:v>
                </c:pt>
                <c:pt idx="5">
                  <c:v>8.1398790864012369</c:v>
                </c:pt>
                <c:pt idx="6">
                  <c:v>8.1760912590556813</c:v>
                </c:pt>
                <c:pt idx="7">
                  <c:v>8.3138672203691542</c:v>
                </c:pt>
                <c:pt idx="8">
                  <c:v>8.2600713879850751</c:v>
                </c:pt>
                <c:pt idx="9">
                  <c:v>8.2095150145426317</c:v>
                </c:pt>
                <c:pt idx="10">
                  <c:v>8.1760912590556813</c:v>
                </c:pt>
                <c:pt idx="11">
                  <c:v>8.0934216851622356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1C-476B-814A-5001FDEE651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'R2'!$B$114:$B$125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'R2'!$I$114:$I$125</c:f>
              <c:numCache>
                <c:formatCode>0.00</c:formatCode>
                <c:ptCount val="12"/>
                <c:pt idx="0">
                  <c:v>3.4149733479708178</c:v>
                </c:pt>
                <c:pt idx="1">
                  <c:v>3.6434526764861874</c:v>
                </c:pt>
                <c:pt idx="2">
                  <c:v>4.1205739312058496</c:v>
                </c:pt>
                <c:pt idx="3">
                  <c:v>4.4771212547196626</c:v>
                </c:pt>
                <c:pt idx="4">
                  <c:v>4.9444826721501682</c:v>
                </c:pt>
                <c:pt idx="5">
                  <c:v>5.6812412373755876</c:v>
                </c:pt>
                <c:pt idx="6">
                  <c:v>5.4471580313422194</c:v>
                </c:pt>
                <c:pt idx="7">
                  <c:v>5.6232492903979008</c:v>
                </c:pt>
                <c:pt idx="8">
                  <c:v>5.5563025007672868</c:v>
                </c:pt>
                <c:pt idx="9">
                  <c:v>5.3424226808222066</c:v>
                </c:pt>
                <c:pt idx="10">
                  <c:v>5.424881636631067</c:v>
                </c:pt>
                <c:pt idx="11">
                  <c:v>5.5314789170422554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1C-476B-814A-5001FDEE6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'R3'!$B$10:$B$21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'R3'!$H$10:$H$21</c:f>
              <c:numCache>
                <c:formatCode>General</c:formatCode>
                <c:ptCount val="12"/>
                <c:pt idx="0" formatCode="0.00">
                  <c:v>5.2741578492636796</c:v>
                </c:pt>
                <c:pt idx="4" formatCode="0.00">
                  <c:v>6.9030899869919438</c:v>
                </c:pt>
                <c:pt idx="5" formatCode="0.00">
                  <c:v>8.2600713879850751</c:v>
                </c:pt>
                <c:pt idx="9" formatCode="0.00">
                  <c:v>8.3010299956639813</c:v>
                </c:pt>
                <c:pt idx="10" formatCode="0.00">
                  <c:v>8.1522883443830558</c:v>
                </c:pt>
                <c:pt idx="11" formatCode="0.00">
                  <c:v>8.214843848047698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D-4529-B920-873F79C64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'R3'!$B$32:$B$43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'R3'!$H$32:$H$43</c:f>
              <c:numCache>
                <c:formatCode>General</c:formatCode>
                <c:ptCount val="12"/>
                <c:pt idx="0" formatCode="0.00">
                  <c:v>4</c:v>
                </c:pt>
                <c:pt idx="4" formatCode="0.00">
                  <c:v>5.6020599913279625</c:v>
                </c:pt>
                <c:pt idx="5" formatCode="0.00">
                  <c:v>7.5797835966168101</c:v>
                </c:pt>
                <c:pt idx="9" formatCode="0.00">
                  <c:v>8.3010299956639813</c:v>
                </c:pt>
                <c:pt idx="10" formatCode="0.00">
                  <c:v>8.1461280356782382</c:v>
                </c:pt>
                <c:pt idx="11" formatCode="0.00">
                  <c:v>8.2648178230095368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6-47F3-94A8-1F3F7CEA9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'R3'!$B$52:$B$63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'R3'!$H$52:$H$63</c:f>
              <c:numCache>
                <c:formatCode>General</c:formatCode>
                <c:ptCount val="12"/>
                <c:pt idx="0" formatCode="0.00">
                  <c:v>3.7634279935629373</c:v>
                </c:pt>
                <c:pt idx="4" formatCode="0.00">
                  <c:v>5.3802112417116064</c:v>
                </c:pt>
                <c:pt idx="5" formatCode="0.00">
                  <c:v>7.1760912590556813</c:v>
                </c:pt>
                <c:pt idx="9" formatCode="0.00">
                  <c:v>8.3560258571931225</c:v>
                </c:pt>
                <c:pt idx="10" formatCode="0.00">
                  <c:v>8.7589118923979736</c:v>
                </c:pt>
                <c:pt idx="11" formatCode="0.00">
                  <c:v>8.7075701760979367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4C-4F90-9763-39F06C0FD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'R3'!$B$73:$B$84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'R3'!$H$73:$H$84</c:f>
              <c:numCache>
                <c:formatCode>0.00</c:formatCode>
                <c:ptCount val="12"/>
                <c:pt idx="0">
                  <c:v>5.3617278360175931</c:v>
                </c:pt>
                <c:pt idx="1">
                  <c:v>5.653212513775344</c:v>
                </c:pt>
                <c:pt idx="2">
                  <c:v>6.1583624920952493</c:v>
                </c:pt>
                <c:pt idx="3">
                  <c:v>6.4885507165004439</c:v>
                </c:pt>
                <c:pt idx="4">
                  <c:v>6.8450980400142569</c:v>
                </c:pt>
                <c:pt idx="5">
                  <c:v>8.2878017299302265</c:v>
                </c:pt>
                <c:pt idx="6">
                  <c:v>8.1335389083702179</c:v>
                </c:pt>
                <c:pt idx="7">
                  <c:v>8.2253092817258633</c:v>
                </c:pt>
                <c:pt idx="8">
                  <c:v>8.2504200023088945</c:v>
                </c:pt>
                <c:pt idx="9">
                  <c:v>8.2504200023088945</c:v>
                </c:pt>
                <c:pt idx="10">
                  <c:v>8.220108088040055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2-4A4F-BD62-8BC46363B0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'R3'!$B$73:$B$84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'R3'!$I$73:$I$84</c:f>
              <c:numCache>
                <c:formatCode>0.00</c:formatCode>
                <c:ptCount val="12"/>
                <c:pt idx="0">
                  <c:v>3.6812412373755872</c:v>
                </c:pt>
                <c:pt idx="1">
                  <c:v>3.8061799739838871</c:v>
                </c:pt>
                <c:pt idx="2">
                  <c:v>4.2966651902615309</c:v>
                </c:pt>
                <c:pt idx="3">
                  <c:v>4.653212513775344</c:v>
                </c:pt>
                <c:pt idx="4">
                  <c:v>4.7058637122839189</c:v>
                </c:pt>
                <c:pt idx="5">
                  <c:v>2.5563025007672873</c:v>
                </c:pt>
                <c:pt idx="6">
                  <c:v>1.3010299956639813</c:v>
                </c:pt>
                <c:pt idx="7">
                  <c:v>0.14612803567823801</c:v>
                </c:pt>
                <c:pt idx="8">
                  <c:v>0.44715803134221921</c:v>
                </c:pt>
                <c:pt idx="9">
                  <c:v>0.50514997831990605</c:v>
                </c:pt>
                <c:pt idx="10">
                  <c:v>0.25527250510330607</c:v>
                </c:pt>
                <c:pt idx="11">
                  <c:v>0.3010299956639812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F2-4A4F-BD62-8BC46363B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'R3'!$B$95:$B$106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'R3'!$H$95:$H$106</c:f>
              <c:numCache>
                <c:formatCode>0.00</c:formatCode>
                <c:ptCount val="12"/>
                <c:pt idx="0">
                  <c:v>3.255272505103306</c:v>
                </c:pt>
                <c:pt idx="1">
                  <c:v>3.9030899869919438</c:v>
                </c:pt>
                <c:pt idx="2">
                  <c:v>4.6020599913279625</c:v>
                </c:pt>
                <c:pt idx="3">
                  <c:v>4.9030899869919438</c:v>
                </c:pt>
                <c:pt idx="4">
                  <c:v>0</c:v>
                </c:pt>
                <c:pt idx="5">
                  <c:v>7.4149733479708182</c:v>
                </c:pt>
                <c:pt idx="6">
                  <c:v>7.7323937598229682</c:v>
                </c:pt>
                <c:pt idx="7">
                  <c:v>7.8573324964312681</c:v>
                </c:pt>
                <c:pt idx="8">
                  <c:v>8.2304489213782741</c:v>
                </c:pt>
                <c:pt idx="9">
                  <c:v>8.318063334962762</c:v>
                </c:pt>
                <c:pt idx="10">
                  <c:v>8.4623979978989556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62-484C-ACD0-CAFCA5B8CF1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'R3'!$B$95:$B$106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'R3'!$I$95:$I$106</c:f>
              <c:numCache>
                <c:formatCode>0.00</c:formatCode>
                <c:ptCount val="12"/>
                <c:pt idx="0">
                  <c:v>3.7634279935629373</c:v>
                </c:pt>
                <c:pt idx="1">
                  <c:v>3.8808135922807914</c:v>
                </c:pt>
                <c:pt idx="2">
                  <c:v>4.1875207208364627</c:v>
                </c:pt>
                <c:pt idx="3">
                  <c:v>4.7693773260761381</c:v>
                </c:pt>
                <c:pt idx="4">
                  <c:v>5.0791812460476251</c:v>
                </c:pt>
                <c:pt idx="5">
                  <c:v>7.1249387366082999</c:v>
                </c:pt>
                <c:pt idx="6">
                  <c:v>7.2608660716137683</c:v>
                </c:pt>
                <c:pt idx="7">
                  <c:v>7.3507324517161301</c:v>
                </c:pt>
                <c:pt idx="8">
                  <c:v>7.3566631199368162</c:v>
                </c:pt>
                <c:pt idx="9">
                  <c:v>7.3692158574101425</c:v>
                </c:pt>
                <c:pt idx="10">
                  <c:v>7.3483048630481607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62-484C-ACD0-CAFCA5B8C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'R3'!$B$115:$B$126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'R3'!$H$115:$H$126</c:f>
              <c:numCache>
                <c:formatCode>0.00</c:formatCode>
                <c:ptCount val="12"/>
                <c:pt idx="0">
                  <c:v>5.4623979978989565</c:v>
                </c:pt>
                <c:pt idx="1">
                  <c:v>5.6665179805548807</c:v>
                </c:pt>
                <c:pt idx="2">
                  <c:v>6.6042260530844699</c:v>
                </c:pt>
                <c:pt idx="3">
                  <c:v>7</c:v>
                </c:pt>
                <c:pt idx="4">
                  <c:v>7.4313637641589869</c:v>
                </c:pt>
                <c:pt idx="5">
                  <c:v>8.2405492482825995</c:v>
                </c:pt>
                <c:pt idx="6">
                  <c:v>8.2253092817258633</c:v>
                </c:pt>
                <c:pt idx="7">
                  <c:v>8.318063334962762</c:v>
                </c:pt>
                <c:pt idx="8">
                  <c:v>8.3765769570565123</c:v>
                </c:pt>
                <c:pt idx="9">
                  <c:v>8.4281347940287894</c:v>
                </c:pt>
                <c:pt idx="10">
                  <c:v>8.3010299956639813</c:v>
                </c:pt>
                <c:pt idx="11">
                  <c:v>8.2695129442179169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E-452C-94DF-FBD71FE698A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'R3'!$B$115:$B$126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'R3'!$I$115:$I$126</c:f>
              <c:numCache>
                <c:formatCode>0.00</c:formatCode>
                <c:ptCount val="12"/>
                <c:pt idx="0">
                  <c:v>3.4471580313422194</c:v>
                </c:pt>
                <c:pt idx="1">
                  <c:v>3.7075701760979363</c:v>
                </c:pt>
                <c:pt idx="2">
                  <c:v>4.2430380486862944</c:v>
                </c:pt>
                <c:pt idx="3">
                  <c:v>4.5314789170422554</c:v>
                </c:pt>
                <c:pt idx="4">
                  <c:v>5.1335389083702179</c:v>
                </c:pt>
                <c:pt idx="5">
                  <c:v>5.6812412373755876</c:v>
                </c:pt>
                <c:pt idx="6">
                  <c:v>5.3802112417116064</c:v>
                </c:pt>
                <c:pt idx="7">
                  <c:v>5.7323937598229682</c:v>
                </c:pt>
                <c:pt idx="8">
                  <c:v>5.5563025007672868</c:v>
                </c:pt>
                <c:pt idx="9">
                  <c:v>5.6434526764861879</c:v>
                </c:pt>
                <c:pt idx="10">
                  <c:v>5.3838153659804311</c:v>
                </c:pt>
                <c:pt idx="11">
                  <c:v>5.4149733479708182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AE-452C-94DF-FBD71FE69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'R4'!$B$10:$B$21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'R4'!$H$10:$H$21</c:f>
              <c:numCache>
                <c:formatCode>General</c:formatCode>
                <c:ptCount val="12"/>
                <c:pt idx="0" formatCode="0.00">
                  <c:v>5.0863598306747484</c:v>
                </c:pt>
                <c:pt idx="4" formatCode="0.00">
                  <c:v>6.7781512503836439</c:v>
                </c:pt>
                <c:pt idx="5" formatCode="0.00">
                  <c:v>8.2504200023088945</c:v>
                </c:pt>
                <c:pt idx="9" formatCode="0.00">
                  <c:v>8.3424226808222066</c:v>
                </c:pt>
                <c:pt idx="10" formatCode="0.00">
                  <c:v>8.330413773349191</c:v>
                </c:pt>
                <c:pt idx="11" formatCode="0.00">
                  <c:v>8.2455126678141504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3A-4508-AB81-4662F0B84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23K-R4</a:t>
            </a:r>
          </a:p>
        </c:rich>
      </c:tx>
      <c:layout>
        <c:manualLayout>
          <c:xMode val="edge"/>
          <c:yMode val="edge"/>
          <c:x val="0.4247222222222222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'R4'!$B$32:$B$43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'R4'!$H$32:$H$43</c:f>
              <c:numCache>
                <c:formatCode>General</c:formatCode>
                <c:ptCount val="12"/>
                <c:pt idx="0" formatCode="0.00">
                  <c:v>5.5797835966168101</c:v>
                </c:pt>
                <c:pt idx="4" formatCode="0.00">
                  <c:v>7.5774917998372251</c:v>
                </c:pt>
                <c:pt idx="5" formatCode="0.00">
                  <c:v>8.383815365980432</c:v>
                </c:pt>
                <c:pt idx="9" formatCode="0.00">
                  <c:v>8.3944516808262168</c:v>
                </c:pt>
                <c:pt idx="10" formatCode="0.00">
                  <c:v>8.383815365980432</c:v>
                </c:pt>
                <c:pt idx="11" formatCode="0.00">
                  <c:v>8.2878017299302265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09-4F1B-AA14-667B4E123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'R4'!$B$52:$B$63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'R4'!$H$52:$H$63</c:f>
              <c:numCache>
                <c:formatCode>General</c:formatCode>
                <c:ptCount val="12"/>
                <c:pt idx="0" formatCode="0.00">
                  <c:v>3.1760912590556813</c:v>
                </c:pt>
                <c:pt idx="4" formatCode="0.00">
                  <c:v>5.0334237554869494</c:v>
                </c:pt>
                <c:pt idx="5" formatCode="0.00">
                  <c:v>7.0492180226701819</c:v>
                </c:pt>
                <c:pt idx="9" formatCode="0.00">
                  <c:v>8.4712917110589387</c:v>
                </c:pt>
                <c:pt idx="10" formatCode="0.00">
                  <c:v>8.9436593648289033</c:v>
                </c:pt>
                <c:pt idx="11" formatCode="0.00">
                  <c:v>8.6085260335771938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61-47A1-BFAB-2CB50E562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'R4'!$B$73:$B$84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'R4'!$H$73:$H$84</c:f>
              <c:numCache>
                <c:formatCode>0.00</c:formatCode>
                <c:ptCount val="12"/>
                <c:pt idx="0">
                  <c:v>5.1583624920952493</c:v>
                </c:pt>
                <c:pt idx="1">
                  <c:v>5.563481085394411</c:v>
                </c:pt>
                <c:pt idx="2">
                  <c:v>6.0644579892269181</c:v>
                </c:pt>
                <c:pt idx="3">
                  <c:v>6.424881636631067</c:v>
                </c:pt>
                <c:pt idx="4">
                  <c:v>6.924279286061882</c:v>
                </c:pt>
                <c:pt idx="5">
                  <c:v>8.2304489213782741</c:v>
                </c:pt>
                <c:pt idx="6">
                  <c:v>8.220108088040055</c:v>
                </c:pt>
                <c:pt idx="7">
                  <c:v>8.3053513694466243</c:v>
                </c:pt>
                <c:pt idx="8">
                  <c:v>8.2833012287035501</c:v>
                </c:pt>
                <c:pt idx="9">
                  <c:v>8.3010299956639813</c:v>
                </c:pt>
                <c:pt idx="10">
                  <c:v>8.1818435879447726</c:v>
                </c:pt>
                <c:pt idx="11">
                  <c:v>8.2695129442179169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A-4E4D-8885-867A23CA00A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'R4'!$B$73:$B$84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'R4'!$I$73:$I$84</c:f>
              <c:numCache>
                <c:formatCode>0.00</c:formatCode>
                <c:ptCount val="12"/>
                <c:pt idx="0">
                  <c:v>3.3802112417116059</c:v>
                </c:pt>
                <c:pt idx="1">
                  <c:v>3.5910646070264991</c:v>
                </c:pt>
                <c:pt idx="2">
                  <c:v>4.0530784434834199</c:v>
                </c:pt>
                <c:pt idx="3">
                  <c:v>4.5276299008713385</c:v>
                </c:pt>
                <c:pt idx="4">
                  <c:v>4.8909795969896885</c:v>
                </c:pt>
                <c:pt idx="5">
                  <c:v>2.6599162000698504</c:v>
                </c:pt>
                <c:pt idx="6">
                  <c:v>1.7923916894982539</c:v>
                </c:pt>
                <c:pt idx="7">
                  <c:v>1.6020599913279623</c:v>
                </c:pt>
                <c:pt idx="8">
                  <c:v>1.7853298350107671</c:v>
                </c:pt>
                <c:pt idx="9">
                  <c:v>1.255272505103306</c:v>
                </c:pt>
                <c:pt idx="10">
                  <c:v>1.3010299956639813</c:v>
                </c:pt>
                <c:pt idx="11">
                  <c:v>0.3010299956639812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7A-4E4D-8885-867A23CA0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'R4'!$B$95:$B$106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'R4'!$H$95:$H$106</c:f>
              <c:numCache>
                <c:formatCode>0.00</c:formatCode>
                <c:ptCount val="12"/>
                <c:pt idx="0">
                  <c:v>5.3263358609287517</c:v>
                </c:pt>
                <c:pt idx="1">
                  <c:v>6.0644579892269181</c:v>
                </c:pt>
                <c:pt idx="2">
                  <c:v>6.5132176000679394</c:v>
                </c:pt>
                <c:pt idx="3">
                  <c:v>6.9934362304976121</c:v>
                </c:pt>
                <c:pt idx="4">
                  <c:v>7.6720978579357171</c:v>
                </c:pt>
                <c:pt idx="5">
                  <c:v>8.3909351071033793</c:v>
                </c:pt>
                <c:pt idx="6">
                  <c:v>8.3765769570565123</c:v>
                </c:pt>
                <c:pt idx="7">
                  <c:v>8.357934847000454</c:v>
                </c:pt>
                <c:pt idx="8">
                  <c:v>8.4116197059632309</c:v>
                </c:pt>
                <c:pt idx="9">
                  <c:v>8.3873898263387296</c:v>
                </c:pt>
                <c:pt idx="10">
                  <c:v>8.3692158574101434</c:v>
                </c:pt>
                <c:pt idx="11">
                  <c:v>7.2695129442179161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A6-40F7-A079-40BDF669CEF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'R4'!$B$73:$B$84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'R4'!$I$95:$I$106</c:f>
              <c:numCache>
                <c:formatCode>0.00</c:formatCode>
                <c:ptCount val="12"/>
                <c:pt idx="0">
                  <c:v>3.5563025007672873</c:v>
                </c:pt>
                <c:pt idx="1">
                  <c:v>3.4771212547196626</c:v>
                </c:pt>
                <c:pt idx="2">
                  <c:v>4.1205739312058496</c:v>
                </c:pt>
                <c:pt idx="3">
                  <c:v>4.5158738437116792</c:v>
                </c:pt>
                <c:pt idx="4">
                  <c:v>5.0413926851582254</c:v>
                </c:pt>
                <c:pt idx="5">
                  <c:v>5.6232492903979008</c:v>
                </c:pt>
                <c:pt idx="6">
                  <c:v>5.4771212547196626</c:v>
                </c:pt>
                <c:pt idx="7">
                  <c:v>5.7323937598229682</c:v>
                </c:pt>
                <c:pt idx="8">
                  <c:v>5.6989700043360187</c:v>
                </c:pt>
                <c:pt idx="9">
                  <c:v>5.4771212547196626</c:v>
                </c:pt>
                <c:pt idx="10">
                  <c:v>5.3802112417116064</c:v>
                </c:pt>
                <c:pt idx="11">
                  <c:v>5.1461280356782382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A6-40F7-A079-40BDF669C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'R5'!$B$10:$B$21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'R5'!$H$10:$H$21</c:f>
              <c:numCache>
                <c:formatCode>General</c:formatCode>
                <c:ptCount val="12"/>
                <c:pt idx="0" formatCode="0.00">
                  <c:v>5.1139433523068369</c:v>
                </c:pt>
                <c:pt idx="4" formatCode="0.00">
                  <c:v>6.7781512503836439</c:v>
                </c:pt>
                <c:pt idx="5" formatCode="0.00">
                  <c:v>8.2504200023088945</c:v>
                </c:pt>
                <c:pt idx="9" formatCode="0.00">
                  <c:v>8.3424226808222066</c:v>
                </c:pt>
                <c:pt idx="10" formatCode="0.00">
                  <c:v>8.330413773349191</c:v>
                </c:pt>
                <c:pt idx="11" formatCode="0.00">
                  <c:v>8.2455126678141504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38-41F3-81E6-5169E8F24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'R5'!$B$32:$B$43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'R5'!$H$32:$H$43</c:f>
              <c:numCache>
                <c:formatCode>General</c:formatCode>
                <c:ptCount val="12"/>
                <c:pt idx="0" formatCode="0.00">
                  <c:v>5.3053513694466234</c:v>
                </c:pt>
                <c:pt idx="4" formatCode="0.00">
                  <c:v>0</c:v>
                </c:pt>
                <c:pt idx="5" formatCode="0.00">
                  <c:v>7.8325089127062366</c:v>
                </c:pt>
                <c:pt idx="9" formatCode="0.00">
                  <c:v>0</c:v>
                </c:pt>
                <c:pt idx="10" formatCode="0.00">
                  <c:v>7.8692317197309762</c:v>
                </c:pt>
                <c:pt idx="11" formatCode="0.00">
                  <c:v>7.7781512503836439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00-439B-B5D3-DDA3DC03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'R5'!$B$52:$B$63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'R5'!$H$52:$H$63</c:f>
              <c:numCache>
                <c:formatCode>General</c:formatCode>
                <c:ptCount val="12"/>
                <c:pt idx="0" formatCode="0.00">
                  <c:v>4.1238516409670858</c:v>
                </c:pt>
                <c:pt idx="4" formatCode="0.00">
                  <c:v>4.7634279935629369</c:v>
                </c:pt>
                <c:pt idx="5" formatCode="0.00">
                  <c:v>0</c:v>
                </c:pt>
                <c:pt idx="9" formatCode="0.00">
                  <c:v>8.0791812460476251</c:v>
                </c:pt>
                <c:pt idx="10" formatCode="0.00">
                  <c:v>8.5347197457415014</c:v>
                </c:pt>
                <c:pt idx="11" formatCode="0.00">
                  <c:v>8.5998830720736876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3-442D-AD70-5251C5D1F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'R5'!$B$73:$B$84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'R5'!$H$73:$H$84</c:f>
              <c:numCache>
                <c:formatCode>0.00</c:formatCode>
                <c:ptCount val="12"/>
                <c:pt idx="0">
                  <c:v>5.2253092817258633</c:v>
                </c:pt>
                <c:pt idx="1">
                  <c:v>5.3344537511509307</c:v>
                </c:pt>
                <c:pt idx="2">
                  <c:v>5.9542425094393252</c:v>
                </c:pt>
                <c:pt idx="3">
                  <c:v>6.2695129442179161</c:v>
                </c:pt>
                <c:pt idx="4">
                  <c:v>6.8450980400142569</c:v>
                </c:pt>
                <c:pt idx="5">
                  <c:v>7.8325089127062366</c:v>
                </c:pt>
                <c:pt idx="6">
                  <c:v>8.1875207208364635</c:v>
                </c:pt>
                <c:pt idx="7">
                  <c:v>8.1818435879447726</c:v>
                </c:pt>
                <c:pt idx="8">
                  <c:v>8.1931245983544621</c:v>
                </c:pt>
                <c:pt idx="9">
                  <c:v>8.1205739312058505</c:v>
                </c:pt>
                <c:pt idx="10">
                  <c:v>8.1003705451175634</c:v>
                </c:pt>
                <c:pt idx="11">
                  <c:v>6.7481880270062007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E-4E54-86BC-4544F9A6B5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'R5'!$B$73:$B$84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'R5'!$I$73:$I$84</c:f>
              <c:numCache>
                <c:formatCode>0.00</c:formatCode>
                <c:ptCount val="12"/>
                <c:pt idx="0">
                  <c:v>3.3424226808222062</c:v>
                </c:pt>
                <c:pt idx="1">
                  <c:v>3.4313637641589874</c:v>
                </c:pt>
                <c:pt idx="2">
                  <c:v>3.8808135922807914</c:v>
                </c:pt>
                <c:pt idx="3">
                  <c:v>4.008600171761918</c:v>
                </c:pt>
                <c:pt idx="4">
                  <c:v>4.8976270912904418</c:v>
                </c:pt>
                <c:pt idx="5">
                  <c:v>3.7371926427047373</c:v>
                </c:pt>
                <c:pt idx="6">
                  <c:v>3.5289167002776547</c:v>
                </c:pt>
                <c:pt idx="7">
                  <c:v>3.5078558716958308</c:v>
                </c:pt>
                <c:pt idx="8">
                  <c:v>3.3780343224573315</c:v>
                </c:pt>
                <c:pt idx="9">
                  <c:v>3.137670537236755</c:v>
                </c:pt>
                <c:pt idx="10">
                  <c:v>2.4539295920577286</c:v>
                </c:pt>
                <c:pt idx="11">
                  <c:v>2.3031960574204891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EE-4E54-86BC-4544F9A6B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'R5'!$B$95:$B$106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'R5'!$H$95:$H$106</c:f>
              <c:numCache>
                <c:formatCode>0.00</c:formatCode>
                <c:ptCount val="12"/>
                <c:pt idx="0">
                  <c:v>5.1003705451175625</c:v>
                </c:pt>
                <c:pt idx="1">
                  <c:v>6.0606978403536118</c:v>
                </c:pt>
                <c:pt idx="2">
                  <c:v>6.752816431188271</c:v>
                </c:pt>
                <c:pt idx="3">
                  <c:v>6.7573960287930239</c:v>
                </c:pt>
                <c:pt idx="4">
                  <c:v>7.2253092817258633</c:v>
                </c:pt>
                <c:pt idx="5">
                  <c:v>7.8692317197309762</c:v>
                </c:pt>
                <c:pt idx="6">
                  <c:v>7.7160033436347994</c:v>
                </c:pt>
                <c:pt idx="7">
                  <c:v>7.8808135922807914</c:v>
                </c:pt>
                <c:pt idx="8">
                  <c:v>0</c:v>
                </c:pt>
                <c:pt idx="9">
                  <c:v>7.7923916894982534</c:v>
                </c:pt>
                <c:pt idx="10">
                  <c:v>7.7923916894982534</c:v>
                </c:pt>
                <c:pt idx="11">
                  <c:v>6.6232492903979008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C-4365-9363-9163224CC0E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'R5'!$B$95:$B$106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'R5'!$I$95:$I$106</c:f>
              <c:numCache>
                <c:formatCode>0.00</c:formatCode>
                <c:ptCount val="12"/>
                <c:pt idx="0">
                  <c:v>3.3802112417116059</c:v>
                </c:pt>
                <c:pt idx="1">
                  <c:v>3.4149733479708178</c:v>
                </c:pt>
                <c:pt idx="2">
                  <c:v>3.9684829485539352</c:v>
                </c:pt>
                <c:pt idx="3">
                  <c:v>4.3729120029701063</c:v>
                </c:pt>
                <c:pt idx="4">
                  <c:v>4.8573324964312681</c:v>
                </c:pt>
                <c:pt idx="5">
                  <c:v>5.8692317197309762</c:v>
                </c:pt>
                <c:pt idx="6">
                  <c:v>5.5797835966168101</c:v>
                </c:pt>
                <c:pt idx="7">
                  <c:v>5.4471580313422194</c:v>
                </c:pt>
                <c:pt idx="8">
                  <c:v>0</c:v>
                </c:pt>
                <c:pt idx="9">
                  <c:v>5.8195439355418683</c:v>
                </c:pt>
                <c:pt idx="10">
                  <c:v>5.6627578316815743</c:v>
                </c:pt>
                <c:pt idx="11">
                  <c:v>5.7781512503836439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AC-4365-9363-9163224CC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'R6'!$B$10:$B$21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'R6'!$H$10:$H$21</c:f>
              <c:numCache>
                <c:formatCode>General</c:formatCode>
                <c:ptCount val="12"/>
                <c:pt idx="0" formatCode="0.00">
                  <c:v>5.1072099696478688</c:v>
                </c:pt>
                <c:pt idx="4" formatCode="0.00">
                  <c:v>6.7634279935629369</c:v>
                </c:pt>
                <c:pt idx="5" formatCode="0.00">
                  <c:v>7.8061799739838875</c:v>
                </c:pt>
                <c:pt idx="9" formatCode="0.00">
                  <c:v>8.2504200023088945</c:v>
                </c:pt>
                <c:pt idx="10" formatCode="0.00">
                  <c:v>8.1271047983648081</c:v>
                </c:pt>
                <c:pt idx="11" formatCode="0.00">
                  <c:v>7.9731278535996983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A5-413D-B347-AB3979A94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'R6'!$B$32:$B$43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'R6'!$H$32:$H$43</c:f>
              <c:numCache>
                <c:formatCode>General</c:formatCode>
                <c:ptCount val="12"/>
                <c:pt idx="0" formatCode="0.00">
                  <c:v>5.5563025007672868</c:v>
                </c:pt>
                <c:pt idx="4" formatCode="0.00">
                  <c:v>7.2304489213782741</c:v>
                </c:pt>
                <c:pt idx="5" formatCode="0.00">
                  <c:v>7.8061799739838875</c:v>
                </c:pt>
                <c:pt idx="9" formatCode="0.00">
                  <c:v>7.7323937598229682</c:v>
                </c:pt>
                <c:pt idx="10" formatCode="0.00">
                  <c:v>7.8808135922807914</c:v>
                </c:pt>
                <c:pt idx="11" formatCode="0.00">
                  <c:v>7.7634279935629369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5-462A-97D5-1A732D64A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'R6'!$B$52:$B$63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'R6'!$H$52:$H$63</c:f>
              <c:numCache>
                <c:formatCode>General</c:formatCode>
                <c:ptCount val="12"/>
                <c:pt idx="0" formatCode="0.00">
                  <c:v>3.0413926851582249</c:v>
                </c:pt>
                <c:pt idx="4" formatCode="0.00">
                  <c:v>4.8573324964312681</c:v>
                </c:pt>
                <c:pt idx="5" formatCode="0.00">
                  <c:v>6.7781512503836439</c:v>
                </c:pt>
                <c:pt idx="9" formatCode="0.00">
                  <c:v>8.1931245983544621</c:v>
                </c:pt>
                <c:pt idx="10" formatCode="0.00">
                  <c:v>8.7891104419702302</c:v>
                </c:pt>
                <c:pt idx="11" formatCode="0.00">
                  <c:v>8.6589648426644352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B7-4A0F-BFAE-6BE655E3B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'R6'!$B$73:$B$84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'R6'!$H$73:$H$84</c:f>
              <c:numCache>
                <c:formatCode>0.00</c:formatCode>
                <c:ptCount val="12"/>
                <c:pt idx="0">
                  <c:v>5.1760912590556813</c:v>
                </c:pt>
                <c:pt idx="1">
                  <c:v>5.3838153659804311</c:v>
                </c:pt>
                <c:pt idx="2">
                  <c:v>5.6812412373755876</c:v>
                </c:pt>
                <c:pt idx="3">
                  <c:v>6.214843848047698</c:v>
                </c:pt>
                <c:pt idx="4">
                  <c:v>6.6232492903979008</c:v>
                </c:pt>
                <c:pt idx="5">
                  <c:v>8.1335389083702179</c:v>
                </c:pt>
                <c:pt idx="6">
                  <c:v>8.1583624920952502</c:v>
                </c:pt>
                <c:pt idx="7">
                  <c:v>8.1522883443830558</c:v>
                </c:pt>
                <c:pt idx="8">
                  <c:v>8.1875207208364635</c:v>
                </c:pt>
                <c:pt idx="9">
                  <c:v>8.2504200023088945</c:v>
                </c:pt>
                <c:pt idx="10">
                  <c:v>8.0569048513364727</c:v>
                </c:pt>
                <c:pt idx="1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98-464B-91E4-7D0B4D031A0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'R6'!$B$73:$B$84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'R6'!$I$73:$I$84</c:f>
              <c:numCache>
                <c:formatCode>0.00</c:formatCode>
                <c:ptCount val="12"/>
                <c:pt idx="0">
                  <c:v>3.1760912590556813</c:v>
                </c:pt>
                <c:pt idx="1">
                  <c:v>3.3617278360175931</c:v>
                </c:pt>
                <c:pt idx="2">
                  <c:v>3.7993405494535817</c:v>
                </c:pt>
                <c:pt idx="3">
                  <c:v>4.2576785748691846</c:v>
                </c:pt>
                <c:pt idx="4">
                  <c:v>4.7347998295888472</c:v>
                </c:pt>
                <c:pt idx="5">
                  <c:v>3.7512791039833422</c:v>
                </c:pt>
                <c:pt idx="6">
                  <c:v>3.673941998634088</c:v>
                </c:pt>
                <c:pt idx="7">
                  <c:v>3.5020172148271476</c:v>
                </c:pt>
                <c:pt idx="8">
                  <c:v>3.3486941902655412</c:v>
                </c:pt>
                <c:pt idx="9">
                  <c:v>3.1795517911651876</c:v>
                </c:pt>
                <c:pt idx="10">
                  <c:v>2.3686587123922269</c:v>
                </c:pt>
                <c:pt idx="11">
                  <c:v>2.3873898263387292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98-464B-91E4-7D0B4D031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'R6'!$B$95:$B$106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'R6'!$H$95:$H$106</c:f>
              <c:numCache>
                <c:formatCode>0.00</c:formatCode>
                <c:ptCount val="12"/>
                <c:pt idx="0">
                  <c:v>5.3384564936046051</c:v>
                </c:pt>
                <c:pt idx="1">
                  <c:v>5.4771212547196626</c:v>
                </c:pt>
                <c:pt idx="2">
                  <c:v>6.5051499783199063</c:v>
                </c:pt>
                <c:pt idx="3">
                  <c:v>6.6665179805548807</c:v>
                </c:pt>
                <c:pt idx="4">
                  <c:v>7.0863598306747484</c:v>
                </c:pt>
                <c:pt idx="5">
                  <c:v>7.9138138523837167</c:v>
                </c:pt>
                <c:pt idx="6">
                  <c:v>8.1583624920952502</c:v>
                </c:pt>
                <c:pt idx="7">
                  <c:v>7.7481880270062007</c:v>
                </c:pt>
                <c:pt idx="8">
                  <c:v>7.7923916894982534</c:v>
                </c:pt>
                <c:pt idx="9">
                  <c:v>7.8325089127062366</c:v>
                </c:pt>
                <c:pt idx="10">
                  <c:v>7.8061799739838875</c:v>
                </c:pt>
                <c:pt idx="11">
                  <c:v>6.7160033436347994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1-4F6B-BD85-2A4C092E99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'R6'!$B$95:$B$106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'R6'!$I$95:$I$106</c:f>
              <c:numCache>
                <c:formatCode>0.00</c:formatCode>
                <c:ptCount val="12"/>
                <c:pt idx="0">
                  <c:v>3.2787536009528289</c:v>
                </c:pt>
                <c:pt idx="1">
                  <c:v>3.5314789170422549</c:v>
                </c:pt>
                <c:pt idx="2">
                  <c:v>3.9294189257142929</c:v>
                </c:pt>
                <c:pt idx="3">
                  <c:v>4.3838153659804311</c:v>
                </c:pt>
                <c:pt idx="4">
                  <c:v>4.8325089127062366</c:v>
                </c:pt>
                <c:pt idx="5">
                  <c:v>5.8450980400142569</c:v>
                </c:pt>
                <c:pt idx="6">
                  <c:v>5.8061799739838875</c:v>
                </c:pt>
                <c:pt idx="7">
                  <c:v>5.6812412373755876</c:v>
                </c:pt>
                <c:pt idx="8">
                  <c:v>5.7160033436347994</c:v>
                </c:pt>
                <c:pt idx="9">
                  <c:v>5.7781512503836439</c:v>
                </c:pt>
                <c:pt idx="10">
                  <c:v>5.7781512503836439</c:v>
                </c:pt>
                <c:pt idx="11">
                  <c:v>5.4771212547196626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E1-4F6B-BD85-2A4C092E9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'R7'!$B$10:$B$21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'R7'!$H$10:$H$21</c:f>
              <c:numCache>
                <c:formatCode>General</c:formatCode>
                <c:ptCount val="12"/>
                <c:pt idx="0" formatCode="0.00">
                  <c:v>5.1818435879447726</c:v>
                </c:pt>
                <c:pt idx="4" formatCode="0.00">
                  <c:v>6.8573324964312681</c:v>
                </c:pt>
                <c:pt idx="5" formatCode="0.00">
                  <c:v>8.2922560713564764</c:v>
                </c:pt>
                <c:pt idx="9" formatCode="0.00">
                  <c:v>8.330413773349191</c:v>
                </c:pt>
                <c:pt idx="10" formatCode="0.00">
                  <c:v>8.3010299956639813</c:v>
                </c:pt>
                <c:pt idx="11" formatCode="0.00">
                  <c:v>8.1702617153949575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4-4734-99FE-1063D265D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'R7'!$B$32:$B$43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'R7'!$H$32:$H$43</c:f>
              <c:numCache>
                <c:formatCode>General</c:formatCode>
                <c:ptCount val="12"/>
                <c:pt idx="0" formatCode="0.00">
                  <c:v>5.4116197059632301</c:v>
                </c:pt>
                <c:pt idx="4" formatCode="0.00">
                  <c:v>7.1760912590556813</c:v>
                </c:pt>
                <c:pt idx="5" formatCode="0.00">
                  <c:v>8.0569048513364727</c:v>
                </c:pt>
                <c:pt idx="9" formatCode="0.00">
                  <c:v>8.6148972160331354</c:v>
                </c:pt>
                <c:pt idx="10" formatCode="0.00">
                  <c:v>8.2787536009528289</c:v>
                </c:pt>
                <c:pt idx="11" formatCode="0.00">
                  <c:v>8.1986570869544231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7-42EA-8926-1B6FCC918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'R7'!$B$52:$B$63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'R7'!$H$52:$H$63</c:f>
              <c:numCache>
                <c:formatCode>General</c:formatCode>
                <c:ptCount val="12"/>
                <c:pt idx="0" formatCode="0.00">
                  <c:v>3.4913616938342726</c:v>
                </c:pt>
                <c:pt idx="4" formatCode="0.00">
                  <c:v>4.8450980400142569</c:v>
                </c:pt>
                <c:pt idx="5" formatCode="0.00">
                  <c:v>6.4149733479708182</c:v>
                </c:pt>
                <c:pt idx="9" formatCode="0.00">
                  <c:v>7.924279286061882</c:v>
                </c:pt>
                <c:pt idx="10" formatCode="0.00">
                  <c:v>8.585460729508501</c:v>
                </c:pt>
                <c:pt idx="11" formatCode="0.00">
                  <c:v>8.649334858712141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0-425E-AC87-7CA90090F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'R7'!$B$73:$B$84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'R7'!$H$73:$H$84</c:f>
              <c:numCache>
                <c:formatCode>0.00</c:formatCode>
                <c:ptCount val="12"/>
                <c:pt idx="0">
                  <c:v>5.1271047983648073</c:v>
                </c:pt>
                <c:pt idx="1">
                  <c:v>5.4409090820652173</c:v>
                </c:pt>
                <c:pt idx="2">
                  <c:v>5.9542425094393252</c:v>
                </c:pt>
                <c:pt idx="3">
                  <c:v>6.330413773349191</c:v>
                </c:pt>
                <c:pt idx="4">
                  <c:v>6.8401060944567575</c:v>
                </c:pt>
                <c:pt idx="5">
                  <c:v>8.2878017299302265</c:v>
                </c:pt>
                <c:pt idx="6">
                  <c:v>8.424881636631067</c:v>
                </c:pt>
                <c:pt idx="7">
                  <c:v>8.4683473304121577</c:v>
                </c:pt>
                <c:pt idx="8">
                  <c:v>8.424881636631067</c:v>
                </c:pt>
                <c:pt idx="9">
                  <c:v>8.4913616938342731</c:v>
                </c:pt>
                <c:pt idx="10">
                  <c:v>8.1522883443830558</c:v>
                </c:pt>
                <c:pt idx="11">
                  <c:v>8.214843848047698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E-4EA2-A08A-738238F7EDC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'R7'!$B$73:$B$84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'R7'!$I$73:$I$84</c:f>
              <c:numCache>
                <c:formatCode>0.00</c:formatCode>
                <c:ptCount val="12"/>
                <c:pt idx="0">
                  <c:v>3.3010299956639813</c:v>
                </c:pt>
                <c:pt idx="1">
                  <c:v>3.3802112417116059</c:v>
                </c:pt>
                <c:pt idx="2">
                  <c:v>4.0043213737826422</c:v>
                </c:pt>
                <c:pt idx="3">
                  <c:v>4.330413773349191</c:v>
                </c:pt>
                <c:pt idx="4">
                  <c:v>4.8075350280688536</c:v>
                </c:pt>
                <c:pt idx="5">
                  <c:v>3.716003343634799</c:v>
                </c:pt>
                <c:pt idx="6">
                  <c:v>3.4941545940184429</c:v>
                </c:pt>
                <c:pt idx="7">
                  <c:v>3.4499409887733377</c:v>
                </c:pt>
                <c:pt idx="8">
                  <c:v>3.2041199826559246</c:v>
                </c:pt>
                <c:pt idx="9">
                  <c:v>2.9670797341444972</c:v>
                </c:pt>
                <c:pt idx="10">
                  <c:v>2.1335389083702174</c:v>
                </c:pt>
                <c:pt idx="11">
                  <c:v>1.4653828514484182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E-4EA2-A08A-738238F7E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'R7'!$B$95:$B$106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'R7'!$H$95:$H$106</c:f>
              <c:numCache>
                <c:formatCode>0.00</c:formatCode>
                <c:ptCount val="12"/>
                <c:pt idx="0">
                  <c:v>5.3979400086720375</c:v>
                </c:pt>
                <c:pt idx="1">
                  <c:v>5.4913616938342731</c:v>
                </c:pt>
                <c:pt idx="2">
                  <c:v>6.0569048513364727</c:v>
                </c:pt>
                <c:pt idx="3">
                  <c:v>6.6989700043360187</c:v>
                </c:pt>
                <c:pt idx="4">
                  <c:v>7.0934216851622347</c:v>
                </c:pt>
                <c:pt idx="5">
                  <c:v>8.0644579892269181</c:v>
                </c:pt>
                <c:pt idx="6">
                  <c:v>8.3502480183341632</c:v>
                </c:pt>
                <c:pt idx="7">
                  <c:v>8.2504200023088945</c:v>
                </c:pt>
                <c:pt idx="8">
                  <c:v>8.2648178230095368</c:v>
                </c:pt>
                <c:pt idx="9">
                  <c:v>8.4623979978989556</c:v>
                </c:pt>
                <c:pt idx="10">
                  <c:v>8.1522883443830558</c:v>
                </c:pt>
                <c:pt idx="11">
                  <c:v>8.214843848047698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2C-4639-903B-902C93CC9D2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'R7'!$B$73:$B$84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'R7'!$I$95:$I$106</c:f>
              <c:numCache>
                <c:formatCode>0.00</c:formatCode>
                <c:ptCount val="12"/>
                <c:pt idx="0">
                  <c:v>3.3979400086720375</c:v>
                </c:pt>
                <c:pt idx="1">
                  <c:v>3.6127838567197355</c:v>
                </c:pt>
                <c:pt idx="2">
                  <c:v>3.9395192526186187</c:v>
                </c:pt>
                <c:pt idx="3">
                  <c:v>4.4082399653118491</c:v>
                </c:pt>
                <c:pt idx="4">
                  <c:v>4.7323937598229682</c:v>
                </c:pt>
                <c:pt idx="5">
                  <c:v>5.8450980400142569</c:v>
                </c:pt>
                <c:pt idx="6">
                  <c:v>5.7781512503836439</c:v>
                </c:pt>
                <c:pt idx="7">
                  <c:v>5.6434526764861879</c:v>
                </c:pt>
                <c:pt idx="8">
                  <c:v>5.6989700043360187</c:v>
                </c:pt>
                <c:pt idx="9">
                  <c:v>0</c:v>
                </c:pt>
                <c:pt idx="10">
                  <c:v>5.5797835966168101</c:v>
                </c:pt>
                <c:pt idx="11">
                  <c:v>5.4149733479708182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2C-4639-903B-902C93CC9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'R8'!$B$10:$B$21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'R8'!$H$10:$H$21</c:f>
              <c:numCache>
                <c:formatCode>General</c:formatCode>
                <c:ptCount val="12"/>
                <c:pt idx="0" formatCode="0.00">
                  <c:v>5.1072099696478688</c:v>
                </c:pt>
                <c:pt idx="4" formatCode="0.00">
                  <c:v>6.7160033436347994</c:v>
                </c:pt>
                <c:pt idx="5" formatCode="0.00">
                  <c:v>8.2405492482825995</c:v>
                </c:pt>
                <c:pt idx="9" formatCode="0.00">
                  <c:v>8.214843848047698</c:v>
                </c:pt>
                <c:pt idx="10" formatCode="0.00">
                  <c:v>8.4593924877592315</c:v>
                </c:pt>
                <c:pt idx="11" formatCode="0.00">
                  <c:v>8.1931245983544621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8-466E-BF05-C08321D61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'R8'!$B$32:$B$43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'R8'!$H$32:$H$43</c:f>
              <c:numCache>
                <c:formatCode>General</c:formatCode>
                <c:ptCount val="12"/>
                <c:pt idx="0" formatCode="0.00">
                  <c:v>5.3502480183341632</c:v>
                </c:pt>
                <c:pt idx="4" formatCode="0.00">
                  <c:v>6.9637878273455556</c:v>
                </c:pt>
                <c:pt idx="5" formatCode="0.00">
                  <c:v>8.0644579892269181</c:v>
                </c:pt>
                <c:pt idx="9" formatCode="0.00">
                  <c:v>8.3909351071033793</c:v>
                </c:pt>
                <c:pt idx="10" formatCode="0.00">
                  <c:v>8.2787536009528289</c:v>
                </c:pt>
                <c:pt idx="11" formatCode="0.00">
                  <c:v>8.1271047983648081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F3-40E7-8705-BF2007E97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'R8'!$B$52:$B$63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'R8'!$H$52:$H$63</c:f>
              <c:numCache>
                <c:formatCode>General</c:formatCode>
                <c:ptCount val="12"/>
                <c:pt idx="0" formatCode="0.00">
                  <c:v>3.3222192947339191</c:v>
                </c:pt>
                <c:pt idx="4" formatCode="0.00">
                  <c:v>4.8195439355418683</c:v>
                </c:pt>
                <c:pt idx="5" formatCode="0.00">
                  <c:v>6.4471580313422194</c:v>
                </c:pt>
                <c:pt idx="9" formatCode="0.00">
                  <c:v>7.8325089127062366</c:v>
                </c:pt>
                <c:pt idx="10" formatCode="0.00">
                  <c:v>8.8061799739838875</c:v>
                </c:pt>
                <c:pt idx="11" formatCode="0.00">
                  <c:v>8.7075701760979367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E-4406-BA8D-FEA61096D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'R8'!$B$73:$B$84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'R8'!$H$73:$H$84</c:f>
              <c:numCache>
                <c:formatCode>0.00</c:formatCode>
                <c:ptCount val="12"/>
                <c:pt idx="0">
                  <c:v>5.1271047983648073</c:v>
                </c:pt>
                <c:pt idx="1">
                  <c:v>5.0334237554869494</c:v>
                </c:pt>
                <c:pt idx="2">
                  <c:v>5.7634279935629369</c:v>
                </c:pt>
                <c:pt idx="3">
                  <c:v>6.3138672203691533</c:v>
                </c:pt>
                <c:pt idx="4">
                  <c:v>6.7664128471123997</c:v>
                </c:pt>
                <c:pt idx="5">
                  <c:v>8.1986570869544231</c:v>
                </c:pt>
                <c:pt idx="6">
                  <c:v>8.4116197059632309</c:v>
                </c:pt>
                <c:pt idx="7">
                  <c:v>8.40823996531185</c:v>
                </c:pt>
                <c:pt idx="8">
                  <c:v>8.3979400086720375</c:v>
                </c:pt>
                <c:pt idx="9">
                  <c:v>8.4502491083193618</c:v>
                </c:pt>
                <c:pt idx="10">
                  <c:v>8.3654879848908994</c:v>
                </c:pt>
                <c:pt idx="11">
                  <c:v>8.1818435879447726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D-4EC2-ADB5-9C6238E63D5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'R8'!$B$73:$B$84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'R8'!$I$73:$I$84</c:f>
              <c:numCache>
                <c:formatCode>0.00</c:formatCode>
                <c:ptCount val="12"/>
                <c:pt idx="0">
                  <c:v>3.3010299956639813</c:v>
                </c:pt>
                <c:pt idx="1">
                  <c:v>3.568201724066995</c:v>
                </c:pt>
                <c:pt idx="2">
                  <c:v>3.8260748027008264</c:v>
                </c:pt>
                <c:pt idx="3">
                  <c:v>4.3404441148401185</c:v>
                </c:pt>
                <c:pt idx="4">
                  <c:v>4.6608654780038696</c:v>
                </c:pt>
                <c:pt idx="5">
                  <c:v>3.8965262174895554</c:v>
                </c:pt>
                <c:pt idx="6">
                  <c:v>3.5185139398778875</c:v>
                </c:pt>
                <c:pt idx="7">
                  <c:v>3.5213996281153759</c:v>
                </c:pt>
                <c:pt idx="8">
                  <c:v>3.3215984304653436</c:v>
                </c:pt>
                <c:pt idx="9">
                  <c:v>3.04883008652835</c:v>
                </c:pt>
                <c:pt idx="10">
                  <c:v>2.4502491083193609</c:v>
                </c:pt>
                <c:pt idx="11">
                  <c:v>2.0253058652647704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ED-4EC2-ADB5-9C6238E63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'R8'!$B$95:$B$106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'R8'!$H$95:$H$106</c:f>
              <c:numCache>
                <c:formatCode>0.00</c:formatCode>
                <c:ptCount val="12"/>
                <c:pt idx="0">
                  <c:v>5.2552725051033065</c:v>
                </c:pt>
                <c:pt idx="1">
                  <c:v>5.394451680826216</c:v>
                </c:pt>
                <c:pt idx="2">
                  <c:v>6.0170333392987807</c:v>
                </c:pt>
                <c:pt idx="3">
                  <c:v>6.4712917110589387</c:v>
                </c:pt>
                <c:pt idx="4">
                  <c:v>6.9647309210536292</c:v>
                </c:pt>
                <c:pt idx="5">
                  <c:v>7.982271233039568</c:v>
                </c:pt>
                <c:pt idx="6">
                  <c:v>8.2240148113728644</c:v>
                </c:pt>
                <c:pt idx="7">
                  <c:v>8.220108088040055</c:v>
                </c:pt>
                <c:pt idx="8">
                  <c:v>8.220108088040055</c:v>
                </c:pt>
                <c:pt idx="9">
                  <c:v>8.2253092817258633</c:v>
                </c:pt>
                <c:pt idx="10">
                  <c:v>8.0644579892269181</c:v>
                </c:pt>
                <c:pt idx="11">
                  <c:v>8.1583624920952502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C-4C63-AF36-27BD1A9ED69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'R8'!$B$95:$B$106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'R8'!$I$95:$I$106</c:f>
              <c:numCache>
                <c:formatCode>0.00</c:formatCode>
                <c:ptCount val="12"/>
                <c:pt idx="0">
                  <c:v>3.4313637641589874</c:v>
                </c:pt>
                <c:pt idx="1">
                  <c:v>3.5314789170422549</c:v>
                </c:pt>
                <c:pt idx="2">
                  <c:v>3.9444826721501687</c:v>
                </c:pt>
                <c:pt idx="3">
                  <c:v>4.3242824552976931</c:v>
                </c:pt>
                <c:pt idx="4">
                  <c:v>4.5314789170422554</c:v>
                </c:pt>
                <c:pt idx="5">
                  <c:v>5.7481880270062007</c:v>
                </c:pt>
                <c:pt idx="6">
                  <c:v>5.5797835966168101</c:v>
                </c:pt>
                <c:pt idx="7">
                  <c:v>5.7160033436347994</c:v>
                </c:pt>
                <c:pt idx="8">
                  <c:v>5.8061799739838875</c:v>
                </c:pt>
                <c:pt idx="9">
                  <c:v>5.7634279935629369</c:v>
                </c:pt>
                <c:pt idx="10">
                  <c:v>5.8325089127062366</c:v>
                </c:pt>
                <c:pt idx="11">
                  <c:v>5.7481880270062007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EC-4C63-AF36-27BD1A9ED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'R9'!$B$10:$B$21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'R9'!$H$10:$H$21</c:f>
              <c:numCache>
                <c:formatCode>General</c:formatCode>
                <c:ptCount val="12"/>
                <c:pt idx="0" formatCode="0.00">
                  <c:v>5.2787536009528289</c:v>
                </c:pt>
                <c:pt idx="4" formatCode="0.00">
                  <c:v>6.9444826721501682</c:v>
                </c:pt>
                <c:pt idx="5" formatCode="0.00">
                  <c:v>0</c:v>
                </c:pt>
                <c:pt idx="9" formatCode="0.00">
                  <c:v>8.220108088040055</c:v>
                </c:pt>
                <c:pt idx="10" formatCode="0.00">
                  <c:v>8.357934847000454</c:v>
                </c:pt>
                <c:pt idx="11" formatCode="0.00">
                  <c:v>8.4048337166199385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34-4FE6-A9D8-3D43C177D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'R9'!$B$32:$B$43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'R9'!$H$32:$H$43</c:f>
              <c:numCache>
                <c:formatCode>General</c:formatCode>
                <c:ptCount val="12"/>
                <c:pt idx="0" formatCode="0.00">
                  <c:v>5.3424226808222066</c:v>
                </c:pt>
                <c:pt idx="4" formatCode="0.00">
                  <c:v>7.204119982655925</c:v>
                </c:pt>
                <c:pt idx="5" formatCode="0.00">
                  <c:v>0</c:v>
                </c:pt>
                <c:pt idx="9" formatCode="0.00">
                  <c:v>8.3344537511509316</c:v>
                </c:pt>
                <c:pt idx="10" formatCode="0.00">
                  <c:v>8.3096301674258992</c:v>
                </c:pt>
                <c:pt idx="11" formatCode="0.00">
                  <c:v>8.2922560713564764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2-44B9-945C-DA6C55E01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'R9'!$B$52:$B$63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'R9'!$H$52:$H$63</c:f>
              <c:numCache>
                <c:formatCode>General</c:formatCode>
                <c:ptCount val="12"/>
                <c:pt idx="0" formatCode="0.00">
                  <c:v>3.3617278360175931</c:v>
                </c:pt>
                <c:pt idx="4" formatCode="0.00">
                  <c:v>4.8692317197309762</c:v>
                </c:pt>
                <c:pt idx="5" formatCode="0.00">
                  <c:v>6.5563025007672868</c:v>
                </c:pt>
                <c:pt idx="9" formatCode="0.00">
                  <c:v>8.1522883443830558</c:v>
                </c:pt>
                <c:pt idx="10" formatCode="0.00">
                  <c:v>8.8907934840740896</c:v>
                </c:pt>
                <c:pt idx="11" formatCode="0.00">
                  <c:v>8.7481880270062007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8-4079-A071-720336089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'R9'!$H$73:$H$84</c:f>
              <c:numCache>
                <c:formatCode>0.00</c:formatCode>
                <c:ptCount val="12"/>
                <c:pt idx="0">
                  <c:v>5.1818435879447726</c:v>
                </c:pt>
                <c:pt idx="1">
                  <c:v>5.6085260335771938</c:v>
                </c:pt>
                <c:pt idx="2">
                  <c:v>6.0644579892269181</c:v>
                </c:pt>
                <c:pt idx="3">
                  <c:v>6.480006942957151</c:v>
                </c:pt>
                <c:pt idx="4">
                  <c:v>6.9253120914996495</c:v>
                </c:pt>
                <c:pt idx="5">
                  <c:v>8.2648178230095368</c:v>
                </c:pt>
                <c:pt idx="6">
                  <c:v>8.3979400086720375</c:v>
                </c:pt>
                <c:pt idx="7">
                  <c:v>8.3654879848908994</c:v>
                </c:pt>
                <c:pt idx="8">
                  <c:v>8.4800069429571501</c:v>
                </c:pt>
                <c:pt idx="9">
                  <c:v>8.3424226808222066</c:v>
                </c:pt>
                <c:pt idx="10">
                  <c:v>8.214843848047698</c:v>
                </c:pt>
                <c:pt idx="11">
                  <c:v>8.3873898263387296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7-48F9-A619-C0D58A55421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'R9'!$B$73:$B$84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'R9'!$I$73:$I$84</c:f>
              <c:numCache>
                <c:formatCode>0.00</c:formatCode>
                <c:ptCount val="12"/>
                <c:pt idx="0">
                  <c:v>3.3222192947339191</c:v>
                </c:pt>
                <c:pt idx="1">
                  <c:v>3.7708520116421442</c:v>
                </c:pt>
                <c:pt idx="2">
                  <c:v>3.9956351945975501</c:v>
                </c:pt>
                <c:pt idx="3">
                  <c:v>4.4742162640762553</c:v>
                </c:pt>
                <c:pt idx="4">
                  <c:v>4.8500332576897689</c:v>
                </c:pt>
                <c:pt idx="5">
                  <c:v>3.4683473304121573</c:v>
                </c:pt>
                <c:pt idx="6">
                  <c:v>3.1072099696478683</c:v>
                </c:pt>
                <c:pt idx="7">
                  <c:v>2.4683473304121573</c:v>
                </c:pt>
                <c:pt idx="8">
                  <c:v>1.7781512503836436</c:v>
                </c:pt>
                <c:pt idx="9">
                  <c:v>1.414973347970818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77-48F9-A619-C0D58A554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'R9'!$H$95:$H$106</c:f>
              <c:numCache>
                <c:formatCode>0.00</c:formatCode>
                <c:ptCount val="12"/>
                <c:pt idx="0">
                  <c:v>5.3838153659804311</c:v>
                </c:pt>
                <c:pt idx="1">
                  <c:v>5.5465426634781307</c:v>
                </c:pt>
                <c:pt idx="2">
                  <c:v>6.2833012287035492</c:v>
                </c:pt>
                <c:pt idx="3">
                  <c:v>6.7923916894982534</c:v>
                </c:pt>
                <c:pt idx="4">
                  <c:v>7.4771212547196626</c:v>
                </c:pt>
                <c:pt idx="5">
                  <c:v>8.3424226808222066</c:v>
                </c:pt>
                <c:pt idx="6">
                  <c:v>8.3424226808222066</c:v>
                </c:pt>
                <c:pt idx="7">
                  <c:v>8.383815365980432</c:v>
                </c:pt>
                <c:pt idx="8">
                  <c:v>8.357934847000454</c:v>
                </c:pt>
                <c:pt idx="9">
                  <c:v>8.3096301674258992</c:v>
                </c:pt>
                <c:pt idx="10">
                  <c:v>8.2922560713564764</c:v>
                </c:pt>
                <c:pt idx="11">
                  <c:v>8.3222192947339195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6-4C8E-9240-28172250A09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'R9'!$B$95:$B$106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24.166666666744277</c:v>
                </c:pt>
                <c:pt idx="6">
                  <c:v>27.083333333313931</c:v>
                </c:pt>
                <c:pt idx="7">
                  <c:v>30.083333333313931</c:v>
                </c:pt>
                <c:pt idx="8">
                  <c:v>33.083333333313931</c:v>
                </c:pt>
                <c:pt idx="9">
                  <c:v>35.833333333372138</c:v>
                </c:pt>
                <c:pt idx="10">
                  <c:v>48.25</c:v>
                </c:pt>
                <c:pt idx="11">
                  <c:v>54.083333333313931</c:v>
                </c:pt>
              </c:numCache>
            </c:numRef>
          </c:xVal>
          <c:yVal>
            <c:numRef>
              <c:f>'R9'!$I$95:$I$106</c:f>
              <c:numCache>
                <c:formatCode>0.00</c:formatCode>
                <c:ptCount val="12"/>
                <c:pt idx="0">
                  <c:v>3.3222192947339191</c:v>
                </c:pt>
                <c:pt idx="1">
                  <c:v>3.5051499783199058</c:v>
                </c:pt>
                <c:pt idx="2">
                  <c:v>3.8864907251724818</c:v>
                </c:pt>
                <c:pt idx="3">
                  <c:v>4.480006942957151</c:v>
                </c:pt>
                <c:pt idx="4">
                  <c:v>4.7481880270062007</c:v>
                </c:pt>
                <c:pt idx="5">
                  <c:v>5.5797835966168101</c:v>
                </c:pt>
                <c:pt idx="6">
                  <c:v>5.5563025007672868</c:v>
                </c:pt>
                <c:pt idx="7">
                  <c:v>5.4771212547196626</c:v>
                </c:pt>
                <c:pt idx="8">
                  <c:v>5.6627578316815743</c:v>
                </c:pt>
                <c:pt idx="9">
                  <c:v>5.7160033436347994</c:v>
                </c:pt>
                <c:pt idx="10">
                  <c:v>5.5314789170422554</c:v>
                </c:pt>
                <c:pt idx="11">
                  <c:v>5.5797835966168101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6-4C8E-9240-28172250A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'R9_rep'!$H$10:$H$25</c:f>
              <c:numCache>
                <c:formatCode>0.00</c:formatCode>
                <c:ptCount val="16"/>
                <c:pt idx="0">
                  <c:v>5.0863598306747484</c:v>
                </c:pt>
                <c:pt idx="1">
                  <c:v>5.4082399653118491</c:v>
                </c:pt>
                <c:pt idx="2">
                  <c:v>5.8808135922807914</c:v>
                </c:pt>
                <c:pt idx="3">
                  <c:v>6.4149733479708182</c:v>
                </c:pt>
                <c:pt idx="4">
                  <c:v>6.8061799739838875</c:v>
                </c:pt>
                <c:pt idx="5">
                  <c:v>7.7007037171450197</c:v>
                </c:pt>
                <c:pt idx="6">
                  <c:v>8.204119982655925</c:v>
                </c:pt>
                <c:pt idx="7">
                  <c:v>8.1760912590556813</c:v>
                </c:pt>
                <c:pt idx="8">
                  <c:v>8.2833012287035501</c:v>
                </c:pt>
                <c:pt idx="9">
                  <c:v>8.2833012287035501</c:v>
                </c:pt>
                <c:pt idx="10">
                  <c:v>8.4149733479708182</c:v>
                </c:pt>
                <c:pt idx="11">
                  <c:v>8.2922560713564764</c:v>
                </c:pt>
                <c:pt idx="12">
                  <c:v>8.3541084391474012</c:v>
                </c:pt>
                <c:pt idx="13">
                  <c:v>8.4771212547196626</c:v>
                </c:pt>
                <c:pt idx="14">
                  <c:v>8.2966651902615318</c:v>
                </c:pt>
                <c:pt idx="15">
                  <c:v>8.3802112417116064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63-40DB-972E-B2EBCF0BCFC5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('R9_rep'!$M$4,'R9_rep'!$B$15:$B$17)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('R9_rep'!$Q$4,'R9_rep'!$H$15:$H$17)</c:f>
              <c:numCache>
                <c:formatCode>0.00</c:formatCode>
                <c:ptCount val="4"/>
                <c:pt idx="0">
                  <c:v>5.4771212547196626</c:v>
                </c:pt>
                <c:pt idx="1">
                  <c:v>7.7007037171450197</c:v>
                </c:pt>
                <c:pt idx="2">
                  <c:v>8.204119982655925</c:v>
                </c:pt>
                <c:pt idx="3">
                  <c:v>8.1760912590556813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63-40DB-972E-B2EBCF0BC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598304"/>
        <c:axId val="266598696"/>
      </c:scatterChart>
      <c:valAx>
        <c:axId val="26659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598696"/>
        <c:crosses val="autoZero"/>
        <c:crossBetween val="midCat"/>
      </c:valAx>
      <c:valAx>
        <c:axId val="266598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59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'R9_rep'!$B$36:$B$51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'R9_rep'!$H$36:$H$51</c:f>
              <c:numCache>
                <c:formatCode>0.00</c:formatCode>
                <c:ptCount val="16"/>
                <c:pt idx="0">
                  <c:v>5.3729120029701063</c:v>
                </c:pt>
                <c:pt idx="1">
                  <c:v>5.6702458530741238</c:v>
                </c:pt>
                <c:pt idx="2">
                  <c:v>6.1818435879447726</c:v>
                </c:pt>
                <c:pt idx="3">
                  <c:v>6.5658478186735181</c:v>
                </c:pt>
                <c:pt idx="4">
                  <c:v>6.8061799739838875</c:v>
                </c:pt>
                <c:pt idx="5">
                  <c:v>7.4345689040341991</c:v>
                </c:pt>
                <c:pt idx="6">
                  <c:v>8.4771212547196626</c:v>
                </c:pt>
                <c:pt idx="7">
                  <c:v>7.9731278535996983</c:v>
                </c:pt>
                <c:pt idx="8">
                  <c:v>8.2304489213782741</c:v>
                </c:pt>
                <c:pt idx="9">
                  <c:v>8.1461280356782382</c:v>
                </c:pt>
                <c:pt idx="10">
                  <c:v>8.2878017299302265</c:v>
                </c:pt>
                <c:pt idx="11">
                  <c:v>8.3463529744506388</c:v>
                </c:pt>
                <c:pt idx="12">
                  <c:v>8.2787536009528289</c:v>
                </c:pt>
                <c:pt idx="13">
                  <c:v>8.1398790864012369</c:v>
                </c:pt>
                <c:pt idx="14">
                  <c:v>8.2405492482825995</c:v>
                </c:pt>
                <c:pt idx="15">
                  <c:v>8.2695129442179169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9B-495E-84F1-1D38C1B370C5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('R9_rep'!$M$4,'R9_rep'!$B$41:$B$43)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('R9_rep'!$Q$5,'R9_rep'!$H$41:$H$43)</c:f>
              <c:numCache>
                <c:formatCode>0.00</c:formatCode>
                <c:ptCount val="4"/>
                <c:pt idx="0">
                  <c:v>5.4471580313422194</c:v>
                </c:pt>
                <c:pt idx="1">
                  <c:v>7.4345689040341991</c:v>
                </c:pt>
                <c:pt idx="2">
                  <c:v>8.4771212547196626</c:v>
                </c:pt>
                <c:pt idx="3">
                  <c:v>7.9731278535996983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9B-495E-84F1-1D38C1B37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599480"/>
        <c:axId val="266599872"/>
      </c:scatterChart>
      <c:valAx>
        <c:axId val="266599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599872"/>
        <c:crosses val="autoZero"/>
        <c:crossBetween val="midCat"/>
      </c:valAx>
      <c:valAx>
        <c:axId val="266599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599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'R9_rep'!$B$60:$B$75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'R9_rep'!$I$60:$I$75</c:f>
              <c:numCache>
                <c:formatCode>0.00</c:formatCode>
                <c:ptCount val="16"/>
                <c:pt idx="0">
                  <c:v>3</c:v>
                </c:pt>
                <c:pt idx="1">
                  <c:v>3.4471580313422194</c:v>
                </c:pt>
                <c:pt idx="2">
                  <c:v>3.7634279935629373</c:v>
                </c:pt>
                <c:pt idx="3">
                  <c:v>4.3053513694466234</c:v>
                </c:pt>
                <c:pt idx="4">
                  <c:v>4.6989700043360187</c:v>
                </c:pt>
                <c:pt idx="5">
                  <c:v>5.1335389083702179</c:v>
                </c:pt>
                <c:pt idx="6">
                  <c:v>5.7369274246922792</c:v>
                </c:pt>
                <c:pt idx="7">
                  <c:v>6.3424226808222066</c:v>
                </c:pt>
                <c:pt idx="8">
                  <c:v>6.7160033436347994</c:v>
                </c:pt>
                <c:pt idx="9">
                  <c:v>6.924279286061882</c:v>
                </c:pt>
                <c:pt idx="10">
                  <c:v>7.6812412373755876</c:v>
                </c:pt>
                <c:pt idx="11">
                  <c:v>8.0413926851582254</c:v>
                </c:pt>
                <c:pt idx="12">
                  <c:v>8.1522883443830558</c:v>
                </c:pt>
                <c:pt idx="13">
                  <c:v>8.7876965682898742</c:v>
                </c:pt>
                <c:pt idx="14">
                  <c:v>8.7972675408307168</c:v>
                </c:pt>
                <c:pt idx="15">
                  <c:v>8.6937269489236471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7C-4BDB-8741-7A2DC7140341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('R9_rep'!$M$4,'R9_rep'!$B$65:$B$67)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('R9_rep'!$Q$6,'R9_rep'!$I$65:$I$67)</c:f>
              <c:numCache>
                <c:formatCode>0.00</c:formatCode>
                <c:ptCount val="4"/>
                <c:pt idx="0">
                  <c:v>3.1461280356782382</c:v>
                </c:pt>
                <c:pt idx="1">
                  <c:v>5.1335389083702179</c:v>
                </c:pt>
                <c:pt idx="2">
                  <c:v>5.7369274246922792</c:v>
                </c:pt>
                <c:pt idx="3">
                  <c:v>6.3424226808222066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7C-4BDB-8741-7A2DC7140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72312"/>
        <c:axId val="213672704"/>
      </c:scatterChart>
      <c:valAx>
        <c:axId val="213672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672704"/>
        <c:crosses val="autoZero"/>
        <c:crossBetween val="midCat"/>
      </c:valAx>
      <c:valAx>
        <c:axId val="213672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672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0D2-46C8-83EE-5A2C12E975C6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0D2-46C8-83EE-5A2C12E975C6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0D2-46C8-83EE-5A2C12E975C6}"/>
              </c:ext>
            </c:extLst>
          </c:dPt>
          <c:xVal>
            <c:numRef>
              <c:f>'R9_rep'!$B$85:$B$100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'R9_rep'!$H$85:$H$100</c:f>
              <c:numCache>
                <c:formatCode>0.00</c:formatCode>
                <c:ptCount val="16"/>
                <c:pt idx="0">
                  <c:v>5.1702617153949575</c:v>
                </c:pt>
                <c:pt idx="1">
                  <c:v>5.3979400086720375</c:v>
                </c:pt>
                <c:pt idx="2">
                  <c:v>5.8061799739838875</c:v>
                </c:pt>
                <c:pt idx="3">
                  <c:v>6.3617278360175931</c:v>
                </c:pt>
                <c:pt idx="4">
                  <c:v>6.8808135922807914</c:v>
                </c:pt>
                <c:pt idx="5">
                  <c:v>7.5797835966168101</c:v>
                </c:pt>
                <c:pt idx="6">
                  <c:v>8.3979400086720375</c:v>
                </c:pt>
                <c:pt idx="7">
                  <c:v>8.2741578492636805</c:v>
                </c:pt>
                <c:pt idx="8">
                  <c:v>8.3053513694466243</c:v>
                </c:pt>
                <c:pt idx="9">
                  <c:v>8.2355284469075496</c:v>
                </c:pt>
                <c:pt idx="10">
                  <c:v>8.3502480183341632</c:v>
                </c:pt>
                <c:pt idx="11">
                  <c:v>8.3463529744506388</c:v>
                </c:pt>
                <c:pt idx="12">
                  <c:v>8.2966651902615318</c:v>
                </c:pt>
                <c:pt idx="13">
                  <c:v>8.2455126678141504</c:v>
                </c:pt>
                <c:pt idx="14">
                  <c:v>8.2966651902615318</c:v>
                </c:pt>
                <c:pt idx="15">
                  <c:v>8.1205739312058505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2-46C8-83EE-5A2C12E975C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0D2-46C8-83EE-5A2C12E975C6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0D2-46C8-83EE-5A2C12E975C6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0D2-46C8-83EE-5A2C12E975C6}"/>
              </c:ext>
            </c:extLst>
          </c:dPt>
          <c:xVal>
            <c:numRef>
              <c:f>'R9_rep'!$B$85:$B$100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'R9_rep'!$I$85:$I$100</c:f>
              <c:numCache>
                <c:formatCode>0.00</c:formatCode>
                <c:ptCount val="16"/>
                <c:pt idx="0">
                  <c:v>3.2787536009528289</c:v>
                </c:pt>
                <c:pt idx="1">
                  <c:v>3.5910646070264991</c:v>
                </c:pt>
                <c:pt idx="2">
                  <c:v>3.7781512503836434</c:v>
                </c:pt>
                <c:pt idx="3">
                  <c:v>4.2648178230095368</c:v>
                </c:pt>
                <c:pt idx="4">
                  <c:v>4.6020599913279625</c:v>
                </c:pt>
                <c:pt idx="5">
                  <c:v>4.7634279935629369</c:v>
                </c:pt>
                <c:pt idx="6">
                  <c:v>4.5587085705331658</c:v>
                </c:pt>
                <c:pt idx="7">
                  <c:v>3.6434526764861874</c:v>
                </c:pt>
                <c:pt idx="8">
                  <c:v>3.7781512503836434</c:v>
                </c:pt>
                <c:pt idx="9">
                  <c:v>3</c:v>
                </c:pt>
                <c:pt idx="10">
                  <c:v>2.3729120029701067</c:v>
                </c:pt>
                <c:pt idx="11">
                  <c:v>2.1875207208364631</c:v>
                </c:pt>
                <c:pt idx="12">
                  <c:v>1.414973347970818</c:v>
                </c:pt>
                <c:pt idx="13">
                  <c:v>-0.3979400086720376</c:v>
                </c:pt>
                <c:pt idx="14">
                  <c:v>-0.74472749489669399</c:v>
                </c:pt>
                <c:pt idx="15">
                  <c:v>1.414973347970818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D2-46C8-83EE-5A2C12E975C6}"/>
            </c:ext>
          </c:extLst>
        </c:ser>
        <c:ser>
          <c:idx val="2"/>
          <c:order val="2"/>
          <c:tx>
            <c:v>dades gap 494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('R9_rep'!$M$4,'R9_rep'!$B$90:$B$92)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('R9_rep'!$Q$4,'R9_rep'!$H$90:$H$92)</c:f>
              <c:numCache>
                <c:formatCode>0.00</c:formatCode>
                <c:ptCount val="4"/>
                <c:pt idx="0">
                  <c:v>5.4771212547196626</c:v>
                </c:pt>
                <c:pt idx="1">
                  <c:v>7.5797835966168101</c:v>
                </c:pt>
                <c:pt idx="2">
                  <c:v>8.3979400086720375</c:v>
                </c:pt>
                <c:pt idx="3">
                  <c:v>8.2741578492636805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D2-46C8-83EE-5A2C12E975C6}"/>
            </c:ext>
          </c:extLst>
        </c:ser>
        <c:ser>
          <c:idx val="3"/>
          <c:order val="3"/>
          <c:tx>
            <c:v>dades gap 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('R9_rep'!$M$4,'R9_rep'!$B$90:$B$92)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('R9_rep'!$Q$6,'R9_rep'!$I$90:$I$92)</c:f>
              <c:numCache>
                <c:formatCode>0.00</c:formatCode>
                <c:ptCount val="4"/>
                <c:pt idx="0">
                  <c:v>3.1461280356782382</c:v>
                </c:pt>
                <c:pt idx="1">
                  <c:v>4.7634279935629369</c:v>
                </c:pt>
                <c:pt idx="2">
                  <c:v>4.5587085705331658</c:v>
                </c:pt>
                <c:pt idx="3">
                  <c:v>3.6434526764861874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D2-46C8-83EE-5A2C12E97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73488"/>
        <c:axId val="213673880"/>
      </c:scatterChart>
      <c:valAx>
        <c:axId val="21367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673880"/>
        <c:crosses val="autoZero"/>
        <c:crossBetween val="midCat"/>
      </c:valAx>
      <c:valAx>
        <c:axId val="213673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67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'R9_rep'!$H$111:$H$126</c:f>
              <c:numCache>
                <c:formatCode>0.00</c:formatCode>
                <c:ptCount val="16"/>
                <c:pt idx="0">
                  <c:v>5.3838153659804311</c:v>
                </c:pt>
                <c:pt idx="1">
                  <c:v>5.5465426634781307</c:v>
                </c:pt>
                <c:pt idx="2">
                  <c:v>6.1522883443830567</c:v>
                </c:pt>
                <c:pt idx="3">
                  <c:v>6.5587085705331658</c:v>
                </c:pt>
                <c:pt idx="4">
                  <c:v>7.0170333392987807</c:v>
                </c:pt>
                <c:pt idx="5">
                  <c:v>7.3692158574101425</c:v>
                </c:pt>
                <c:pt idx="6">
                  <c:v>8.3979400086720375</c:v>
                </c:pt>
                <c:pt idx="7">
                  <c:v>8.0413926851582254</c:v>
                </c:pt>
                <c:pt idx="8">
                  <c:v>8.1702617153949575</c:v>
                </c:pt>
                <c:pt idx="9">
                  <c:v>8.2648178230095368</c:v>
                </c:pt>
                <c:pt idx="10">
                  <c:v>8.3053513694466243</c:v>
                </c:pt>
                <c:pt idx="11">
                  <c:v>8.383815365980432</c:v>
                </c:pt>
                <c:pt idx="12">
                  <c:v>8.3053513694466243</c:v>
                </c:pt>
                <c:pt idx="13">
                  <c:v>8.2787536009528289</c:v>
                </c:pt>
                <c:pt idx="14">
                  <c:v>8.3384564936046051</c:v>
                </c:pt>
                <c:pt idx="15">
                  <c:v>8.1205739312058505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F-48BD-AEF3-65DC194644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'R9_rep'!$B$111:$B$126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'R9_rep'!$I$111:$I$126</c:f>
              <c:numCache>
                <c:formatCode>0.00</c:formatCode>
                <c:ptCount val="16"/>
                <c:pt idx="0">
                  <c:v>3.3802112417116059</c:v>
                </c:pt>
                <c:pt idx="1">
                  <c:v>3.5051499783199058</c:v>
                </c:pt>
                <c:pt idx="2">
                  <c:v>3.8061799739838871</c:v>
                </c:pt>
                <c:pt idx="3">
                  <c:v>4.318063334962762</c:v>
                </c:pt>
                <c:pt idx="4">
                  <c:v>4.7634279935629369</c:v>
                </c:pt>
                <c:pt idx="5">
                  <c:v>5.2695129442179161</c:v>
                </c:pt>
                <c:pt idx="6">
                  <c:v>5.6851443595783593</c:v>
                </c:pt>
                <c:pt idx="7">
                  <c:v>5.6434526764861879</c:v>
                </c:pt>
                <c:pt idx="8">
                  <c:v>6.0413926851582254</c:v>
                </c:pt>
                <c:pt idx="9">
                  <c:v>5.9444826721501682</c:v>
                </c:pt>
                <c:pt idx="10">
                  <c:v>6.0334237554869494</c:v>
                </c:pt>
                <c:pt idx="11">
                  <c:v>5.9030899869919438</c:v>
                </c:pt>
                <c:pt idx="12">
                  <c:v>5.9542425094393252</c:v>
                </c:pt>
                <c:pt idx="13">
                  <c:v>5.6989700043360187</c:v>
                </c:pt>
                <c:pt idx="14">
                  <c:v>5.9344984512435675</c:v>
                </c:pt>
                <c:pt idx="15">
                  <c:v>5.8920946026904808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F-48BD-AEF3-65DC19464423}"/>
            </c:ext>
          </c:extLst>
        </c:ser>
        <c:ser>
          <c:idx val="2"/>
          <c:order val="2"/>
          <c:tx>
            <c:v>dades gap 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('R9_rep'!$M$4,'R9_rep'!$B$116:$B$118)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('R9_rep'!$Q$5,'R9_rep'!$H$116:$H$118)</c:f>
              <c:numCache>
                <c:formatCode>0.00</c:formatCode>
                <c:ptCount val="4"/>
                <c:pt idx="0">
                  <c:v>5.4471580313422194</c:v>
                </c:pt>
                <c:pt idx="1">
                  <c:v>7.3692158574101425</c:v>
                </c:pt>
                <c:pt idx="2">
                  <c:v>8.3979400086720375</c:v>
                </c:pt>
                <c:pt idx="3">
                  <c:v>8.0413926851582254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BF-48BD-AEF3-65DC19464423}"/>
            </c:ext>
          </c:extLst>
        </c:ser>
        <c:ser>
          <c:idx val="3"/>
          <c:order val="3"/>
          <c:tx>
            <c:v>dades gap 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('R9_rep'!$M$4,'R9_rep'!$B$116:$B$118)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('R9_rep'!$Q$6,'R9_rep'!$I$116:$I$118)</c:f>
              <c:numCache>
                <c:formatCode>0.00</c:formatCode>
                <c:ptCount val="4"/>
                <c:pt idx="0">
                  <c:v>3.1461280356782382</c:v>
                </c:pt>
                <c:pt idx="1">
                  <c:v>5.2695129442179161</c:v>
                </c:pt>
                <c:pt idx="2">
                  <c:v>5.6851443595783593</c:v>
                </c:pt>
                <c:pt idx="3">
                  <c:v>5.6434526764861879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BF-48BD-AEF3-65DC19464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74664"/>
        <c:axId val="213675056"/>
      </c:scatterChart>
      <c:valAx>
        <c:axId val="213674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675056"/>
        <c:crosses val="autoZero"/>
        <c:crossBetween val="midCat"/>
      </c:valAx>
      <c:valAx>
        <c:axId val="213675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674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'R9_rep'!$F$9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'R9_rep'!$F$10:$F$25</c:f>
              <c:numCache>
                <c:formatCode>General</c:formatCode>
                <c:ptCount val="16"/>
                <c:pt idx="0">
                  <c:v>5.77</c:v>
                </c:pt>
                <c:pt idx="1">
                  <c:v>5.76</c:v>
                </c:pt>
                <c:pt idx="2">
                  <c:v>5.73</c:v>
                </c:pt>
                <c:pt idx="3" formatCode="0.00">
                  <c:v>5.71</c:v>
                </c:pt>
                <c:pt idx="4">
                  <c:v>5.64</c:v>
                </c:pt>
                <c:pt idx="5">
                  <c:v>4.87</c:v>
                </c:pt>
                <c:pt idx="6">
                  <c:v>5.27</c:v>
                </c:pt>
                <c:pt idx="7">
                  <c:v>4.21</c:v>
                </c:pt>
                <c:pt idx="8">
                  <c:v>4.17</c:v>
                </c:pt>
                <c:pt idx="9">
                  <c:v>4.07</c:v>
                </c:pt>
                <c:pt idx="10">
                  <c:v>3.98</c:v>
                </c:pt>
                <c:pt idx="11">
                  <c:v>3.92</c:v>
                </c:pt>
                <c:pt idx="12">
                  <c:v>3.88</c:v>
                </c:pt>
                <c:pt idx="13">
                  <c:v>3.78</c:v>
                </c:pt>
                <c:pt idx="14">
                  <c:v>3.82</c:v>
                </c:pt>
                <c:pt idx="15">
                  <c:v>3.79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D-48E1-A9AC-FC8F98672FD9}"/>
            </c:ext>
          </c:extLst>
        </c:ser>
        <c:ser>
          <c:idx val="1"/>
          <c:order val="1"/>
          <c:tx>
            <c:strRef>
              <c:f>'R9_rep'!$J$9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'R9_rep'!$J$10:$J$25</c:f>
              <c:numCache>
                <c:formatCode>0.00</c:formatCode>
                <c:ptCount val="16"/>
                <c:pt idx="0">
                  <c:v>8.5838860475505249E-2</c:v>
                </c:pt>
                <c:pt idx="1">
                  <c:v>-5.3068316696956094E-2</c:v>
                </c:pt>
                <c:pt idx="2">
                  <c:v>-2.6788580475139087E-2</c:v>
                </c:pt>
                <c:pt idx="3">
                  <c:v>0.20597479748952585</c:v>
                </c:pt>
                <c:pt idx="4">
                  <c:v>-8.3102300950461255E-2</c:v>
                </c:pt>
                <c:pt idx="5">
                  <c:v>0.35614471875705161</c:v>
                </c:pt>
                <c:pt idx="6">
                  <c:v>0.26979701402822431</c:v>
                </c:pt>
                <c:pt idx="7">
                  <c:v>1.6738857778795904</c:v>
                </c:pt>
                <c:pt idx="8">
                  <c:v>1.8540896834006213</c:v>
                </c:pt>
                <c:pt idx="9">
                  <c:v>2.3233706873616389</c:v>
                </c:pt>
                <c:pt idx="10">
                  <c:v>3.0103980771605698</c:v>
                </c:pt>
                <c:pt idx="11">
                  <c:v>3.2056189748083534</c:v>
                </c:pt>
                <c:pt idx="12">
                  <c:v>3.5435012976602858</c:v>
                </c:pt>
                <c:pt idx="13">
                  <c:v>3.9001548606706593</c:v>
                </c:pt>
                <c:pt idx="14">
                  <c:v>4.1479352307620774</c:v>
                </c:pt>
                <c:pt idx="15">
                  <c:v>4.8274541244976312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3D-48E1-A9AC-FC8F98672FD9}"/>
            </c:ext>
          </c:extLst>
        </c:ser>
        <c:ser>
          <c:idx val="2"/>
          <c:order val="2"/>
          <c:tx>
            <c:strRef>
              <c:f>'R9_rep'!$L$9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'R9_rep'!$L$10:$L$25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  <c:pt idx="12">
                  <c:v>3.2</c:v>
                </c:pt>
                <c:pt idx="14">
                  <c:v>3.2</c:v>
                </c:pt>
                <c:pt idx="15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3D-48E1-A9AC-FC8F98672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571200"/>
        <c:axId val="267571592"/>
      </c:scatterChart>
      <c:valAx>
        <c:axId val="26757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571592"/>
        <c:crosses val="autoZero"/>
        <c:crossBetween val="midCat"/>
      </c:valAx>
      <c:valAx>
        <c:axId val="26757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57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'R9_rep'!$F$9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'R9_rep'!$F$85:$F$100</c:f>
              <c:numCache>
                <c:formatCode>General</c:formatCode>
                <c:ptCount val="16"/>
                <c:pt idx="0">
                  <c:v>5.8</c:v>
                </c:pt>
                <c:pt idx="1">
                  <c:v>5.76</c:v>
                </c:pt>
                <c:pt idx="2" formatCode="0.00">
                  <c:v>5.7</c:v>
                </c:pt>
                <c:pt idx="3">
                  <c:v>5.71</c:v>
                </c:pt>
                <c:pt idx="4">
                  <c:v>5.66</c:v>
                </c:pt>
                <c:pt idx="5">
                  <c:v>4.88</c:v>
                </c:pt>
                <c:pt idx="6">
                  <c:v>5.32</c:v>
                </c:pt>
                <c:pt idx="7">
                  <c:v>4.24</c:v>
                </c:pt>
                <c:pt idx="8">
                  <c:v>4.1900000000000004</c:v>
                </c:pt>
                <c:pt idx="9">
                  <c:v>4.08</c:v>
                </c:pt>
                <c:pt idx="10">
                  <c:v>3.96</c:v>
                </c:pt>
                <c:pt idx="11" formatCode="0.00">
                  <c:v>3.93</c:v>
                </c:pt>
                <c:pt idx="12">
                  <c:v>3.89</c:v>
                </c:pt>
                <c:pt idx="13">
                  <c:v>3.78</c:v>
                </c:pt>
                <c:pt idx="14">
                  <c:v>3.8</c:v>
                </c:pt>
                <c:pt idx="15">
                  <c:v>3.74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F-46FE-9F24-EAAAE3502AF6}"/>
            </c:ext>
          </c:extLst>
        </c:ser>
        <c:ser>
          <c:idx val="1"/>
          <c:order val="1"/>
          <c:tx>
            <c:strRef>
              <c:f>'R9_rep'!$J$9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'R9_rep'!$J$85:$J$100</c:f>
              <c:numCache>
                <c:formatCode>0.00</c:formatCode>
                <c:ptCount val="16"/>
                <c:pt idx="0">
                  <c:v>4.4542132126935648E-2</c:v>
                </c:pt>
                <c:pt idx="1">
                  <c:v>-0.14317026945747158</c:v>
                </c:pt>
                <c:pt idx="2">
                  <c:v>-3.8051324570203521E-2</c:v>
                </c:pt>
                <c:pt idx="3">
                  <c:v>-0.49231533640446895</c:v>
                </c:pt>
                <c:pt idx="4">
                  <c:v>-0.154433013552536</c:v>
                </c:pt>
                <c:pt idx="5">
                  <c:v>0.40870419120068563</c:v>
                </c:pt>
                <c:pt idx="6">
                  <c:v>0.32611073450354644</c:v>
                </c:pt>
                <c:pt idx="7">
                  <c:v>1.7752504747351701</c:v>
                </c:pt>
                <c:pt idx="8">
                  <c:v>1.7602334826084176</c:v>
                </c:pt>
                <c:pt idx="9">
                  <c:v>2.2783197109813811</c:v>
                </c:pt>
                <c:pt idx="10">
                  <c:v>2.9991353330655048</c:v>
                </c:pt>
                <c:pt idx="11">
                  <c:v>3.2619326952836749</c:v>
                </c:pt>
                <c:pt idx="12">
                  <c:v>3.5960607701039198</c:v>
                </c:pt>
                <c:pt idx="13">
                  <c:v>3.9639770772093583</c:v>
                </c:pt>
                <c:pt idx="14">
                  <c:v>4.1254097425719483</c:v>
                </c:pt>
                <c:pt idx="15">
                  <c:v>4.3131221441563552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F-46FE-9F24-EAAAE3502AF6}"/>
            </c:ext>
          </c:extLst>
        </c:ser>
        <c:ser>
          <c:idx val="2"/>
          <c:order val="2"/>
          <c:tx>
            <c:strRef>
              <c:f>'R9_rep'!$L$9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'R9_rep'!$L$85:$L$100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3.2</c:v>
                </c:pt>
                <c:pt idx="9">
                  <c:v>1.6</c:v>
                </c:pt>
                <c:pt idx="10">
                  <c:v>1.6</c:v>
                </c:pt>
                <c:pt idx="11">
                  <c:v>3.2</c:v>
                </c:pt>
                <c:pt idx="12">
                  <c:v>3.2</c:v>
                </c:pt>
                <c:pt idx="14">
                  <c:v>3.2</c:v>
                </c:pt>
                <c:pt idx="15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9F-46FE-9F24-EAAAE3502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572376"/>
        <c:axId val="267572768"/>
      </c:scatterChart>
      <c:valAx>
        <c:axId val="267572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572768"/>
        <c:crosses val="autoZero"/>
        <c:crossBetween val="midCat"/>
      </c:valAx>
      <c:valAx>
        <c:axId val="2675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572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'R9_rep'!$F$9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'R9_rep'!$F$36:$F$51</c:f>
              <c:numCache>
                <c:formatCode>General</c:formatCode>
                <c:ptCount val="16"/>
                <c:pt idx="0">
                  <c:v>5.77</c:v>
                </c:pt>
                <c:pt idx="1">
                  <c:v>5.73</c:v>
                </c:pt>
                <c:pt idx="2">
                  <c:v>5.7</c:v>
                </c:pt>
                <c:pt idx="3">
                  <c:v>5.7</c:v>
                </c:pt>
                <c:pt idx="4">
                  <c:v>5.65</c:v>
                </c:pt>
                <c:pt idx="5">
                  <c:v>5.29</c:v>
                </c:pt>
                <c:pt idx="6">
                  <c:v>5.46</c:v>
                </c:pt>
                <c:pt idx="7">
                  <c:v>4.54</c:v>
                </c:pt>
                <c:pt idx="8">
                  <c:v>4.42</c:v>
                </c:pt>
                <c:pt idx="9">
                  <c:v>4.2300000000000004</c:v>
                </c:pt>
                <c:pt idx="10">
                  <c:v>4.04</c:v>
                </c:pt>
                <c:pt idx="11">
                  <c:v>3.96</c:v>
                </c:pt>
                <c:pt idx="12">
                  <c:v>3.89</c:v>
                </c:pt>
                <c:pt idx="13">
                  <c:v>3.77</c:v>
                </c:pt>
                <c:pt idx="14">
                  <c:v>3.77</c:v>
                </c:pt>
                <c:pt idx="15">
                  <c:v>3.71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D-4C87-BF32-12AC0BB9F6F8}"/>
            </c:ext>
          </c:extLst>
        </c:ser>
        <c:ser>
          <c:idx val="1"/>
          <c:order val="1"/>
          <c:tx>
            <c:strRef>
              <c:f>'R9_rep'!$J$9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'R9_rep'!$J$36:$J$51</c:f>
              <c:numCache>
                <c:formatCode>0.00</c:formatCode>
                <c:ptCount val="16"/>
                <c:pt idx="0">
                  <c:v>-1.1771588348386512E-2</c:v>
                </c:pt>
                <c:pt idx="1">
                  <c:v>-0.15818726158422414</c:v>
                </c:pt>
                <c:pt idx="2">
                  <c:v>-3.8051324570203521E-2</c:v>
                </c:pt>
                <c:pt idx="3">
                  <c:v>-0.3571624072636958</c:v>
                </c:pt>
                <c:pt idx="4">
                  <c:v>-0.14317026945747158</c:v>
                </c:pt>
                <c:pt idx="5">
                  <c:v>0.17969506126770887</c:v>
                </c:pt>
                <c:pt idx="6">
                  <c:v>0.27730551009160059</c:v>
                </c:pt>
                <c:pt idx="7">
                  <c:v>0.79914598649625268</c:v>
                </c:pt>
                <c:pt idx="8">
                  <c:v>1.1708165416333789</c:v>
                </c:pt>
                <c:pt idx="9">
                  <c:v>1.7714962267034819</c:v>
                </c:pt>
                <c:pt idx="10">
                  <c:v>2.5598883133579919</c:v>
                </c:pt>
                <c:pt idx="11">
                  <c:v>2.7663719551008406</c:v>
                </c:pt>
                <c:pt idx="12">
                  <c:v>3.498450321280028</c:v>
                </c:pt>
                <c:pt idx="13">
                  <c:v>3.7574934354665097</c:v>
                </c:pt>
                <c:pt idx="14">
                  <c:v>4.2530541756493454</c:v>
                </c:pt>
                <c:pt idx="15">
                  <c:v>4.489571801645698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0D-4C87-BF32-12AC0BB9F6F8}"/>
            </c:ext>
          </c:extLst>
        </c:ser>
        <c:ser>
          <c:idx val="2"/>
          <c:order val="2"/>
          <c:tx>
            <c:strRef>
              <c:f>'R9_rep'!$L$9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0D-4C87-BF32-12AC0BB9F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573552"/>
        <c:axId val="267573944"/>
      </c:scatterChart>
      <c:valAx>
        <c:axId val="26757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573944"/>
        <c:crosses val="autoZero"/>
        <c:crossBetween val="midCat"/>
      </c:valAx>
      <c:valAx>
        <c:axId val="26757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57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'R9_rep'!$F$9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'R9_rep'!$F$60:$F$75</c:f>
              <c:numCache>
                <c:formatCode>General</c:formatCode>
                <c:ptCount val="16"/>
                <c:pt idx="0">
                  <c:v>5.77</c:v>
                </c:pt>
                <c:pt idx="1">
                  <c:v>5.74</c:v>
                </c:pt>
                <c:pt idx="2">
                  <c:v>5.7</c:v>
                </c:pt>
                <c:pt idx="3">
                  <c:v>5.7</c:v>
                </c:pt>
                <c:pt idx="4">
                  <c:v>5.65</c:v>
                </c:pt>
                <c:pt idx="5">
                  <c:v>5.75</c:v>
                </c:pt>
                <c:pt idx="6">
                  <c:v>5.85</c:v>
                </c:pt>
                <c:pt idx="7">
                  <c:v>5.75</c:v>
                </c:pt>
                <c:pt idx="8">
                  <c:v>5.74</c:v>
                </c:pt>
                <c:pt idx="9">
                  <c:v>5.7</c:v>
                </c:pt>
                <c:pt idx="10">
                  <c:v>5.64</c:v>
                </c:pt>
                <c:pt idx="11">
                  <c:v>5.55</c:v>
                </c:pt>
                <c:pt idx="12">
                  <c:v>5.35</c:v>
                </c:pt>
                <c:pt idx="13">
                  <c:v>4.87</c:v>
                </c:pt>
                <c:pt idx="14">
                  <c:v>4.5999999999999996</c:v>
                </c:pt>
                <c:pt idx="15">
                  <c:v>4.41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44-4291-BB4A-9E79A1A12370}"/>
            </c:ext>
          </c:extLst>
        </c:ser>
        <c:ser>
          <c:idx val="1"/>
          <c:order val="1"/>
          <c:tx>
            <c:strRef>
              <c:f>'R9_rep'!$J$9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'R9_rep'!$J$60:$J$75</c:f>
              <c:numCache>
                <c:formatCode>0.00</c:formatCode>
                <c:ptCount val="16"/>
                <c:pt idx="0">
                  <c:v>-2.6788580475139087E-2</c:v>
                </c:pt>
                <c:pt idx="1">
                  <c:v>-0.20323823796448184</c:v>
                </c:pt>
                <c:pt idx="2">
                  <c:v>-3.8051324570203521E-2</c:v>
                </c:pt>
                <c:pt idx="3">
                  <c:v>-0.3571624072636958</c:v>
                </c:pt>
                <c:pt idx="4">
                  <c:v>-0.14317026945747158</c:v>
                </c:pt>
                <c:pt idx="5">
                  <c:v>-0.10562778914059012</c:v>
                </c:pt>
                <c:pt idx="6">
                  <c:v>-0.17695850174266484</c:v>
                </c:pt>
                <c:pt idx="7">
                  <c:v>-0.15067876552084783</c:v>
                </c:pt>
                <c:pt idx="8">
                  <c:v>-0.16945000567928856</c:v>
                </c:pt>
                <c:pt idx="9">
                  <c:v>-0.10938203717227826</c:v>
                </c:pt>
                <c:pt idx="10">
                  <c:v>-0.13190752536240713</c:v>
                </c:pt>
                <c:pt idx="11">
                  <c:v>-0.13190752536240713</c:v>
                </c:pt>
                <c:pt idx="12">
                  <c:v>4.0787884095247515E-2</c:v>
                </c:pt>
                <c:pt idx="13">
                  <c:v>0.44624667151756714</c:v>
                </c:pt>
                <c:pt idx="14">
                  <c:v>0.74658651405261867</c:v>
                </c:pt>
                <c:pt idx="15">
                  <c:v>1.0544348526510463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44-4291-BB4A-9E79A1A12370}"/>
            </c:ext>
          </c:extLst>
        </c:ser>
        <c:ser>
          <c:idx val="2"/>
          <c:order val="2"/>
          <c:tx>
            <c:strRef>
              <c:f>'R9_rep'!$L$9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44-4291-BB4A-9E79A1A12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574728"/>
        <c:axId val="267489272"/>
      </c:scatterChart>
      <c:valAx>
        <c:axId val="26757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489272"/>
        <c:crosses val="autoZero"/>
        <c:crossBetween val="midCat"/>
      </c:valAx>
      <c:valAx>
        <c:axId val="26748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574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'R9_rep'!$F$9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'R9_rep'!$F$111:$F$126</c:f>
              <c:numCache>
                <c:formatCode>0.00</c:formatCode>
                <c:ptCount val="16"/>
                <c:pt idx="0" formatCode="General">
                  <c:v>5.78</c:v>
                </c:pt>
                <c:pt idx="1">
                  <c:v>5.73</c:v>
                </c:pt>
                <c:pt idx="2" formatCode="General">
                  <c:v>5.69</c:v>
                </c:pt>
                <c:pt idx="3" formatCode="General">
                  <c:v>5.71</c:v>
                </c:pt>
                <c:pt idx="4" formatCode="General">
                  <c:v>5.64</c:v>
                </c:pt>
                <c:pt idx="5" formatCode="General">
                  <c:v>5.27</c:v>
                </c:pt>
                <c:pt idx="6" formatCode="General">
                  <c:v>5.07</c:v>
                </c:pt>
                <c:pt idx="7" formatCode="General">
                  <c:v>5.47</c:v>
                </c:pt>
                <c:pt idx="8" formatCode="General">
                  <c:v>4.43</c:v>
                </c:pt>
                <c:pt idx="9" formatCode="General">
                  <c:v>4.24</c:v>
                </c:pt>
                <c:pt idx="10" formatCode="General">
                  <c:v>4.0199999999999996</c:v>
                </c:pt>
                <c:pt idx="11" formatCode="General">
                  <c:v>3.95</c:v>
                </c:pt>
                <c:pt idx="12" formatCode="General">
                  <c:v>3.88</c:v>
                </c:pt>
                <c:pt idx="13" formatCode="General">
                  <c:v>3.77</c:v>
                </c:pt>
                <c:pt idx="14">
                  <c:v>3.74</c:v>
                </c:pt>
                <c:pt idx="15" formatCode="General">
                  <c:v>3.71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CA-4668-9983-F4916C5F5D94}"/>
            </c:ext>
          </c:extLst>
        </c:ser>
        <c:ser>
          <c:idx val="1"/>
          <c:order val="1"/>
          <c:tx>
            <c:strRef>
              <c:f>'R9_rep'!$J$9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'R9_rep'!$J$111:$J$126</c:f>
              <c:numCache>
                <c:formatCode>0.00</c:formatCode>
                <c:ptCount val="16"/>
                <c:pt idx="0">
                  <c:v>3.245403778366066E-3</c:v>
                </c:pt>
                <c:pt idx="1">
                  <c:v>-0.16569575764760042</c:v>
                </c:pt>
                <c:pt idx="2">
                  <c:v>-2.303433244345094E-2</c:v>
                </c:pt>
                <c:pt idx="3">
                  <c:v>5.9559124253688242E-2</c:v>
                </c:pt>
                <c:pt idx="4">
                  <c:v>-0.10562778914059012</c:v>
                </c:pt>
                <c:pt idx="5">
                  <c:v>0.14590682898251556</c:v>
                </c:pt>
                <c:pt idx="6">
                  <c:v>0.33737347859861089</c:v>
                </c:pt>
                <c:pt idx="7">
                  <c:v>0.34863622269367534</c:v>
                </c:pt>
                <c:pt idx="8">
                  <c:v>1.2196217660453248</c:v>
                </c:pt>
                <c:pt idx="9">
                  <c:v>1.7339537463866006</c:v>
                </c:pt>
                <c:pt idx="10">
                  <c:v>2.7363379708473352</c:v>
                </c:pt>
                <c:pt idx="11">
                  <c:v>2.8639824039247324</c:v>
                </c:pt>
                <c:pt idx="12">
                  <c:v>3.4909418252166518</c:v>
                </c:pt>
                <c:pt idx="13">
                  <c:v>3.7875274197200151</c:v>
                </c:pt>
                <c:pt idx="14">
                  <c:v>4.1704607189522056</c:v>
                </c:pt>
                <c:pt idx="15">
                  <c:v>4.489571801645698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CA-4668-9983-F4916C5F5D94}"/>
            </c:ext>
          </c:extLst>
        </c:ser>
        <c:ser>
          <c:idx val="2"/>
          <c:order val="2"/>
          <c:tx>
            <c:strRef>
              <c:f>'R9_rep'!$L$9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CA-4668-9983-F4916C5F5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90056"/>
        <c:axId val="267490448"/>
      </c:scatterChart>
      <c:valAx>
        <c:axId val="26749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490448"/>
        <c:crosses val="autoZero"/>
        <c:crossBetween val="midCat"/>
      </c:valAx>
      <c:valAx>
        <c:axId val="26749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490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CTC494 R9rep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R9rep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'R9_rep'!$N$10:$N$25</c:f>
              <c:numCache>
                <c:formatCode>0.00</c:formatCode>
                <c:ptCount val="16"/>
                <c:pt idx="0">
                  <c:v>0</c:v>
                </c:pt>
                <c:pt idx="1">
                  <c:v>0.32188013463710075</c:v>
                </c:pt>
                <c:pt idx="2">
                  <c:v>0.79445376160604297</c:v>
                </c:pt>
                <c:pt idx="3">
                  <c:v>1.3286135172960698</c:v>
                </c:pt>
                <c:pt idx="4">
                  <c:v>1.7198201433091391</c:v>
                </c:pt>
                <c:pt idx="5">
                  <c:v>2.2235824624253571</c:v>
                </c:pt>
                <c:pt idx="6">
                  <c:v>2.7269987279362624</c:v>
                </c:pt>
                <c:pt idx="7">
                  <c:v>2.6989700043360187</c:v>
                </c:pt>
                <c:pt idx="8">
                  <c:v>3.1969413980288017</c:v>
                </c:pt>
                <c:pt idx="9">
                  <c:v>3.1969413980288017</c:v>
                </c:pt>
                <c:pt idx="10">
                  <c:v>3.3286135172960698</c:v>
                </c:pt>
                <c:pt idx="11">
                  <c:v>3.205896240681728</c:v>
                </c:pt>
                <c:pt idx="12">
                  <c:v>3.2677486084726528</c:v>
                </c:pt>
                <c:pt idx="13">
                  <c:v>3</c:v>
                </c:pt>
                <c:pt idx="14">
                  <c:v>3.2103053595867834</c:v>
                </c:pt>
                <c:pt idx="15">
                  <c:v>3.293851411036858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33-47B3-9C05-3F1D35AF2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91232"/>
        <c:axId val="267491624"/>
      </c:scatterChart>
      <c:valAx>
        <c:axId val="26749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491624"/>
        <c:crosses val="autoZero"/>
        <c:crossBetween val="midCat"/>
      </c:valAx>
      <c:valAx>
        <c:axId val="267491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49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23K R9rep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23K R9rep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'R9_rep'!$B$36:$B$51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'R9_rep'!$M$36:$M$51</c:f>
              <c:numCache>
                <c:formatCode>0.00</c:formatCode>
                <c:ptCount val="16"/>
                <c:pt idx="0">
                  <c:v>0</c:v>
                </c:pt>
                <c:pt idx="1">
                  <c:v>0.29733385010401747</c:v>
                </c:pt>
                <c:pt idx="2">
                  <c:v>0.80893158497466633</c:v>
                </c:pt>
                <c:pt idx="3">
                  <c:v>1.1929358157034118</c:v>
                </c:pt>
                <c:pt idx="4">
                  <c:v>1.4332679710137812</c:v>
                </c:pt>
                <c:pt idx="5">
                  <c:v>1.9874108726919797</c:v>
                </c:pt>
                <c:pt idx="6">
                  <c:v>3.0299632233774432</c:v>
                </c:pt>
                <c:pt idx="7">
                  <c:v>2.5259698222574789</c:v>
                </c:pt>
                <c:pt idx="8">
                  <c:v>2.8575369184081678</c:v>
                </c:pt>
                <c:pt idx="9">
                  <c:v>2.7732160327081319</c:v>
                </c:pt>
                <c:pt idx="10">
                  <c:v>2.9148897269601202</c:v>
                </c:pt>
                <c:pt idx="11">
                  <c:v>2.9734409714805325</c:v>
                </c:pt>
                <c:pt idx="12">
                  <c:v>2.9058415979827226</c:v>
                </c:pt>
                <c:pt idx="13">
                  <c:v>2.6927210550590175</c:v>
                </c:pt>
                <c:pt idx="14">
                  <c:v>2.8676372453124932</c:v>
                </c:pt>
                <c:pt idx="15">
                  <c:v>2.8966009412478106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26-4EC2-BB95-1381FF750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92408"/>
        <c:axId val="267492800"/>
      </c:scatterChart>
      <c:valAx>
        <c:axId val="267492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492800"/>
        <c:crosses val="autoZero"/>
        <c:crossBetween val="midCat"/>
      </c:valAx>
      <c:valAx>
        <c:axId val="267492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492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CTC1034</a:t>
            </a:r>
            <a:r>
              <a:rPr lang="ca-ES" b="1" baseline="0"/>
              <a:t> R9rep</a:t>
            </a:r>
            <a:endParaRPr lang="ca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CTC1034 R9rep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'R9_rep'!$B$60:$B$75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'R9_rep'!$L$60:$L$75</c:f>
              <c:numCache>
                <c:formatCode>0.00</c:formatCode>
                <c:ptCount val="16"/>
                <c:pt idx="0">
                  <c:v>0</c:v>
                </c:pt>
                <c:pt idx="1">
                  <c:v>0.44715803134221943</c:v>
                </c:pt>
                <c:pt idx="2">
                  <c:v>0.76342799356293733</c:v>
                </c:pt>
                <c:pt idx="3">
                  <c:v>1.3053513694466234</c:v>
                </c:pt>
                <c:pt idx="4">
                  <c:v>1.6989700043360187</c:v>
                </c:pt>
                <c:pt idx="5">
                  <c:v>1.9874108726919797</c:v>
                </c:pt>
                <c:pt idx="6">
                  <c:v>2.5907993890140411</c:v>
                </c:pt>
                <c:pt idx="7">
                  <c:v>3.1962946451439684</c:v>
                </c:pt>
                <c:pt idx="8">
                  <c:v>3.7160033436347994</c:v>
                </c:pt>
                <c:pt idx="9">
                  <c:v>3.924279286061882</c:v>
                </c:pt>
                <c:pt idx="10">
                  <c:v>4.6812412373755876</c:v>
                </c:pt>
                <c:pt idx="11">
                  <c:v>5.0413926851582254</c:v>
                </c:pt>
                <c:pt idx="12">
                  <c:v>5.1522883443830558</c:v>
                </c:pt>
                <c:pt idx="13">
                  <c:v>5.641568532611636</c:v>
                </c:pt>
                <c:pt idx="14">
                  <c:v>5.7972675408307168</c:v>
                </c:pt>
                <c:pt idx="15">
                  <c:v>5.6937269489236471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EB-42C5-BCC2-E13BB436C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682184"/>
        <c:axId val="267682576"/>
      </c:scatterChart>
      <c:valAx>
        <c:axId val="267682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682576"/>
        <c:crosses val="autoZero"/>
        <c:crossBetween val="midCat"/>
      </c:valAx>
      <c:valAx>
        <c:axId val="267682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682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494-1034 R9rep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R9rep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'R9_rep'!$N$85:$N$100</c:f>
              <c:numCache>
                <c:formatCode>0.00</c:formatCode>
                <c:ptCount val="16"/>
                <c:pt idx="0">
                  <c:v>0</c:v>
                </c:pt>
                <c:pt idx="1">
                  <c:v>0.22767829327708</c:v>
                </c:pt>
                <c:pt idx="2">
                  <c:v>0.63591825858893003</c:v>
                </c:pt>
                <c:pt idx="3">
                  <c:v>1.1914661206226356</c:v>
                </c:pt>
                <c:pt idx="4">
                  <c:v>1.7105518768858339</c:v>
                </c:pt>
                <c:pt idx="5">
                  <c:v>2.1026623418971475</c:v>
                </c:pt>
                <c:pt idx="6">
                  <c:v>2.9208187539523749</c:v>
                </c:pt>
                <c:pt idx="7">
                  <c:v>2.7970365945440179</c:v>
                </c:pt>
                <c:pt idx="8">
                  <c:v>3.1350896540516668</c:v>
                </c:pt>
                <c:pt idx="9">
                  <c:v>3.0652667315125921</c:v>
                </c:pt>
                <c:pt idx="10">
                  <c:v>3.1799863029392057</c:v>
                </c:pt>
                <c:pt idx="11">
                  <c:v>3.1760912590556813</c:v>
                </c:pt>
                <c:pt idx="12">
                  <c:v>3.1264034748665743</c:v>
                </c:pt>
                <c:pt idx="13">
                  <c:v>2.7683914130944878</c:v>
                </c:pt>
                <c:pt idx="14">
                  <c:v>3.1264034748665743</c:v>
                </c:pt>
                <c:pt idx="15">
                  <c:v>2.950312215810893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51-4FE0-9580-D5854900F508}"/>
            </c:ext>
          </c:extLst>
        </c:ser>
        <c:ser>
          <c:idx val="1"/>
          <c:order val="1"/>
          <c:tx>
            <c:v>log change CTC1034 R9rep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'R9_rep'!$B$85:$B$100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'R9_rep'!$O$85:$O$100</c:f>
              <c:numCache>
                <c:formatCode>0.00</c:formatCode>
                <c:ptCount val="16"/>
                <c:pt idx="0">
                  <c:v>0</c:v>
                </c:pt>
                <c:pt idx="1">
                  <c:v>0.31231100607367024</c:v>
                </c:pt>
                <c:pt idx="2">
                  <c:v>0.49939764943081455</c:v>
                </c:pt>
                <c:pt idx="3">
                  <c:v>0.98606422205670796</c:v>
                </c:pt>
                <c:pt idx="4">
                  <c:v>1.3233063903751336</c:v>
                </c:pt>
                <c:pt idx="5">
                  <c:v>1.6172999578846987</c:v>
                </c:pt>
                <c:pt idx="6">
                  <c:v>1.4125805348549276</c:v>
                </c:pt>
                <c:pt idx="7">
                  <c:v>0.49732464080794925</c:v>
                </c:pt>
                <c:pt idx="8">
                  <c:v>0.49939764943081455</c:v>
                </c:pt>
                <c:pt idx="9">
                  <c:v>-0.27875360095282886</c:v>
                </c:pt>
                <c:pt idx="10">
                  <c:v>-0.90584159798272212</c:v>
                </c:pt>
                <c:pt idx="11">
                  <c:v>-1.0912328801163658</c:v>
                </c:pt>
                <c:pt idx="12">
                  <c:v>-1.8637802529820109</c:v>
                </c:pt>
                <c:pt idx="13">
                  <c:v>-3.5440680443502757</c:v>
                </c:pt>
                <c:pt idx="14">
                  <c:v>-4.0234810958495224</c:v>
                </c:pt>
                <c:pt idx="15">
                  <c:v>-1.8637802529820109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51-4FE0-9580-D5854900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683360"/>
        <c:axId val="267683752"/>
      </c:scatterChart>
      <c:valAx>
        <c:axId val="26768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683752"/>
        <c:crosses val="autoZero"/>
        <c:crossBetween val="midCat"/>
      </c:valAx>
      <c:valAx>
        <c:axId val="267683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68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23K-1034 R9rep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23K R9rep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'R9_rep'!$B$111:$B$126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'R9_rep'!$L$111:$L$126</c:f>
              <c:numCache>
                <c:formatCode>0.00</c:formatCode>
                <c:ptCount val="16"/>
                <c:pt idx="0">
                  <c:v>0</c:v>
                </c:pt>
                <c:pt idx="1">
                  <c:v>0.16272729749769965</c:v>
                </c:pt>
                <c:pt idx="2">
                  <c:v>0.76847297840262563</c:v>
                </c:pt>
                <c:pt idx="3">
                  <c:v>1.1748932045527347</c:v>
                </c:pt>
                <c:pt idx="4">
                  <c:v>1.6332179733183496</c:v>
                </c:pt>
                <c:pt idx="5">
                  <c:v>1.9220578260679231</c:v>
                </c:pt>
                <c:pt idx="6">
                  <c:v>2.9507819773298181</c:v>
                </c:pt>
                <c:pt idx="7">
                  <c:v>2.5942346538160059</c:v>
                </c:pt>
                <c:pt idx="8">
                  <c:v>2.7864463494145264</c:v>
                </c:pt>
                <c:pt idx="9">
                  <c:v>2.8810024570291057</c:v>
                </c:pt>
                <c:pt idx="10">
                  <c:v>2.9215360034661932</c:v>
                </c:pt>
                <c:pt idx="11">
                  <c:v>3.0000000000000009</c:v>
                </c:pt>
                <c:pt idx="12">
                  <c:v>2.9215360034661932</c:v>
                </c:pt>
                <c:pt idx="13">
                  <c:v>2.8315955696106094</c:v>
                </c:pt>
                <c:pt idx="14">
                  <c:v>2.954641127624174</c:v>
                </c:pt>
                <c:pt idx="15">
                  <c:v>2.7367585652254194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19-46B6-9615-268EDA94E7FB}"/>
            </c:ext>
          </c:extLst>
        </c:ser>
        <c:ser>
          <c:idx val="1"/>
          <c:order val="1"/>
          <c:tx>
            <c:v>log change CTC1034 R9rep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'R9_rep'!$B$111:$B$126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'R9_rep'!$M$111:$M$126</c:f>
              <c:numCache>
                <c:formatCode>0.00</c:formatCode>
                <c:ptCount val="16"/>
                <c:pt idx="0">
                  <c:v>0</c:v>
                </c:pt>
                <c:pt idx="1">
                  <c:v>0.12493873660829991</c:v>
                </c:pt>
                <c:pt idx="2">
                  <c:v>0.42596873227228116</c:v>
                </c:pt>
                <c:pt idx="3">
                  <c:v>0.93785209325115604</c:v>
                </c:pt>
                <c:pt idx="4">
                  <c:v>1.383216751851331</c:v>
                </c:pt>
                <c:pt idx="5">
                  <c:v>2.1233849085396779</c:v>
                </c:pt>
                <c:pt idx="6">
                  <c:v>2.5390163239001211</c:v>
                </c:pt>
                <c:pt idx="7">
                  <c:v>2.4973246408079497</c:v>
                </c:pt>
                <c:pt idx="8">
                  <c:v>2.6611814434466194</c:v>
                </c:pt>
                <c:pt idx="9">
                  <c:v>2.5642714304385623</c:v>
                </c:pt>
                <c:pt idx="10">
                  <c:v>2.6532125137753435</c:v>
                </c:pt>
                <c:pt idx="11">
                  <c:v>2.5228787452803378</c:v>
                </c:pt>
                <c:pt idx="12">
                  <c:v>2.5740312677277193</c:v>
                </c:pt>
                <c:pt idx="13">
                  <c:v>2.5528419686577806</c:v>
                </c:pt>
                <c:pt idx="14">
                  <c:v>2.5542872095319615</c:v>
                </c:pt>
                <c:pt idx="15">
                  <c:v>2.5118833609788749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19-46B6-9615-268EDA94E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684536"/>
        <c:axId val="267684928"/>
      </c:scatterChart>
      <c:valAx>
        <c:axId val="267684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684928"/>
        <c:crosses val="autoZero"/>
        <c:crossBetween val="midCat"/>
      </c:valAx>
      <c:valAx>
        <c:axId val="267684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684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'R10'!$B$10:$B$21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'R10'!$H$10:$H$21</c:f>
              <c:numCache>
                <c:formatCode>General</c:formatCode>
                <c:ptCount val="12"/>
                <c:pt idx="0" formatCode="0.00">
                  <c:v>5.9138138523837167</c:v>
                </c:pt>
                <c:pt idx="4" formatCode="0.00">
                  <c:v>7.6473829701146201</c:v>
                </c:pt>
                <c:pt idx="5" formatCode="0.00">
                  <c:v>8.3222192947339195</c:v>
                </c:pt>
                <c:pt idx="9" formatCode="0.00">
                  <c:v>8.357934847000454</c:v>
                </c:pt>
                <c:pt idx="10" formatCode="0.00">
                  <c:v>8.2304489213782741</c:v>
                </c:pt>
                <c:pt idx="11" formatCode="0.00">
                  <c:v>8.357934847000454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C-4D61-862B-2970F6214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23K-R10</a:t>
            </a:r>
          </a:p>
        </c:rich>
      </c:tx>
      <c:layout>
        <c:manualLayout>
          <c:xMode val="edge"/>
          <c:yMode val="edge"/>
          <c:x val="0.4247222222222222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'R10'!$B$32:$B$43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'R10'!$H$32:$H$43</c:f>
              <c:numCache>
                <c:formatCode>General</c:formatCode>
                <c:ptCount val="12"/>
                <c:pt idx="0" formatCode="0.00">
                  <c:v>5.4941545940184424</c:v>
                </c:pt>
                <c:pt idx="4" formatCode="0.00">
                  <c:v>7.4996870826184034</c:v>
                </c:pt>
                <c:pt idx="5" formatCode="0.00">
                  <c:v>8.4800069429571501</c:v>
                </c:pt>
                <c:pt idx="9" formatCode="0.00">
                  <c:v>8.4742162640762544</c:v>
                </c:pt>
                <c:pt idx="10" formatCode="0.00">
                  <c:v>8.4471580313422194</c:v>
                </c:pt>
                <c:pt idx="11" formatCode="0.00">
                  <c:v>8.5158738437116792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89-4F2A-A171-404304FAD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'R10'!$B$52:$B$63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'R10'!$H$52:$H$63</c:f>
              <c:numCache>
                <c:formatCode>General</c:formatCode>
                <c:ptCount val="12"/>
                <c:pt idx="0" formatCode="0.00">
                  <c:v>3.4471580313422194</c:v>
                </c:pt>
                <c:pt idx="4" formatCode="0.00">
                  <c:v>4.6812412373755876</c:v>
                </c:pt>
                <c:pt idx="5" formatCode="0.00">
                  <c:v>6.8573324964312681</c:v>
                </c:pt>
                <c:pt idx="9" formatCode="0.00">
                  <c:v>8.1931245983544621</c:v>
                </c:pt>
                <c:pt idx="10" formatCode="0.00">
                  <c:v>8.3397825846559979</c:v>
                </c:pt>
                <c:pt idx="11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21-46F0-9848-3EDB6C4C4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'R10'!$H$73:$H$84</c:f>
              <c:numCache>
                <c:formatCode>0.00</c:formatCode>
                <c:ptCount val="12"/>
                <c:pt idx="0">
                  <c:v>4.8692317197309762</c:v>
                </c:pt>
                <c:pt idx="1">
                  <c:v>6.2552725051033065</c:v>
                </c:pt>
                <c:pt idx="2">
                  <c:v>6.7259116322950483</c:v>
                </c:pt>
                <c:pt idx="3">
                  <c:v>7.5314789170422554</c:v>
                </c:pt>
                <c:pt idx="4">
                  <c:v>7.7307822756663889</c:v>
                </c:pt>
                <c:pt idx="5">
                  <c:v>8.3222192947339195</c:v>
                </c:pt>
                <c:pt idx="6">
                  <c:v>8.40823996531185</c:v>
                </c:pt>
                <c:pt idx="7">
                  <c:v>8.3502480183341632</c:v>
                </c:pt>
                <c:pt idx="8">
                  <c:v>8.4440447959180762</c:v>
                </c:pt>
                <c:pt idx="9">
                  <c:v>8.383815365980432</c:v>
                </c:pt>
                <c:pt idx="10">
                  <c:v>8.3617278360175931</c:v>
                </c:pt>
                <c:pt idx="11">
                  <c:v>8.3654879848908994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FC-4C0B-81A8-3768BD890FA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'R10'!$B$73:$B$84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'R10'!$I$73:$I$84</c:f>
              <c:numCache>
                <c:formatCode>0.00</c:formatCode>
                <c:ptCount val="12"/>
                <c:pt idx="0">
                  <c:v>2.9030899869919438</c:v>
                </c:pt>
                <c:pt idx="1">
                  <c:v>3.6127838567197355</c:v>
                </c:pt>
                <c:pt idx="2">
                  <c:v>3.9395192526186187</c:v>
                </c:pt>
                <c:pt idx="3">
                  <c:v>4.1461280356782382</c:v>
                </c:pt>
                <c:pt idx="4">
                  <c:v>4.2922560713564764</c:v>
                </c:pt>
                <c:pt idx="5">
                  <c:v>3.248463717551032</c:v>
                </c:pt>
                <c:pt idx="6">
                  <c:v>3.1872386198314788</c:v>
                </c:pt>
                <c:pt idx="7">
                  <c:v>3.4032921451582543</c:v>
                </c:pt>
                <c:pt idx="8">
                  <c:v>3.4326486600131068</c:v>
                </c:pt>
                <c:pt idx="9">
                  <c:v>3.5390760987927767</c:v>
                </c:pt>
                <c:pt idx="10">
                  <c:v>4.0927206446840989</c:v>
                </c:pt>
                <c:pt idx="11">
                  <c:v>4.2713768718940743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FC-4C0B-81A8-3768BD890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'R10'!$H$95:$H$106</c:f>
              <c:numCache>
                <c:formatCode>0.00</c:formatCode>
                <c:ptCount val="12"/>
                <c:pt idx="0">
                  <c:v>4.204119982655925</c:v>
                </c:pt>
                <c:pt idx="1">
                  <c:v>5.5514499979728749</c:v>
                </c:pt>
                <c:pt idx="2">
                  <c:v>6.3222192947339195</c:v>
                </c:pt>
                <c:pt idx="3">
                  <c:v>7.0934216851622347</c:v>
                </c:pt>
                <c:pt idx="4">
                  <c:v>7.5289167002776551</c:v>
                </c:pt>
                <c:pt idx="5">
                  <c:v>8.4216039268698317</c:v>
                </c:pt>
                <c:pt idx="6">
                  <c:v>8.5490032620257885</c:v>
                </c:pt>
                <c:pt idx="7">
                  <c:v>8.4623979978989556</c:v>
                </c:pt>
                <c:pt idx="8">
                  <c:v>8.3692158574101434</c:v>
                </c:pt>
                <c:pt idx="9">
                  <c:v>8.5340261060561353</c:v>
                </c:pt>
                <c:pt idx="10">
                  <c:v>8.4471580313422194</c:v>
                </c:pt>
                <c:pt idx="11">
                  <c:v>8.5105450102066129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C-4AD6-B108-001838671C6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'R10'!$B$73:$B$84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'R10'!$I$95:$I$106</c:f>
              <c:numCache>
                <c:formatCode>0.00</c:formatCode>
                <c:ptCount val="12"/>
                <c:pt idx="0">
                  <c:v>2.3010299956639813</c:v>
                </c:pt>
                <c:pt idx="1">
                  <c:v>3.6901960800285138</c:v>
                </c:pt>
                <c:pt idx="2">
                  <c:v>3.8808135922807914</c:v>
                </c:pt>
                <c:pt idx="3">
                  <c:v>4.3010299956639813</c:v>
                </c:pt>
                <c:pt idx="4">
                  <c:v>4.9731278535996983</c:v>
                </c:pt>
                <c:pt idx="5">
                  <c:v>5.7781512503836439</c:v>
                </c:pt>
                <c:pt idx="6">
                  <c:v>5.7481880270062007</c:v>
                </c:pt>
                <c:pt idx="7">
                  <c:v>5.9344984512435675</c:v>
                </c:pt>
                <c:pt idx="8">
                  <c:v>6.2355284469075487</c:v>
                </c:pt>
                <c:pt idx="9">
                  <c:v>6.2966651902615309</c:v>
                </c:pt>
                <c:pt idx="10">
                  <c:v>6.6557785152248208</c:v>
                </c:pt>
                <c:pt idx="11">
                  <c:v>6.6244539915362708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9C-4AD6-B108-001838671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CTC494-R10rep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'R10_rep'!$H$10:$H$25</c:f>
              <c:numCache>
                <c:formatCode>0.00</c:formatCode>
                <c:ptCount val="16"/>
                <c:pt idx="0">
                  <c:v>4.9542425094393252</c:v>
                </c:pt>
                <c:pt idx="1">
                  <c:v>5.3222192947339195</c:v>
                </c:pt>
                <c:pt idx="2">
                  <c:v>5.8573324964312681</c:v>
                </c:pt>
                <c:pt idx="3">
                  <c:v>6.4345689040341991</c:v>
                </c:pt>
                <c:pt idx="4">
                  <c:v>6.8450980400142569</c:v>
                </c:pt>
                <c:pt idx="5">
                  <c:v>7.7589118923979736</c:v>
                </c:pt>
                <c:pt idx="6">
                  <c:v>7.9344984512435675</c:v>
                </c:pt>
                <c:pt idx="7">
                  <c:v>8.1760912590556813</c:v>
                </c:pt>
                <c:pt idx="8">
                  <c:v>8.1643528557844363</c:v>
                </c:pt>
                <c:pt idx="9">
                  <c:v>8.2695129442179169</c:v>
                </c:pt>
                <c:pt idx="10">
                  <c:v>8.4048337166199385</c:v>
                </c:pt>
                <c:pt idx="11">
                  <c:v>8.4313637641589878</c:v>
                </c:pt>
                <c:pt idx="12">
                  <c:v>8.4183012913197448</c:v>
                </c:pt>
                <c:pt idx="13">
                  <c:v>8.3384564936046051</c:v>
                </c:pt>
                <c:pt idx="14">
                  <c:v>8.357934847000454</c:v>
                </c:pt>
                <c:pt idx="15">
                  <c:v>8.2966651902615318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D-4372-BBE5-90997D6690C2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('R10_rep'!$M$4,'R10_rep'!$B$15:$B$17)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('R10_rep'!$Q$4,'R10_rep'!$H$15:$H$17)</c:f>
              <c:numCache>
                <c:formatCode>0.00</c:formatCode>
                <c:ptCount val="4"/>
                <c:pt idx="0">
                  <c:v>5.4771212547196626</c:v>
                </c:pt>
                <c:pt idx="1">
                  <c:v>7.7589118923979736</c:v>
                </c:pt>
                <c:pt idx="2">
                  <c:v>7.9344984512435675</c:v>
                </c:pt>
                <c:pt idx="3">
                  <c:v>8.1760912590556813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5D-4372-BBE5-90997D669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04000"/>
        <c:axId val="268204392"/>
      </c:scatterChart>
      <c:valAx>
        <c:axId val="26820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04392"/>
        <c:crosses val="autoZero"/>
        <c:crossBetween val="midCat"/>
      </c:valAx>
      <c:valAx>
        <c:axId val="268204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0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23K-R10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'R10_rep'!$B$36:$B$51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'R10_rep'!$H$36:$H$51</c:f>
              <c:numCache>
                <c:formatCode>0.00</c:formatCode>
                <c:ptCount val="16"/>
                <c:pt idx="0">
                  <c:v>5.3802112417116064</c:v>
                </c:pt>
                <c:pt idx="1">
                  <c:v>5.7193312869837269</c:v>
                </c:pt>
                <c:pt idx="2">
                  <c:v>6.2648178230095368</c:v>
                </c:pt>
                <c:pt idx="3">
                  <c:v>6.7193312869837269</c:v>
                </c:pt>
                <c:pt idx="4">
                  <c:v>7.1072099696478688</c:v>
                </c:pt>
                <c:pt idx="5">
                  <c:v>7.9703468762300931</c:v>
                </c:pt>
                <c:pt idx="6">
                  <c:v>7.7543483357110192</c:v>
                </c:pt>
                <c:pt idx="7">
                  <c:v>8.3944516808262168</c:v>
                </c:pt>
                <c:pt idx="8">
                  <c:v>8.2922560713564764</c:v>
                </c:pt>
                <c:pt idx="9">
                  <c:v>8.4857214264815806</c:v>
                </c:pt>
                <c:pt idx="10">
                  <c:v>8.5078558716958312</c:v>
                </c:pt>
                <c:pt idx="11">
                  <c:v>8.5105450102066129</c:v>
                </c:pt>
                <c:pt idx="12">
                  <c:v>8.5263392773898445</c:v>
                </c:pt>
                <c:pt idx="13">
                  <c:v>8.5538830266438737</c:v>
                </c:pt>
                <c:pt idx="14">
                  <c:v>8.4563660331290436</c:v>
                </c:pt>
                <c:pt idx="15">
                  <c:v>8.3263358609287508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A6-4ADD-96AE-94BFD33BA4F7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('R10_rep'!$M$4,'R10_rep'!$B$41:$B$43)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('R10_rep'!$Q$5,'R10_rep'!$H$41:$H$43,'R10_rep'!$H$49)</c:f>
              <c:numCache>
                <c:formatCode>0.00</c:formatCode>
                <c:ptCount val="5"/>
                <c:pt idx="0">
                  <c:v>5.4471580313422194</c:v>
                </c:pt>
                <c:pt idx="1">
                  <c:v>7.9703468762300931</c:v>
                </c:pt>
                <c:pt idx="2">
                  <c:v>7.7543483357110192</c:v>
                </c:pt>
                <c:pt idx="3">
                  <c:v>8.3944516808262168</c:v>
                </c:pt>
                <c:pt idx="4">
                  <c:v>8.5538830266438737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A6-4ADD-96AE-94BFD33BA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05176"/>
        <c:axId val="268205568"/>
      </c:scatterChart>
      <c:valAx>
        <c:axId val="268205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05568"/>
        <c:crosses val="autoZero"/>
        <c:crossBetween val="midCat"/>
      </c:valAx>
      <c:valAx>
        <c:axId val="268205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05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CTC1034-R10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'R10_rep'!$B$60:$B$75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'R10_rep'!$I$60:$I$75</c:f>
              <c:numCache>
                <c:formatCode>General</c:formatCode>
                <c:ptCount val="16"/>
                <c:pt idx="0">
                  <c:v>3.255272505103306</c:v>
                </c:pt>
                <c:pt idx="1">
                  <c:v>3.6720978579357175</c:v>
                </c:pt>
                <c:pt idx="2">
                  <c:v>3.7781512503836434</c:v>
                </c:pt>
                <c:pt idx="3">
                  <c:v>4.2648178230095368</c:v>
                </c:pt>
                <c:pt idx="4">
                  <c:v>4.7781512503836439</c:v>
                </c:pt>
                <c:pt idx="5">
                  <c:v>5.3873898263387296</c:v>
                </c:pt>
                <c:pt idx="6">
                  <c:v>6.0118522700068455</c:v>
                </c:pt>
                <c:pt idx="7">
                  <c:v>6.4471580313422194</c:v>
                </c:pt>
                <c:pt idx="8">
                  <c:v>6.6627578316815743</c:v>
                </c:pt>
                <c:pt idx="9">
                  <c:v>6.8573324964312681</c:v>
                </c:pt>
                <c:pt idx="10">
                  <c:v>7.4149733479708182</c:v>
                </c:pt>
                <c:pt idx="11">
                  <c:v>7.7634279935629369</c:v>
                </c:pt>
                <c:pt idx="12">
                  <c:v>8.0413926851582254</c:v>
                </c:pt>
                <c:pt idx="13">
                  <c:v>8.4533183400470371</c:v>
                </c:pt>
                <c:pt idx="14">
                  <c:v>8.3424226808222066</c:v>
                </c:pt>
                <c:pt idx="15">
                  <c:v>8.4216039268698317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B-4F82-8CC8-D95C4F3407DC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('R10_rep'!$M$4,'R10_rep'!$B$65:$B$67)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('R10_rep'!$Q$6,'R10_rep'!$I$65:$I$67)</c:f>
              <c:numCache>
                <c:formatCode>General</c:formatCode>
                <c:ptCount val="4"/>
                <c:pt idx="0" formatCode="0.00">
                  <c:v>3.1461280356782382</c:v>
                </c:pt>
                <c:pt idx="1">
                  <c:v>5.3873898263387296</c:v>
                </c:pt>
                <c:pt idx="2">
                  <c:v>6.0118522700068455</c:v>
                </c:pt>
                <c:pt idx="3">
                  <c:v>6.4471580313422194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AB-4F82-8CC8-D95C4F340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06352"/>
        <c:axId val="268206744"/>
      </c:scatterChart>
      <c:valAx>
        <c:axId val="268206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06744"/>
        <c:crosses val="autoZero"/>
        <c:crossBetween val="midCat"/>
      </c:valAx>
      <c:valAx>
        <c:axId val="268206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0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494+1034-R10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'R10_rep'!$H$85:$H$100</c:f>
              <c:numCache>
                <c:formatCode>0.00</c:formatCode>
                <c:ptCount val="16"/>
                <c:pt idx="0">
                  <c:v>4.9731278535996983</c:v>
                </c:pt>
                <c:pt idx="1">
                  <c:v>5.3729120029701063</c:v>
                </c:pt>
                <c:pt idx="2">
                  <c:v>5.9138138523837167</c:v>
                </c:pt>
                <c:pt idx="3">
                  <c:v>6.4014005407815437</c:v>
                </c:pt>
                <c:pt idx="4">
                  <c:v>6.7634279935629369</c:v>
                </c:pt>
                <c:pt idx="5">
                  <c:v>7.6570558528571038</c:v>
                </c:pt>
                <c:pt idx="6">
                  <c:v>7.9063350418050904</c:v>
                </c:pt>
                <c:pt idx="7">
                  <c:v>8.2304489213782741</c:v>
                </c:pt>
                <c:pt idx="8">
                  <c:v>8.1461280356782382</c:v>
                </c:pt>
                <c:pt idx="9">
                  <c:v>8.318063334962762</c:v>
                </c:pt>
                <c:pt idx="10">
                  <c:v>8.3617278360175931</c:v>
                </c:pt>
                <c:pt idx="11">
                  <c:v>8.4969296480732144</c:v>
                </c:pt>
                <c:pt idx="12">
                  <c:v>8.3424226808222066</c:v>
                </c:pt>
                <c:pt idx="13">
                  <c:v>8.357934847000454</c:v>
                </c:pt>
                <c:pt idx="14">
                  <c:v>8.3654879848908994</c:v>
                </c:pt>
                <c:pt idx="15">
                  <c:v>8.3873898263387296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E-4065-8045-E73BA7473B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'R10_rep'!$B$85:$B$100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'R10_rep'!$I$85:$I$100</c:f>
              <c:numCache>
                <c:formatCode>0.00</c:formatCode>
                <c:ptCount val="16"/>
                <c:pt idx="0">
                  <c:v>3.3424226808222062</c:v>
                </c:pt>
                <c:pt idx="1">
                  <c:v>3.3010299956639813</c:v>
                </c:pt>
                <c:pt idx="2">
                  <c:v>3.8450980400142569</c:v>
                </c:pt>
                <c:pt idx="3">
                  <c:v>4.2922560713564764</c:v>
                </c:pt>
                <c:pt idx="4">
                  <c:v>4.6434526764861879</c:v>
                </c:pt>
                <c:pt idx="5">
                  <c:v>4.8450980400142569</c:v>
                </c:pt>
                <c:pt idx="6">
                  <c:v>4.8226038992559745</c:v>
                </c:pt>
                <c:pt idx="7">
                  <c:v>4.3424226808222066</c:v>
                </c:pt>
                <c:pt idx="8">
                  <c:v>4.653212513775344</c:v>
                </c:pt>
                <c:pt idx="9">
                  <c:v>4.2878017299302265</c:v>
                </c:pt>
                <c:pt idx="10">
                  <c:v>4.0236639181977933</c:v>
                </c:pt>
                <c:pt idx="11">
                  <c:v>0</c:v>
                </c:pt>
                <c:pt idx="12">
                  <c:v>4.5582284218033253</c:v>
                </c:pt>
                <c:pt idx="13">
                  <c:v>0</c:v>
                </c:pt>
                <c:pt idx="14">
                  <c:v>5.2423426210246431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EE-4065-8045-E73BA7473BFB}"/>
            </c:ext>
          </c:extLst>
        </c:ser>
        <c:ser>
          <c:idx val="2"/>
          <c:order val="2"/>
          <c:tx>
            <c:v>dades gap 494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('R10_rep'!$M$4,'R10_rep'!$B$90:$B$92)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('R10_rep'!$Q$4,'R10_rep'!$H$90:$H$92)</c:f>
              <c:numCache>
                <c:formatCode>0.00</c:formatCode>
                <c:ptCount val="4"/>
                <c:pt idx="0">
                  <c:v>5.4771212547196626</c:v>
                </c:pt>
                <c:pt idx="1">
                  <c:v>7.6570558528571038</c:v>
                </c:pt>
                <c:pt idx="2">
                  <c:v>7.9063350418050904</c:v>
                </c:pt>
                <c:pt idx="3">
                  <c:v>8.2304489213782741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EE-4065-8045-E73BA7473BFB}"/>
            </c:ext>
          </c:extLst>
        </c:ser>
        <c:ser>
          <c:idx val="3"/>
          <c:order val="3"/>
          <c:tx>
            <c:v>dades gap 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('R10_rep'!$M$4,'R10_rep'!$B$90:$B$92)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('R10_rep'!$Q$6,'R10_rep'!$I$90:$I$92)</c:f>
              <c:numCache>
                <c:formatCode>0.00</c:formatCode>
                <c:ptCount val="4"/>
                <c:pt idx="0">
                  <c:v>3.1461280356782382</c:v>
                </c:pt>
                <c:pt idx="1">
                  <c:v>4.8450980400142569</c:v>
                </c:pt>
                <c:pt idx="2">
                  <c:v>4.8226038992559745</c:v>
                </c:pt>
                <c:pt idx="3">
                  <c:v>4.3424226808222066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EE-4065-8045-E73BA7473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07528"/>
        <c:axId val="268207920"/>
      </c:scatterChart>
      <c:valAx>
        <c:axId val="268207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07920"/>
        <c:crosses val="autoZero"/>
        <c:crossBetween val="midCat"/>
      </c:valAx>
      <c:valAx>
        <c:axId val="268207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07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23K+1034-R10</a:t>
            </a:r>
            <a:r>
              <a:rPr lang="ca-ES" b="1" baseline="0"/>
              <a:t> rep</a:t>
            </a:r>
            <a:endParaRPr lang="ca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'R10_rep'!$H$111:$H$126</c:f>
              <c:numCache>
                <c:formatCode>0.00</c:formatCode>
                <c:ptCount val="16"/>
                <c:pt idx="0">
                  <c:v>5.3010299956639813</c:v>
                </c:pt>
                <c:pt idx="1">
                  <c:v>5.6589648426644352</c:v>
                </c:pt>
                <c:pt idx="2">
                  <c:v>6.1818435879447726</c:v>
                </c:pt>
                <c:pt idx="3">
                  <c:v>6.5587085705331658</c:v>
                </c:pt>
                <c:pt idx="4">
                  <c:v>7.0569048513364727</c:v>
                </c:pt>
                <c:pt idx="5">
                  <c:v>8.1726029312098607</c:v>
                </c:pt>
                <c:pt idx="6">
                  <c:v>7.802773725291976</c:v>
                </c:pt>
                <c:pt idx="7">
                  <c:v>8.220108088040055</c:v>
                </c:pt>
                <c:pt idx="8">
                  <c:v>8.2355284469075496</c:v>
                </c:pt>
                <c:pt idx="9">
                  <c:v>8.5024271199844321</c:v>
                </c:pt>
                <c:pt idx="10">
                  <c:v>8.5538830266438737</c:v>
                </c:pt>
                <c:pt idx="11">
                  <c:v>8.5314789170422554</c:v>
                </c:pt>
                <c:pt idx="12">
                  <c:v>8.4683473304121577</c:v>
                </c:pt>
                <c:pt idx="13">
                  <c:v>8.4771212547196626</c:v>
                </c:pt>
                <c:pt idx="14">
                  <c:v>8.4623979978989556</c:v>
                </c:pt>
                <c:pt idx="15">
                  <c:v>8.4471580313422194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14-4A1E-B66A-E380ED28A87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'R10_rep'!$B$85:$B$100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'R10_rep'!$I$111:$I$126</c:f>
              <c:numCache>
                <c:formatCode>0.00</c:formatCode>
                <c:ptCount val="16"/>
                <c:pt idx="0">
                  <c:v>3.4313637641589874</c:v>
                </c:pt>
                <c:pt idx="1">
                  <c:v>3.568201724066995</c:v>
                </c:pt>
                <c:pt idx="2">
                  <c:v>3.7481880270062002</c:v>
                </c:pt>
                <c:pt idx="3">
                  <c:v>4.318063334962762</c:v>
                </c:pt>
                <c:pt idx="4">
                  <c:v>4.5797835966168101</c:v>
                </c:pt>
                <c:pt idx="5">
                  <c:v>5.1072099696478688</c:v>
                </c:pt>
                <c:pt idx="6">
                  <c:v>5.3384564936046051</c:v>
                </c:pt>
                <c:pt idx="7">
                  <c:v>5.5314789170422554</c:v>
                </c:pt>
                <c:pt idx="8">
                  <c:v>5.7160033436347994</c:v>
                </c:pt>
                <c:pt idx="9">
                  <c:v>5.924279286061882</c:v>
                </c:pt>
                <c:pt idx="10">
                  <c:v>6.071882007306125</c:v>
                </c:pt>
                <c:pt idx="11">
                  <c:v>6.2304489213782741</c:v>
                </c:pt>
                <c:pt idx="12">
                  <c:v>6.2787536009528289</c:v>
                </c:pt>
                <c:pt idx="13">
                  <c:v>6.7956483318320968</c:v>
                </c:pt>
                <c:pt idx="14">
                  <c:v>6.6414741105040997</c:v>
                </c:pt>
                <c:pt idx="15">
                  <c:v>6.7781512503836439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14-4A1E-B66A-E380ED28A871}"/>
            </c:ext>
          </c:extLst>
        </c:ser>
        <c:ser>
          <c:idx val="2"/>
          <c:order val="2"/>
          <c:tx>
            <c:v>dades gap 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('R10_rep'!$M$4,'R10_rep'!$B$116:$B$118)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('R10_rep'!$Q$5,'R10_rep'!$H$116:$H$118)</c:f>
              <c:numCache>
                <c:formatCode>0.00</c:formatCode>
                <c:ptCount val="4"/>
                <c:pt idx="0">
                  <c:v>5.4471580313422194</c:v>
                </c:pt>
                <c:pt idx="1">
                  <c:v>8.1726029312098607</c:v>
                </c:pt>
                <c:pt idx="2">
                  <c:v>7.802773725291976</c:v>
                </c:pt>
                <c:pt idx="3">
                  <c:v>8.220108088040055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14-4A1E-B66A-E380ED28A871}"/>
            </c:ext>
          </c:extLst>
        </c:ser>
        <c:ser>
          <c:idx val="3"/>
          <c:order val="3"/>
          <c:tx>
            <c:v>dades gap 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('R10_rep'!$M$4,'R10_rep'!$B$116:$B$118)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('R10_rep'!$Q$6,'R10_rep'!$I$116:$I$118)</c:f>
              <c:numCache>
                <c:formatCode>0.00</c:formatCode>
                <c:ptCount val="4"/>
                <c:pt idx="0">
                  <c:v>3.1461280356782382</c:v>
                </c:pt>
                <c:pt idx="1">
                  <c:v>5.1072099696478688</c:v>
                </c:pt>
                <c:pt idx="2">
                  <c:v>5.3384564936046051</c:v>
                </c:pt>
                <c:pt idx="3">
                  <c:v>5.5314789170422554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14-4A1E-B66A-E380ED28A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08704"/>
        <c:axId val="268209096"/>
      </c:scatterChart>
      <c:valAx>
        <c:axId val="26820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09096"/>
        <c:crosses val="autoZero"/>
        <c:crossBetween val="midCat"/>
      </c:valAx>
      <c:valAx>
        <c:axId val="268209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0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'R10_rep'!$F$9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'R10_rep'!$F$10:$F$25</c:f>
              <c:numCache>
                <c:formatCode>General</c:formatCode>
                <c:ptCount val="16"/>
                <c:pt idx="0">
                  <c:v>5.9</c:v>
                </c:pt>
                <c:pt idx="1">
                  <c:v>5.9</c:v>
                </c:pt>
                <c:pt idx="2">
                  <c:v>5.8</c:v>
                </c:pt>
                <c:pt idx="3">
                  <c:v>5.81</c:v>
                </c:pt>
                <c:pt idx="4">
                  <c:v>5.75</c:v>
                </c:pt>
                <c:pt idx="5">
                  <c:v>5.15</c:v>
                </c:pt>
                <c:pt idx="6">
                  <c:v>4.67</c:v>
                </c:pt>
                <c:pt idx="7">
                  <c:v>5.47</c:v>
                </c:pt>
                <c:pt idx="8">
                  <c:v>5.43</c:v>
                </c:pt>
                <c:pt idx="9" formatCode="0.00">
                  <c:v>5.42</c:v>
                </c:pt>
                <c:pt idx="10">
                  <c:v>5.42</c:v>
                </c:pt>
                <c:pt idx="11" formatCode="0.00">
                  <c:v>5.43</c:v>
                </c:pt>
                <c:pt idx="12">
                  <c:v>5.4</c:v>
                </c:pt>
                <c:pt idx="13">
                  <c:v>5.47</c:v>
                </c:pt>
                <c:pt idx="14">
                  <c:v>5.47</c:v>
                </c:pt>
                <c:pt idx="15" formatCode="0.00">
                  <c:v>5.42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BF-45FF-9173-D763DD7A36EE}"/>
            </c:ext>
          </c:extLst>
        </c:ser>
        <c:ser>
          <c:idx val="1"/>
          <c:order val="1"/>
          <c:tx>
            <c:strRef>
              <c:f>'R10_rep'!$J$9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'R10_rep'!$J$10:$J$25</c:f>
              <c:numCache>
                <c:formatCode>0.00</c:formatCode>
                <c:ptCount val="16"/>
                <c:pt idx="0">
                  <c:v>1.4508147873430495E-2</c:v>
                </c:pt>
                <c:pt idx="1">
                  <c:v>-4.9314068665267947E-2</c:v>
                </c:pt>
                <c:pt idx="2">
                  <c:v>6.9996518100542138E-3</c:v>
                </c:pt>
                <c:pt idx="3">
                  <c:v>0.10461010063394596</c:v>
                </c:pt>
                <c:pt idx="4">
                  <c:v>-0.10187354110890197</c:v>
                </c:pt>
                <c:pt idx="5">
                  <c:v>0.3523904707253635</c:v>
                </c:pt>
                <c:pt idx="6">
                  <c:v>0.87047669909832737</c:v>
                </c:pt>
                <c:pt idx="7">
                  <c:v>0.32611073450354644</c:v>
                </c:pt>
                <c:pt idx="8">
                  <c:v>0.55511986443652328</c:v>
                </c:pt>
                <c:pt idx="9">
                  <c:v>0.43498392742250269</c:v>
                </c:pt>
                <c:pt idx="10">
                  <c:v>0.50631464002457738</c:v>
                </c:pt>
                <c:pt idx="11">
                  <c:v>0.64146756916535064</c:v>
                </c:pt>
                <c:pt idx="12">
                  <c:v>0.56262836049989962</c:v>
                </c:pt>
                <c:pt idx="13">
                  <c:v>0.38617870301055679</c:v>
                </c:pt>
                <c:pt idx="14">
                  <c:v>0.51382313608795371</c:v>
                </c:pt>
                <c:pt idx="15">
                  <c:v>0.6564845612921032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BF-45FF-9173-D763DD7A36EE}"/>
            </c:ext>
          </c:extLst>
        </c:ser>
        <c:ser>
          <c:idx val="2"/>
          <c:order val="2"/>
          <c:tx>
            <c:strRef>
              <c:f>'R10_rep'!$L$9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'R10_rep'!$L$10:$L$25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1.6</c:v>
                </c:pt>
                <c:pt idx="9">
                  <c:v>3.2</c:v>
                </c:pt>
                <c:pt idx="10">
                  <c:v>1.6</c:v>
                </c:pt>
                <c:pt idx="11">
                  <c:v>3.2</c:v>
                </c:pt>
                <c:pt idx="12">
                  <c:v>3.2</c:v>
                </c:pt>
                <c:pt idx="14">
                  <c:v>1.6</c:v>
                </c:pt>
                <c:pt idx="1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BF-45FF-9173-D763DD7A3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09880"/>
        <c:axId val="268210272"/>
      </c:scatterChart>
      <c:valAx>
        <c:axId val="268209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10272"/>
        <c:crosses val="autoZero"/>
        <c:crossBetween val="midCat"/>
      </c:valAx>
      <c:valAx>
        <c:axId val="2682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09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'R10_rep'!$F$9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'R10_rep'!$F$36:$F$51</c:f>
              <c:numCache>
                <c:formatCode>General</c:formatCode>
                <c:ptCount val="16"/>
                <c:pt idx="0">
                  <c:v>5.9</c:v>
                </c:pt>
                <c:pt idx="1">
                  <c:v>5.78</c:v>
                </c:pt>
                <c:pt idx="2">
                  <c:v>5.8</c:v>
                </c:pt>
                <c:pt idx="3">
                  <c:v>5.76</c:v>
                </c:pt>
                <c:pt idx="4" formatCode="0.00">
                  <c:v>5.68</c:v>
                </c:pt>
                <c:pt idx="5" formatCode="0.00">
                  <c:v>5.29</c:v>
                </c:pt>
                <c:pt idx="6" formatCode="0.00">
                  <c:v>5.0999999999999996</c:v>
                </c:pt>
                <c:pt idx="7" formatCode="0.00">
                  <c:v>5.37</c:v>
                </c:pt>
                <c:pt idx="8">
                  <c:v>5.29</c:v>
                </c:pt>
                <c:pt idx="9">
                  <c:v>5.34</c:v>
                </c:pt>
                <c:pt idx="10">
                  <c:v>5.27</c:v>
                </c:pt>
                <c:pt idx="11" formatCode="0.00">
                  <c:v>5.23</c:v>
                </c:pt>
                <c:pt idx="12">
                  <c:v>5.19</c:v>
                </c:pt>
                <c:pt idx="13">
                  <c:v>5.16</c:v>
                </c:pt>
                <c:pt idx="14" formatCode="0.00">
                  <c:v>5.19</c:v>
                </c:pt>
                <c:pt idx="15">
                  <c:v>5.14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6-4411-8BDF-9D558C2F4EB1}"/>
            </c:ext>
          </c:extLst>
        </c:ser>
        <c:ser>
          <c:idx val="1"/>
          <c:order val="1"/>
          <c:tx>
            <c:strRef>
              <c:f>'R10_rep'!$J$9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'R10_rep'!$J$36:$J$51</c:f>
              <c:numCache>
                <c:formatCode>0.00</c:formatCode>
                <c:ptCount val="16"/>
                <c:pt idx="0">
                  <c:v>-9.4365045045525675E-2</c:v>
                </c:pt>
                <c:pt idx="1">
                  <c:v>-3.8051324570203521E-2</c:v>
                </c:pt>
                <c:pt idx="2">
                  <c:v>6.9996518100542138E-3</c:v>
                </c:pt>
                <c:pt idx="3">
                  <c:v>-7.5593804887084962E-2</c:v>
                </c:pt>
                <c:pt idx="4">
                  <c:v>-0.19572974190110559</c:v>
                </c:pt>
                <c:pt idx="5">
                  <c:v>0.29232250221835321</c:v>
                </c:pt>
                <c:pt idx="6">
                  <c:v>0.40494994316899752</c:v>
                </c:pt>
                <c:pt idx="7">
                  <c:v>0.28105975812328876</c:v>
                </c:pt>
                <c:pt idx="8">
                  <c:v>0.35614471875705161</c:v>
                </c:pt>
                <c:pt idx="9">
                  <c:v>0.3035852463134176</c:v>
                </c:pt>
                <c:pt idx="10">
                  <c:v>0.45375516758094342</c:v>
                </c:pt>
                <c:pt idx="11">
                  <c:v>0.40119569513730935</c:v>
                </c:pt>
                <c:pt idx="12">
                  <c:v>0.32235648647185833</c:v>
                </c:pt>
                <c:pt idx="13">
                  <c:v>0.37116171088380423</c:v>
                </c:pt>
                <c:pt idx="14">
                  <c:v>0.40119569513730935</c:v>
                </c:pt>
                <c:pt idx="15">
                  <c:v>0.43498392742250269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6-4411-8BDF-9D558C2F4EB1}"/>
            </c:ext>
          </c:extLst>
        </c:ser>
        <c:ser>
          <c:idx val="2"/>
          <c:order val="2"/>
          <c:tx>
            <c:strRef>
              <c:f>[1]R9_rep!$L$9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[1]R9_rep!$B$10:$B$25</c:f>
              <c:numCache>
                <c:formatCode>General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[1]R9_rep!$L$36:$L$51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66-4411-8BDF-9D558C2F4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11056"/>
        <c:axId val="268211448"/>
      </c:scatterChart>
      <c:valAx>
        <c:axId val="26821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11448"/>
        <c:crosses val="autoZero"/>
        <c:crossBetween val="midCat"/>
      </c:valAx>
      <c:valAx>
        <c:axId val="26821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8211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'R10_rep'!$F$9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'R10_rep'!$F$60:$F$75</c:f>
              <c:numCache>
                <c:formatCode>General</c:formatCode>
                <c:ptCount val="16"/>
                <c:pt idx="0">
                  <c:v>5.89</c:v>
                </c:pt>
                <c:pt idx="1">
                  <c:v>5.84</c:v>
                </c:pt>
                <c:pt idx="2">
                  <c:v>5.81</c:v>
                </c:pt>
                <c:pt idx="3">
                  <c:v>5.84</c:v>
                </c:pt>
                <c:pt idx="4" formatCode="0.00">
                  <c:v>5.85</c:v>
                </c:pt>
                <c:pt idx="5" formatCode="0.00">
                  <c:v>5.89</c:v>
                </c:pt>
                <c:pt idx="6" formatCode="0.00">
                  <c:v>5.73</c:v>
                </c:pt>
                <c:pt idx="7" formatCode="0.00">
                  <c:v>5.83</c:v>
                </c:pt>
                <c:pt idx="8" formatCode="0.00">
                  <c:v>5.79</c:v>
                </c:pt>
                <c:pt idx="9">
                  <c:v>5.8</c:v>
                </c:pt>
                <c:pt idx="10">
                  <c:v>5.75</c:v>
                </c:pt>
                <c:pt idx="11">
                  <c:v>5.65</c:v>
                </c:pt>
                <c:pt idx="12" formatCode="0.00">
                  <c:v>5.54</c:v>
                </c:pt>
                <c:pt idx="13" formatCode="0.00">
                  <c:v>5.27</c:v>
                </c:pt>
                <c:pt idx="14" formatCode="0.00">
                  <c:v>5.28</c:v>
                </c:pt>
                <c:pt idx="15">
                  <c:v>5.39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5E-4645-B85F-844C56E86A59}"/>
            </c:ext>
          </c:extLst>
        </c:ser>
        <c:ser>
          <c:idx val="1"/>
          <c:order val="1"/>
          <c:tx>
            <c:strRef>
              <c:f>'R10_rep'!$J$9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'R10_rep'!$J$60:$J$75</c:f>
              <c:numCache>
                <c:formatCode>0.00</c:formatCode>
                <c:ptCount val="16"/>
                <c:pt idx="0">
                  <c:v>-0.16945000567928856</c:v>
                </c:pt>
                <c:pt idx="1">
                  <c:v>-0.16194150961591228</c:v>
                </c:pt>
                <c:pt idx="2">
                  <c:v>0.10085585260225781</c:v>
                </c:pt>
                <c:pt idx="3">
                  <c:v>-7.1839556855396822E-2</c:v>
                </c:pt>
                <c:pt idx="4">
                  <c:v>-0.4810525923094045</c:v>
                </c:pt>
                <c:pt idx="5">
                  <c:v>-3.0542828506827231E-2</c:v>
                </c:pt>
                <c:pt idx="6">
                  <c:v>-0.2220094781229226</c:v>
                </c:pt>
                <c:pt idx="7">
                  <c:v>-0.26330620647149217</c:v>
                </c:pt>
                <c:pt idx="8">
                  <c:v>-0.1732042537109767</c:v>
                </c:pt>
                <c:pt idx="9">
                  <c:v>-0.12815327733071899</c:v>
                </c:pt>
                <c:pt idx="10">
                  <c:v>-0.25204346237642777</c:v>
                </c:pt>
                <c:pt idx="11">
                  <c:v>-4.2630922850102164E-3</c:v>
                </c:pt>
                <c:pt idx="12">
                  <c:v>-0.13190752536240713</c:v>
                </c:pt>
                <c:pt idx="13">
                  <c:v>4.4542132126935648E-2</c:v>
                </c:pt>
                <c:pt idx="14">
                  <c:v>-0.16569575764760042</c:v>
                </c:pt>
                <c:pt idx="15">
                  <c:v>0.55511986443652328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5E-4645-B85F-844C56E86A59}"/>
            </c:ext>
          </c:extLst>
        </c:ser>
        <c:ser>
          <c:idx val="2"/>
          <c:order val="2"/>
          <c:tx>
            <c:strRef>
              <c:f>[1]R9_rep!$L$9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[1]R9_rep!$B$10:$B$25</c:f>
              <c:numCache>
                <c:formatCode>General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[1]R9_rep!$L$36:$L$51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5E-4645-B85F-844C56E86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265552"/>
        <c:axId val="267265944"/>
      </c:scatterChart>
      <c:valAx>
        <c:axId val="26726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65944"/>
        <c:crosses val="autoZero"/>
        <c:crossBetween val="midCat"/>
      </c:valAx>
      <c:valAx>
        <c:axId val="26726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65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'R10_rep'!$F$9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'R10_rep'!$F$85:$F$100</c:f>
              <c:numCache>
                <c:formatCode>General</c:formatCode>
                <c:ptCount val="16"/>
                <c:pt idx="0">
                  <c:v>5.89</c:v>
                </c:pt>
                <c:pt idx="1">
                  <c:v>5.87</c:v>
                </c:pt>
                <c:pt idx="2">
                  <c:v>5.8</c:v>
                </c:pt>
                <c:pt idx="3" formatCode="0.00">
                  <c:v>5.82</c:v>
                </c:pt>
                <c:pt idx="4">
                  <c:v>5.76</c:v>
                </c:pt>
                <c:pt idx="5">
                  <c:v>5.14</c:v>
                </c:pt>
                <c:pt idx="6">
                  <c:v>4.66</c:v>
                </c:pt>
                <c:pt idx="7">
                  <c:v>5.47</c:v>
                </c:pt>
                <c:pt idx="8">
                  <c:v>5.46</c:v>
                </c:pt>
                <c:pt idx="9">
                  <c:v>5.44</c:v>
                </c:pt>
                <c:pt idx="10">
                  <c:v>5.41</c:v>
                </c:pt>
                <c:pt idx="11" formatCode="0.00">
                  <c:v>5.24</c:v>
                </c:pt>
                <c:pt idx="12">
                  <c:v>5.44</c:v>
                </c:pt>
                <c:pt idx="13">
                  <c:v>5.53</c:v>
                </c:pt>
                <c:pt idx="14">
                  <c:v>5.56</c:v>
                </c:pt>
                <c:pt idx="15">
                  <c:v>5.39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69-4BE1-A6B7-671BF74F4301}"/>
            </c:ext>
          </c:extLst>
        </c:ser>
        <c:ser>
          <c:idx val="1"/>
          <c:order val="1"/>
          <c:tx>
            <c:strRef>
              <c:f>'R10_rep'!$J$9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'R10_rep'!$J$85:$J$100</c:f>
              <c:numCache>
                <c:formatCode>0.00</c:formatCode>
                <c:ptCount val="16"/>
                <c:pt idx="0">
                  <c:v>-4.9314068665267947E-2</c:v>
                </c:pt>
                <c:pt idx="1">
                  <c:v>-6.4331060792020528E-2</c:v>
                </c:pt>
                <c:pt idx="2">
                  <c:v>0.14215258095082742</c:v>
                </c:pt>
                <c:pt idx="3">
                  <c:v>-6.4331060792020528E-2</c:v>
                </c:pt>
                <c:pt idx="4">
                  <c:v>-0.40221338364395348</c:v>
                </c:pt>
                <c:pt idx="5">
                  <c:v>0.45750941561263159</c:v>
                </c:pt>
                <c:pt idx="6">
                  <c:v>0.78788324240118823</c:v>
                </c:pt>
                <c:pt idx="7">
                  <c:v>0.38617870301055679</c:v>
                </c:pt>
                <c:pt idx="8">
                  <c:v>0.44249242348587897</c:v>
                </c:pt>
                <c:pt idx="9">
                  <c:v>0.46126366364431959</c:v>
                </c:pt>
                <c:pt idx="10">
                  <c:v>0.40119569513730935</c:v>
                </c:pt>
                <c:pt idx="11">
                  <c:v>0.45000091954925525</c:v>
                </c:pt>
                <c:pt idx="12">
                  <c:v>0.33737347859861089</c:v>
                </c:pt>
                <c:pt idx="13">
                  <c:v>0.43873817545419086</c:v>
                </c:pt>
                <c:pt idx="14">
                  <c:v>0.3035852463134176</c:v>
                </c:pt>
                <c:pt idx="15">
                  <c:v>0.55511986443652328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69-4BE1-A6B7-671BF74F4301}"/>
            </c:ext>
          </c:extLst>
        </c:ser>
        <c:ser>
          <c:idx val="2"/>
          <c:order val="2"/>
          <c:tx>
            <c:strRef>
              <c:f>'R10_rep'!$L$9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'R10_rep'!$L$85:$L$100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1.6</c:v>
                </c:pt>
                <c:pt idx="9">
                  <c:v>3.2</c:v>
                </c:pt>
                <c:pt idx="10">
                  <c:v>3.2</c:v>
                </c:pt>
                <c:pt idx="11">
                  <c:v>0</c:v>
                </c:pt>
                <c:pt idx="12">
                  <c:v>0.8</c:v>
                </c:pt>
                <c:pt idx="14">
                  <c:v>1.6</c:v>
                </c:pt>
                <c:pt idx="1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69-4BE1-A6B7-671BF74F4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266336"/>
        <c:axId val="267266728"/>
      </c:scatterChart>
      <c:valAx>
        <c:axId val="26726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66728"/>
        <c:crosses val="autoZero"/>
        <c:crossBetween val="midCat"/>
      </c:valAx>
      <c:valAx>
        <c:axId val="26726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6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'R10_rep'!$F$9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'R10_rep'!$F$111:$F$126</c:f>
              <c:numCache>
                <c:formatCode>General</c:formatCode>
                <c:ptCount val="16"/>
                <c:pt idx="0">
                  <c:v>5.88</c:v>
                </c:pt>
                <c:pt idx="1">
                  <c:v>5.83</c:v>
                </c:pt>
                <c:pt idx="2">
                  <c:v>5.78</c:v>
                </c:pt>
                <c:pt idx="3">
                  <c:v>5.77</c:v>
                </c:pt>
                <c:pt idx="4">
                  <c:v>5.66</c:v>
                </c:pt>
                <c:pt idx="5">
                  <c:v>5.3</c:v>
                </c:pt>
                <c:pt idx="6">
                  <c:v>5.07</c:v>
                </c:pt>
                <c:pt idx="7">
                  <c:v>5.36</c:v>
                </c:pt>
                <c:pt idx="8">
                  <c:v>5.37</c:v>
                </c:pt>
                <c:pt idx="9">
                  <c:v>5.33</c:v>
                </c:pt>
                <c:pt idx="10" formatCode="0.00">
                  <c:v>5.24</c:v>
                </c:pt>
                <c:pt idx="11" formatCode="0.00">
                  <c:v>5.2</c:v>
                </c:pt>
                <c:pt idx="12">
                  <c:v>5.16</c:v>
                </c:pt>
                <c:pt idx="13">
                  <c:v>5.18</c:v>
                </c:pt>
                <c:pt idx="14">
                  <c:v>5.18</c:v>
                </c:pt>
                <c:pt idx="15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0-4B43-AC0E-C31FC2FF1F1B}"/>
            </c:ext>
          </c:extLst>
        </c:ser>
        <c:ser>
          <c:idx val="1"/>
          <c:order val="1"/>
          <c:tx>
            <c:strRef>
              <c:f>'R10_rep'!$J$9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'R10_rep'!$J$111:$J$126</c:f>
              <c:numCache>
                <c:formatCode>0.00</c:formatCode>
                <c:ptCount val="16"/>
                <c:pt idx="0">
                  <c:v>0.20597479748952585</c:v>
                </c:pt>
                <c:pt idx="1">
                  <c:v>-0.13190752536240713</c:v>
                </c:pt>
                <c:pt idx="2">
                  <c:v>4.0787884095247515E-2</c:v>
                </c:pt>
                <c:pt idx="3">
                  <c:v>1.8262395905118644E-2</c:v>
                </c:pt>
                <c:pt idx="4">
                  <c:v>-0.39845913561226537</c:v>
                </c:pt>
                <c:pt idx="5">
                  <c:v>0.40119569513730935</c:v>
                </c:pt>
                <c:pt idx="6">
                  <c:v>0.33737347859861089</c:v>
                </c:pt>
                <c:pt idx="7">
                  <c:v>0.42747543135912641</c:v>
                </c:pt>
                <c:pt idx="8">
                  <c:v>0.27355126205991243</c:v>
                </c:pt>
                <c:pt idx="9">
                  <c:v>0.38242445497886862</c:v>
                </c:pt>
                <c:pt idx="10">
                  <c:v>0.48754339986613665</c:v>
                </c:pt>
                <c:pt idx="11">
                  <c:v>0.52884012821470627</c:v>
                </c:pt>
                <c:pt idx="12">
                  <c:v>0.38242445497886862</c:v>
                </c:pt>
                <c:pt idx="13">
                  <c:v>0.40870419120068563</c:v>
                </c:pt>
                <c:pt idx="14">
                  <c:v>0.34863622269367534</c:v>
                </c:pt>
                <c:pt idx="15">
                  <c:v>0.4762806557710722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10-4B43-AC0E-C31FC2FF1F1B}"/>
            </c:ext>
          </c:extLst>
        </c:ser>
        <c:ser>
          <c:idx val="2"/>
          <c:order val="2"/>
          <c:tx>
            <c:strRef>
              <c:f>[1]R9_rep!$L$9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[1]R9_rep!$B$10:$B$25</c:f>
              <c:numCache>
                <c:formatCode>General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[1]R9_rep!$L$36:$L$51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10-4B43-AC0E-C31FC2FF1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267512"/>
        <c:axId val="267267904"/>
      </c:scatterChart>
      <c:valAx>
        <c:axId val="267267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67904"/>
        <c:crosses val="autoZero"/>
        <c:crossBetween val="midCat"/>
      </c:valAx>
      <c:valAx>
        <c:axId val="26726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67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</a:t>
            </a:r>
            <a:r>
              <a:rPr lang="ca-ES" b="1" baseline="0"/>
              <a:t> change CTC494 R10rep</a:t>
            </a:r>
            <a:endParaRPr lang="ca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R10rep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'R10_rep'!$N$10:$N$25</c:f>
              <c:numCache>
                <c:formatCode>0.00</c:formatCode>
                <c:ptCount val="16"/>
                <c:pt idx="0">
                  <c:v>0</c:v>
                </c:pt>
                <c:pt idx="1">
                  <c:v>0.36797678529459432</c:v>
                </c:pt>
                <c:pt idx="2">
                  <c:v>0.90308998699194287</c:v>
                </c:pt>
                <c:pt idx="3">
                  <c:v>1.4803263945948739</c:v>
                </c:pt>
                <c:pt idx="4">
                  <c:v>1.8908555305749317</c:v>
                </c:pt>
                <c:pt idx="5">
                  <c:v>2.281790637678311</c:v>
                </c:pt>
                <c:pt idx="6">
                  <c:v>2.4573771965239048</c:v>
                </c:pt>
                <c:pt idx="7">
                  <c:v>2.6989700043360187</c:v>
                </c:pt>
                <c:pt idx="8">
                  <c:v>3.2101103463451111</c:v>
                </c:pt>
                <c:pt idx="9">
                  <c:v>3.3152704347785917</c:v>
                </c:pt>
                <c:pt idx="10">
                  <c:v>3.4505912071806133</c:v>
                </c:pt>
                <c:pt idx="11">
                  <c:v>3.4771212547196626</c:v>
                </c:pt>
                <c:pt idx="12">
                  <c:v>3.4640587818804196</c:v>
                </c:pt>
                <c:pt idx="13">
                  <c:v>2.8613352388849425</c:v>
                </c:pt>
                <c:pt idx="14">
                  <c:v>3.4036923375611288</c:v>
                </c:pt>
                <c:pt idx="15">
                  <c:v>3.3424226808222066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F2-4028-9F12-79914D8ED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268688"/>
        <c:axId val="267269080"/>
      </c:scatterChart>
      <c:valAx>
        <c:axId val="26726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69080"/>
        <c:crosses val="autoZero"/>
        <c:crossBetween val="midCat"/>
      </c:valAx>
      <c:valAx>
        <c:axId val="267269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6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23K R10rep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23K R10rep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'R10_rep'!$B$36:$B$51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'R10_rep'!$M$36:$M$51</c:f>
              <c:numCache>
                <c:formatCode>0.00</c:formatCode>
                <c:ptCount val="16"/>
                <c:pt idx="0">
                  <c:v>0</c:v>
                </c:pt>
                <c:pt idx="1">
                  <c:v>0.33912004527212058</c:v>
                </c:pt>
                <c:pt idx="2">
                  <c:v>0.88460658129793046</c:v>
                </c:pt>
                <c:pt idx="3">
                  <c:v>1.3391200452721206</c:v>
                </c:pt>
                <c:pt idx="4">
                  <c:v>1.7269987279362624</c:v>
                </c:pt>
                <c:pt idx="5">
                  <c:v>2.5231888448878736</c:v>
                </c:pt>
                <c:pt idx="6">
                  <c:v>2.3071903043687998</c:v>
                </c:pt>
                <c:pt idx="7">
                  <c:v>2.9472936494839974</c:v>
                </c:pt>
                <c:pt idx="8">
                  <c:v>2.91204482964487</c:v>
                </c:pt>
                <c:pt idx="9">
                  <c:v>3.1055101847699742</c:v>
                </c:pt>
                <c:pt idx="10">
                  <c:v>3.1276446299842249</c:v>
                </c:pt>
                <c:pt idx="11">
                  <c:v>3.1303337684950066</c:v>
                </c:pt>
                <c:pt idx="12">
                  <c:v>3.1461280356782382</c:v>
                </c:pt>
                <c:pt idx="13">
                  <c:v>3.1067249953016542</c:v>
                </c:pt>
                <c:pt idx="14">
                  <c:v>3.0761547914174372</c:v>
                </c:pt>
                <c:pt idx="15">
                  <c:v>2.9461246192171444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1-4134-8489-2D644675F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269864"/>
        <c:axId val="267270256"/>
      </c:scatterChart>
      <c:valAx>
        <c:axId val="267269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70256"/>
        <c:crosses val="autoZero"/>
        <c:crossBetween val="midCat"/>
      </c:valAx>
      <c:valAx>
        <c:axId val="267270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69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CTC1034 R10rep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CTC1034 R10rep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'R10_rep'!$B$60:$B$75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'R10_rep'!$L$60:$L$75</c:f>
              <c:numCache>
                <c:formatCode>0.00</c:formatCode>
                <c:ptCount val="16"/>
                <c:pt idx="0">
                  <c:v>0</c:v>
                </c:pt>
                <c:pt idx="1">
                  <c:v>0.41682535283241151</c:v>
                </c:pt>
                <c:pt idx="2">
                  <c:v>0.5228787452803374</c:v>
                </c:pt>
                <c:pt idx="3">
                  <c:v>1.0095453179062308</c:v>
                </c:pt>
                <c:pt idx="4">
                  <c:v>1.5228787452803378</c:v>
                </c:pt>
                <c:pt idx="5">
                  <c:v>2.2412617906604915</c:v>
                </c:pt>
                <c:pt idx="6">
                  <c:v>2.8657242343286073</c:v>
                </c:pt>
                <c:pt idx="7">
                  <c:v>3.3010299956639813</c:v>
                </c:pt>
                <c:pt idx="8">
                  <c:v>3.4074853265782683</c:v>
                </c:pt>
                <c:pt idx="9">
                  <c:v>3.6020599913279621</c:v>
                </c:pt>
                <c:pt idx="10">
                  <c:v>4.1597008428675117</c:v>
                </c:pt>
                <c:pt idx="11">
                  <c:v>4.5081554884596304</c:v>
                </c:pt>
                <c:pt idx="12">
                  <c:v>4.7861201800549189</c:v>
                </c:pt>
                <c:pt idx="13">
                  <c:v>5.3071903043687989</c:v>
                </c:pt>
                <c:pt idx="14">
                  <c:v>5.0871501757189002</c:v>
                </c:pt>
                <c:pt idx="15">
                  <c:v>5.1663314217665253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9-4FDB-99DB-E8F1C32F4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271040"/>
        <c:axId val="267271432"/>
      </c:scatterChart>
      <c:valAx>
        <c:axId val="267271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71432"/>
        <c:crosses val="autoZero"/>
        <c:crossBetween val="midCat"/>
      </c:valAx>
      <c:valAx>
        <c:axId val="267271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7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494+1034 R10rep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R10rep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'R10_rep'!$N$85:$N$100</c:f>
              <c:numCache>
                <c:formatCode>0.00</c:formatCode>
                <c:ptCount val="16"/>
                <c:pt idx="0">
                  <c:v>0</c:v>
                </c:pt>
                <c:pt idx="1">
                  <c:v>0.39978414937040796</c:v>
                </c:pt>
                <c:pt idx="2">
                  <c:v>0.94068599878401837</c:v>
                </c:pt>
                <c:pt idx="3">
                  <c:v>1.4282726871818454</c:v>
                </c:pt>
                <c:pt idx="4">
                  <c:v>1.7903001399632386</c:v>
                </c:pt>
                <c:pt idx="5">
                  <c:v>2.1799345981374412</c:v>
                </c:pt>
                <c:pt idx="6">
                  <c:v>2.4292137870854278</c:v>
                </c:pt>
                <c:pt idx="7">
                  <c:v>2.7533276666586115</c:v>
                </c:pt>
                <c:pt idx="8">
                  <c:v>3.1730001820785398</c:v>
                </c:pt>
                <c:pt idx="9">
                  <c:v>3.3449354813630636</c:v>
                </c:pt>
                <c:pt idx="10">
                  <c:v>3.3885999824178947</c:v>
                </c:pt>
                <c:pt idx="11">
                  <c:v>3.523801794473516</c:v>
                </c:pt>
                <c:pt idx="12">
                  <c:v>3.3692948272225083</c:v>
                </c:pt>
                <c:pt idx="13">
                  <c:v>2.8808135922807914</c:v>
                </c:pt>
                <c:pt idx="14">
                  <c:v>3.3923601312912011</c:v>
                </c:pt>
                <c:pt idx="15">
                  <c:v>3.4142619727390313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2-4D04-A1E5-91CCDCE4C765}"/>
            </c:ext>
          </c:extLst>
        </c:ser>
        <c:ser>
          <c:idx val="1"/>
          <c:order val="1"/>
          <c:tx>
            <c:v>log change CTC1034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'R10_rep'!$B$85:$B$100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'R10_rep'!$O$85:$O$100</c:f>
              <c:numCache>
                <c:formatCode>0.00</c:formatCode>
                <c:ptCount val="16"/>
                <c:pt idx="0">
                  <c:v>0</c:v>
                </c:pt>
                <c:pt idx="1">
                  <c:v>-4.1392685158224918E-2</c:v>
                </c:pt>
                <c:pt idx="2">
                  <c:v>0.50267535919205075</c:v>
                </c:pt>
                <c:pt idx="3">
                  <c:v>0.94983339053427018</c:v>
                </c:pt>
                <c:pt idx="4">
                  <c:v>1.3010299956639817</c:v>
                </c:pt>
                <c:pt idx="5">
                  <c:v>1.6989700043360187</c:v>
                </c:pt>
                <c:pt idx="6">
                  <c:v>1.6764758635777364</c:v>
                </c:pt>
                <c:pt idx="7">
                  <c:v>1.1962946451439684</c:v>
                </c:pt>
                <c:pt idx="8">
                  <c:v>1.3107898329531378</c:v>
                </c:pt>
                <c:pt idx="9">
                  <c:v>0.94537904910802029</c:v>
                </c:pt>
                <c:pt idx="10">
                  <c:v>0.68124123737558717</c:v>
                </c:pt>
                <c:pt idx="11">
                  <c:v>0</c:v>
                </c:pt>
                <c:pt idx="12">
                  <c:v>1.2158057409811192</c:v>
                </c:pt>
                <c:pt idx="13">
                  <c:v>0</c:v>
                </c:pt>
                <c:pt idx="14">
                  <c:v>1.8999199402024369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C2-4D04-A1E5-91CCDCE4C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272216"/>
        <c:axId val="269383632"/>
      </c:scatterChart>
      <c:valAx>
        <c:axId val="267272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9383632"/>
        <c:crosses val="autoZero"/>
        <c:crossBetween val="midCat"/>
      </c:valAx>
      <c:valAx>
        <c:axId val="269383632"/>
        <c:scaling>
          <c:orientation val="minMax"/>
          <c:max val="9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7272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23K+1034 R10rep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log change 23K R10rep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'R10_rep'!$B$111:$B$126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'R10_rep'!$L$111:$L$126</c:f>
              <c:numCache>
                <c:formatCode>0.00</c:formatCode>
                <c:ptCount val="16"/>
                <c:pt idx="0">
                  <c:v>0</c:v>
                </c:pt>
                <c:pt idx="1">
                  <c:v>0.35793484700045397</c:v>
                </c:pt>
                <c:pt idx="2">
                  <c:v>0.88081359228079137</c:v>
                </c:pt>
                <c:pt idx="3">
                  <c:v>1.2576785748691846</c:v>
                </c:pt>
                <c:pt idx="4">
                  <c:v>1.7558748556724915</c:v>
                </c:pt>
                <c:pt idx="5">
                  <c:v>2.7254448998676413</c:v>
                </c:pt>
                <c:pt idx="6">
                  <c:v>2.3556156939497566</c:v>
                </c:pt>
                <c:pt idx="7">
                  <c:v>2.7729500566978356</c:v>
                </c:pt>
                <c:pt idx="8">
                  <c:v>2.9344984512435683</c:v>
                </c:pt>
                <c:pt idx="9">
                  <c:v>3.2013971243204509</c:v>
                </c:pt>
                <c:pt idx="10">
                  <c:v>3.2528530309798924</c:v>
                </c:pt>
                <c:pt idx="11">
                  <c:v>3.2304489213782741</c:v>
                </c:pt>
                <c:pt idx="12">
                  <c:v>3.1673173347481764</c:v>
                </c:pt>
                <c:pt idx="13">
                  <c:v>3.0299632233774432</c:v>
                </c:pt>
                <c:pt idx="14">
                  <c:v>3.1613680022349744</c:v>
                </c:pt>
                <c:pt idx="15">
                  <c:v>3.1461280356782382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BD-4071-B70E-528964C011E2}"/>
            </c:ext>
          </c:extLst>
        </c:ser>
        <c:ser>
          <c:idx val="3"/>
          <c:order val="1"/>
          <c:tx>
            <c:v>log change CTC1034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'R10_rep'!$B$111:$B$126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'R10_rep'!$M$111:$M$126</c:f>
              <c:numCache>
                <c:formatCode>0.00</c:formatCode>
                <c:ptCount val="16"/>
                <c:pt idx="0">
                  <c:v>0</c:v>
                </c:pt>
                <c:pt idx="1">
                  <c:v>0.13683795990800762</c:v>
                </c:pt>
                <c:pt idx="2">
                  <c:v>0.31682426284721288</c:v>
                </c:pt>
                <c:pt idx="3">
                  <c:v>0.88669957080377459</c:v>
                </c:pt>
                <c:pt idx="4">
                  <c:v>1.1484198324578228</c:v>
                </c:pt>
                <c:pt idx="5">
                  <c:v>1.9610819339696306</c:v>
                </c:pt>
                <c:pt idx="6">
                  <c:v>2.1923284579263669</c:v>
                </c:pt>
                <c:pt idx="7">
                  <c:v>2.3853508813640172</c:v>
                </c:pt>
                <c:pt idx="8">
                  <c:v>2.2846395794758121</c:v>
                </c:pt>
                <c:pt idx="9">
                  <c:v>2.4929155219028947</c:v>
                </c:pt>
                <c:pt idx="10">
                  <c:v>2.6405182431471377</c:v>
                </c:pt>
                <c:pt idx="11">
                  <c:v>2.7990851572192867</c:v>
                </c:pt>
                <c:pt idx="12">
                  <c:v>2.8473898367938415</c:v>
                </c:pt>
                <c:pt idx="13">
                  <c:v>3.6495202961538586</c:v>
                </c:pt>
                <c:pt idx="14">
                  <c:v>3.2101103463451124</c:v>
                </c:pt>
                <c:pt idx="15">
                  <c:v>3.3467874862246565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BD-4071-B70E-528964C011E2}"/>
            </c:ext>
          </c:extLst>
        </c:ser>
        <c:ser>
          <c:idx val="0"/>
          <c:order val="2"/>
          <c:tx>
            <c:v>log change CTC494 R10rep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'R10_rep'!$B$85:$B$100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'R10_rep'!$N$85:$N$100</c:f>
              <c:numCache>
                <c:formatCode>0.00</c:formatCode>
                <c:ptCount val="16"/>
                <c:pt idx="0">
                  <c:v>0</c:v>
                </c:pt>
                <c:pt idx="1">
                  <c:v>0.39978414937040796</c:v>
                </c:pt>
                <c:pt idx="2">
                  <c:v>0.94068599878401837</c:v>
                </c:pt>
                <c:pt idx="3">
                  <c:v>1.4282726871818454</c:v>
                </c:pt>
                <c:pt idx="4">
                  <c:v>1.7903001399632386</c:v>
                </c:pt>
                <c:pt idx="5">
                  <c:v>2.1799345981374412</c:v>
                </c:pt>
                <c:pt idx="6">
                  <c:v>2.4292137870854278</c:v>
                </c:pt>
                <c:pt idx="7">
                  <c:v>2.7533276666586115</c:v>
                </c:pt>
                <c:pt idx="8">
                  <c:v>3.1730001820785398</c:v>
                </c:pt>
                <c:pt idx="9">
                  <c:v>3.3449354813630636</c:v>
                </c:pt>
                <c:pt idx="10">
                  <c:v>3.3885999824178947</c:v>
                </c:pt>
                <c:pt idx="11">
                  <c:v>3.523801794473516</c:v>
                </c:pt>
                <c:pt idx="12">
                  <c:v>3.3692948272225083</c:v>
                </c:pt>
                <c:pt idx="13">
                  <c:v>2.8808135922807914</c:v>
                </c:pt>
                <c:pt idx="14">
                  <c:v>3.3923601312912011</c:v>
                </c:pt>
                <c:pt idx="15">
                  <c:v>3.4142619727390313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BD-4071-B70E-528964C011E2}"/>
            </c:ext>
          </c:extLst>
        </c:ser>
        <c:ser>
          <c:idx val="1"/>
          <c:order val="3"/>
          <c:tx>
            <c:v>log change CTC1034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'R10_rep'!$B$85:$B$100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'R10_rep'!$O$85:$O$100</c:f>
              <c:numCache>
                <c:formatCode>0.00</c:formatCode>
                <c:ptCount val="16"/>
                <c:pt idx="0">
                  <c:v>0</c:v>
                </c:pt>
                <c:pt idx="1">
                  <c:v>-4.1392685158224918E-2</c:v>
                </c:pt>
                <c:pt idx="2">
                  <c:v>0.50267535919205075</c:v>
                </c:pt>
                <c:pt idx="3">
                  <c:v>0.94983339053427018</c:v>
                </c:pt>
                <c:pt idx="4">
                  <c:v>1.3010299956639817</c:v>
                </c:pt>
                <c:pt idx="5">
                  <c:v>1.6989700043360187</c:v>
                </c:pt>
                <c:pt idx="6">
                  <c:v>1.6764758635777364</c:v>
                </c:pt>
                <c:pt idx="7">
                  <c:v>1.1962946451439684</c:v>
                </c:pt>
                <c:pt idx="8">
                  <c:v>1.3107898329531378</c:v>
                </c:pt>
                <c:pt idx="9">
                  <c:v>0.94537904910802029</c:v>
                </c:pt>
                <c:pt idx="10">
                  <c:v>0.68124123737558717</c:v>
                </c:pt>
                <c:pt idx="11">
                  <c:v>0</c:v>
                </c:pt>
                <c:pt idx="12">
                  <c:v>1.2158057409811192</c:v>
                </c:pt>
                <c:pt idx="13">
                  <c:v>0</c:v>
                </c:pt>
                <c:pt idx="14">
                  <c:v>1.8999199402024369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BD-4071-B70E-528964C01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384416"/>
        <c:axId val="269384808"/>
      </c:scatterChart>
      <c:valAx>
        <c:axId val="26938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9384808"/>
        <c:crosses val="autoZero"/>
        <c:crossBetween val="midCat"/>
      </c:valAx>
      <c:valAx>
        <c:axId val="269384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938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'R11'!$B$10:$B$21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'R11'!$H$10:$H$21</c:f>
              <c:numCache>
                <c:formatCode>General</c:formatCode>
                <c:ptCount val="12"/>
                <c:pt idx="0" formatCode="0.00">
                  <c:v>5.9344984512435675</c:v>
                </c:pt>
                <c:pt idx="4" formatCode="0.00">
                  <c:v>7.6063813651106047</c:v>
                </c:pt>
                <c:pt idx="5" formatCode="0.00">
                  <c:v>8.4828735836087539</c:v>
                </c:pt>
                <c:pt idx="9" formatCode="0.00">
                  <c:v>8.3944516808262168</c:v>
                </c:pt>
                <c:pt idx="10" formatCode="0.00">
                  <c:v>8.3617278360175931</c:v>
                </c:pt>
                <c:pt idx="11" formatCode="0.00">
                  <c:v>8.2552725051033065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5-42CC-9B06-AC60A3CC4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'R11'!$B$32:$B$43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'R11'!$H$32:$H$43</c:f>
              <c:numCache>
                <c:formatCode>General</c:formatCode>
                <c:ptCount val="12"/>
                <c:pt idx="0" formatCode="0.00">
                  <c:v>5.4149733479708182</c:v>
                </c:pt>
                <c:pt idx="4" formatCode="0.00">
                  <c:v>7.2504200023088936</c:v>
                </c:pt>
                <c:pt idx="5" formatCode="0.00">
                  <c:v>8.3344537511509316</c:v>
                </c:pt>
                <c:pt idx="9" formatCode="0.00">
                  <c:v>8.4014005407815446</c:v>
                </c:pt>
                <c:pt idx="10" formatCode="0.00">
                  <c:v>7.9493900066449124</c:v>
                </c:pt>
                <c:pt idx="11" formatCode="0.00">
                  <c:v>7.6812412373755876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F7-48AA-B4D4-0750D635D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'R11'!$B$52:$B$63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'R11'!$H$52:$H$63</c:f>
              <c:numCache>
                <c:formatCode>General</c:formatCode>
                <c:ptCount val="12"/>
                <c:pt idx="0" formatCode="0.00">
                  <c:v>3.2041199826559246</c:v>
                </c:pt>
                <c:pt idx="4" formatCode="0.00">
                  <c:v>4.9138138523837167</c:v>
                </c:pt>
                <c:pt idx="5" formatCode="0.00">
                  <c:v>6.7781512503836439</c:v>
                </c:pt>
                <c:pt idx="9" formatCode="0.00">
                  <c:v>8.0170333392987807</c:v>
                </c:pt>
                <c:pt idx="10" formatCode="0.00">
                  <c:v>8.3417641598743479</c:v>
                </c:pt>
                <c:pt idx="11" formatCode="0.00">
                  <c:v>8.8102325179950842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A-4285-8747-5E53632A4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'R11'!$B$73:$B$84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'R11'!$H$73:$H$84</c:f>
              <c:numCache>
                <c:formatCode>0.00</c:formatCode>
                <c:ptCount val="12"/>
                <c:pt idx="0">
                  <c:v>5.1335389083702179</c:v>
                </c:pt>
                <c:pt idx="1">
                  <c:v>5.3541084391474012</c:v>
                </c:pt>
                <c:pt idx="2">
                  <c:v>5.6812412373755876</c:v>
                </c:pt>
                <c:pt idx="3">
                  <c:v>6.3765769570565123</c:v>
                </c:pt>
                <c:pt idx="4">
                  <c:v>6.9030899869919438</c:v>
                </c:pt>
                <c:pt idx="5">
                  <c:v>8.3463529744506388</c:v>
                </c:pt>
                <c:pt idx="6">
                  <c:v>8.3909351071033793</c:v>
                </c:pt>
                <c:pt idx="7">
                  <c:v>8.424881636631067</c:v>
                </c:pt>
                <c:pt idx="8">
                  <c:v>8.5211380837040362</c:v>
                </c:pt>
                <c:pt idx="9">
                  <c:v>8.4941545940184433</c:v>
                </c:pt>
                <c:pt idx="10">
                  <c:v>8.3909351071033793</c:v>
                </c:pt>
                <c:pt idx="11">
                  <c:v>8.2922560713564764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5-42AD-9366-8E232476CD0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'R11'!$B$73:$B$84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'R11'!$I$73:$I$84</c:f>
              <c:numCache>
                <c:formatCode>0.00</c:formatCode>
                <c:ptCount val="12"/>
                <c:pt idx="0">
                  <c:v>3.4313637641589874</c:v>
                </c:pt>
                <c:pt idx="1">
                  <c:v>3.5440680443502757</c:v>
                </c:pt>
                <c:pt idx="2">
                  <c:v>3.716003343634799</c:v>
                </c:pt>
                <c:pt idx="3">
                  <c:v>4.2095150145426308</c:v>
                </c:pt>
                <c:pt idx="4">
                  <c:v>4.8727388274726691</c:v>
                </c:pt>
                <c:pt idx="5">
                  <c:v>3.8450980400142569</c:v>
                </c:pt>
                <c:pt idx="6">
                  <c:v>3.2041199826559246</c:v>
                </c:pt>
                <c:pt idx="7">
                  <c:v>2.7986506454452691</c:v>
                </c:pt>
                <c:pt idx="8">
                  <c:v>2.5502283530550942</c:v>
                </c:pt>
                <c:pt idx="9">
                  <c:v>1.8573324964312685</c:v>
                </c:pt>
                <c:pt idx="10">
                  <c:v>-0.74472749489669399</c:v>
                </c:pt>
                <c:pt idx="11">
                  <c:v>-0.74472749489669399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5-42AD-9366-8E232476C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'R11'!$B$95:$B$106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'R11'!$H$95:$H$106</c:f>
              <c:numCache>
                <c:formatCode>0.00</c:formatCode>
                <c:ptCount val="12"/>
                <c:pt idx="0">
                  <c:v>4.3424226808222066</c:v>
                </c:pt>
                <c:pt idx="1">
                  <c:v>0</c:v>
                </c:pt>
                <c:pt idx="2">
                  <c:v>6.357934847000454</c:v>
                </c:pt>
                <c:pt idx="3">
                  <c:v>6.9030899869919438</c:v>
                </c:pt>
                <c:pt idx="4">
                  <c:v>7.2966651902615309</c:v>
                </c:pt>
                <c:pt idx="5">
                  <c:v>8.4857214264815806</c:v>
                </c:pt>
                <c:pt idx="6">
                  <c:v>8.3502480183341632</c:v>
                </c:pt>
                <c:pt idx="7">
                  <c:v>7.8450980400142569</c:v>
                </c:pt>
                <c:pt idx="8">
                  <c:v>8.4281347940287894</c:v>
                </c:pt>
                <c:pt idx="9">
                  <c:v>8.4116197059632309</c:v>
                </c:pt>
                <c:pt idx="10">
                  <c:v>8.3802112417116064</c:v>
                </c:pt>
                <c:pt idx="11">
                  <c:v>8.4377505628203888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B-4591-80EE-B094E06128D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'R11'!$B$95:$B$106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'R11'!$I$95:$I$106</c:f>
              <c:numCache>
                <c:formatCode>0.00</c:formatCode>
                <c:ptCount val="12"/>
                <c:pt idx="0">
                  <c:v>2.3010299956639813</c:v>
                </c:pt>
                <c:pt idx="1">
                  <c:v>0</c:v>
                </c:pt>
                <c:pt idx="2">
                  <c:v>4</c:v>
                </c:pt>
                <c:pt idx="3">
                  <c:v>4.4771212547196626</c:v>
                </c:pt>
                <c:pt idx="4">
                  <c:v>4.8325089127062366</c:v>
                </c:pt>
                <c:pt idx="5">
                  <c:v>5.5797835966168101</c:v>
                </c:pt>
                <c:pt idx="6">
                  <c:v>5.6232492903979008</c:v>
                </c:pt>
                <c:pt idx="7">
                  <c:v>5.6434526764861879</c:v>
                </c:pt>
                <c:pt idx="8">
                  <c:v>5.7634279935629369</c:v>
                </c:pt>
                <c:pt idx="9">
                  <c:v>5.5797835966168101</c:v>
                </c:pt>
                <c:pt idx="10">
                  <c:v>4.6899005410705943</c:v>
                </c:pt>
                <c:pt idx="11">
                  <c:v>5.5362427068383191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5B-4591-80EE-B094E0612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'R12'!$B$10:$B$21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'R12'!$H$10:$H$21</c:f>
              <c:numCache>
                <c:formatCode>General</c:formatCode>
                <c:ptCount val="12"/>
                <c:pt idx="0" formatCode="0.00">
                  <c:v>5.9493900066449124</c:v>
                </c:pt>
                <c:pt idx="4" formatCode="0.00">
                  <c:v>7.4440447959180762</c:v>
                </c:pt>
                <c:pt idx="5" formatCode="0.00">
                  <c:v>8.1271047983648081</c:v>
                </c:pt>
                <c:pt idx="9" formatCode="0.00">
                  <c:v>8.2304489213782741</c:v>
                </c:pt>
                <c:pt idx="10" formatCode="0.00">
                  <c:v>7.9590413923210939</c:v>
                </c:pt>
                <c:pt idx="11" formatCode="0.00">
                  <c:v>8.1003705451175634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53-415E-8DE2-72B6D7B22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'R12'!$B$32:$B$43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'R12'!$H$32:$H$43</c:f>
              <c:numCache>
                <c:formatCode>General</c:formatCode>
                <c:ptCount val="12"/>
                <c:pt idx="0" formatCode="0.00">
                  <c:v>5.4149733479708182</c:v>
                </c:pt>
                <c:pt idx="4" formatCode="0.00">
                  <c:v>7.0791812460476251</c:v>
                </c:pt>
                <c:pt idx="5" formatCode="0.00">
                  <c:v>7.9637878273455556</c:v>
                </c:pt>
                <c:pt idx="9" formatCode="0.00">
                  <c:v>8.008600171761918</c:v>
                </c:pt>
                <c:pt idx="10" formatCode="0.00">
                  <c:v>7.9493900066449124</c:v>
                </c:pt>
                <c:pt idx="11" formatCode="0.00">
                  <c:v>7.6812412373755876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8-4E13-AB6F-349ADB7EE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'R12'!$B$52:$B$63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'R12'!$H$52:$H$63</c:f>
              <c:numCache>
                <c:formatCode>General</c:formatCode>
                <c:ptCount val="12"/>
                <c:pt idx="0" formatCode="0.00">
                  <c:v>3.3979400086720375</c:v>
                </c:pt>
                <c:pt idx="4" formatCode="0.00">
                  <c:v>4.8061799739838875</c:v>
                </c:pt>
                <c:pt idx="5" formatCode="0.00">
                  <c:v>6.6627578316815743</c:v>
                </c:pt>
                <c:pt idx="9" formatCode="0.00">
                  <c:v>8.1583624920952502</c:v>
                </c:pt>
                <c:pt idx="10" formatCode="0.00">
                  <c:v>8.3515386418156581</c:v>
                </c:pt>
                <c:pt idx="11" formatCode="0.00">
                  <c:v>8.7058637122839198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2-49C0-9E21-35BB19690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'R12'!$B$73:$B$84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'R12'!$H$73:$H$84</c:f>
              <c:numCache>
                <c:formatCode>0.00</c:formatCode>
                <c:ptCount val="12"/>
                <c:pt idx="0">
                  <c:v>4.8692317197309762</c:v>
                </c:pt>
                <c:pt idx="1">
                  <c:v>6.2304489213782741</c:v>
                </c:pt>
                <c:pt idx="2">
                  <c:v>6.6665179805548807</c:v>
                </c:pt>
                <c:pt idx="3">
                  <c:v>7.1003705451175625</c:v>
                </c:pt>
                <c:pt idx="4">
                  <c:v>7.4563660331290427</c:v>
                </c:pt>
                <c:pt idx="5">
                  <c:v>8.1760912590556813</c:v>
                </c:pt>
                <c:pt idx="6">
                  <c:v>8.1139433523068369</c:v>
                </c:pt>
                <c:pt idx="7">
                  <c:v>8.1461280356782382</c:v>
                </c:pt>
                <c:pt idx="8">
                  <c:v>8.2304489213782741</c:v>
                </c:pt>
                <c:pt idx="9">
                  <c:v>8.2504200023088945</c:v>
                </c:pt>
                <c:pt idx="10">
                  <c:v>8.1461280356782382</c:v>
                </c:pt>
                <c:pt idx="11">
                  <c:v>8.1760912590556813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2-41C4-BE2D-4D7D32BFC2F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'R12'!$B$73:$B$84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'R12'!$I$73:$I$84</c:f>
              <c:numCache>
                <c:formatCode>0.00</c:formatCode>
                <c:ptCount val="12"/>
                <c:pt idx="0">
                  <c:v>2</c:v>
                </c:pt>
                <c:pt idx="1">
                  <c:v>3.4623979978989561</c:v>
                </c:pt>
                <c:pt idx="2">
                  <c:v>4</c:v>
                </c:pt>
                <c:pt idx="3">
                  <c:v>4.4149733479708182</c:v>
                </c:pt>
                <c:pt idx="4">
                  <c:v>4.1702617153949575</c:v>
                </c:pt>
                <c:pt idx="5">
                  <c:v>2.5587085705331658</c:v>
                </c:pt>
                <c:pt idx="6">
                  <c:v>1.8920946026904804</c:v>
                </c:pt>
                <c:pt idx="7">
                  <c:v>1.4471580313422192</c:v>
                </c:pt>
                <c:pt idx="8">
                  <c:v>0.90308998699194354</c:v>
                </c:pt>
                <c:pt idx="9">
                  <c:v>-0.74472749489669399</c:v>
                </c:pt>
                <c:pt idx="10">
                  <c:v>-0.74472749489669399</c:v>
                </c:pt>
                <c:pt idx="11">
                  <c:v>-0.74472749489669399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82-41C4-BE2D-4D7D32BFC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'R12'!$B$95:$B$106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'R12'!$H$95:$H$106</c:f>
              <c:numCache>
                <c:formatCode>0.00</c:formatCode>
                <c:ptCount val="12"/>
                <c:pt idx="0">
                  <c:v>4.6020599913279625</c:v>
                </c:pt>
                <c:pt idx="1">
                  <c:v>5.502427119984433</c:v>
                </c:pt>
                <c:pt idx="2">
                  <c:v>6.1702617153949575</c:v>
                </c:pt>
                <c:pt idx="3">
                  <c:v>6.5797835966168101</c:v>
                </c:pt>
                <c:pt idx="4">
                  <c:v>7.0644579892269181</c:v>
                </c:pt>
                <c:pt idx="5">
                  <c:v>7.9030899869919438</c:v>
                </c:pt>
                <c:pt idx="6">
                  <c:v>7.982271233039568</c:v>
                </c:pt>
                <c:pt idx="7">
                  <c:v>8.4048337166199385</c:v>
                </c:pt>
                <c:pt idx="8">
                  <c:v>7.9542425094393252</c:v>
                </c:pt>
                <c:pt idx="9">
                  <c:v>8.0334237554869503</c:v>
                </c:pt>
                <c:pt idx="10">
                  <c:v>8.2304489213782741</c:v>
                </c:pt>
                <c:pt idx="11">
                  <c:v>7.924279286061882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8-4807-A4B8-17683CF2617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'R12'!$B$95:$B$106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'R12'!$I$95:$I$106</c:f>
              <c:numCache>
                <c:formatCode>0.00</c:formatCode>
                <c:ptCount val="12"/>
                <c:pt idx="0">
                  <c:v>2</c:v>
                </c:pt>
                <c:pt idx="1">
                  <c:v>3.716003343634799</c:v>
                </c:pt>
                <c:pt idx="2">
                  <c:v>4.0606978403536118</c:v>
                </c:pt>
                <c:pt idx="3">
                  <c:v>4.4149733479708182</c:v>
                </c:pt>
                <c:pt idx="4">
                  <c:v>4.7634279935629369</c:v>
                </c:pt>
                <c:pt idx="5">
                  <c:v>5.5314789170422554</c:v>
                </c:pt>
                <c:pt idx="6">
                  <c:v>5.6812412373755876</c:v>
                </c:pt>
                <c:pt idx="7">
                  <c:v>5.7634279935629369</c:v>
                </c:pt>
                <c:pt idx="8">
                  <c:v>5.7634279935629369</c:v>
                </c:pt>
                <c:pt idx="9">
                  <c:v>5.7323937598229682</c:v>
                </c:pt>
                <c:pt idx="10">
                  <c:v>4.7253670623404309</c:v>
                </c:pt>
                <c:pt idx="11">
                  <c:v>5.5317981338753723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78-4807-A4B8-17683CF26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'R13'!$B$10:$B$21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'R13'!$H$10:$H$21</c:f>
              <c:numCache>
                <c:formatCode>General</c:formatCode>
                <c:ptCount val="12"/>
                <c:pt idx="0" formatCode="0.00">
                  <c:v>5.7781512503836439</c:v>
                </c:pt>
                <c:pt idx="4" formatCode="0.00">
                  <c:v>7.2253092817258633</c:v>
                </c:pt>
                <c:pt idx="5" formatCode="0.00">
                  <c:v>8.1205739312058505</c:v>
                </c:pt>
                <c:pt idx="9" formatCode="0.00">
                  <c:v>8.1522883443830558</c:v>
                </c:pt>
                <c:pt idx="10" formatCode="0.00">
                  <c:v>8.0413926851582254</c:v>
                </c:pt>
                <c:pt idx="11" formatCode="0.00">
                  <c:v>7.9444826721501682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16-4E1C-B34F-76F27CD77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'R13'!$B$32:$B$43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'R13'!$H$32:$H$43</c:f>
              <c:numCache>
                <c:formatCode>General</c:formatCode>
                <c:ptCount val="12"/>
                <c:pt idx="0" formatCode="0.00">
                  <c:v>5.3838153659804311</c:v>
                </c:pt>
                <c:pt idx="4" formatCode="0.00">
                  <c:v>6.6812412373755876</c:v>
                </c:pt>
                <c:pt idx="5" formatCode="0.00">
                  <c:v>7.7634279935629369</c:v>
                </c:pt>
                <c:pt idx="9" formatCode="0.00">
                  <c:v>7.924279286061882</c:v>
                </c:pt>
                <c:pt idx="10" formatCode="0.00">
                  <c:v>7.5797835966168101</c:v>
                </c:pt>
                <c:pt idx="11" formatCode="0.00">
                  <c:v>7.8325089127062366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C-4ECE-9877-323CAEE3E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'R13'!$B$52:$B$63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'R13'!$H$52:$H$63</c:f>
              <c:numCache>
                <c:formatCode>General</c:formatCode>
                <c:ptCount val="12"/>
                <c:pt idx="0" formatCode="0.00">
                  <c:v>3.3424226808222062</c:v>
                </c:pt>
                <c:pt idx="4" formatCode="0.00">
                  <c:v>4.5051499783199063</c:v>
                </c:pt>
                <c:pt idx="5" formatCode="0.00">
                  <c:v>2.9009130677376689</c:v>
                </c:pt>
                <c:pt idx="9" formatCode="0.00">
                  <c:v>7.7923916894982534</c:v>
                </c:pt>
                <c:pt idx="10" formatCode="0.00">
                  <c:v>8.4435237466871254</c:v>
                </c:pt>
                <c:pt idx="11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B-4C7B-9ACD-1BF3298A8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'R13'!$B$73:$B$84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'R13'!$H$73:$H$84</c:f>
              <c:numCache>
                <c:formatCode>0.00</c:formatCode>
                <c:ptCount val="12"/>
                <c:pt idx="0">
                  <c:v>5.7895807121644252</c:v>
                </c:pt>
                <c:pt idx="1">
                  <c:v>5.9344984512435675</c:v>
                </c:pt>
                <c:pt idx="2">
                  <c:v>6.2966651902615309</c:v>
                </c:pt>
                <c:pt idx="3">
                  <c:v>6.8061799739838875</c:v>
                </c:pt>
                <c:pt idx="4">
                  <c:v>7.1139433523068369</c:v>
                </c:pt>
                <c:pt idx="5">
                  <c:v>8.1335389083702179</c:v>
                </c:pt>
                <c:pt idx="6">
                  <c:v>8.1335389083702179</c:v>
                </c:pt>
                <c:pt idx="7">
                  <c:v>8.1583624920952502</c:v>
                </c:pt>
                <c:pt idx="8">
                  <c:v>8.1522883443830558</c:v>
                </c:pt>
                <c:pt idx="9">
                  <c:v>8.1072099696478688</c:v>
                </c:pt>
                <c:pt idx="10">
                  <c:v>9.0008677215312272</c:v>
                </c:pt>
                <c:pt idx="11">
                  <c:v>7.8692317197309762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B-4D8A-9E3F-E782126720A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'R13'!$B$73:$B$84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'R13'!$I$73:$I$84</c:f>
              <c:numCache>
                <c:formatCode>0.00</c:formatCode>
                <c:ptCount val="12"/>
                <c:pt idx="0">
                  <c:v>3.0791812460476247</c:v>
                </c:pt>
                <c:pt idx="1">
                  <c:v>3.3010299956639813</c:v>
                </c:pt>
                <c:pt idx="2">
                  <c:v>3.7923916894982539</c:v>
                </c:pt>
                <c:pt idx="3">
                  <c:v>3.9030899869919438</c:v>
                </c:pt>
                <c:pt idx="4">
                  <c:v>4.0413926851582254</c:v>
                </c:pt>
                <c:pt idx="5">
                  <c:v>2.9009130677376689</c:v>
                </c:pt>
                <c:pt idx="6">
                  <c:v>2.834632606336092</c:v>
                </c:pt>
                <c:pt idx="7">
                  <c:v>2.7604224834232118</c:v>
                </c:pt>
                <c:pt idx="8">
                  <c:v>2.6776069527204931</c:v>
                </c:pt>
                <c:pt idx="9">
                  <c:v>2.5774917998372255</c:v>
                </c:pt>
                <c:pt idx="10">
                  <c:v>0</c:v>
                </c:pt>
                <c:pt idx="11">
                  <c:v>2.2915168465279518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4B-4D8A-9E3F-E78212672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'R13'!$B$95:$B$106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'R13'!$H$95:$H$106</c:f>
              <c:numCache>
                <c:formatCode>0.00</c:formatCode>
                <c:ptCount val="12"/>
                <c:pt idx="0">
                  <c:v>5.3838153659804311</c:v>
                </c:pt>
                <c:pt idx="1">
                  <c:v>5.2695129442179161</c:v>
                </c:pt>
                <c:pt idx="2">
                  <c:v>5.3010299956639813</c:v>
                </c:pt>
                <c:pt idx="3">
                  <c:v>6.4771212547196626</c:v>
                </c:pt>
                <c:pt idx="4">
                  <c:v>6.7160033436347994</c:v>
                </c:pt>
                <c:pt idx="5">
                  <c:v>7.8195439355418683</c:v>
                </c:pt>
                <c:pt idx="6">
                  <c:v>7.8325089127062366</c:v>
                </c:pt>
                <c:pt idx="7">
                  <c:v>8</c:v>
                </c:pt>
                <c:pt idx="8">
                  <c:v>7.8692317197309762</c:v>
                </c:pt>
                <c:pt idx="9">
                  <c:v>7.7923916894982534</c:v>
                </c:pt>
                <c:pt idx="10">
                  <c:v>7.3586960995738107</c:v>
                </c:pt>
                <c:pt idx="11">
                  <c:v>7.9030899869919438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F-4BB7-864D-10F89EABBA2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'R13'!$B$73:$B$84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'R13'!$I$95:$I$106</c:f>
              <c:numCache>
                <c:formatCode>0.00</c:formatCode>
                <c:ptCount val="12"/>
                <c:pt idx="0">
                  <c:v>3.3979400086720375</c:v>
                </c:pt>
                <c:pt idx="1">
                  <c:v>3.2304489213782741</c:v>
                </c:pt>
                <c:pt idx="2">
                  <c:v>3.9030899869919438</c:v>
                </c:pt>
                <c:pt idx="3">
                  <c:v>4</c:v>
                </c:pt>
                <c:pt idx="4">
                  <c:v>4.7160033436347994</c:v>
                </c:pt>
                <c:pt idx="5">
                  <c:v>5.7634279935629369</c:v>
                </c:pt>
                <c:pt idx="6">
                  <c:v>5.8325089127062366</c:v>
                </c:pt>
                <c:pt idx="7">
                  <c:v>5.8195439355418683</c:v>
                </c:pt>
                <c:pt idx="8">
                  <c:v>5.5314789170422554</c:v>
                </c:pt>
                <c:pt idx="9">
                  <c:v>5.8061799739838875</c:v>
                </c:pt>
                <c:pt idx="10">
                  <c:v>5.0791812460476251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FF-4BB7-864D-10F89EABB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'R14'!$B$10:$B$21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'R14'!$H$10:$H$21</c:f>
              <c:numCache>
                <c:formatCode>General</c:formatCode>
                <c:ptCount val="12"/>
                <c:pt idx="0" formatCode="0.00">
                  <c:v>5.7993405494535821</c:v>
                </c:pt>
                <c:pt idx="4" formatCode="0.00">
                  <c:v>7.394451680826216</c:v>
                </c:pt>
                <c:pt idx="5" formatCode="0.00">
                  <c:v>7.9344984512435675</c:v>
                </c:pt>
                <c:pt idx="9" formatCode="0.00">
                  <c:v>7.9637878273455556</c:v>
                </c:pt>
                <c:pt idx="10" formatCode="0.00">
                  <c:v>7.9344984512435675</c:v>
                </c:pt>
                <c:pt idx="11" formatCode="0.00">
                  <c:v>7.8450980400142569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44-4515-85DF-AC831B25E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'R14'!$B$32:$B$43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'R14'!$H$32:$H$43</c:f>
              <c:numCache>
                <c:formatCode>General</c:formatCode>
                <c:ptCount val="12"/>
                <c:pt idx="0" formatCode="0.00">
                  <c:v>5.5051499783199063</c:v>
                </c:pt>
                <c:pt idx="4" formatCode="0.00">
                  <c:v>7.394451680826216</c:v>
                </c:pt>
                <c:pt idx="5" formatCode="0.00">
                  <c:v>8.0791812460476251</c:v>
                </c:pt>
                <c:pt idx="9" formatCode="0.00">
                  <c:v>7.9731278535996983</c:v>
                </c:pt>
                <c:pt idx="10" formatCode="0.00">
                  <c:v>8.0644579892269181</c:v>
                </c:pt>
                <c:pt idx="11" formatCode="0.00">
                  <c:v>8.1205739312058505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EC-4997-9B7B-2F38793E5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'R14'!$B$52:$B$63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'R14'!$H$52:$H$63</c:f>
              <c:numCache>
                <c:formatCode>General</c:formatCode>
                <c:ptCount val="12"/>
                <c:pt idx="0" formatCode="0.00">
                  <c:v>3.1461280356782382</c:v>
                </c:pt>
                <c:pt idx="4" formatCode="0.00">
                  <c:v>5.5132176000679394</c:v>
                </c:pt>
                <c:pt idx="5" formatCode="0.00">
                  <c:v>6.9030899869919438</c:v>
                </c:pt>
                <c:pt idx="9" formatCode="0.00">
                  <c:v>8.5465426634781316</c:v>
                </c:pt>
                <c:pt idx="10" formatCode="0.00">
                  <c:v>8.4281347940287894</c:v>
                </c:pt>
                <c:pt idx="11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3F-4FD4-B7E5-36202E895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'R14'!$B$73:$B$84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'R14'!$H$73:$H$84</c:f>
              <c:numCache>
                <c:formatCode>0.00</c:formatCode>
                <c:ptCount val="12"/>
                <c:pt idx="0">
                  <c:v>5.8337843746564788</c:v>
                </c:pt>
                <c:pt idx="1">
                  <c:v>5.9947569445876283</c:v>
                </c:pt>
                <c:pt idx="2">
                  <c:v>6.5998830720736876</c:v>
                </c:pt>
                <c:pt idx="3">
                  <c:v>7</c:v>
                </c:pt>
                <c:pt idx="4">
                  <c:v>7.4183012913197457</c:v>
                </c:pt>
                <c:pt idx="5">
                  <c:v>8.0334237554869503</c:v>
                </c:pt>
                <c:pt idx="6">
                  <c:v>8.0644579892269181</c:v>
                </c:pt>
                <c:pt idx="7">
                  <c:v>7.982271233039568</c:v>
                </c:pt>
                <c:pt idx="8">
                  <c:v>7.9637878273455556</c:v>
                </c:pt>
                <c:pt idx="9">
                  <c:v>7.9138138523837167</c:v>
                </c:pt>
                <c:pt idx="10">
                  <c:v>7.7604224834232118</c:v>
                </c:pt>
                <c:pt idx="11">
                  <c:v>7.8061799739838875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07-4F73-8185-8F7F770F05F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'R14'!$B$73:$B$84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'R14'!$I$73:$I$84</c:f>
              <c:numCache>
                <c:formatCode>0.00</c:formatCode>
                <c:ptCount val="12"/>
                <c:pt idx="0">
                  <c:v>3.3010299956639813</c:v>
                </c:pt>
                <c:pt idx="1">
                  <c:v>3.4149733479708178</c:v>
                </c:pt>
                <c:pt idx="2">
                  <c:v>3.7323937598229686</c:v>
                </c:pt>
                <c:pt idx="3">
                  <c:v>4</c:v>
                </c:pt>
                <c:pt idx="4">
                  <c:v>3.3424226808222062</c:v>
                </c:pt>
                <c:pt idx="5">
                  <c:v>2.8075350280688531</c:v>
                </c:pt>
                <c:pt idx="6">
                  <c:v>2.7269987279362624</c:v>
                </c:pt>
                <c:pt idx="7">
                  <c:v>2.6532125137753435</c:v>
                </c:pt>
                <c:pt idx="8">
                  <c:v>2.4216039268698313</c:v>
                </c:pt>
                <c:pt idx="9">
                  <c:v>2.2900346113625178</c:v>
                </c:pt>
                <c:pt idx="10">
                  <c:v>0</c:v>
                </c:pt>
                <c:pt idx="11">
                  <c:v>1.9304395947667001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07-4F73-8185-8F7F770F0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'R14'!$B$95:$B$106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'R14'!$H$95:$H$106</c:f>
              <c:numCache>
                <c:formatCode>0.00</c:formatCode>
                <c:ptCount val="12"/>
                <c:pt idx="0">
                  <c:v>5.4828735836087539</c:v>
                </c:pt>
                <c:pt idx="1">
                  <c:v>5.7075701760979367</c:v>
                </c:pt>
                <c:pt idx="2">
                  <c:v>6.5051499783199063</c:v>
                </c:pt>
                <c:pt idx="3">
                  <c:v>6.924279286061882</c:v>
                </c:pt>
                <c:pt idx="4">
                  <c:v>7.3979400086720375</c:v>
                </c:pt>
                <c:pt idx="5">
                  <c:v>7.8808135922807914</c:v>
                </c:pt>
                <c:pt idx="6">
                  <c:v>8.0253058652647695</c:v>
                </c:pt>
                <c:pt idx="7">
                  <c:v>7.7634279935629369</c:v>
                </c:pt>
                <c:pt idx="8">
                  <c:v>8.0863598306747484</c:v>
                </c:pt>
                <c:pt idx="9">
                  <c:v>8.0644579892269181</c:v>
                </c:pt>
                <c:pt idx="10">
                  <c:v>8.9684829485539357</c:v>
                </c:pt>
                <c:pt idx="11">
                  <c:v>7.982271233039568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C9-4F0D-9AF2-311530C8B31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'R14'!$B$95:$B$106</c:f>
              <c:numCache>
                <c:formatCode>0.00</c:formatCode>
                <c:ptCount val="12"/>
                <c:pt idx="0">
                  <c:v>1</c:v>
                </c:pt>
                <c:pt idx="1">
                  <c:v>3.0000000000582077</c:v>
                </c:pt>
                <c:pt idx="2">
                  <c:v>6.1666666667442769</c:v>
                </c:pt>
                <c:pt idx="3">
                  <c:v>9.0833333333139308</c:v>
                </c:pt>
                <c:pt idx="4">
                  <c:v>11.916666666802485</c:v>
                </c:pt>
                <c:pt idx="5">
                  <c:v>24.166666666744277</c:v>
                </c:pt>
                <c:pt idx="6">
                  <c:v>27.000000000058208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35.916666666802485</c:v>
                </c:pt>
                <c:pt idx="10">
                  <c:v>48.166666666744277</c:v>
                </c:pt>
                <c:pt idx="11">
                  <c:v>53.833333333372138</c:v>
                </c:pt>
              </c:numCache>
            </c:numRef>
          </c:xVal>
          <c:yVal>
            <c:numRef>
              <c:f>'R14'!$I$95:$I$106</c:f>
              <c:numCache>
                <c:formatCode>0.00</c:formatCode>
                <c:ptCount val="12"/>
                <c:pt idx="0">
                  <c:v>3.3979400086720375</c:v>
                </c:pt>
                <c:pt idx="1">
                  <c:v>3.4913616938342726</c:v>
                </c:pt>
                <c:pt idx="2">
                  <c:v>4.1172712956557644</c:v>
                </c:pt>
                <c:pt idx="3">
                  <c:v>4.3802112417116064</c:v>
                </c:pt>
                <c:pt idx="4">
                  <c:v>5.0413926851582254</c:v>
                </c:pt>
                <c:pt idx="5">
                  <c:v>5.5051499783199063</c:v>
                </c:pt>
                <c:pt idx="6">
                  <c:v>5.4471580313422194</c:v>
                </c:pt>
                <c:pt idx="7">
                  <c:v>5.3010299956639813</c:v>
                </c:pt>
                <c:pt idx="8">
                  <c:v>5.6812412373755876</c:v>
                </c:pt>
                <c:pt idx="9">
                  <c:v>5.1461280356782382</c:v>
                </c:pt>
                <c:pt idx="10">
                  <c:v>5.8061799739838875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C9-4F0D-9AF2-311530C8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'R15'!$B$10:$B$21</c:f>
              <c:numCache>
                <c:formatCode>0.00</c:formatCode>
                <c:ptCount val="12"/>
                <c:pt idx="0">
                  <c:v>1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'R15'!$H$10:$H$21</c:f>
              <c:numCache>
                <c:formatCode>0.00</c:formatCode>
                <c:ptCount val="12"/>
                <c:pt idx="0">
                  <c:v>5.9912260756924951</c:v>
                </c:pt>
                <c:pt idx="4">
                  <c:v>8.1139433523068369</c:v>
                </c:pt>
                <c:pt idx="5">
                  <c:v>8.3654879848908994</c:v>
                </c:pt>
                <c:pt idx="9">
                  <c:v>8.220108088040055</c:v>
                </c:pt>
                <c:pt idx="10">
                  <c:v>8.2304489213782741</c:v>
                </c:pt>
                <c:pt idx="11">
                  <c:v>8.1398790864012369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D-42B9-BA17-75EA73F41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'R15'!$B$32:$B$43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'R15'!$H$32:$H$43</c:f>
              <c:numCache>
                <c:formatCode>0.00</c:formatCode>
                <c:ptCount val="12"/>
                <c:pt idx="0">
                  <c:v>5.4712917110589387</c:v>
                </c:pt>
                <c:pt idx="4">
                  <c:v>7.0293837776852097</c:v>
                </c:pt>
                <c:pt idx="5">
                  <c:v>8.2878017299302265</c:v>
                </c:pt>
                <c:pt idx="9">
                  <c:v>8.3654879848908994</c:v>
                </c:pt>
                <c:pt idx="10">
                  <c:v>8.2695129442179169</c:v>
                </c:pt>
                <c:pt idx="11">
                  <c:v>8.3617278360175931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3-4327-914C-EB28E87E3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'R15'!$B$52:$B$63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'R15'!$I$52:$I$63</c:f>
              <c:numCache>
                <c:formatCode>0.00</c:formatCode>
                <c:ptCount val="12"/>
                <c:pt idx="0">
                  <c:v>3.0791812460476247</c:v>
                </c:pt>
                <c:pt idx="4">
                  <c:v>4.5051499783199063</c:v>
                </c:pt>
                <c:pt idx="5">
                  <c:v>6.2966651902615309</c:v>
                </c:pt>
                <c:pt idx="9">
                  <c:v>7.638489256954637</c:v>
                </c:pt>
                <c:pt idx="10">
                  <c:v>8.6085260335771938</c:v>
                </c:pt>
                <c:pt idx="11">
                  <c:v>8.7781512503836439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A4-4C55-B3F1-F6CAC86A8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'R15'!$B$73:$B$84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'R15'!$H$73:$H$84</c:f>
              <c:numCache>
                <c:formatCode>0.00</c:formatCode>
                <c:ptCount val="12"/>
                <c:pt idx="0">
                  <c:v>5.8864907251724823</c:v>
                </c:pt>
                <c:pt idx="1">
                  <c:v>5.4048337166199385</c:v>
                </c:pt>
                <c:pt idx="2">
                  <c:v>6.7634279935629369</c:v>
                </c:pt>
                <c:pt idx="3">
                  <c:v>7.0000005862971548</c:v>
                </c:pt>
                <c:pt idx="4">
                  <c:v>8.0791812460476251</c:v>
                </c:pt>
                <c:pt idx="5">
                  <c:v>8.3617278360175931</c:v>
                </c:pt>
                <c:pt idx="6">
                  <c:v>8.2648178230095368</c:v>
                </c:pt>
                <c:pt idx="7">
                  <c:v>8.3010299956639813</c:v>
                </c:pt>
                <c:pt idx="8">
                  <c:v>8.2600713879850751</c:v>
                </c:pt>
                <c:pt idx="9">
                  <c:v>8.4313637641589878</c:v>
                </c:pt>
                <c:pt idx="10">
                  <c:v>8.0413926851582254</c:v>
                </c:pt>
                <c:pt idx="11">
                  <c:v>8.0492180226701819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C2-4B33-8AAC-17449AC4F3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'R15'!$B$73:$B$84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'R15'!$I$73:$I$84</c:f>
              <c:numCache>
                <c:formatCode>0.00</c:formatCode>
                <c:ptCount val="12"/>
                <c:pt idx="0">
                  <c:v>3</c:v>
                </c:pt>
                <c:pt idx="1">
                  <c:v>2.6020599913279625</c:v>
                </c:pt>
                <c:pt idx="2">
                  <c:v>3</c:v>
                </c:pt>
                <c:pt idx="3">
                  <c:v>3</c:v>
                </c:pt>
                <c:pt idx="4">
                  <c:v>3.1461280356782382</c:v>
                </c:pt>
                <c:pt idx="5">
                  <c:v>1.954242509439325</c:v>
                </c:pt>
                <c:pt idx="6">
                  <c:v>1.954242509439325</c:v>
                </c:pt>
                <c:pt idx="7">
                  <c:v>1.954242509439325</c:v>
                </c:pt>
                <c:pt idx="8">
                  <c:v>1.954242509439325</c:v>
                </c:pt>
                <c:pt idx="9">
                  <c:v>1.954242509439325</c:v>
                </c:pt>
                <c:pt idx="10">
                  <c:v>1.954242509439325</c:v>
                </c:pt>
                <c:pt idx="11">
                  <c:v>1.954242509439325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C2-4B33-8AAC-17449AC4F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'R15'!$B$95:$B$106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'R15'!$H$95:$H$106</c:f>
              <c:numCache>
                <c:formatCode>0.00</c:formatCode>
                <c:ptCount val="12"/>
                <c:pt idx="0">
                  <c:v>5.214843848047698</c:v>
                </c:pt>
                <c:pt idx="1">
                  <c:v>5.4996870826184034</c:v>
                </c:pt>
                <c:pt idx="2">
                  <c:v>6.2174839442139067</c:v>
                </c:pt>
                <c:pt idx="3">
                  <c:v>6.6232492903979008</c:v>
                </c:pt>
                <c:pt idx="4">
                  <c:v>7.0390173219974121</c:v>
                </c:pt>
                <c:pt idx="5">
                  <c:v>8.4471580313422194</c:v>
                </c:pt>
                <c:pt idx="6">
                  <c:v>0</c:v>
                </c:pt>
                <c:pt idx="7">
                  <c:v>8.1986570869544231</c:v>
                </c:pt>
                <c:pt idx="8">
                  <c:v>8.3263358609287508</c:v>
                </c:pt>
                <c:pt idx="9">
                  <c:v>8.318063334962762</c:v>
                </c:pt>
                <c:pt idx="10">
                  <c:v>8.2304489213782741</c:v>
                </c:pt>
                <c:pt idx="11">
                  <c:v>8.2878017299302265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E9-4874-A21E-87E5E43A77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'R15'!$B$73:$B$84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'R15'!$I$95:$I$106</c:f>
              <c:numCache>
                <c:formatCode>0.00</c:formatCode>
                <c:ptCount val="12"/>
                <c:pt idx="0">
                  <c:v>3.255272505103306</c:v>
                </c:pt>
                <c:pt idx="1">
                  <c:v>2.9030899869919438</c:v>
                </c:pt>
                <c:pt idx="2">
                  <c:v>3.3802112417116059</c:v>
                </c:pt>
                <c:pt idx="3">
                  <c:v>4.6812412373755876</c:v>
                </c:pt>
                <c:pt idx="4">
                  <c:v>4.2878017299302265</c:v>
                </c:pt>
                <c:pt idx="5">
                  <c:v>5.2878017299302265</c:v>
                </c:pt>
                <c:pt idx="6">
                  <c:v>5.3710678622717358</c:v>
                </c:pt>
                <c:pt idx="7">
                  <c:v>5.2304489213782741</c:v>
                </c:pt>
                <c:pt idx="8">
                  <c:v>5.3053513694466234</c:v>
                </c:pt>
                <c:pt idx="9">
                  <c:v>5.397360562979804</c:v>
                </c:pt>
                <c:pt idx="10">
                  <c:v>5.2695129442179161</c:v>
                </c:pt>
                <c:pt idx="11">
                  <c:v>5.3010299956639813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E9-4874-A21E-87E5E43A7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CTC494-R15rep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'R15_rep'!$H$10:$H$25</c:f>
              <c:numCache>
                <c:formatCode>0.00</c:formatCode>
                <c:ptCount val="16"/>
                <c:pt idx="0">
                  <c:v>4.9912260756924951</c:v>
                </c:pt>
                <c:pt idx="1">
                  <c:v>5.4048337166199385</c:v>
                </c:pt>
                <c:pt idx="2">
                  <c:v>6</c:v>
                </c:pt>
                <c:pt idx="3">
                  <c:v>6.3979400086720375</c:v>
                </c:pt>
                <c:pt idx="4">
                  <c:v>6.8325089127062366</c:v>
                </c:pt>
                <c:pt idx="5">
                  <c:v>7.7466341989375787</c:v>
                </c:pt>
                <c:pt idx="6">
                  <c:v>8.008600171761918</c:v>
                </c:pt>
                <c:pt idx="7">
                  <c:v>8.2405492482825995</c:v>
                </c:pt>
                <c:pt idx="8">
                  <c:v>8.4593924877592315</c:v>
                </c:pt>
                <c:pt idx="9">
                  <c:v>8.3010299956639813</c:v>
                </c:pt>
                <c:pt idx="10">
                  <c:v>8.2922560713564764</c:v>
                </c:pt>
                <c:pt idx="11">
                  <c:v>8.330413773349191</c:v>
                </c:pt>
                <c:pt idx="12">
                  <c:v>8.318063334962762</c:v>
                </c:pt>
                <c:pt idx="13">
                  <c:v>8.3344537511509316</c:v>
                </c:pt>
                <c:pt idx="14">
                  <c:v>8.3729120029701072</c:v>
                </c:pt>
                <c:pt idx="15">
                  <c:v>8.204119982655925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84-4502-AA52-037C8397F492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('R15_rep'!$M$4,'R15_rep'!$B$15:$B$17)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('R15_rep'!$Q$4,'R15_rep'!$H$15:$H$17)</c:f>
              <c:numCache>
                <c:formatCode>0.00</c:formatCode>
                <c:ptCount val="4"/>
                <c:pt idx="0">
                  <c:v>5.4771212547196626</c:v>
                </c:pt>
                <c:pt idx="1">
                  <c:v>7.7466341989375787</c:v>
                </c:pt>
                <c:pt idx="2">
                  <c:v>8.008600171761918</c:v>
                </c:pt>
                <c:pt idx="3">
                  <c:v>8.2405492482825995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4-4502-AA52-037C8397F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49176"/>
        <c:axId val="214105608"/>
      </c:scatterChart>
      <c:valAx>
        <c:axId val="212949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105608"/>
        <c:crosses val="autoZero"/>
        <c:crossBetween val="midCat"/>
      </c:valAx>
      <c:valAx>
        <c:axId val="214105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2949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23K-R15rep</a:t>
            </a:r>
          </a:p>
        </c:rich>
      </c:tx>
      <c:layout>
        <c:manualLayout>
          <c:xMode val="edge"/>
          <c:yMode val="edge"/>
          <c:x val="0.4247222222222222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'R15_rep'!$B$36:$B$51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'R15_rep'!$H$36:$H$51</c:f>
              <c:numCache>
                <c:formatCode>0.00</c:formatCode>
                <c:ptCount val="16"/>
                <c:pt idx="0">
                  <c:v>5.3384564936046051</c:v>
                </c:pt>
                <c:pt idx="1">
                  <c:v>5.6866362692622934</c:v>
                </c:pt>
                <c:pt idx="2">
                  <c:v>6.1461280356782382</c:v>
                </c:pt>
                <c:pt idx="3">
                  <c:v>6.6063813651106047</c:v>
                </c:pt>
                <c:pt idx="4">
                  <c:v>7.0569048513364727</c:v>
                </c:pt>
                <c:pt idx="5">
                  <c:v>7.7126497016272113</c:v>
                </c:pt>
                <c:pt idx="6">
                  <c:v>7.8129133566428557</c:v>
                </c:pt>
                <c:pt idx="7">
                  <c:v>8.0253058652647695</c:v>
                </c:pt>
                <c:pt idx="8">
                  <c:v>8.1986570869544231</c:v>
                </c:pt>
                <c:pt idx="9">
                  <c:v>8.2648178230095368</c:v>
                </c:pt>
                <c:pt idx="10">
                  <c:v>8.330413773349191</c:v>
                </c:pt>
                <c:pt idx="11">
                  <c:v>8.2741578492636805</c:v>
                </c:pt>
                <c:pt idx="12">
                  <c:v>8.3541084391474012</c:v>
                </c:pt>
                <c:pt idx="13">
                  <c:v>8.318063334962762</c:v>
                </c:pt>
                <c:pt idx="14">
                  <c:v>8.3010299956639813</c:v>
                </c:pt>
                <c:pt idx="15">
                  <c:v>8.2741578492636805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BF-4E91-868E-F862DFBE1E60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('R15_rep'!$M$4,'R15_rep'!$B$41:$B$43)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('R15_rep'!$Q$5,'R15_rep'!$H$41:$H$43)</c:f>
              <c:numCache>
                <c:formatCode>0.00</c:formatCode>
                <c:ptCount val="4"/>
                <c:pt idx="0">
                  <c:v>5.4471580313422194</c:v>
                </c:pt>
                <c:pt idx="1">
                  <c:v>7.7126497016272113</c:v>
                </c:pt>
                <c:pt idx="2">
                  <c:v>7.8129133566428557</c:v>
                </c:pt>
                <c:pt idx="3">
                  <c:v>8.0253058652647695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BF-4E91-868E-F862DFBE1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65768"/>
        <c:axId val="213477600"/>
      </c:scatterChart>
      <c:valAx>
        <c:axId val="213465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477600"/>
        <c:crosses val="autoZero"/>
        <c:crossBetween val="midCat"/>
      </c:valAx>
      <c:valAx>
        <c:axId val="213477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465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'R15_rep'!$B$60:$B$75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'R15_rep'!$I$60:$I$75</c:f>
              <c:numCache>
                <c:formatCode>0.00</c:formatCode>
                <c:ptCount val="16"/>
                <c:pt idx="0">
                  <c:v>3.2041199826559246</c:v>
                </c:pt>
                <c:pt idx="1">
                  <c:v>3.6627578316815739</c:v>
                </c:pt>
                <c:pt idx="2">
                  <c:v>3.716003343634799</c:v>
                </c:pt>
                <c:pt idx="3">
                  <c:v>4.3692158574101425</c:v>
                </c:pt>
                <c:pt idx="4">
                  <c:v>4.7634279935629369</c:v>
                </c:pt>
                <c:pt idx="5">
                  <c:v>5.3010299956639813</c:v>
                </c:pt>
                <c:pt idx="6">
                  <c:v>5.957287952867838</c:v>
                </c:pt>
                <c:pt idx="7">
                  <c:v>6.3424226808222066</c:v>
                </c:pt>
                <c:pt idx="8">
                  <c:v>6.8195439355418683</c:v>
                </c:pt>
                <c:pt idx="9">
                  <c:v>7.2833012287035492</c:v>
                </c:pt>
                <c:pt idx="10">
                  <c:v>7.9138138523837167</c:v>
                </c:pt>
                <c:pt idx="11">
                  <c:v>8.1583624920952502</c:v>
                </c:pt>
                <c:pt idx="12">
                  <c:v>8.3692158574101434</c:v>
                </c:pt>
                <c:pt idx="13">
                  <c:v>8.8007170782823856</c:v>
                </c:pt>
                <c:pt idx="14">
                  <c:v>8.8901414600645765</c:v>
                </c:pt>
                <c:pt idx="15">
                  <c:v>8.8752542402808583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33-4710-84AB-309C1F085BAC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('R15_rep'!$M$4,'R15_rep'!$B$65:$B$67)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('R15_rep'!$Q$6,'R15_rep'!$I$65:$I$67)</c:f>
              <c:numCache>
                <c:formatCode>0.00</c:formatCode>
                <c:ptCount val="4"/>
                <c:pt idx="0">
                  <c:v>3.1461280356782382</c:v>
                </c:pt>
                <c:pt idx="1">
                  <c:v>5.3010299956639813</c:v>
                </c:pt>
                <c:pt idx="2">
                  <c:v>5.957287952867838</c:v>
                </c:pt>
                <c:pt idx="3">
                  <c:v>6.3424226808222066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33-4710-84AB-309C1F085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38368"/>
        <c:axId val="214140800"/>
      </c:scatterChart>
      <c:valAx>
        <c:axId val="21413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140800"/>
        <c:crosses val="autoZero"/>
        <c:crossBetween val="midCat"/>
      </c:valAx>
      <c:valAx>
        <c:axId val="214140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13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494+1034-R15rep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'R15_rep'!$H$85:$H$100</c:f>
              <c:numCache>
                <c:formatCode>0.00</c:formatCode>
                <c:ptCount val="16"/>
                <c:pt idx="0">
                  <c:v>5.1583624920952493</c:v>
                </c:pt>
                <c:pt idx="1">
                  <c:v>5.4471580313422194</c:v>
                </c:pt>
                <c:pt idx="2">
                  <c:v>6.0644579892269181</c:v>
                </c:pt>
                <c:pt idx="3">
                  <c:v>6.4712917110589387</c:v>
                </c:pt>
                <c:pt idx="4">
                  <c:v>6.8692317197309762</c:v>
                </c:pt>
                <c:pt idx="5">
                  <c:v>7.7708520116421438</c:v>
                </c:pt>
                <c:pt idx="6">
                  <c:v>7.3765769570565123</c:v>
                </c:pt>
                <c:pt idx="7">
                  <c:v>8.2787536009528289</c:v>
                </c:pt>
                <c:pt idx="8">
                  <c:v>8.2253092817258633</c:v>
                </c:pt>
                <c:pt idx="9">
                  <c:v>8.3096301674258992</c:v>
                </c:pt>
                <c:pt idx="10">
                  <c:v>8.2833012287035501</c:v>
                </c:pt>
                <c:pt idx="11">
                  <c:v>8.3617278360175931</c:v>
                </c:pt>
                <c:pt idx="12">
                  <c:v>8.4116197059632309</c:v>
                </c:pt>
                <c:pt idx="13">
                  <c:v>8.3654879848908994</c:v>
                </c:pt>
                <c:pt idx="14">
                  <c:v>8.2600713879850751</c:v>
                </c:pt>
                <c:pt idx="15">
                  <c:v>8.214843848047698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2-4995-8B28-EE1AE0E922F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'R15_rep'!$B$85:$B$100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'R15_rep'!$I$85:$I$100</c:f>
              <c:numCache>
                <c:formatCode>0.00</c:formatCode>
                <c:ptCount val="16"/>
                <c:pt idx="0">
                  <c:v>3.1760912590556813</c:v>
                </c:pt>
                <c:pt idx="1">
                  <c:v>3.4149733479708178</c:v>
                </c:pt>
                <c:pt idx="2">
                  <c:v>3.8573324964312685</c:v>
                </c:pt>
                <c:pt idx="3">
                  <c:v>4.3502480183341632</c:v>
                </c:pt>
                <c:pt idx="4">
                  <c:v>4.9444826721501682</c:v>
                </c:pt>
                <c:pt idx="5">
                  <c:v>4.8808135922807914</c:v>
                </c:pt>
                <c:pt idx="6">
                  <c:v>4.1702617153949575</c:v>
                </c:pt>
                <c:pt idx="7">
                  <c:v>3.255272505103306</c:v>
                </c:pt>
                <c:pt idx="8">
                  <c:v>3.7781512503836434</c:v>
                </c:pt>
                <c:pt idx="9">
                  <c:v>3.1461280356782382</c:v>
                </c:pt>
                <c:pt idx="10">
                  <c:v>2.5171958979499744</c:v>
                </c:pt>
                <c:pt idx="11">
                  <c:v>2.0791812460476247</c:v>
                </c:pt>
                <c:pt idx="12">
                  <c:v>1.6812412373755872</c:v>
                </c:pt>
                <c:pt idx="13">
                  <c:v>-0.3979400086720376</c:v>
                </c:pt>
                <c:pt idx="14">
                  <c:v>-0.74472749489669399</c:v>
                </c:pt>
                <c:pt idx="15">
                  <c:v>2.1271047983648077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E2-4995-8B28-EE1AE0E922F9}"/>
            </c:ext>
          </c:extLst>
        </c:ser>
        <c:ser>
          <c:idx val="2"/>
          <c:order val="2"/>
          <c:tx>
            <c:v>dades gap 494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('R15_rep'!$M$4,'R15_rep'!$B$90:$B$92)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('R15_rep'!$Q$4,'R15_rep'!$H$90:$H$92)</c:f>
              <c:numCache>
                <c:formatCode>0.00</c:formatCode>
                <c:ptCount val="4"/>
                <c:pt idx="0">
                  <c:v>5.4771212547196626</c:v>
                </c:pt>
                <c:pt idx="1">
                  <c:v>7.7708520116421438</c:v>
                </c:pt>
                <c:pt idx="2">
                  <c:v>7.3765769570565123</c:v>
                </c:pt>
                <c:pt idx="3">
                  <c:v>8.2787536009528289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E2-4995-8B28-EE1AE0E922F9}"/>
            </c:ext>
          </c:extLst>
        </c:ser>
        <c:ser>
          <c:idx val="3"/>
          <c:order val="3"/>
          <c:tx>
            <c:v>dades gap 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('R15_rep'!$M$4,'R15_rep'!$B$90:$B$92)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('R15_rep'!$Q$6,'R15_rep'!$I$90:$I$92)</c:f>
              <c:numCache>
                <c:formatCode>0.00</c:formatCode>
                <c:ptCount val="4"/>
                <c:pt idx="0">
                  <c:v>3.1461280356782382</c:v>
                </c:pt>
                <c:pt idx="1">
                  <c:v>4.8808135922807914</c:v>
                </c:pt>
                <c:pt idx="2">
                  <c:v>4.1702617153949575</c:v>
                </c:pt>
                <c:pt idx="3">
                  <c:v>3.255272505103306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E2-4995-8B28-EE1AE0E92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56520"/>
        <c:axId val="214156904"/>
      </c:scatterChart>
      <c:valAx>
        <c:axId val="214156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156904"/>
        <c:crosses val="autoZero"/>
        <c:crossBetween val="midCat"/>
      </c:valAx>
      <c:valAx>
        <c:axId val="214156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156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23K+1034-R15rep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'R15_rep'!$H$111:$H$126</c:f>
              <c:numCache>
                <c:formatCode>0.00</c:formatCode>
                <c:ptCount val="16"/>
                <c:pt idx="0">
                  <c:v>5.3138672203691533</c:v>
                </c:pt>
                <c:pt idx="1">
                  <c:v>5.6608654780038696</c:v>
                </c:pt>
                <c:pt idx="2">
                  <c:v>6.1398790864012369</c:v>
                </c:pt>
                <c:pt idx="3">
                  <c:v>6.568201724066995</c:v>
                </c:pt>
                <c:pt idx="4">
                  <c:v>7.0791812460476251</c:v>
                </c:pt>
                <c:pt idx="5">
                  <c:v>7.7058637122839189</c:v>
                </c:pt>
                <c:pt idx="6">
                  <c:v>8.1461280356782382</c:v>
                </c:pt>
                <c:pt idx="7">
                  <c:v>8.1205739312058505</c:v>
                </c:pt>
                <c:pt idx="8">
                  <c:v>8.2966651902615318</c:v>
                </c:pt>
                <c:pt idx="9">
                  <c:v>8.2878017299302265</c:v>
                </c:pt>
                <c:pt idx="10">
                  <c:v>8.383815365980432</c:v>
                </c:pt>
                <c:pt idx="11">
                  <c:v>8.3010299956639813</c:v>
                </c:pt>
                <c:pt idx="12">
                  <c:v>8.2695129442179169</c:v>
                </c:pt>
                <c:pt idx="13">
                  <c:v>8.3053513694466243</c:v>
                </c:pt>
                <c:pt idx="14">
                  <c:v>8.1931245983544621</c:v>
                </c:pt>
                <c:pt idx="15">
                  <c:v>8.2695129442179169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7-4815-B5E9-99B8637CB03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'R15_rep'!$B$85:$B$100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'R15_rep'!$I$111:$I$126</c:f>
              <c:numCache>
                <c:formatCode>0.00</c:formatCode>
                <c:ptCount val="16"/>
                <c:pt idx="0">
                  <c:v>3.2787536009528289</c:v>
                </c:pt>
                <c:pt idx="1">
                  <c:v>3.6627578316815739</c:v>
                </c:pt>
                <c:pt idx="2">
                  <c:v>3.9637878273455551</c:v>
                </c:pt>
                <c:pt idx="3">
                  <c:v>4.3802112417116064</c:v>
                </c:pt>
                <c:pt idx="4">
                  <c:v>4.8808135922807914</c:v>
                </c:pt>
                <c:pt idx="5">
                  <c:v>5.2552725051033065</c:v>
                </c:pt>
                <c:pt idx="6">
                  <c:v>5.5314789170422554</c:v>
                </c:pt>
                <c:pt idx="7">
                  <c:v>5.8450980400142569</c:v>
                </c:pt>
                <c:pt idx="8">
                  <c:v>5.9030899869919438</c:v>
                </c:pt>
                <c:pt idx="9">
                  <c:v>5.9731278535996983</c:v>
                </c:pt>
                <c:pt idx="10">
                  <c:v>5.9344984512435675</c:v>
                </c:pt>
                <c:pt idx="11">
                  <c:v>5.9030899869919438</c:v>
                </c:pt>
                <c:pt idx="12">
                  <c:v>5.8808135922807914</c:v>
                </c:pt>
                <c:pt idx="13">
                  <c:v>5.6812412373755876</c:v>
                </c:pt>
                <c:pt idx="14">
                  <c:v>5.8573324964312681</c:v>
                </c:pt>
                <c:pt idx="15">
                  <c:v>5.8808135922807914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97-4815-B5E9-99B8637CB03B}"/>
            </c:ext>
          </c:extLst>
        </c:ser>
        <c:ser>
          <c:idx val="2"/>
          <c:order val="2"/>
          <c:tx>
            <c:v>dades gap 23K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('R15_rep'!$M$4,'R15_rep'!$B$116:$B$118)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('R15_rep'!$Q$5,'R15_rep'!$H$116:$H$118)</c:f>
              <c:numCache>
                <c:formatCode>0.00</c:formatCode>
                <c:ptCount val="4"/>
                <c:pt idx="0">
                  <c:v>5.4471580313422194</c:v>
                </c:pt>
                <c:pt idx="1">
                  <c:v>7.7058637122839189</c:v>
                </c:pt>
                <c:pt idx="2">
                  <c:v>8.1461280356782382</c:v>
                </c:pt>
                <c:pt idx="3">
                  <c:v>8.1205739312058505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97-4815-B5E9-99B8637CB03B}"/>
            </c:ext>
          </c:extLst>
        </c:ser>
        <c:ser>
          <c:idx val="3"/>
          <c:order val="3"/>
          <c:tx>
            <c:v>dades gap 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('R15_rep'!$M$4,'R15_rep'!$B$116:$B$118)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('R15_rep'!$Q$6,'R15_rep'!$I$116:$I$118)</c:f>
              <c:numCache>
                <c:formatCode>0.00</c:formatCode>
                <c:ptCount val="4"/>
                <c:pt idx="0">
                  <c:v>3.1461280356782382</c:v>
                </c:pt>
                <c:pt idx="1">
                  <c:v>5.2552725051033065</c:v>
                </c:pt>
                <c:pt idx="2">
                  <c:v>5.5314789170422554</c:v>
                </c:pt>
                <c:pt idx="3">
                  <c:v>5.8450980400142569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97-4815-B5E9-99B8637CB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23624"/>
        <c:axId val="212124016"/>
      </c:scatterChart>
      <c:valAx>
        <c:axId val="212123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2124016"/>
        <c:crosses val="autoZero"/>
        <c:crossBetween val="midCat"/>
      </c:valAx>
      <c:valAx>
        <c:axId val="2121240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2123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'R15_rep'!$F$9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[1]R9_rep!$F$10:$F$25</c:f>
              <c:numCache>
                <c:formatCode>General</c:formatCode>
                <c:ptCount val="16"/>
                <c:pt idx="0">
                  <c:v>5.77</c:v>
                </c:pt>
                <c:pt idx="1">
                  <c:v>5.76</c:v>
                </c:pt>
                <c:pt idx="2">
                  <c:v>5.73</c:v>
                </c:pt>
                <c:pt idx="3">
                  <c:v>5.71</c:v>
                </c:pt>
                <c:pt idx="4">
                  <c:v>5.64</c:v>
                </c:pt>
                <c:pt idx="5">
                  <c:v>4.87</c:v>
                </c:pt>
                <c:pt idx="6">
                  <c:v>5.27</c:v>
                </c:pt>
                <c:pt idx="7">
                  <c:v>4.21</c:v>
                </c:pt>
                <c:pt idx="8">
                  <c:v>4.17</c:v>
                </c:pt>
                <c:pt idx="9">
                  <c:v>4.07</c:v>
                </c:pt>
                <c:pt idx="10">
                  <c:v>3.98</c:v>
                </c:pt>
                <c:pt idx="11">
                  <c:v>3.92</c:v>
                </c:pt>
                <c:pt idx="12">
                  <c:v>3.88</c:v>
                </c:pt>
                <c:pt idx="13">
                  <c:v>3.78</c:v>
                </c:pt>
                <c:pt idx="14">
                  <c:v>3.82</c:v>
                </c:pt>
                <c:pt idx="15">
                  <c:v>3.79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AE-4144-8E49-41671FF5ADDD}"/>
            </c:ext>
          </c:extLst>
        </c:ser>
        <c:ser>
          <c:idx val="1"/>
          <c:order val="1"/>
          <c:tx>
            <c:strRef>
              <c:f>'R15_rep'!$J$9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'R15_rep'!$J$10:$J$25</c:f>
              <c:numCache>
                <c:formatCode>General</c:formatCode>
                <c:ptCount val="16"/>
                <c:pt idx="0">
                  <c:v>-0.12815327733071899</c:v>
                </c:pt>
                <c:pt idx="1">
                  <c:v>-5.6822564728644241E-2</c:v>
                </c:pt>
                <c:pt idx="2">
                  <c:v>4.0787884095247515E-2</c:v>
                </c:pt>
                <c:pt idx="3">
                  <c:v>-9.4365045045525675E-2</c:v>
                </c:pt>
                <c:pt idx="4">
                  <c:v>-5.6822564728644241E-2</c:v>
                </c:pt>
                <c:pt idx="5">
                  <c:v>0.22099178961627844</c:v>
                </c:pt>
                <c:pt idx="6">
                  <c:v>1.1182570691897449</c:v>
                </c:pt>
                <c:pt idx="7">
                  <c:v>1.8090387070203635</c:v>
                </c:pt>
                <c:pt idx="8">
                  <c:v>1.8540896834006213</c:v>
                </c:pt>
                <c:pt idx="9">
                  <c:v>2.4735406086291651</c:v>
                </c:pt>
                <c:pt idx="10">
                  <c:v>2.9953810850338169</c:v>
                </c:pt>
                <c:pt idx="11">
                  <c:v>3.0892372858260204</c:v>
                </c:pt>
                <c:pt idx="12">
                  <c:v>3.8062986598784563</c:v>
                </c:pt>
                <c:pt idx="13">
                  <c:v>4.1554437268254532</c:v>
                </c:pt>
                <c:pt idx="14">
                  <c:v>4.3694358646316775</c:v>
                </c:pt>
                <c:pt idx="15">
                  <c:v>4.0165365496529928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AE-4144-8E49-41671FF5ADDD}"/>
            </c:ext>
          </c:extLst>
        </c:ser>
        <c:ser>
          <c:idx val="2"/>
          <c:order val="2"/>
          <c:tx>
            <c:strRef>
              <c:f>'R15_rep'!$L$9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'R15_rep'!$L$10:$L$25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  <c:pt idx="12">
                  <c:v>3.2</c:v>
                </c:pt>
                <c:pt idx="14">
                  <c:v>3.2</c:v>
                </c:pt>
                <c:pt idx="15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AE-4144-8E49-41671FF5A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76008"/>
        <c:axId val="213876400"/>
      </c:scatterChart>
      <c:valAx>
        <c:axId val="213876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876400"/>
        <c:crosses val="autoZero"/>
        <c:crossBetween val="midCat"/>
      </c:valAx>
      <c:valAx>
        <c:axId val="2138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876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'R15_rep'!$F$9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'R15_rep'!$F$85:$F$100</c:f>
              <c:numCache>
                <c:formatCode>General</c:formatCode>
                <c:ptCount val="16"/>
                <c:pt idx="0">
                  <c:v>5.85</c:v>
                </c:pt>
                <c:pt idx="1">
                  <c:v>5.83</c:v>
                </c:pt>
                <c:pt idx="2">
                  <c:v>5.8</c:v>
                </c:pt>
                <c:pt idx="3">
                  <c:v>5.76</c:v>
                </c:pt>
                <c:pt idx="4">
                  <c:v>5.71</c:v>
                </c:pt>
                <c:pt idx="5">
                  <c:v>4.75</c:v>
                </c:pt>
                <c:pt idx="6">
                  <c:v>4.5599999999999996</c:v>
                </c:pt>
                <c:pt idx="7">
                  <c:v>4.2</c:v>
                </c:pt>
                <c:pt idx="8">
                  <c:v>4.1500000000000004</c:v>
                </c:pt>
                <c:pt idx="9">
                  <c:v>4.1399999999999997</c:v>
                </c:pt>
                <c:pt idx="10">
                  <c:v>3.92</c:v>
                </c:pt>
                <c:pt idx="11">
                  <c:v>3.91</c:v>
                </c:pt>
                <c:pt idx="12">
                  <c:v>3.89</c:v>
                </c:pt>
                <c:pt idx="13">
                  <c:v>3.78</c:v>
                </c:pt>
                <c:pt idx="14">
                  <c:v>3.82</c:v>
                </c:pt>
                <c:pt idx="15">
                  <c:v>3.78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EC-4E59-92D5-617EC19CC006}"/>
            </c:ext>
          </c:extLst>
        </c:ser>
        <c:ser>
          <c:idx val="1"/>
          <c:order val="1"/>
          <c:tx>
            <c:strRef>
              <c:f>'R15_rep'!$J$9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'R15_rep'!$J$85:$J$100</c:f>
              <c:numCache>
                <c:formatCode>General</c:formatCode>
                <c:ptCount val="16"/>
                <c:pt idx="0">
                  <c:v>-3.0542828506827231E-2</c:v>
                </c:pt>
                <c:pt idx="1">
                  <c:v>-5.3068316696956094E-2</c:v>
                </c:pt>
                <c:pt idx="2">
                  <c:v>-4.2630922850102164E-3</c:v>
                </c:pt>
                <c:pt idx="3">
                  <c:v>-7.9348052918773102E-2</c:v>
                </c:pt>
                <c:pt idx="4">
                  <c:v>-0.13190752536240713</c:v>
                </c:pt>
                <c:pt idx="5">
                  <c:v>0.20597479748952585</c:v>
                </c:pt>
                <c:pt idx="6">
                  <c:v>0.95307015579546661</c:v>
                </c:pt>
                <c:pt idx="7">
                  <c:v>1.8127929550520516</c:v>
                </c:pt>
                <c:pt idx="8">
                  <c:v>1.9742256204146418</c:v>
                </c:pt>
                <c:pt idx="9">
                  <c:v>2.4585236165024122</c:v>
                </c:pt>
                <c:pt idx="10">
                  <c:v>3.337017655917438</c:v>
                </c:pt>
                <c:pt idx="11">
                  <c:v>3.2243902149667938</c:v>
                </c:pt>
                <c:pt idx="12">
                  <c:v>3.6748999787693712</c:v>
                </c:pt>
                <c:pt idx="13">
                  <c:v>4.0315535417797452</c:v>
                </c:pt>
                <c:pt idx="14">
                  <c:v>4.5646567622794612</c:v>
                </c:pt>
                <c:pt idx="15">
                  <c:v>4.0503247819381851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EC-4E59-92D5-617EC19CC006}"/>
            </c:ext>
          </c:extLst>
        </c:ser>
        <c:ser>
          <c:idx val="2"/>
          <c:order val="2"/>
          <c:tx>
            <c:strRef>
              <c:f>'R15_rep'!$L$9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'R15_rep'!$L$85:$L$100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1.6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  <c:pt idx="12">
                  <c:v>3.2</c:v>
                </c:pt>
                <c:pt idx="14">
                  <c:v>3.2</c:v>
                </c:pt>
                <c:pt idx="15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EC-4E59-92D5-617EC19CC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23232"/>
        <c:axId val="212122840"/>
      </c:scatterChart>
      <c:valAx>
        <c:axId val="21212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2122840"/>
        <c:crosses val="autoZero"/>
        <c:crossBetween val="midCat"/>
      </c:valAx>
      <c:valAx>
        <c:axId val="21212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2123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'R15_rep'!$F$9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'R15_rep'!$F$36:$F$51</c:f>
              <c:numCache>
                <c:formatCode>General</c:formatCode>
                <c:ptCount val="16"/>
                <c:pt idx="0">
                  <c:v>5.84</c:v>
                </c:pt>
                <c:pt idx="1">
                  <c:v>5.78</c:v>
                </c:pt>
                <c:pt idx="2">
                  <c:v>5.77</c:v>
                </c:pt>
                <c:pt idx="3">
                  <c:v>5.74</c:v>
                </c:pt>
                <c:pt idx="4">
                  <c:v>5.68</c:v>
                </c:pt>
                <c:pt idx="5">
                  <c:v>5.14</c:v>
                </c:pt>
                <c:pt idx="6">
                  <c:v>4.93</c:v>
                </c:pt>
                <c:pt idx="7">
                  <c:v>4.41</c:v>
                </c:pt>
                <c:pt idx="8">
                  <c:v>4.38</c:v>
                </c:pt>
                <c:pt idx="9">
                  <c:v>4.21</c:v>
                </c:pt>
                <c:pt idx="10">
                  <c:v>4.03</c:v>
                </c:pt>
                <c:pt idx="11">
                  <c:v>3.97</c:v>
                </c:pt>
                <c:pt idx="12">
                  <c:v>3.9</c:v>
                </c:pt>
                <c:pt idx="13">
                  <c:v>3.74</c:v>
                </c:pt>
                <c:pt idx="14">
                  <c:v>3.78</c:v>
                </c:pt>
                <c:pt idx="15">
                  <c:v>3.73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F2-43C5-B7F2-DDE487AA1D4F}"/>
            </c:ext>
          </c:extLst>
        </c:ser>
        <c:ser>
          <c:idx val="1"/>
          <c:order val="1"/>
          <c:tx>
            <c:strRef>
              <c:f>'R15_rep'!$J$9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'R15_rep'!$J$36:$J$51</c:f>
              <c:numCache>
                <c:formatCode>General</c:formatCode>
                <c:ptCount val="16"/>
                <c:pt idx="0">
                  <c:v>-0.20323823796448184</c:v>
                </c:pt>
                <c:pt idx="1">
                  <c:v>-7.5593804887084962E-2</c:v>
                </c:pt>
                <c:pt idx="2">
                  <c:v>-1.92800844117628E-2</c:v>
                </c:pt>
                <c:pt idx="3">
                  <c:v>-0.13566177339409527</c:v>
                </c:pt>
                <c:pt idx="4">
                  <c:v>-7.40921056744097E-2</c:v>
                </c:pt>
                <c:pt idx="5">
                  <c:v>-1.1771588348386512E-2</c:v>
                </c:pt>
                <c:pt idx="6">
                  <c:v>0.52133163215132994</c:v>
                </c:pt>
                <c:pt idx="7">
                  <c:v>1.122011317221433</c:v>
                </c:pt>
                <c:pt idx="8">
                  <c:v>1.2196217660453248</c:v>
                </c:pt>
                <c:pt idx="9">
                  <c:v>2.068081821206845</c:v>
                </c:pt>
                <c:pt idx="10">
                  <c:v>2.8301941716395387</c:v>
                </c:pt>
                <c:pt idx="11">
                  <c:v>2.8752451480197965</c:v>
                </c:pt>
                <c:pt idx="12">
                  <c:v>3.509713065375093</c:v>
                </c:pt>
                <c:pt idx="13">
                  <c:v>4.1892319591106464</c:v>
                </c:pt>
                <c:pt idx="14">
                  <c:v>4.3131221441563552</c:v>
                </c:pt>
                <c:pt idx="15">
                  <c:v>5.5557782426451308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F2-43C5-B7F2-DDE487AA1D4F}"/>
            </c:ext>
          </c:extLst>
        </c:ser>
        <c:ser>
          <c:idx val="2"/>
          <c:order val="2"/>
          <c:tx>
            <c:strRef>
              <c:f>[1]R9_rep!$L$9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[1]R9_rep!$B$10:$B$25</c:f>
              <c:numCache>
                <c:formatCode>General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[1]R9_rep!$L$36:$L$51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F2-43C5-B7F2-DDE487AA1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22056"/>
        <c:axId val="212121664"/>
      </c:scatterChart>
      <c:valAx>
        <c:axId val="212122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2121664"/>
        <c:crosses val="autoZero"/>
        <c:crossBetween val="midCat"/>
      </c:valAx>
      <c:valAx>
        <c:axId val="2121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2122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'R15_rep'!$F$9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'R15_rep'!$F$60:$F$75</c:f>
              <c:numCache>
                <c:formatCode>General</c:formatCode>
                <c:ptCount val="16"/>
                <c:pt idx="0">
                  <c:v>5.84</c:v>
                </c:pt>
                <c:pt idx="1">
                  <c:v>5.8</c:v>
                </c:pt>
                <c:pt idx="2">
                  <c:v>5.77</c:v>
                </c:pt>
                <c:pt idx="3">
                  <c:v>5.81</c:v>
                </c:pt>
                <c:pt idx="4">
                  <c:v>5.79</c:v>
                </c:pt>
                <c:pt idx="5">
                  <c:v>5.8</c:v>
                </c:pt>
                <c:pt idx="6">
                  <c:v>5.78</c:v>
                </c:pt>
                <c:pt idx="7">
                  <c:v>5.81</c:v>
                </c:pt>
                <c:pt idx="8">
                  <c:v>5.72</c:v>
                </c:pt>
                <c:pt idx="9">
                  <c:v>5.76</c:v>
                </c:pt>
                <c:pt idx="10">
                  <c:v>5.64</c:v>
                </c:pt>
                <c:pt idx="11">
                  <c:v>5.51</c:v>
                </c:pt>
                <c:pt idx="12">
                  <c:v>5.22</c:v>
                </c:pt>
                <c:pt idx="13">
                  <c:v>4.75</c:v>
                </c:pt>
                <c:pt idx="14">
                  <c:v>4.5199999999999996</c:v>
                </c:pt>
                <c:pt idx="15">
                  <c:v>4.38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EA-4149-B4CF-2DF095E91A7E}"/>
            </c:ext>
          </c:extLst>
        </c:ser>
        <c:ser>
          <c:idx val="1"/>
          <c:order val="1"/>
          <c:tx>
            <c:strRef>
              <c:f>'R15_rep'!$J$9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'R15_rep'!$J$60:$J$75</c:f>
              <c:numCache>
                <c:formatCode>General</c:formatCode>
                <c:ptCount val="16"/>
                <c:pt idx="0">
                  <c:v>-0.17695850174266484</c:v>
                </c:pt>
                <c:pt idx="1">
                  <c:v>-6.0576812760332374E-2</c:v>
                </c:pt>
                <c:pt idx="2">
                  <c:v>8.5838860475505249E-2</c:v>
                </c:pt>
                <c:pt idx="3">
                  <c:v>-3.4297076538515374E-2</c:v>
                </c:pt>
                <c:pt idx="4">
                  <c:v>-0.17695850174266484</c:v>
                </c:pt>
                <c:pt idx="5" formatCode="0.000000">
                  <c:v>-0.3947048875805772</c:v>
                </c:pt>
                <c:pt idx="6" formatCode="0.000000">
                  <c:v>-8.0173403166983633E-3</c:v>
                </c:pt>
                <c:pt idx="7" formatCode="0.000000">
                  <c:v>-0.12439902929903084</c:v>
                </c:pt>
                <c:pt idx="8">
                  <c:v>-8.6856548982149395E-2</c:v>
                </c:pt>
                <c:pt idx="9">
                  <c:v>-4.2630922850102164E-3</c:v>
                </c:pt>
                <c:pt idx="10">
                  <c:v>-0.180712749774353</c:v>
                </c:pt>
                <c:pt idx="11">
                  <c:v>-0.17695850174266484</c:v>
                </c:pt>
                <c:pt idx="12">
                  <c:v>0.22850028567965472</c:v>
                </c:pt>
                <c:pt idx="13">
                  <c:v>-0.7626211946860153</c:v>
                </c:pt>
                <c:pt idx="14">
                  <c:v>1.0807145888728635</c:v>
                </c:pt>
                <c:pt idx="15">
                  <c:v>0.94180741170040216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EA-4149-B4CF-2DF095E91A7E}"/>
            </c:ext>
          </c:extLst>
        </c:ser>
        <c:ser>
          <c:idx val="2"/>
          <c:order val="2"/>
          <c:tx>
            <c:strRef>
              <c:f>'R15_rep'!$L$9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EA-4149-B4CF-2DF095E91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77576"/>
        <c:axId val="213877968"/>
      </c:scatterChart>
      <c:valAx>
        <c:axId val="213877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877968"/>
        <c:crosses val="autoZero"/>
        <c:crossBetween val="midCat"/>
      </c:valAx>
      <c:valAx>
        <c:axId val="21387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877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'R15_rep'!$F$9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'R15_rep'!$F$111:$F$126</c:f>
              <c:numCache>
                <c:formatCode>General</c:formatCode>
                <c:ptCount val="16"/>
                <c:pt idx="0">
                  <c:v>5.84</c:v>
                </c:pt>
                <c:pt idx="1">
                  <c:v>5.81</c:v>
                </c:pt>
                <c:pt idx="2">
                  <c:v>5.76</c:v>
                </c:pt>
                <c:pt idx="3">
                  <c:v>5.76</c:v>
                </c:pt>
                <c:pt idx="4">
                  <c:v>5.71</c:v>
                </c:pt>
                <c:pt idx="5">
                  <c:v>5.18</c:v>
                </c:pt>
                <c:pt idx="6">
                  <c:v>4.9000000000000004</c:v>
                </c:pt>
                <c:pt idx="7">
                  <c:v>4.37</c:v>
                </c:pt>
                <c:pt idx="8">
                  <c:v>4.3499999999999996</c:v>
                </c:pt>
                <c:pt idx="9">
                  <c:v>4.16</c:v>
                </c:pt>
                <c:pt idx="10">
                  <c:v>4.0199999999999996</c:v>
                </c:pt>
                <c:pt idx="11">
                  <c:v>3.95</c:v>
                </c:pt>
                <c:pt idx="12">
                  <c:v>3.89</c:v>
                </c:pt>
                <c:pt idx="13">
                  <c:v>3.75</c:v>
                </c:pt>
                <c:pt idx="14">
                  <c:v>3.76</c:v>
                </c:pt>
                <c:pt idx="15">
                  <c:v>3.73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B-4C93-9C4D-B2EFE607B222}"/>
            </c:ext>
          </c:extLst>
        </c:ser>
        <c:ser>
          <c:idx val="1"/>
          <c:order val="1"/>
          <c:tx>
            <c:strRef>
              <c:f>'R15_rep'!$J$9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'R15_rep'!$J$111:$J$126</c:f>
              <c:numCache>
                <c:formatCode>General</c:formatCode>
                <c:ptCount val="16"/>
                <c:pt idx="0">
                  <c:v>-9.8119293077213829E-2</c:v>
                </c:pt>
                <c:pt idx="1">
                  <c:v>2.2016643936806791E-2</c:v>
                </c:pt>
                <c:pt idx="2">
                  <c:v>6.9996518100542138E-3</c:v>
                </c:pt>
                <c:pt idx="3">
                  <c:v>6.7067620317064508E-2</c:v>
                </c:pt>
                <c:pt idx="4">
                  <c:v>-2.6788580475139087E-2</c:v>
                </c:pt>
                <c:pt idx="5">
                  <c:v>-3.8051324570203521E-2</c:v>
                </c:pt>
                <c:pt idx="6">
                  <c:v>0.45375516758094342</c:v>
                </c:pt>
                <c:pt idx="7">
                  <c:v>1.1295198132848094</c:v>
                </c:pt>
                <c:pt idx="8">
                  <c:v>1.3547746951860979</c:v>
                </c:pt>
                <c:pt idx="9">
                  <c:v>2.0981158054603504</c:v>
                </c:pt>
                <c:pt idx="10">
                  <c:v>3.2506699511886112</c:v>
                </c:pt>
                <c:pt idx="11">
                  <c:v>3.0441863094457626</c:v>
                </c:pt>
                <c:pt idx="12">
                  <c:v>3.4158568645828895</c:v>
                </c:pt>
                <c:pt idx="13">
                  <c:v>3.9076633567340355</c:v>
                </c:pt>
                <c:pt idx="14">
                  <c:v>4.3919613528218067</c:v>
                </c:pt>
                <c:pt idx="15">
                  <c:v>4.2230201913958396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7B-4C93-9C4D-B2EFE607B222}"/>
            </c:ext>
          </c:extLst>
        </c:ser>
        <c:ser>
          <c:idx val="2"/>
          <c:order val="2"/>
          <c:tx>
            <c:strRef>
              <c:f>'R15_rep'!$L$9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7B-4C93-9C4D-B2EFE607B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78752"/>
        <c:axId val="213879144"/>
      </c:scatterChart>
      <c:valAx>
        <c:axId val="21387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879144"/>
        <c:crosses val="autoZero"/>
        <c:crossBetween val="midCat"/>
      </c:valAx>
      <c:valAx>
        <c:axId val="21387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387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CTC494-R15rep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R15rep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'R15_rep'!$N$10:$N$25</c:f>
              <c:numCache>
                <c:formatCode>0.00</c:formatCode>
                <c:ptCount val="16"/>
                <c:pt idx="0">
                  <c:v>0</c:v>
                </c:pt>
                <c:pt idx="1">
                  <c:v>0.4136076409274434</c:v>
                </c:pt>
                <c:pt idx="2">
                  <c:v>1.0087739243075049</c:v>
                </c:pt>
                <c:pt idx="3">
                  <c:v>1.4067139329795424</c:v>
                </c:pt>
                <c:pt idx="4">
                  <c:v>1.8412828370137415</c:v>
                </c:pt>
                <c:pt idx="5">
                  <c:v>2.2695129442179161</c:v>
                </c:pt>
                <c:pt idx="6">
                  <c:v>2.5314789170422554</c:v>
                </c:pt>
                <c:pt idx="7">
                  <c:v>2.7634279935629369</c:v>
                </c:pt>
                <c:pt idx="8">
                  <c:v>3.4681664120667364</c:v>
                </c:pt>
                <c:pt idx="9">
                  <c:v>3.3098039199714862</c:v>
                </c:pt>
                <c:pt idx="10">
                  <c:v>3.3010299956639813</c:v>
                </c:pt>
                <c:pt idx="11">
                  <c:v>3.3391876976566959</c:v>
                </c:pt>
                <c:pt idx="12">
                  <c:v>3.3268372592702669</c:v>
                </c:pt>
                <c:pt idx="13">
                  <c:v>2.857332496431269</c:v>
                </c:pt>
                <c:pt idx="14">
                  <c:v>3.3816859272776121</c:v>
                </c:pt>
                <c:pt idx="15">
                  <c:v>3.2128939069634299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8E-4AA8-825A-EA6DEB909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02984"/>
        <c:axId val="214603376"/>
      </c:scatterChart>
      <c:valAx>
        <c:axId val="214602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603376"/>
        <c:crosses val="autoZero"/>
        <c:crossBetween val="midCat"/>
      </c:valAx>
      <c:valAx>
        <c:axId val="214603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602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23K-R15rep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R16rep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'R15_rep'!$B$36:$B$51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'R15_rep'!$N$36:$N$51</c:f>
              <c:numCache>
                <c:formatCode>0.00</c:formatCode>
                <c:ptCount val="16"/>
                <c:pt idx="0">
                  <c:v>0</c:v>
                </c:pt>
                <c:pt idx="1">
                  <c:v>0.34817977565768832</c:v>
                </c:pt>
                <c:pt idx="2">
                  <c:v>0.80767154207363312</c:v>
                </c:pt>
                <c:pt idx="3">
                  <c:v>1.2679248715059996</c:v>
                </c:pt>
                <c:pt idx="4">
                  <c:v>1.7184483577318677</c:v>
                </c:pt>
                <c:pt idx="5">
                  <c:v>2.2654916702849919</c:v>
                </c:pt>
                <c:pt idx="6">
                  <c:v>2.3657553253006363</c:v>
                </c:pt>
                <c:pt idx="7">
                  <c:v>2.5781478339225501</c:v>
                </c:pt>
                <c:pt idx="8">
                  <c:v>2.860200593349818</c:v>
                </c:pt>
                <c:pt idx="9">
                  <c:v>2.9263613294049318</c:v>
                </c:pt>
                <c:pt idx="10">
                  <c:v>2.9919572797445859</c:v>
                </c:pt>
                <c:pt idx="11">
                  <c:v>2.9357013556590754</c:v>
                </c:pt>
                <c:pt idx="12">
                  <c:v>3.0156519455427961</c:v>
                </c:pt>
                <c:pt idx="13">
                  <c:v>2.8709053036205425</c:v>
                </c:pt>
                <c:pt idx="14">
                  <c:v>2.9625735020593762</c:v>
                </c:pt>
                <c:pt idx="15">
                  <c:v>2.9357013556590754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C4-4B48-880A-975A4800C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04160"/>
        <c:axId val="214604552"/>
      </c:scatterChart>
      <c:valAx>
        <c:axId val="21460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604552"/>
        <c:crosses val="autoZero"/>
        <c:crossBetween val="midCat"/>
      </c:valAx>
      <c:valAx>
        <c:axId val="214604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60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CTC1034-R15rep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CTC1034 R15rep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'R15_rep'!$B$60:$B$75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'R15_rep'!$N$60:$N$75</c:f>
              <c:numCache>
                <c:formatCode>0.00</c:formatCode>
                <c:ptCount val="16"/>
                <c:pt idx="0">
                  <c:v>0</c:v>
                </c:pt>
                <c:pt idx="1">
                  <c:v>0.4586378490256493</c:v>
                </c:pt>
                <c:pt idx="2">
                  <c:v>0.51188336097887444</c:v>
                </c:pt>
                <c:pt idx="3">
                  <c:v>1.1650958747542179</c:v>
                </c:pt>
                <c:pt idx="4">
                  <c:v>1.5593080109070123</c:v>
                </c:pt>
                <c:pt idx="5">
                  <c:v>2.1549019599857431</c:v>
                </c:pt>
                <c:pt idx="6">
                  <c:v>2.8111599171895998</c:v>
                </c:pt>
                <c:pt idx="7">
                  <c:v>3.1962946451439684</c:v>
                </c:pt>
                <c:pt idx="8">
                  <c:v>3.6154239528859438</c:v>
                </c:pt>
                <c:pt idx="9">
                  <c:v>4.0791812460476251</c:v>
                </c:pt>
                <c:pt idx="10">
                  <c:v>4.7096938697277917</c:v>
                </c:pt>
                <c:pt idx="11">
                  <c:v>4.9542425094393252</c:v>
                </c:pt>
                <c:pt idx="12">
                  <c:v>5.1650958747542184</c:v>
                </c:pt>
                <c:pt idx="13">
                  <c:v>5.6545890426041474</c:v>
                </c:pt>
                <c:pt idx="14">
                  <c:v>5.6860214774086515</c:v>
                </c:pt>
                <c:pt idx="15">
                  <c:v>5.6711342576249333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51-4896-B063-098FB7002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05336"/>
        <c:axId val="214605728"/>
      </c:scatterChart>
      <c:valAx>
        <c:axId val="214605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605728"/>
        <c:crosses val="autoZero"/>
        <c:crossBetween val="midCat"/>
      </c:valAx>
      <c:valAx>
        <c:axId val="214605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605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494-1034-R15rep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R15rep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'R15_rep'!$N$85:$N$100</c:f>
              <c:numCache>
                <c:formatCode>0.00</c:formatCode>
                <c:ptCount val="16"/>
                <c:pt idx="0">
                  <c:v>0</c:v>
                </c:pt>
                <c:pt idx="1">
                  <c:v>0.2887955392469701</c:v>
                </c:pt>
                <c:pt idx="2">
                  <c:v>0.90609549713166881</c:v>
                </c:pt>
                <c:pt idx="3">
                  <c:v>1.3129292189636894</c:v>
                </c:pt>
                <c:pt idx="4">
                  <c:v>1.7108692276357269</c:v>
                </c:pt>
                <c:pt idx="5">
                  <c:v>2.2937307569224812</c:v>
                </c:pt>
                <c:pt idx="6">
                  <c:v>1.8994557023368497</c:v>
                </c:pt>
                <c:pt idx="7">
                  <c:v>2.8016323462331663</c:v>
                </c:pt>
                <c:pt idx="8">
                  <c:v>3.066946789630614</c:v>
                </c:pt>
                <c:pt idx="9">
                  <c:v>3.1512676753306499</c:v>
                </c:pt>
                <c:pt idx="10">
                  <c:v>3.1249387366083008</c:v>
                </c:pt>
                <c:pt idx="11">
                  <c:v>3.2033653439223437</c:v>
                </c:pt>
                <c:pt idx="12">
                  <c:v>3.2532572138679816</c:v>
                </c:pt>
                <c:pt idx="13">
                  <c:v>2.8883667301712368</c:v>
                </c:pt>
                <c:pt idx="14">
                  <c:v>3.1017088958898258</c:v>
                </c:pt>
                <c:pt idx="15">
                  <c:v>3.0564813559524486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2-4F43-8372-0F6AE05E5A57}"/>
            </c:ext>
          </c:extLst>
        </c:ser>
        <c:ser>
          <c:idx val="1"/>
          <c:order val="1"/>
          <c:tx>
            <c:v>LOG CHANGE CTC1034 R15rep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'R15_rep'!$B$85:$B$100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'R15_rep'!$O$85:$O$100</c:f>
              <c:numCache>
                <c:formatCode>0.00</c:formatCode>
                <c:ptCount val="16"/>
                <c:pt idx="0">
                  <c:v>0</c:v>
                </c:pt>
                <c:pt idx="1">
                  <c:v>0.2388820889151364</c:v>
                </c:pt>
                <c:pt idx="2">
                  <c:v>0.68124123737558717</c:v>
                </c:pt>
                <c:pt idx="3">
                  <c:v>1.1741567592784818</c:v>
                </c:pt>
                <c:pt idx="4">
                  <c:v>1.7683914130944869</c:v>
                </c:pt>
                <c:pt idx="5">
                  <c:v>1.7346855566025532</c:v>
                </c:pt>
                <c:pt idx="6">
                  <c:v>1.0241336797167193</c:v>
                </c:pt>
                <c:pt idx="7">
                  <c:v>0.10914446942506784</c:v>
                </c:pt>
                <c:pt idx="8">
                  <c:v>0.60205999132796206</c:v>
                </c:pt>
                <c:pt idx="9">
                  <c:v>-2.9963223377443171E-2</c:v>
                </c:pt>
                <c:pt idx="10">
                  <c:v>-0.6588953611057069</c:v>
                </c:pt>
                <c:pt idx="11">
                  <c:v>-1.0969100130080567</c:v>
                </c:pt>
                <c:pt idx="12">
                  <c:v>-1.4948500216800942</c:v>
                </c:pt>
                <c:pt idx="13">
                  <c:v>-3.5440680443502757</c:v>
                </c:pt>
                <c:pt idx="14">
                  <c:v>-3.9208187539523753</c:v>
                </c:pt>
                <c:pt idx="15">
                  <c:v>-1.0489864606908736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2-4F43-8372-0F6AE05E5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06512"/>
        <c:axId val="264716384"/>
      </c:scatterChart>
      <c:valAx>
        <c:axId val="214606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716384"/>
        <c:crosses val="autoZero"/>
        <c:crossBetween val="midCat"/>
      </c:valAx>
      <c:valAx>
        <c:axId val="264716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1460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23K+1034-R15rep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23K R15rep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'R15_rep'!$B$111:$B$126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'R15_rep'!$L$111:$L$126</c:f>
              <c:numCache>
                <c:formatCode>0.00</c:formatCode>
                <c:ptCount val="16"/>
                <c:pt idx="0">
                  <c:v>0</c:v>
                </c:pt>
                <c:pt idx="1">
                  <c:v>0.34699825763471637</c:v>
                </c:pt>
                <c:pt idx="2">
                  <c:v>0.82601186603208365</c:v>
                </c:pt>
                <c:pt idx="3">
                  <c:v>1.2543345036978417</c:v>
                </c:pt>
                <c:pt idx="4">
                  <c:v>1.7653140256784718</c:v>
                </c:pt>
                <c:pt idx="5">
                  <c:v>2.2587056809416994</c:v>
                </c:pt>
                <c:pt idx="6">
                  <c:v>2.6989700043360187</c:v>
                </c:pt>
                <c:pt idx="7">
                  <c:v>2.673415899863631</c:v>
                </c:pt>
                <c:pt idx="8">
                  <c:v>2.9827979698923786</c:v>
                </c:pt>
                <c:pt idx="9">
                  <c:v>2.9739345095610732</c:v>
                </c:pt>
                <c:pt idx="10">
                  <c:v>3.0699481456112787</c:v>
                </c:pt>
                <c:pt idx="11">
                  <c:v>2.987162775294828</c:v>
                </c:pt>
                <c:pt idx="12">
                  <c:v>2.9556457238487637</c:v>
                </c:pt>
                <c:pt idx="13">
                  <c:v>2.8581933381044049</c:v>
                </c:pt>
                <c:pt idx="14">
                  <c:v>2.8792573779853088</c:v>
                </c:pt>
                <c:pt idx="15">
                  <c:v>2.9556457238487637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8C-4EAC-845E-B41627C0184E}"/>
            </c:ext>
          </c:extLst>
        </c:ser>
        <c:ser>
          <c:idx val="1"/>
          <c:order val="1"/>
          <c:tx>
            <c:v>LOG CHANGE CTC1034 R15rep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'R15_rep'!$B$111:$B$126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'R15_rep'!$M$111:$M$126</c:f>
              <c:numCache>
                <c:formatCode>0.00</c:formatCode>
                <c:ptCount val="16"/>
                <c:pt idx="0">
                  <c:v>0</c:v>
                </c:pt>
                <c:pt idx="1">
                  <c:v>0.38400423072874501</c:v>
                </c:pt>
                <c:pt idx="2">
                  <c:v>0.68503422639272626</c:v>
                </c:pt>
                <c:pt idx="3">
                  <c:v>1.1014576407587775</c:v>
                </c:pt>
                <c:pt idx="4">
                  <c:v>1.6020599913279625</c:v>
                </c:pt>
                <c:pt idx="5">
                  <c:v>2.1091444694250683</c:v>
                </c:pt>
                <c:pt idx="6">
                  <c:v>2.3853508813640172</c:v>
                </c:pt>
                <c:pt idx="7">
                  <c:v>2.6989700043360187</c:v>
                </c:pt>
                <c:pt idx="8">
                  <c:v>2.6243363860391149</c:v>
                </c:pt>
                <c:pt idx="9">
                  <c:v>2.6943742526468695</c:v>
                </c:pt>
                <c:pt idx="10">
                  <c:v>2.6557448502907386</c:v>
                </c:pt>
                <c:pt idx="11">
                  <c:v>2.6243363860391149</c:v>
                </c:pt>
                <c:pt idx="12">
                  <c:v>2.6020599913279625</c:v>
                </c:pt>
                <c:pt idx="13">
                  <c:v>2.5351132016973494</c:v>
                </c:pt>
                <c:pt idx="14">
                  <c:v>2.5785788954784392</c:v>
                </c:pt>
                <c:pt idx="15">
                  <c:v>2.6020599913279625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8C-4EAC-845E-B41627C01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717168"/>
        <c:axId val="264717560"/>
      </c:scatterChart>
      <c:valAx>
        <c:axId val="264717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717560"/>
        <c:crosses val="autoZero"/>
        <c:crossBetween val="midCat"/>
      </c:valAx>
      <c:valAx>
        <c:axId val="264717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71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'R16'!$B$10:$B$21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'R16'!$H$10:$H$21</c:f>
              <c:numCache>
                <c:formatCode>0.00E+00</c:formatCode>
                <c:ptCount val="12"/>
                <c:pt idx="0" formatCode="0.00">
                  <c:v>5.971275848738105</c:v>
                </c:pt>
                <c:pt idx="4" formatCode="0.00">
                  <c:v>0</c:v>
                </c:pt>
                <c:pt idx="5" formatCode="0.00">
                  <c:v>8.357934847000454</c:v>
                </c:pt>
                <c:pt idx="9" formatCode="0.00">
                  <c:v>8.2695129442179169</c:v>
                </c:pt>
                <c:pt idx="10" formatCode="0.00">
                  <c:v>8.1931245983544621</c:v>
                </c:pt>
                <c:pt idx="11" formatCode="0.00">
                  <c:v>8.1583624920952502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FC-4B45-A56D-4D797D276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'R16'!$B$32:$B$43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'R16'!$H$32:$H$43</c:f>
              <c:numCache>
                <c:formatCode>General</c:formatCode>
                <c:ptCount val="12"/>
                <c:pt idx="0" formatCode="0.00">
                  <c:v>5.4183012913197457</c:v>
                </c:pt>
                <c:pt idx="4" formatCode="0.00">
                  <c:v>7.2174839442139067</c:v>
                </c:pt>
                <c:pt idx="5" formatCode="0.00">
                  <c:v>8.2455126678141504</c:v>
                </c:pt>
                <c:pt idx="9" formatCode="0.00">
                  <c:v>8.1931245983544621</c:v>
                </c:pt>
                <c:pt idx="10" formatCode="0.00">
                  <c:v>8.3053513694466243</c:v>
                </c:pt>
                <c:pt idx="11" formatCode="0.00">
                  <c:v>8.4345689040341991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0B-4C89-8834-D6FD39DB2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'R16'!$B$52:$B$63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'R16'!$H$52:$H$63</c:f>
              <c:numCache>
                <c:formatCode>General</c:formatCode>
                <c:ptCount val="12"/>
                <c:pt idx="0" formatCode="0.00">
                  <c:v>2.9030899869919438</c:v>
                </c:pt>
                <c:pt idx="4" formatCode="0.00">
                  <c:v>4.204119982655925</c:v>
                </c:pt>
                <c:pt idx="5" formatCode="0.00">
                  <c:v>6.1341771075767664</c:v>
                </c:pt>
                <c:pt idx="9" formatCode="0.00">
                  <c:v>7.4842998393467859</c:v>
                </c:pt>
                <c:pt idx="10" formatCode="0.00">
                  <c:v>8.5514499979728757</c:v>
                </c:pt>
                <c:pt idx="11" formatCode="0.00">
                  <c:v>5.3222192947339195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A-4104-A0BF-EB6477624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'R16'!$B$73:$B$84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'R16'!$H$73:$H$84</c:f>
              <c:numCache>
                <c:formatCode>0.00</c:formatCode>
                <c:ptCount val="12"/>
                <c:pt idx="0">
                  <c:v>6.1461280356782382</c:v>
                </c:pt>
                <c:pt idx="1">
                  <c:v>6.3979400086720375</c:v>
                </c:pt>
                <c:pt idx="2">
                  <c:v>6.7032913781186609</c:v>
                </c:pt>
                <c:pt idx="3">
                  <c:v>6.8756399370041681</c:v>
                </c:pt>
                <c:pt idx="4">
                  <c:v>7.9731278535996983</c:v>
                </c:pt>
                <c:pt idx="5">
                  <c:v>8.3617278360175931</c:v>
                </c:pt>
                <c:pt idx="6">
                  <c:v>8.2304489213782741</c:v>
                </c:pt>
                <c:pt idx="7">
                  <c:v>8.2304489213782741</c:v>
                </c:pt>
                <c:pt idx="8">
                  <c:v>8.1702617153949575</c:v>
                </c:pt>
                <c:pt idx="9">
                  <c:v>8.2405492482825995</c:v>
                </c:pt>
                <c:pt idx="10">
                  <c:v>8.1522883443830558</c:v>
                </c:pt>
                <c:pt idx="11">
                  <c:v>7.924279286061882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A-4265-941C-7123E9B705C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'R16'!$B$73:$B$84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'R16'!$I$73:$I$84</c:f>
              <c:numCache>
                <c:formatCode>0.00</c:formatCode>
                <c:ptCount val="12"/>
                <c:pt idx="0">
                  <c:v>3.0791812460476247</c:v>
                </c:pt>
                <c:pt idx="1">
                  <c:v>2.7781512503836434</c:v>
                </c:pt>
                <c:pt idx="2">
                  <c:v>3.1461280356782382</c:v>
                </c:pt>
                <c:pt idx="3">
                  <c:v>3.2041199826559246</c:v>
                </c:pt>
                <c:pt idx="4">
                  <c:v>2.9030899869919438</c:v>
                </c:pt>
                <c:pt idx="5">
                  <c:v>1.954242509439325</c:v>
                </c:pt>
                <c:pt idx="6">
                  <c:v>1.954242509439325</c:v>
                </c:pt>
                <c:pt idx="7">
                  <c:v>1.954242509439325</c:v>
                </c:pt>
                <c:pt idx="8">
                  <c:v>1.954242509439325</c:v>
                </c:pt>
                <c:pt idx="9">
                  <c:v>1.954242509439325</c:v>
                </c:pt>
                <c:pt idx="10">
                  <c:v>1.954242509439325</c:v>
                </c:pt>
                <c:pt idx="11">
                  <c:v>1.954242509439325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A-4265-941C-7123E9B70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'R16'!$B$95:$B$106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'R16'!$H$95:$H$106</c:f>
              <c:numCache>
                <c:formatCode>0.00</c:formatCode>
                <c:ptCount val="12"/>
                <c:pt idx="0">
                  <c:v>5.2695129442179161</c:v>
                </c:pt>
                <c:pt idx="1">
                  <c:v>5.4471580313422194</c:v>
                </c:pt>
                <c:pt idx="2">
                  <c:v>6.1903316981702918</c:v>
                </c:pt>
                <c:pt idx="3">
                  <c:v>6.5740312677277188</c:v>
                </c:pt>
                <c:pt idx="4">
                  <c:v>7.1613680261960493</c:v>
                </c:pt>
                <c:pt idx="5">
                  <c:v>8.4623979978989556</c:v>
                </c:pt>
                <c:pt idx="6">
                  <c:v>0</c:v>
                </c:pt>
                <c:pt idx="7">
                  <c:v>8.3010299956639813</c:v>
                </c:pt>
                <c:pt idx="8">
                  <c:v>8.2922560713564764</c:v>
                </c:pt>
                <c:pt idx="9">
                  <c:v>8.3909351071033793</c:v>
                </c:pt>
                <c:pt idx="10">
                  <c:v>8.6551384348113825</c:v>
                </c:pt>
                <c:pt idx="11">
                  <c:v>8.3541084391474012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A-4D14-8E3C-E84613359F1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'R16'!$B$95:$B$106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'R16'!$I$95:$I$106</c:f>
              <c:numCache>
                <c:formatCode>0.00</c:formatCode>
                <c:ptCount val="12"/>
                <c:pt idx="0">
                  <c:v>3.255272505103306</c:v>
                </c:pt>
                <c:pt idx="1">
                  <c:v>3.6020599913279625</c:v>
                </c:pt>
                <c:pt idx="2">
                  <c:v>3.1461280356782382</c:v>
                </c:pt>
                <c:pt idx="3">
                  <c:v>3.5797835966168101</c:v>
                </c:pt>
                <c:pt idx="4">
                  <c:v>4.2695129442179161</c:v>
                </c:pt>
                <c:pt idx="5">
                  <c:v>5.1806992012960347</c:v>
                </c:pt>
                <c:pt idx="6">
                  <c:v>5.2772270809913566</c:v>
                </c:pt>
                <c:pt idx="7">
                  <c:v>5.2741578492636796</c:v>
                </c:pt>
                <c:pt idx="8">
                  <c:v>5.2922560713564764</c:v>
                </c:pt>
                <c:pt idx="9">
                  <c:v>5.3053513694466234</c:v>
                </c:pt>
                <c:pt idx="10">
                  <c:v>5.2710667722865381</c:v>
                </c:pt>
                <c:pt idx="11">
                  <c:v>5.2741578492636796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A-4D14-8E3C-E84613359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'R16_rep'!$H$10:$H$25</c:f>
              <c:numCache>
                <c:formatCode>0.00</c:formatCode>
                <c:ptCount val="16"/>
                <c:pt idx="0">
                  <c:v>4.8692317197309762</c:v>
                </c:pt>
                <c:pt idx="1">
                  <c:v>5.394451680826216</c:v>
                </c:pt>
                <c:pt idx="2">
                  <c:v>5.6812412373755876</c:v>
                </c:pt>
                <c:pt idx="3">
                  <c:v>6.3010299956639813</c:v>
                </c:pt>
                <c:pt idx="4">
                  <c:v>6.8808135922807914</c:v>
                </c:pt>
                <c:pt idx="5">
                  <c:v>7.7403626894942441</c:v>
                </c:pt>
                <c:pt idx="6">
                  <c:v>8.3222192947339195</c:v>
                </c:pt>
                <c:pt idx="7">
                  <c:v>8.1398790864012369</c:v>
                </c:pt>
                <c:pt idx="8">
                  <c:v>8.3010299956639813</c:v>
                </c:pt>
                <c:pt idx="9">
                  <c:v>8.3654879848908994</c:v>
                </c:pt>
                <c:pt idx="10">
                  <c:v>8.3944516808262168</c:v>
                </c:pt>
                <c:pt idx="11">
                  <c:v>8.2504200023088945</c:v>
                </c:pt>
                <c:pt idx="12">
                  <c:v>8.2304489213782741</c:v>
                </c:pt>
                <c:pt idx="13">
                  <c:v>8.3502480183341632</c:v>
                </c:pt>
                <c:pt idx="14">
                  <c:v>8.2833012287035501</c:v>
                </c:pt>
                <c:pt idx="15">
                  <c:v>8.1931245983544621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C1-4077-A412-D31F84E9B41B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('R16_rep'!$M$4,'R16_rep'!$B$15:$B$17)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('R16_rep'!$Q$4,'R16_rep'!$H$15:$H$17)</c:f>
              <c:numCache>
                <c:formatCode>0.00</c:formatCode>
                <c:ptCount val="4"/>
                <c:pt idx="0">
                  <c:v>5.4771212547196626</c:v>
                </c:pt>
                <c:pt idx="1">
                  <c:v>7.7403626894942441</c:v>
                </c:pt>
                <c:pt idx="2">
                  <c:v>8.3222192947339195</c:v>
                </c:pt>
                <c:pt idx="3">
                  <c:v>8.1398790864012369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C1-4077-A412-D31F84E9B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718344"/>
        <c:axId val="264718736"/>
      </c:scatterChart>
      <c:valAx>
        <c:axId val="264718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718736"/>
        <c:crosses val="autoZero"/>
        <c:crossBetween val="midCat"/>
      </c:valAx>
      <c:valAx>
        <c:axId val="264718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718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'R16_rep'!$B$36:$B$51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'R16_rep'!$H$36:$H$51</c:f>
              <c:numCache>
                <c:formatCode>0.00</c:formatCode>
                <c:ptCount val="16"/>
                <c:pt idx="0">
                  <c:v>5.3502480183341632</c:v>
                </c:pt>
                <c:pt idx="1">
                  <c:v>5.6414741105040997</c:v>
                </c:pt>
                <c:pt idx="2">
                  <c:v>6.0492180226701819</c:v>
                </c:pt>
                <c:pt idx="3">
                  <c:v>6.4742162640762553</c:v>
                </c:pt>
                <c:pt idx="4">
                  <c:v>6.7323937598229682</c:v>
                </c:pt>
                <c:pt idx="5">
                  <c:v>7.6570558528571038</c:v>
                </c:pt>
                <c:pt idx="6">
                  <c:v>5.4436974992327123</c:v>
                </c:pt>
                <c:pt idx="7">
                  <c:v>8.0644579892269181</c:v>
                </c:pt>
                <c:pt idx="8">
                  <c:v>8.1003705451175634</c:v>
                </c:pt>
                <c:pt idx="9">
                  <c:v>8.2878017299302265</c:v>
                </c:pt>
                <c:pt idx="10">
                  <c:v>8.2695129442179169</c:v>
                </c:pt>
                <c:pt idx="11">
                  <c:v>8.330413773349191</c:v>
                </c:pt>
                <c:pt idx="12">
                  <c:v>8.3263358609287508</c:v>
                </c:pt>
                <c:pt idx="13">
                  <c:v>8.4048337166199385</c:v>
                </c:pt>
                <c:pt idx="14">
                  <c:v>8.3096301674258992</c:v>
                </c:pt>
                <c:pt idx="15">
                  <c:v>8.1760912590556813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9-4F87-9DD9-BCDB4D4C53DD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('R16_rep'!$M$4,'R16_rep'!$B$41:$B$43)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('R16_rep'!$Q$5,'R16_rep'!$H$41:$H$43)</c:f>
              <c:numCache>
                <c:formatCode>0.00</c:formatCode>
                <c:ptCount val="4"/>
                <c:pt idx="0">
                  <c:v>5.4471580313422194</c:v>
                </c:pt>
                <c:pt idx="1">
                  <c:v>7.6570558528571038</c:v>
                </c:pt>
                <c:pt idx="2">
                  <c:v>5.4436974992327123</c:v>
                </c:pt>
                <c:pt idx="3">
                  <c:v>8.0644579892269181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F9-4F87-9DD9-BCDB4D4C5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719520"/>
        <c:axId val="264719912"/>
      </c:scatterChart>
      <c:valAx>
        <c:axId val="264719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719912"/>
        <c:crosses val="autoZero"/>
        <c:crossBetween val="midCat"/>
      </c:valAx>
      <c:valAx>
        <c:axId val="264719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71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'R16_rep'!$B$60:$B$75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'R16_rep'!$I$60:$I$75</c:f>
              <c:numCache>
                <c:formatCode>General</c:formatCode>
                <c:ptCount val="16"/>
                <c:pt idx="0">
                  <c:v>3.2041199826559246</c:v>
                </c:pt>
                <c:pt idx="1">
                  <c:v>3.4913616938342726</c:v>
                </c:pt>
                <c:pt idx="2">
                  <c:v>3.7781512503836434</c:v>
                </c:pt>
                <c:pt idx="3">
                  <c:v>4.2966651902615309</c:v>
                </c:pt>
                <c:pt idx="4">
                  <c:v>4.7160033436347994</c:v>
                </c:pt>
                <c:pt idx="5">
                  <c:v>5.2787536009528289</c:v>
                </c:pt>
                <c:pt idx="6">
                  <c:v>5.7242758696007892</c:v>
                </c:pt>
                <c:pt idx="7">
                  <c:v>6.4771212547196626</c:v>
                </c:pt>
                <c:pt idx="8">
                  <c:v>6.3424226808222066</c:v>
                </c:pt>
                <c:pt idx="9">
                  <c:v>7.0334237554869494</c:v>
                </c:pt>
                <c:pt idx="10">
                  <c:v>7.5314789170422554</c:v>
                </c:pt>
                <c:pt idx="11">
                  <c:v>7.8061799739838875</c:v>
                </c:pt>
                <c:pt idx="12">
                  <c:v>8.0791812460476251</c:v>
                </c:pt>
                <c:pt idx="13">
                  <c:v>8.7754890858477097</c:v>
                </c:pt>
                <c:pt idx="14">
                  <c:v>8.8756399370041681</c:v>
                </c:pt>
                <c:pt idx="15">
                  <c:v>8.8933918348789298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5E-4D38-B479-891299236E40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('R16_rep'!$M$4,'R16_rep'!$B$65:$B$67)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('R16_rep'!$Q$6,'R16_rep'!$I$65:$I$67)</c:f>
              <c:numCache>
                <c:formatCode>General</c:formatCode>
                <c:ptCount val="4"/>
                <c:pt idx="0" formatCode="0.00">
                  <c:v>3.1461280356782382</c:v>
                </c:pt>
                <c:pt idx="1">
                  <c:v>5.2787536009528289</c:v>
                </c:pt>
                <c:pt idx="2">
                  <c:v>5.7242758696007892</c:v>
                </c:pt>
                <c:pt idx="3">
                  <c:v>6.4771212547196626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5E-4D38-B479-891299236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802792"/>
        <c:axId val="264803184"/>
      </c:scatterChart>
      <c:valAx>
        <c:axId val="264802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803184"/>
        <c:crosses val="autoZero"/>
        <c:crossBetween val="midCat"/>
      </c:valAx>
      <c:valAx>
        <c:axId val="264803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802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'R16_rep'!$H$85:$H$100</c:f>
              <c:numCache>
                <c:formatCode>0.00</c:formatCode>
                <c:ptCount val="16"/>
                <c:pt idx="0">
                  <c:v>5.1271047983648073</c:v>
                </c:pt>
                <c:pt idx="1">
                  <c:v>5.4742162640762553</c:v>
                </c:pt>
                <c:pt idx="2">
                  <c:v>5.7781512503836439</c:v>
                </c:pt>
                <c:pt idx="3">
                  <c:v>6.3344537511509307</c:v>
                </c:pt>
                <c:pt idx="4">
                  <c:v>6.8061799739838875</c:v>
                </c:pt>
                <c:pt idx="5">
                  <c:v>7.8247764624755458</c:v>
                </c:pt>
                <c:pt idx="6">
                  <c:v>8.3891660843645326</c:v>
                </c:pt>
                <c:pt idx="7">
                  <c:v>8</c:v>
                </c:pt>
                <c:pt idx="8">
                  <c:v>8.204119982655925</c:v>
                </c:pt>
                <c:pt idx="9">
                  <c:v>8.3138672203691542</c:v>
                </c:pt>
                <c:pt idx="10">
                  <c:v>8.2922560713564764</c:v>
                </c:pt>
                <c:pt idx="11">
                  <c:v>8.3802112417116064</c:v>
                </c:pt>
                <c:pt idx="12">
                  <c:v>8.2878017299302265</c:v>
                </c:pt>
                <c:pt idx="13">
                  <c:v>8.2787536009528289</c:v>
                </c:pt>
                <c:pt idx="14">
                  <c:v>8.2504200023088945</c:v>
                </c:pt>
                <c:pt idx="15">
                  <c:v>8.1931245983544621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1C-4C35-A4F5-BAA4E8B08A9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'R16_rep'!$B$85:$B$100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'R16_rep'!$I$85:$I$100</c:f>
              <c:numCache>
                <c:formatCode>0.00</c:formatCode>
                <c:ptCount val="16"/>
                <c:pt idx="0">
                  <c:v>3</c:v>
                </c:pt>
                <c:pt idx="1">
                  <c:v>3.5440680443502757</c:v>
                </c:pt>
                <c:pt idx="2">
                  <c:v>3.8450980400142569</c:v>
                </c:pt>
                <c:pt idx="3">
                  <c:v>4.1271047983648073</c:v>
                </c:pt>
                <c:pt idx="4">
                  <c:v>4.6020599913279625</c:v>
                </c:pt>
                <c:pt idx="5">
                  <c:v>4.8195439355418683</c:v>
                </c:pt>
                <c:pt idx="6">
                  <c:v>4.1818435879447726</c:v>
                </c:pt>
                <c:pt idx="7">
                  <c:v>3.255272505103306</c:v>
                </c:pt>
                <c:pt idx="8">
                  <c:v>3.5051499783199058</c:v>
                </c:pt>
                <c:pt idx="9">
                  <c:v>3.1461280356782382</c:v>
                </c:pt>
                <c:pt idx="10">
                  <c:v>2.6848453616444123</c:v>
                </c:pt>
                <c:pt idx="11">
                  <c:v>2.576341350205793</c:v>
                </c:pt>
                <c:pt idx="12">
                  <c:v>2.1038037209559568</c:v>
                </c:pt>
                <c:pt idx="13">
                  <c:v>0</c:v>
                </c:pt>
                <c:pt idx="14">
                  <c:v>-0.74472749489669399</c:v>
                </c:pt>
                <c:pt idx="15">
                  <c:v>-0.74472749489669399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1C-4C35-A4F5-BAA4E8B08A91}"/>
            </c:ext>
          </c:extLst>
        </c:ser>
        <c:ser>
          <c:idx val="2"/>
          <c:order val="2"/>
          <c:tx>
            <c:v>dades gap 494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('R16_rep'!$M$4,'R16_rep'!$B$90:$B$92,'R16_rep'!$B$98)</c:f>
              <c:numCache>
                <c:formatCode>0.00</c:formatCode>
                <c:ptCount val="5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  <c:pt idx="4">
                  <c:v>42</c:v>
                </c:pt>
              </c:numCache>
            </c:numRef>
          </c:xVal>
          <c:yVal>
            <c:numRef>
              <c:f>('R16_rep'!$Q$4,'R16_rep'!$H$90:$H$92)</c:f>
              <c:numCache>
                <c:formatCode>0.00</c:formatCode>
                <c:ptCount val="4"/>
                <c:pt idx="0">
                  <c:v>5.4771212547196626</c:v>
                </c:pt>
                <c:pt idx="1">
                  <c:v>7.8247764624755458</c:v>
                </c:pt>
                <c:pt idx="2">
                  <c:v>8.3891660843645326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1C-4C35-A4F5-BAA4E8B08A91}"/>
            </c:ext>
          </c:extLst>
        </c:ser>
        <c:ser>
          <c:idx val="3"/>
          <c:order val="3"/>
          <c:tx>
            <c:v>dades gap 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('R16_rep'!$M$4,'R16_rep'!$B$90:$B$92)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('R16_rep'!$Q$6,'R16_rep'!$I$90:$I$92)</c:f>
              <c:numCache>
                <c:formatCode>0.00</c:formatCode>
                <c:ptCount val="4"/>
                <c:pt idx="0">
                  <c:v>3.1461280356782382</c:v>
                </c:pt>
                <c:pt idx="1">
                  <c:v>4.8195439355418683</c:v>
                </c:pt>
                <c:pt idx="2">
                  <c:v>4.1818435879447726</c:v>
                </c:pt>
                <c:pt idx="3">
                  <c:v>3.255272505103306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1C-4C35-A4F5-BAA4E8B08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803968"/>
        <c:axId val="264804360"/>
      </c:scatterChart>
      <c:valAx>
        <c:axId val="26480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804360"/>
        <c:crosses val="autoZero"/>
        <c:crossBetween val="midCat"/>
      </c:valAx>
      <c:valAx>
        <c:axId val="264804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80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'R16_rep'!$H$111:$H$126</c:f>
              <c:numCache>
                <c:formatCode>0.00</c:formatCode>
                <c:ptCount val="16"/>
                <c:pt idx="0">
                  <c:v>5.2878017299302265</c:v>
                </c:pt>
                <c:pt idx="1">
                  <c:v>5.6434526764861879</c:v>
                </c:pt>
                <c:pt idx="2">
                  <c:v>6.0863598306747484</c:v>
                </c:pt>
                <c:pt idx="3">
                  <c:v>6.5465426634781307</c:v>
                </c:pt>
                <c:pt idx="4">
                  <c:v>7</c:v>
                </c:pt>
                <c:pt idx="5">
                  <c:v>7.77232170672292</c:v>
                </c:pt>
                <c:pt idx="6">
                  <c:v>8.0374264979406238</c:v>
                </c:pt>
                <c:pt idx="7">
                  <c:v>8.0492180226701819</c:v>
                </c:pt>
                <c:pt idx="8">
                  <c:v>8.1702617153949575</c:v>
                </c:pt>
                <c:pt idx="9">
                  <c:v>8.2833012287035501</c:v>
                </c:pt>
                <c:pt idx="10">
                  <c:v>8.2922560713564764</c:v>
                </c:pt>
                <c:pt idx="11">
                  <c:v>8.3424226808222066</c:v>
                </c:pt>
                <c:pt idx="12">
                  <c:v>8.3802112417116064</c:v>
                </c:pt>
                <c:pt idx="13">
                  <c:v>0</c:v>
                </c:pt>
                <c:pt idx="14">
                  <c:v>8.2355284469075496</c:v>
                </c:pt>
                <c:pt idx="15">
                  <c:v>8.2455126678141504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1-4C37-91F1-3B573031A82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'R16_rep'!$B$111:$B$126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'R16_rep'!$I$111:$I$126</c:f>
              <c:numCache>
                <c:formatCode>0.00</c:formatCode>
                <c:ptCount val="16"/>
                <c:pt idx="0">
                  <c:v>3.3979400086720375</c:v>
                </c:pt>
                <c:pt idx="1">
                  <c:v>3.5051499783199058</c:v>
                </c:pt>
                <c:pt idx="2">
                  <c:v>3.6232492903979003</c:v>
                </c:pt>
                <c:pt idx="3">
                  <c:v>4.2095150145426308</c:v>
                </c:pt>
                <c:pt idx="4">
                  <c:v>4.6020599913279625</c:v>
                </c:pt>
                <c:pt idx="5">
                  <c:v>5.3502480183341632</c:v>
                </c:pt>
                <c:pt idx="6">
                  <c:v>6.1461280356782382</c:v>
                </c:pt>
                <c:pt idx="7">
                  <c:v>5.6812412373755876</c:v>
                </c:pt>
                <c:pt idx="8">
                  <c:v>5.8061799739838875</c:v>
                </c:pt>
                <c:pt idx="9">
                  <c:v>5.8692317197309762</c:v>
                </c:pt>
                <c:pt idx="10">
                  <c:v>5.9030899869919438</c:v>
                </c:pt>
                <c:pt idx="11">
                  <c:v>5.924279286061882</c:v>
                </c:pt>
                <c:pt idx="12">
                  <c:v>6</c:v>
                </c:pt>
                <c:pt idx="13">
                  <c:v>0</c:v>
                </c:pt>
                <c:pt idx="14">
                  <c:v>6.0253058652647704</c:v>
                </c:pt>
                <c:pt idx="15">
                  <c:v>5.8061799739838875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1-4C37-91F1-3B573031A821}"/>
            </c:ext>
          </c:extLst>
        </c:ser>
        <c:ser>
          <c:idx val="2"/>
          <c:order val="2"/>
          <c:tx>
            <c:v>dades gap 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('R16_rep'!$M$4,'R16_rep'!$B$116:$B$118)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('R16_rep'!$Q$5,'R16_rep'!$H$116:$H$118)</c:f>
              <c:numCache>
                <c:formatCode>0.00</c:formatCode>
                <c:ptCount val="4"/>
                <c:pt idx="0">
                  <c:v>5.4471580313422194</c:v>
                </c:pt>
                <c:pt idx="1">
                  <c:v>7.77232170672292</c:v>
                </c:pt>
                <c:pt idx="2">
                  <c:v>8.0374264979406238</c:v>
                </c:pt>
                <c:pt idx="3">
                  <c:v>8.0492180226701819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61-4C37-91F1-3B573031A821}"/>
            </c:ext>
          </c:extLst>
        </c:ser>
        <c:ser>
          <c:idx val="3"/>
          <c:order val="3"/>
          <c:tx>
            <c:v>dades gap 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('R16_rep'!$M$4,'R16_rep'!$B$116:$B$118)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('R16_rep'!$Q$6,'R16_rep'!$I$116:$I$118)</c:f>
              <c:numCache>
                <c:formatCode>0.00</c:formatCode>
                <c:ptCount val="4"/>
                <c:pt idx="0">
                  <c:v>3.1461280356782382</c:v>
                </c:pt>
                <c:pt idx="1">
                  <c:v>5.3502480183341632</c:v>
                </c:pt>
                <c:pt idx="2">
                  <c:v>6.1461280356782382</c:v>
                </c:pt>
                <c:pt idx="3">
                  <c:v>5.6812412373755876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1-4C37-91F1-3B573031A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805144"/>
        <c:axId val="264805536"/>
      </c:scatterChart>
      <c:valAx>
        <c:axId val="264805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805536"/>
        <c:crosses val="autoZero"/>
        <c:crossBetween val="midCat"/>
      </c:valAx>
      <c:valAx>
        <c:axId val="264805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4805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'R16_rep'!$F$9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'R16_rep'!$F$10:$F$25</c:f>
              <c:numCache>
                <c:formatCode>General</c:formatCode>
                <c:ptCount val="16"/>
                <c:pt idx="0">
                  <c:v>5.84</c:v>
                </c:pt>
                <c:pt idx="1">
                  <c:v>5.78</c:v>
                </c:pt>
                <c:pt idx="2">
                  <c:v>5.79</c:v>
                </c:pt>
                <c:pt idx="3">
                  <c:v>5.78</c:v>
                </c:pt>
                <c:pt idx="4">
                  <c:v>5.72</c:v>
                </c:pt>
                <c:pt idx="5">
                  <c:v>4.84</c:v>
                </c:pt>
                <c:pt idx="6">
                  <c:v>4.5199999999999996</c:v>
                </c:pt>
                <c:pt idx="7">
                  <c:v>4.2</c:v>
                </c:pt>
                <c:pt idx="8">
                  <c:v>4.3</c:v>
                </c:pt>
                <c:pt idx="9">
                  <c:v>4.1500000000000004</c:v>
                </c:pt>
                <c:pt idx="10">
                  <c:v>4.0199999999999996</c:v>
                </c:pt>
                <c:pt idx="11">
                  <c:v>3.99</c:v>
                </c:pt>
                <c:pt idx="12">
                  <c:v>3.92</c:v>
                </c:pt>
                <c:pt idx="13">
                  <c:v>3.79</c:v>
                </c:pt>
                <c:pt idx="14">
                  <c:v>3.89</c:v>
                </c:pt>
                <c:pt idx="15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17-48EA-8529-A5F7E62D79AD}"/>
            </c:ext>
          </c:extLst>
        </c:ser>
        <c:ser>
          <c:idx val="1"/>
          <c:order val="1"/>
          <c:tx>
            <c:strRef>
              <c:f>'R16_rep'!$J$9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'R16_rep'!$J$10:$J$25</c:f>
              <c:numCache>
                <c:formatCode>General</c:formatCode>
                <c:ptCount val="16"/>
                <c:pt idx="0">
                  <c:v>7.0821868348752662E-2</c:v>
                </c:pt>
                <c:pt idx="1">
                  <c:v>1.4508147873430495E-2</c:v>
                </c:pt>
                <c:pt idx="2">
                  <c:v>-9.4365045045525675E-2</c:v>
                </c:pt>
                <c:pt idx="3">
                  <c:v>-0.10562778914059012</c:v>
                </c:pt>
                <c:pt idx="4">
                  <c:v>-0.10562778914059012</c:v>
                </c:pt>
                <c:pt idx="5">
                  <c:v>0.34863622269367534</c:v>
                </c:pt>
                <c:pt idx="6">
                  <c:v>1.0281551164292293</c:v>
                </c:pt>
                <c:pt idx="7">
                  <c:v>1.722691002291536</c:v>
                </c:pt>
                <c:pt idx="8">
                  <c:v>1.565012584960634</c:v>
                </c:pt>
                <c:pt idx="9">
                  <c:v>2.0455563330167159</c:v>
                </c:pt>
                <c:pt idx="10">
                  <c:v>2.9278046204634305</c:v>
                </c:pt>
                <c:pt idx="11">
                  <c:v>2.9878725889704407</c:v>
                </c:pt>
                <c:pt idx="12">
                  <c:v>3.430873856709642</c:v>
                </c:pt>
                <c:pt idx="13">
                  <c:v>3.7499849394031335</c:v>
                </c:pt>
                <c:pt idx="14">
                  <c:v>4.1179012465085716</c:v>
                </c:pt>
                <c:pt idx="15">
                  <c:v>4.2981051520296027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17-48EA-8529-A5F7E62D79AD}"/>
            </c:ext>
          </c:extLst>
        </c:ser>
        <c:ser>
          <c:idx val="2"/>
          <c:order val="2"/>
          <c:tx>
            <c:strRef>
              <c:f>'R16_rep'!$L$9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'R16_rep'!$L$10:$L$25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0.8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0.8</c:v>
                </c:pt>
                <c:pt idx="14">
                  <c:v>1.6</c:v>
                </c:pt>
                <c:pt idx="1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17-48EA-8529-A5F7E62D7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292872"/>
        <c:axId val="265293264"/>
      </c:scatterChart>
      <c:valAx>
        <c:axId val="265292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93264"/>
        <c:crosses val="autoZero"/>
        <c:crossBetween val="midCat"/>
      </c:valAx>
      <c:valAx>
        <c:axId val="26529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92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'R16_rep'!$F$9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'R16_rep'!$F$85:$F$100</c:f>
              <c:numCache>
                <c:formatCode>General</c:formatCode>
                <c:ptCount val="16"/>
                <c:pt idx="0">
                  <c:v>5.84</c:v>
                </c:pt>
                <c:pt idx="1">
                  <c:v>5.85</c:v>
                </c:pt>
                <c:pt idx="2">
                  <c:v>5.79</c:v>
                </c:pt>
                <c:pt idx="3">
                  <c:v>5.76</c:v>
                </c:pt>
                <c:pt idx="4">
                  <c:v>5.74</c:v>
                </c:pt>
                <c:pt idx="5">
                  <c:v>4.84</c:v>
                </c:pt>
                <c:pt idx="6">
                  <c:v>4.5199999999999996</c:v>
                </c:pt>
                <c:pt idx="7">
                  <c:v>4.21</c:v>
                </c:pt>
                <c:pt idx="8">
                  <c:v>4.26</c:v>
                </c:pt>
                <c:pt idx="9">
                  <c:v>4.12</c:v>
                </c:pt>
                <c:pt idx="10">
                  <c:v>3.96</c:v>
                </c:pt>
                <c:pt idx="11">
                  <c:v>3.94</c:v>
                </c:pt>
                <c:pt idx="12">
                  <c:v>3.92</c:v>
                </c:pt>
                <c:pt idx="13">
                  <c:v>3.8</c:v>
                </c:pt>
                <c:pt idx="14">
                  <c:v>3.81</c:v>
                </c:pt>
                <c:pt idx="15">
                  <c:v>3.78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59-4370-A86C-667D7CEF2B82}"/>
            </c:ext>
          </c:extLst>
        </c:ser>
        <c:ser>
          <c:idx val="1"/>
          <c:order val="1"/>
          <c:tx>
            <c:strRef>
              <c:f>'R16_rep'!$J$9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'R16_rep'!$J$85:$J$100</c:f>
              <c:numCache>
                <c:formatCode>General</c:formatCode>
                <c:ptCount val="16"/>
                <c:pt idx="0">
                  <c:v>-1.92800844117628E-2</c:v>
                </c:pt>
                <c:pt idx="1">
                  <c:v>-1.92800844117628E-2</c:v>
                </c:pt>
                <c:pt idx="2">
                  <c:v>-1.5525836380074652E-2</c:v>
                </c:pt>
                <c:pt idx="3">
                  <c:v>-0.13566177339409527</c:v>
                </c:pt>
                <c:pt idx="4">
                  <c:v>-0.14692451748915972</c:v>
                </c:pt>
                <c:pt idx="5">
                  <c:v>0.42747543135912641</c:v>
                </c:pt>
                <c:pt idx="6">
                  <c:v>0.99812113217572418</c:v>
                </c:pt>
                <c:pt idx="7">
                  <c:v>1.7489707385133531</c:v>
                </c:pt>
                <c:pt idx="8">
                  <c:v>1.7452164904816649</c:v>
                </c:pt>
                <c:pt idx="9">
                  <c:v>1.9554543802562014</c:v>
                </c:pt>
                <c:pt idx="10">
                  <c:v>3.0892372858260204</c:v>
                </c:pt>
                <c:pt idx="11">
                  <c:v>3.1192712700795253</c:v>
                </c:pt>
                <c:pt idx="12">
                  <c:v>3.2131274708717297</c:v>
                </c:pt>
                <c:pt idx="13">
                  <c:v>3.7875274197200151</c:v>
                </c:pt>
                <c:pt idx="14">
                  <c:v>4.1629522228888298</c:v>
                </c:pt>
                <c:pt idx="15">
                  <c:v>4.1366724866670133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59-4370-A86C-667D7CEF2B82}"/>
            </c:ext>
          </c:extLst>
        </c:ser>
        <c:ser>
          <c:idx val="2"/>
          <c:order val="2"/>
          <c:tx>
            <c:strRef>
              <c:f>'R16_rep'!$L$9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'R16_rep'!$L$85:$L$100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3.2</c:v>
                </c:pt>
                <c:pt idx="14">
                  <c:v>3.2</c:v>
                </c:pt>
                <c:pt idx="1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59-4370-A86C-667D7CEF2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294048"/>
        <c:axId val="265294440"/>
      </c:scatterChart>
      <c:valAx>
        <c:axId val="26529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94440"/>
        <c:crosses val="autoZero"/>
        <c:crossBetween val="midCat"/>
      </c:valAx>
      <c:valAx>
        <c:axId val="26529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94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'R16_rep'!$F$9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'R16_rep'!$F$36:$F$51</c:f>
              <c:numCache>
                <c:formatCode>General</c:formatCode>
                <c:ptCount val="16"/>
                <c:pt idx="0">
                  <c:v>5.83</c:v>
                </c:pt>
                <c:pt idx="1">
                  <c:v>5.81</c:v>
                </c:pt>
                <c:pt idx="2">
                  <c:v>5.78</c:v>
                </c:pt>
                <c:pt idx="3">
                  <c:v>5.76</c:v>
                </c:pt>
                <c:pt idx="4">
                  <c:v>5.7</c:v>
                </c:pt>
                <c:pt idx="5">
                  <c:v>5.23</c:v>
                </c:pt>
                <c:pt idx="6">
                  <c:v>4.92</c:v>
                </c:pt>
                <c:pt idx="7">
                  <c:v>4.43</c:v>
                </c:pt>
                <c:pt idx="8">
                  <c:v>4.51</c:v>
                </c:pt>
                <c:pt idx="9">
                  <c:v>4.3099999999999996</c:v>
                </c:pt>
                <c:pt idx="10">
                  <c:v>4.08</c:v>
                </c:pt>
                <c:pt idx="11">
                  <c:v>4</c:v>
                </c:pt>
                <c:pt idx="12">
                  <c:v>3.94</c:v>
                </c:pt>
                <c:pt idx="13">
                  <c:v>3.77</c:v>
                </c:pt>
                <c:pt idx="14">
                  <c:v>3.81</c:v>
                </c:pt>
                <c:pt idx="15">
                  <c:v>3.74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7-4045-B458-0FCF0A0693A8}"/>
            </c:ext>
          </c:extLst>
        </c:ser>
        <c:ser>
          <c:idx val="1"/>
          <c:order val="1"/>
          <c:tx>
            <c:strRef>
              <c:f>'R16_rep'!$J$9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'R16_rep'!$J$36:$J$51</c:f>
              <c:numCache>
                <c:formatCode>General</c:formatCode>
                <c:ptCount val="16"/>
                <c:pt idx="0">
                  <c:v>-1.5525836380074652E-2</c:v>
                </c:pt>
                <c:pt idx="1">
                  <c:v>-1.92800844117628E-2</c:v>
                </c:pt>
                <c:pt idx="2">
                  <c:v>-0.11689053323565454</c:v>
                </c:pt>
                <c:pt idx="3">
                  <c:v>-0.24828921434473961</c:v>
                </c:pt>
                <c:pt idx="4">
                  <c:v>-0.16569575764760042</c:v>
                </c:pt>
                <c:pt idx="5">
                  <c:v>0.16092382110926812</c:v>
                </c:pt>
                <c:pt idx="6">
                  <c:v>0.46877215970769592</c:v>
                </c:pt>
                <c:pt idx="7">
                  <c:v>1.0919773329679279</c:v>
                </c:pt>
                <c:pt idx="8">
                  <c:v>0.93429891563702594</c:v>
                </c:pt>
                <c:pt idx="9">
                  <c:v>1.3998256715663557</c:v>
                </c:pt>
                <c:pt idx="10">
                  <c:v>2.3796844078369617</c:v>
                </c:pt>
                <c:pt idx="11">
                  <c:v>2.781388947227593</c:v>
                </c:pt>
                <c:pt idx="12">
                  <c:v>3.0817287897626442</c:v>
                </c:pt>
                <c:pt idx="13">
                  <c:v>3.8250699000368966</c:v>
                </c:pt>
                <c:pt idx="14">
                  <c:v>4.0428162858748093</c:v>
                </c:pt>
                <c:pt idx="15">
                  <c:v>4.1929862071423347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27-4045-B458-0FCF0A0693A8}"/>
            </c:ext>
          </c:extLst>
        </c:ser>
        <c:ser>
          <c:idx val="2"/>
          <c:order val="2"/>
          <c:tx>
            <c:strRef>
              <c:f>[1]R9_rep!$L$9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[1]R9_rep!$B$10:$B$25</c:f>
              <c:numCache>
                <c:formatCode>General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[1]R9_rep!$L$36:$L$51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27-4045-B458-0FCF0A069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295224"/>
        <c:axId val="265295616"/>
      </c:scatterChart>
      <c:valAx>
        <c:axId val="265295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95616"/>
        <c:crosses val="autoZero"/>
        <c:crossBetween val="midCat"/>
      </c:valAx>
      <c:valAx>
        <c:axId val="2652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95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'R16_rep'!$F$9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'R16_rep'!$F$60:$F$75</c:f>
              <c:numCache>
                <c:formatCode>General</c:formatCode>
                <c:ptCount val="16"/>
                <c:pt idx="0">
                  <c:v>5.84</c:v>
                </c:pt>
                <c:pt idx="1">
                  <c:v>5.82</c:v>
                </c:pt>
                <c:pt idx="2">
                  <c:v>5.8</c:v>
                </c:pt>
                <c:pt idx="3">
                  <c:v>5.81</c:v>
                </c:pt>
                <c:pt idx="4">
                  <c:v>5.81</c:v>
                </c:pt>
                <c:pt idx="5">
                  <c:v>5.83</c:v>
                </c:pt>
                <c:pt idx="6">
                  <c:v>5.84</c:v>
                </c:pt>
                <c:pt idx="7">
                  <c:v>5.83</c:v>
                </c:pt>
                <c:pt idx="8">
                  <c:v>5.76</c:v>
                </c:pt>
                <c:pt idx="9">
                  <c:v>5.75</c:v>
                </c:pt>
                <c:pt idx="10">
                  <c:v>5.71</c:v>
                </c:pt>
                <c:pt idx="11">
                  <c:v>5.63</c:v>
                </c:pt>
                <c:pt idx="12">
                  <c:v>5.49</c:v>
                </c:pt>
                <c:pt idx="13">
                  <c:v>4.79</c:v>
                </c:pt>
                <c:pt idx="14">
                  <c:v>4.67</c:v>
                </c:pt>
                <c:pt idx="15">
                  <c:v>4.45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3-45BE-993F-26CC991D64D5}"/>
            </c:ext>
          </c:extLst>
        </c:ser>
        <c:ser>
          <c:idx val="1"/>
          <c:order val="1"/>
          <c:tx>
            <c:strRef>
              <c:f>'R16_rep'!$J$9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'R16_rep'!$J$60:$J$75</c:f>
              <c:numCache>
                <c:formatCode>General</c:formatCode>
                <c:ptCount val="16"/>
                <c:pt idx="0">
                  <c:v>-4.2630922850102164E-3</c:v>
                </c:pt>
                <c:pt idx="1">
                  <c:v>4.0787884095247515E-2</c:v>
                </c:pt>
                <c:pt idx="2">
                  <c:v>-6.8085308823708668E-2</c:v>
                </c:pt>
                <c:pt idx="3">
                  <c:v>-0.21825523009123446</c:v>
                </c:pt>
                <c:pt idx="4">
                  <c:v>-0.12064478126734268</c:v>
                </c:pt>
                <c:pt idx="5">
                  <c:v>-0.14317026945747158</c:v>
                </c:pt>
                <c:pt idx="6">
                  <c:v>-0.14692451748915972</c:v>
                </c:pt>
                <c:pt idx="7">
                  <c:v>-0.25579771040811589</c:v>
                </c:pt>
                <c:pt idx="8">
                  <c:v>7.4576116380440802E-2</c:v>
                </c:pt>
                <c:pt idx="9">
                  <c:v>-9.0610797013837535E-2</c:v>
                </c:pt>
                <c:pt idx="10">
                  <c:v>-3.4297076538515374E-2</c:v>
                </c:pt>
                <c:pt idx="11">
                  <c:v>-0.13190752536240713</c:v>
                </c:pt>
                <c:pt idx="12">
                  <c:v>-0.13190752536240713</c:v>
                </c:pt>
                <c:pt idx="13">
                  <c:v>0.50631464002457738</c:v>
                </c:pt>
                <c:pt idx="14">
                  <c:v>0.81040873059131713</c:v>
                </c:pt>
                <c:pt idx="15">
                  <c:v>0.8779851951617037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53-45BE-993F-26CC991D64D5}"/>
            </c:ext>
          </c:extLst>
        </c:ser>
        <c:ser>
          <c:idx val="2"/>
          <c:order val="2"/>
          <c:tx>
            <c:strRef>
              <c:f>[1]R15_rep!$L$9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[1]R15_rep!$B$10:$B$25</c:f>
              <c:numCache>
                <c:formatCode>General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[1]R15_rep!$L$36:$L$51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53-45BE-993F-26CC991D6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296400"/>
        <c:axId val="265044072"/>
      </c:scatterChart>
      <c:valAx>
        <c:axId val="26529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044072"/>
        <c:crosses val="autoZero"/>
        <c:crossBetween val="midCat"/>
      </c:valAx>
      <c:valAx>
        <c:axId val="26504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96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'R16_rep'!$F$9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'R16_rep'!$F$111:$F$126</c:f>
              <c:numCache>
                <c:formatCode>General</c:formatCode>
                <c:ptCount val="16"/>
                <c:pt idx="0">
                  <c:v>5.83</c:v>
                </c:pt>
                <c:pt idx="1">
                  <c:v>5.79</c:v>
                </c:pt>
                <c:pt idx="2">
                  <c:v>5.76</c:v>
                </c:pt>
                <c:pt idx="3">
                  <c:v>5.76</c:v>
                </c:pt>
                <c:pt idx="4">
                  <c:v>5.7</c:v>
                </c:pt>
                <c:pt idx="5">
                  <c:v>5.19</c:v>
                </c:pt>
                <c:pt idx="6">
                  <c:v>4.88</c:v>
                </c:pt>
                <c:pt idx="7">
                  <c:v>4.41</c:v>
                </c:pt>
                <c:pt idx="8">
                  <c:v>4.53</c:v>
                </c:pt>
                <c:pt idx="9">
                  <c:v>4.3</c:v>
                </c:pt>
                <c:pt idx="10">
                  <c:v>4.08</c:v>
                </c:pt>
                <c:pt idx="11">
                  <c:v>3.99</c:v>
                </c:pt>
                <c:pt idx="12">
                  <c:v>3.92</c:v>
                </c:pt>
                <c:pt idx="13">
                  <c:v>3.77</c:v>
                </c:pt>
                <c:pt idx="14">
                  <c:v>3.77</c:v>
                </c:pt>
                <c:pt idx="15">
                  <c:v>3.74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E7-4958-BB39-410A87260081}"/>
            </c:ext>
          </c:extLst>
        </c:ser>
        <c:ser>
          <c:idx val="1"/>
          <c:order val="1"/>
          <c:tx>
            <c:strRef>
              <c:f>'R16_rep'!$J$9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'R16_rep'!$J$111:$J$126</c:f>
              <c:numCache>
                <c:formatCode>General</c:formatCode>
                <c:ptCount val="16"/>
                <c:pt idx="0">
                  <c:v>-1.1771588348386512E-2</c:v>
                </c:pt>
                <c:pt idx="1">
                  <c:v>-4.1805572601891668E-2</c:v>
                </c:pt>
                <c:pt idx="2">
                  <c:v>-7.5593804887084962E-2</c:v>
                </c:pt>
                <c:pt idx="3">
                  <c:v>-0.19572974190110559</c:v>
                </c:pt>
                <c:pt idx="4">
                  <c:v>-0.13566177339409527</c:v>
                </c:pt>
                <c:pt idx="5">
                  <c:v>0.19846630142614954</c:v>
                </c:pt>
                <c:pt idx="6">
                  <c:v>0.4988061439612011</c:v>
                </c:pt>
                <c:pt idx="7">
                  <c:v>1.1182570691897449</c:v>
                </c:pt>
                <c:pt idx="8">
                  <c:v>1.1370283093481857</c:v>
                </c:pt>
                <c:pt idx="9">
                  <c:v>1.4298596558198609</c:v>
                </c:pt>
                <c:pt idx="10">
                  <c:v>2.6912869944670774</c:v>
                </c:pt>
                <c:pt idx="11">
                  <c:v>2.9465758606218717</c:v>
                </c:pt>
                <c:pt idx="12">
                  <c:v>3.1530595023647194</c:v>
                </c:pt>
                <c:pt idx="13">
                  <c:v>3.7950359157833913</c:v>
                </c:pt>
                <c:pt idx="14">
                  <c:v>4.0578332780015618</c:v>
                </c:pt>
                <c:pt idx="15">
                  <c:v>4.3656816165999892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E7-4958-BB39-410A87260081}"/>
            </c:ext>
          </c:extLst>
        </c:ser>
        <c:ser>
          <c:idx val="2"/>
          <c:order val="2"/>
          <c:tx>
            <c:strRef>
              <c:f>[1]R15_rep!$L$9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[1]R15_rep!$B$10:$B$25</c:f>
              <c:numCache>
                <c:formatCode>General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[1]R15_rep!$L$36:$L$51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E7-4958-BB39-410A87260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044856"/>
        <c:axId val="265045248"/>
      </c:scatterChart>
      <c:valAx>
        <c:axId val="2650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045248"/>
        <c:crosses val="autoZero"/>
        <c:crossBetween val="midCat"/>
      </c:valAx>
      <c:valAx>
        <c:axId val="26504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0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CTC494-R16rep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R16rep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'R16_rep'!$N$10:$N$25</c:f>
              <c:numCache>
                <c:formatCode>0.00</c:formatCode>
                <c:ptCount val="16"/>
                <c:pt idx="0">
                  <c:v>0</c:v>
                </c:pt>
                <c:pt idx="1">
                  <c:v>0.52521996109523972</c:v>
                </c:pt>
                <c:pt idx="2">
                  <c:v>0.81200951764461138</c:v>
                </c:pt>
                <c:pt idx="3">
                  <c:v>1.431798275933005</c:v>
                </c:pt>
                <c:pt idx="4">
                  <c:v>2.0115818725498151</c:v>
                </c:pt>
                <c:pt idx="5">
                  <c:v>2.2632414347745815</c:v>
                </c:pt>
                <c:pt idx="6">
                  <c:v>2.8450980400142569</c:v>
                </c:pt>
                <c:pt idx="7">
                  <c:v>2.6627578316815743</c:v>
                </c:pt>
                <c:pt idx="8">
                  <c:v>3.431798275933005</c:v>
                </c:pt>
                <c:pt idx="9">
                  <c:v>3.4962562651599232</c:v>
                </c:pt>
                <c:pt idx="10">
                  <c:v>3.5252199610952406</c:v>
                </c:pt>
                <c:pt idx="11">
                  <c:v>3.3811882825779183</c:v>
                </c:pt>
                <c:pt idx="12">
                  <c:v>3.3612172016472979</c:v>
                </c:pt>
                <c:pt idx="13">
                  <c:v>2.8731267636145006</c:v>
                </c:pt>
                <c:pt idx="14">
                  <c:v>3.4140695089725739</c:v>
                </c:pt>
                <c:pt idx="15">
                  <c:v>3.3238928786234858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A5-4F0D-88CF-F2D59F377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046032"/>
        <c:axId val="265046424"/>
      </c:scatterChart>
      <c:valAx>
        <c:axId val="26504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046424"/>
        <c:crosses val="autoZero"/>
        <c:crossBetween val="midCat"/>
      </c:valAx>
      <c:valAx>
        <c:axId val="265046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04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23K-R16rep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R16rep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'R16_rep'!$B$36:$B$51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'R16_rep'!$M$36:$M$51</c:f>
              <c:numCache>
                <c:formatCode>0.00</c:formatCode>
                <c:ptCount val="16"/>
                <c:pt idx="0">
                  <c:v>0</c:v>
                </c:pt>
                <c:pt idx="1">
                  <c:v>0.29122609216993656</c:v>
                </c:pt>
                <c:pt idx="2">
                  <c:v>0.69897000433601875</c:v>
                </c:pt>
                <c:pt idx="3">
                  <c:v>1.1239682457420921</c:v>
                </c:pt>
                <c:pt idx="4">
                  <c:v>1.382145741488805</c:v>
                </c:pt>
                <c:pt idx="5">
                  <c:v>2.2098978215148843</c:v>
                </c:pt>
                <c:pt idx="6">
                  <c:v>-3.4605321095071417E-3</c:v>
                </c:pt>
                <c:pt idx="7">
                  <c:v>2.6172999578846987</c:v>
                </c:pt>
                <c:pt idx="8">
                  <c:v>2.7501225267834002</c:v>
                </c:pt>
                <c:pt idx="9">
                  <c:v>2.9375537115960633</c:v>
                </c:pt>
                <c:pt idx="10">
                  <c:v>2.9192649258837537</c:v>
                </c:pt>
                <c:pt idx="11">
                  <c:v>2.9801657550150278</c:v>
                </c:pt>
                <c:pt idx="12">
                  <c:v>2.9760878425945876</c:v>
                </c:pt>
                <c:pt idx="13">
                  <c:v>2.9576756852777191</c:v>
                </c:pt>
                <c:pt idx="14">
                  <c:v>2.959382149091736</c:v>
                </c:pt>
                <c:pt idx="15">
                  <c:v>2.8258432407215182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3-4958-A1DF-D35C61FAB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047208"/>
        <c:axId val="265047600"/>
      </c:scatterChart>
      <c:valAx>
        <c:axId val="265047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047600"/>
        <c:crosses val="autoZero"/>
        <c:crossBetween val="midCat"/>
      </c:valAx>
      <c:valAx>
        <c:axId val="265047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047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CTC1034-R16rep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CTC1034 R16rep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'R16_rep'!$B$60:$B$75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'R16_rep'!$L$60:$L$75</c:f>
              <c:numCache>
                <c:formatCode>0.00</c:formatCode>
                <c:ptCount val="16"/>
                <c:pt idx="0">
                  <c:v>0</c:v>
                </c:pt>
                <c:pt idx="1">
                  <c:v>0.28724171117834807</c:v>
                </c:pt>
                <c:pt idx="2">
                  <c:v>0.57403126772771884</c:v>
                </c:pt>
                <c:pt idx="3">
                  <c:v>1.0925452076056064</c:v>
                </c:pt>
                <c:pt idx="4">
                  <c:v>1.5118833609788749</c:v>
                </c:pt>
                <c:pt idx="5">
                  <c:v>2.1326255652745907</c:v>
                </c:pt>
                <c:pt idx="6">
                  <c:v>2.578147833922551</c:v>
                </c:pt>
                <c:pt idx="7">
                  <c:v>3.3309932190414244</c:v>
                </c:pt>
                <c:pt idx="8">
                  <c:v>3.138302698166282</c:v>
                </c:pt>
                <c:pt idx="9">
                  <c:v>3.8293037728310249</c:v>
                </c:pt>
                <c:pt idx="10">
                  <c:v>4.3273589343863303</c:v>
                </c:pt>
                <c:pt idx="11">
                  <c:v>4.6020599913279625</c:v>
                </c:pt>
                <c:pt idx="12">
                  <c:v>4.8750612633917001</c:v>
                </c:pt>
                <c:pt idx="13">
                  <c:v>5.6293610501694715</c:v>
                </c:pt>
                <c:pt idx="14">
                  <c:v>5.6715199543482431</c:v>
                </c:pt>
                <c:pt idx="15">
                  <c:v>5.6892718522230048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6-4BEE-95BC-4FB49D414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260504"/>
        <c:axId val="265260896"/>
      </c:scatterChart>
      <c:valAx>
        <c:axId val="265260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60896"/>
        <c:crosses val="autoZero"/>
        <c:crossBetween val="midCat"/>
      </c:valAx>
      <c:valAx>
        <c:axId val="265260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60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494-1034-R16rep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R16rep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'R16_rep'!$N$85:$N$100</c:f>
              <c:numCache>
                <c:formatCode>0.00</c:formatCode>
                <c:ptCount val="16"/>
                <c:pt idx="0">
                  <c:v>0</c:v>
                </c:pt>
                <c:pt idx="1">
                  <c:v>0.34711146571144802</c:v>
                </c:pt>
                <c:pt idx="2">
                  <c:v>0.6510464520188366</c:v>
                </c:pt>
                <c:pt idx="3">
                  <c:v>1.2073489527861234</c:v>
                </c:pt>
                <c:pt idx="4">
                  <c:v>1.6790751756190803</c:v>
                </c:pt>
                <c:pt idx="5">
                  <c:v>2.3476552077558832</c:v>
                </c:pt>
                <c:pt idx="6">
                  <c:v>2.91204482964487</c:v>
                </c:pt>
                <c:pt idx="7">
                  <c:v>2.5228787452803374</c:v>
                </c:pt>
                <c:pt idx="8">
                  <c:v>3.0770151842911178</c:v>
                </c:pt>
                <c:pt idx="9">
                  <c:v>3.1867624220043469</c:v>
                </c:pt>
                <c:pt idx="10">
                  <c:v>3.1651512729916691</c:v>
                </c:pt>
                <c:pt idx="11">
                  <c:v>3.2531064433467991</c:v>
                </c:pt>
                <c:pt idx="12">
                  <c:v>3.1606969315654192</c:v>
                </c:pt>
                <c:pt idx="13">
                  <c:v>2.8016323462331663</c:v>
                </c:pt>
                <c:pt idx="14">
                  <c:v>3.1233152039440872</c:v>
                </c:pt>
                <c:pt idx="15">
                  <c:v>3.0660197999896548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3-40DD-8FE0-D54A5D6ED2A1}"/>
            </c:ext>
          </c:extLst>
        </c:ser>
        <c:ser>
          <c:idx val="1"/>
          <c:order val="1"/>
          <c:tx>
            <c:v>LOG CHANGE CTC1034 R16rep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'R16_rep'!$B$85:$B$100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'R16_rep'!$O$85:$O$100</c:f>
              <c:numCache>
                <c:formatCode>0.00</c:formatCode>
                <c:ptCount val="16"/>
                <c:pt idx="0">
                  <c:v>0</c:v>
                </c:pt>
                <c:pt idx="1">
                  <c:v>0.54406804435027567</c:v>
                </c:pt>
                <c:pt idx="2">
                  <c:v>0.84509804001425692</c:v>
                </c:pt>
                <c:pt idx="3">
                  <c:v>1.1271047983648073</c:v>
                </c:pt>
                <c:pt idx="4">
                  <c:v>1.6020599913279625</c:v>
                </c:pt>
                <c:pt idx="5">
                  <c:v>1.6734158998636302</c:v>
                </c:pt>
                <c:pt idx="6">
                  <c:v>1.0357155522665344</c:v>
                </c:pt>
                <c:pt idx="7">
                  <c:v>0.10914446942506784</c:v>
                </c:pt>
                <c:pt idx="8">
                  <c:v>0.50514997831990582</c:v>
                </c:pt>
                <c:pt idx="9">
                  <c:v>0.14612803567823818</c:v>
                </c:pt>
                <c:pt idx="10">
                  <c:v>-0.31515463835558766</c:v>
                </c:pt>
                <c:pt idx="11">
                  <c:v>-0.42365864979420698</c:v>
                </c:pt>
                <c:pt idx="12">
                  <c:v>-0.8961962790440432</c:v>
                </c:pt>
                <c:pt idx="13">
                  <c:v>0</c:v>
                </c:pt>
                <c:pt idx="14">
                  <c:v>-3.744727494896694</c:v>
                </c:pt>
                <c:pt idx="15">
                  <c:v>-3.744727494896694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23-40DD-8FE0-D54A5D6ED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261680"/>
        <c:axId val="265262072"/>
      </c:scatterChart>
      <c:valAx>
        <c:axId val="265261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62072"/>
        <c:crosses val="autoZero"/>
        <c:crossBetween val="midCat"/>
      </c:valAx>
      <c:valAx>
        <c:axId val="265262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6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23K-1034-R16rep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23K R16rep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'R16_rep'!$B$111:$B$126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'R16_rep'!$L$111:$L$126</c:f>
              <c:numCache>
                <c:formatCode>0.00</c:formatCode>
                <c:ptCount val="16"/>
                <c:pt idx="0">
                  <c:v>0</c:v>
                </c:pt>
                <c:pt idx="1">
                  <c:v>0.35565094655596141</c:v>
                </c:pt>
                <c:pt idx="2">
                  <c:v>0.79855810074452194</c:v>
                </c:pt>
                <c:pt idx="3">
                  <c:v>1.2587409335479043</c:v>
                </c:pt>
                <c:pt idx="4">
                  <c:v>1.7121982700697735</c:v>
                </c:pt>
                <c:pt idx="5">
                  <c:v>2.3251636753807006</c:v>
                </c:pt>
                <c:pt idx="6">
                  <c:v>2.5902684665984044</c:v>
                </c:pt>
                <c:pt idx="7">
                  <c:v>2.6020599913279625</c:v>
                </c:pt>
                <c:pt idx="8">
                  <c:v>2.882459985464731</c:v>
                </c:pt>
                <c:pt idx="9">
                  <c:v>2.9954994987733237</c:v>
                </c:pt>
                <c:pt idx="10">
                  <c:v>3.0044543414262499</c:v>
                </c:pt>
                <c:pt idx="11">
                  <c:v>3.0546209508919802</c:v>
                </c:pt>
                <c:pt idx="12">
                  <c:v>3.0924095117813799</c:v>
                </c:pt>
                <c:pt idx="13">
                  <c:v>0</c:v>
                </c:pt>
                <c:pt idx="14">
                  <c:v>2.9477267169773231</c:v>
                </c:pt>
                <c:pt idx="15">
                  <c:v>2.9577109378839239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4-4A17-BC1A-A94DD55CC902}"/>
            </c:ext>
          </c:extLst>
        </c:ser>
        <c:ser>
          <c:idx val="1"/>
          <c:order val="1"/>
          <c:tx>
            <c:v>LOG CHANGE CTC1034 R16rep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'R16_rep'!$B$111:$B$126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'R16_rep'!$M$111:$M$126</c:f>
              <c:numCache>
                <c:formatCode>0.00</c:formatCode>
                <c:ptCount val="16"/>
                <c:pt idx="0">
                  <c:v>0</c:v>
                </c:pt>
                <c:pt idx="1">
                  <c:v>0.10720996964786833</c:v>
                </c:pt>
                <c:pt idx="2">
                  <c:v>0.22530928172586284</c:v>
                </c:pt>
                <c:pt idx="3">
                  <c:v>0.81157500587059328</c:v>
                </c:pt>
                <c:pt idx="4">
                  <c:v>1.204119982655925</c:v>
                </c:pt>
                <c:pt idx="5">
                  <c:v>2.204119982655925</c:v>
                </c:pt>
                <c:pt idx="6">
                  <c:v>3</c:v>
                </c:pt>
                <c:pt idx="7">
                  <c:v>2.5351132016973494</c:v>
                </c:pt>
                <c:pt idx="8">
                  <c:v>2.40823996531185</c:v>
                </c:pt>
                <c:pt idx="9">
                  <c:v>2.4712917110589387</c:v>
                </c:pt>
                <c:pt idx="10">
                  <c:v>2.5051499783199063</c:v>
                </c:pt>
                <c:pt idx="11">
                  <c:v>2.5263392773898445</c:v>
                </c:pt>
                <c:pt idx="12">
                  <c:v>2.6020599913279625</c:v>
                </c:pt>
                <c:pt idx="13">
                  <c:v>0</c:v>
                </c:pt>
                <c:pt idx="14">
                  <c:v>2.6273658565927329</c:v>
                </c:pt>
                <c:pt idx="15">
                  <c:v>2.40823996531185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B4-4A17-BC1A-A94DD55CC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262856"/>
        <c:axId val="265263248"/>
      </c:scatterChart>
      <c:valAx>
        <c:axId val="265262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63248"/>
        <c:crosses val="autoZero"/>
        <c:crossBetween val="midCat"/>
      </c:valAx>
      <c:valAx>
        <c:axId val="265263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26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'R17'!$B$10:$B$21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'R17'!$H$10:$H$21</c:f>
              <c:numCache>
                <c:formatCode>General</c:formatCode>
                <c:ptCount val="12"/>
                <c:pt idx="0" formatCode="0.00">
                  <c:v>5.958085848521085</c:v>
                </c:pt>
                <c:pt idx="4" formatCode="0.00">
                  <c:v>8.0413926851582254</c:v>
                </c:pt>
                <c:pt idx="5" formatCode="0.00">
                  <c:v>8.2695129442179169</c:v>
                </c:pt>
                <c:pt idx="9" formatCode="0.00">
                  <c:v>8.2648178230095368</c:v>
                </c:pt>
                <c:pt idx="10" formatCode="0.00">
                  <c:v>8.1522883443830558</c:v>
                </c:pt>
                <c:pt idx="11" formatCode="0.00">
                  <c:v>8.1205739312058505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F9-49ED-A652-ECA20A6F3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'R17'!$B$32:$B$43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'R17'!$H$32:$H$43</c:f>
              <c:numCache>
                <c:formatCode>General</c:formatCode>
                <c:ptCount val="12"/>
                <c:pt idx="0" formatCode="0.00">
                  <c:v>5.3463529744506388</c:v>
                </c:pt>
                <c:pt idx="4" formatCode="0.00">
                  <c:v>7.0413926851582254</c:v>
                </c:pt>
                <c:pt idx="5" formatCode="0.00">
                  <c:v>8.1931245983544621</c:v>
                </c:pt>
                <c:pt idx="9" formatCode="0.00">
                  <c:v>8.3541084391474012</c:v>
                </c:pt>
                <c:pt idx="10" formatCode="0.00">
                  <c:v>8.1003705451175634</c:v>
                </c:pt>
                <c:pt idx="11" formatCode="0.00">
                  <c:v>8.4653828514484175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2-440A-8D5B-5871944AB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'R17'!$B$52:$B$63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'R17'!$I$52:$I$63</c:f>
              <c:numCache>
                <c:formatCode>0.00</c:formatCode>
                <c:ptCount val="12"/>
                <c:pt idx="0">
                  <c:v>2.9030899869919438</c:v>
                </c:pt>
                <c:pt idx="4">
                  <c:v>4.204119982655925</c:v>
                </c:pt>
                <c:pt idx="5">
                  <c:v>6.3903462331393888</c:v>
                </c:pt>
                <c:pt idx="9">
                  <c:v>7.6127838567197355</c:v>
                </c:pt>
                <c:pt idx="10">
                  <c:v>8.5751878449276617</c:v>
                </c:pt>
                <c:pt idx="11">
                  <c:v>8.6739419986340884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95-46B1-9DBC-1E83F3172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'R17'!$B$73:$B$84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'R17'!$H$73:$H$84</c:f>
              <c:numCache>
                <c:formatCode>0.00</c:formatCode>
                <c:ptCount val="12"/>
                <c:pt idx="0">
                  <c:v>6.0413926851582254</c:v>
                </c:pt>
                <c:pt idx="1">
                  <c:v>6.3891660843645326</c:v>
                </c:pt>
                <c:pt idx="2">
                  <c:v>6.653212513775344</c:v>
                </c:pt>
                <c:pt idx="3">
                  <c:v>7.4149733479708182</c:v>
                </c:pt>
                <c:pt idx="4">
                  <c:v>7.8808135922807914</c:v>
                </c:pt>
                <c:pt idx="5">
                  <c:v>8.4149733479708182</c:v>
                </c:pt>
                <c:pt idx="6">
                  <c:v>7.3802112417116064</c:v>
                </c:pt>
                <c:pt idx="7">
                  <c:v>8.1702617153949575</c:v>
                </c:pt>
                <c:pt idx="8">
                  <c:v>8.2405492482825995</c:v>
                </c:pt>
                <c:pt idx="9">
                  <c:v>8.3384564936046051</c:v>
                </c:pt>
                <c:pt idx="10">
                  <c:v>8.2304489213782741</c:v>
                </c:pt>
                <c:pt idx="11">
                  <c:v>8.1461280356782382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2B-4C32-9DC2-26F65D4AA7A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'R17'!$B$73:$B$84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'R17'!$I$73:$I$84</c:f>
              <c:numCache>
                <c:formatCode>0.00</c:formatCode>
                <c:ptCount val="12"/>
                <c:pt idx="0">
                  <c:v>3.255272505103306</c:v>
                </c:pt>
                <c:pt idx="1">
                  <c:v>3.2041199826559246</c:v>
                </c:pt>
                <c:pt idx="2">
                  <c:v>3.0791812460476247</c:v>
                </c:pt>
                <c:pt idx="3">
                  <c:v>2.9030899869919438</c:v>
                </c:pt>
                <c:pt idx="4">
                  <c:v>3</c:v>
                </c:pt>
                <c:pt idx="5">
                  <c:v>1.954242509439325</c:v>
                </c:pt>
                <c:pt idx="6">
                  <c:v>1.954242509439325</c:v>
                </c:pt>
                <c:pt idx="7">
                  <c:v>1.954242509439325</c:v>
                </c:pt>
                <c:pt idx="8">
                  <c:v>1.954242509439325</c:v>
                </c:pt>
                <c:pt idx="9">
                  <c:v>1.954242509439325</c:v>
                </c:pt>
                <c:pt idx="10">
                  <c:v>1.954242509439325</c:v>
                </c:pt>
                <c:pt idx="11">
                  <c:v>1.954242509439325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2B-4C32-9DC2-26F65D4AA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'R17'!$B$95:$B$106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'R17'!$H$95:$H$106</c:f>
              <c:numCache>
                <c:formatCode>0.00</c:formatCode>
                <c:ptCount val="12"/>
                <c:pt idx="0">
                  <c:v>5.2787536009528289</c:v>
                </c:pt>
                <c:pt idx="1">
                  <c:v>5.5563025007672868</c:v>
                </c:pt>
                <c:pt idx="2">
                  <c:v>6.4471580313422194</c:v>
                </c:pt>
                <c:pt idx="3">
                  <c:v>6.568201724066995</c:v>
                </c:pt>
                <c:pt idx="4">
                  <c:v>7.2671717284030137</c:v>
                </c:pt>
                <c:pt idx="5">
                  <c:v>8.518513939877888</c:v>
                </c:pt>
                <c:pt idx="6">
                  <c:v>0</c:v>
                </c:pt>
                <c:pt idx="7">
                  <c:v>8.3138672203691542</c:v>
                </c:pt>
                <c:pt idx="8">
                  <c:v>8.3138672203691542</c:v>
                </c:pt>
                <c:pt idx="9">
                  <c:v>8.3263358609287508</c:v>
                </c:pt>
                <c:pt idx="10">
                  <c:v>0</c:v>
                </c:pt>
                <c:pt idx="11">
                  <c:v>8.3873898263387296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3B-435D-B02F-E4046A92B86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'R17'!$B$95:$B$106</c:f>
              <c:numCache>
                <c:formatCode>0.00</c:formatCode>
                <c:ptCount val="12"/>
                <c:pt idx="0">
                  <c:v>0</c:v>
                </c:pt>
                <c:pt idx="1">
                  <c:v>2.8333333333139308</c:v>
                </c:pt>
                <c:pt idx="2">
                  <c:v>5.5833333333721384</c:v>
                </c:pt>
                <c:pt idx="3">
                  <c:v>8.6666666668024845</c:v>
                </c:pt>
                <c:pt idx="4">
                  <c:v>11.666666666802485</c:v>
                </c:pt>
                <c:pt idx="5">
                  <c:v>23.666666666802485</c:v>
                </c:pt>
                <c:pt idx="6">
                  <c:v>26.583333333372138</c:v>
                </c:pt>
                <c:pt idx="7">
                  <c:v>29.583333333372138</c:v>
                </c:pt>
                <c:pt idx="8">
                  <c:v>32.666666666802485</c:v>
                </c:pt>
                <c:pt idx="9">
                  <c:v>35.666666666802485</c:v>
                </c:pt>
                <c:pt idx="10">
                  <c:v>47.750000000058208</c:v>
                </c:pt>
                <c:pt idx="11">
                  <c:v>54.500000000058208</c:v>
                </c:pt>
              </c:numCache>
            </c:numRef>
          </c:xVal>
          <c:yVal>
            <c:numRef>
              <c:f>'R17'!$I$95:$I$106</c:f>
              <c:numCache>
                <c:formatCode>0.00</c:formatCode>
                <c:ptCount val="12"/>
                <c:pt idx="0">
                  <c:v>2.9030899869919438</c:v>
                </c:pt>
                <c:pt idx="1">
                  <c:v>3.0791812460476247</c:v>
                </c:pt>
                <c:pt idx="2">
                  <c:v>3.2041199826559246</c:v>
                </c:pt>
                <c:pt idx="3">
                  <c:v>3.7634279935629373</c:v>
                </c:pt>
                <c:pt idx="4">
                  <c:v>4.2455126678141495</c:v>
                </c:pt>
                <c:pt idx="5">
                  <c:v>5.5378190950732744</c:v>
                </c:pt>
                <c:pt idx="6">
                  <c:v>5.1150587570958059</c:v>
                </c:pt>
                <c:pt idx="7">
                  <c:v>5.1875207208364627</c:v>
                </c:pt>
                <c:pt idx="8">
                  <c:v>5.357934847000454</c:v>
                </c:pt>
                <c:pt idx="9">
                  <c:v>6.3201462861110542</c:v>
                </c:pt>
                <c:pt idx="10">
                  <c:v>5.2855573090077739</c:v>
                </c:pt>
                <c:pt idx="11">
                  <c:v>5.2304489213782741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3B-435D-B02F-E4046A92B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'R17_rep'!$H$10:$H$25</c:f>
              <c:numCache>
                <c:formatCode>0.00</c:formatCode>
                <c:ptCount val="16"/>
                <c:pt idx="0">
                  <c:v>5.1522883443830567</c:v>
                </c:pt>
                <c:pt idx="1">
                  <c:v>5.3873898263387296</c:v>
                </c:pt>
                <c:pt idx="2">
                  <c:v>5.924279286061882</c:v>
                </c:pt>
                <c:pt idx="3">
                  <c:v>6.4502491083193609</c:v>
                </c:pt>
                <c:pt idx="4">
                  <c:v>6.8061799739838875</c:v>
                </c:pt>
                <c:pt idx="5">
                  <c:v>7.6683859166900001</c:v>
                </c:pt>
                <c:pt idx="6">
                  <c:v>7.9758911364017928</c:v>
                </c:pt>
                <c:pt idx="7">
                  <c:v>0</c:v>
                </c:pt>
                <c:pt idx="8">
                  <c:v>8.2741578492636805</c:v>
                </c:pt>
                <c:pt idx="9">
                  <c:v>8.3654879848908994</c:v>
                </c:pt>
                <c:pt idx="10">
                  <c:v>8.3502480183341632</c:v>
                </c:pt>
                <c:pt idx="11">
                  <c:v>8.3222192947339195</c:v>
                </c:pt>
                <c:pt idx="12">
                  <c:v>8.3384564936046051</c:v>
                </c:pt>
                <c:pt idx="13">
                  <c:v>8.1702617153949575</c:v>
                </c:pt>
                <c:pt idx="14">
                  <c:v>8.2455126678141504</c:v>
                </c:pt>
                <c:pt idx="15">
                  <c:v>8.2095150145426317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D1-475C-8A97-D99D25B07E0B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('R17_rep'!$M$4,'R17_rep'!$B$15:$B$17)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('R17_rep'!$Q$4,'R17_rep'!$H$15:$H$17)</c:f>
              <c:numCache>
                <c:formatCode>0.00</c:formatCode>
                <c:ptCount val="4"/>
                <c:pt idx="0">
                  <c:v>5.4771212547196626</c:v>
                </c:pt>
                <c:pt idx="1">
                  <c:v>7.6683859166900001</c:v>
                </c:pt>
                <c:pt idx="2">
                  <c:v>7.9758911364017928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D1-475C-8A97-D99D25B07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679896"/>
        <c:axId val="265680288"/>
      </c:scatterChart>
      <c:valAx>
        <c:axId val="265679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680288"/>
        <c:crosses val="autoZero"/>
        <c:crossBetween val="midCat"/>
      </c:valAx>
      <c:valAx>
        <c:axId val="265680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679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'R17_rep'!$B$36:$B$51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'R17_rep'!$H$36:$H$51</c:f>
              <c:numCache>
                <c:formatCode>0.00</c:formatCode>
                <c:ptCount val="16"/>
                <c:pt idx="0">
                  <c:v>5.3617278360175931</c:v>
                </c:pt>
                <c:pt idx="1">
                  <c:v>5.6020599913279625</c:v>
                </c:pt>
                <c:pt idx="2">
                  <c:v>6.1139433523068369</c:v>
                </c:pt>
                <c:pt idx="3">
                  <c:v>6.5705429398818973</c:v>
                </c:pt>
                <c:pt idx="4">
                  <c:v>6.9030899869919438</c:v>
                </c:pt>
                <c:pt idx="5">
                  <c:v>7.6148972160331345</c:v>
                </c:pt>
                <c:pt idx="6">
                  <c:v>7.8739015978644611</c:v>
                </c:pt>
                <c:pt idx="7">
                  <c:v>0</c:v>
                </c:pt>
                <c:pt idx="8">
                  <c:v>8.0492180226701819</c:v>
                </c:pt>
                <c:pt idx="9">
                  <c:v>8.3729120029701072</c:v>
                </c:pt>
                <c:pt idx="10">
                  <c:v>8.3692158574101434</c:v>
                </c:pt>
                <c:pt idx="11">
                  <c:v>8.3138672203691542</c:v>
                </c:pt>
                <c:pt idx="12">
                  <c:v>8.2552725051033065</c:v>
                </c:pt>
                <c:pt idx="13">
                  <c:v>8.4149733479708182</c:v>
                </c:pt>
                <c:pt idx="14">
                  <c:v>8.2552725051033065</c:v>
                </c:pt>
                <c:pt idx="15">
                  <c:v>8.3263358609287508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A-46C5-A4C2-CB7F72EB2CB4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('R17_rep'!$M$4,'R17_rep'!$B$41:$B$43)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('R17_rep'!$Q$5,'R17_rep'!$H$41:$H$43)</c:f>
              <c:numCache>
                <c:formatCode>0.00</c:formatCode>
                <c:ptCount val="4"/>
                <c:pt idx="0">
                  <c:v>5.4471580313422194</c:v>
                </c:pt>
                <c:pt idx="1">
                  <c:v>7.6148972160331345</c:v>
                </c:pt>
                <c:pt idx="2">
                  <c:v>7.8739015978644611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AA-46C5-A4C2-CB7F72EB2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681072"/>
        <c:axId val="265681464"/>
      </c:scatterChart>
      <c:valAx>
        <c:axId val="265681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681464"/>
        <c:crosses val="autoZero"/>
        <c:crossBetween val="midCat"/>
      </c:valAx>
      <c:valAx>
        <c:axId val="265681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68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'R17_rep'!$B$60:$B$75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'R17_rep'!$I$60:$I$75</c:f>
              <c:numCache>
                <c:formatCode>General</c:formatCode>
                <c:ptCount val="16"/>
                <c:pt idx="0">
                  <c:v>3.3424226808222062</c:v>
                </c:pt>
                <c:pt idx="1">
                  <c:v>3.4471580313422194</c:v>
                </c:pt>
                <c:pt idx="2">
                  <c:v>4.008600171761918</c:v>
                </c:pt>
                <c:pt idx="3">
                  <c:v>4.3263358609287517</c:v>
                </c:pt>
                <c:pt idx="4">
                  <c:v>4.8195439355418683</c:v>
                </c:pt>
                <c:pt idx="5">
                  <c:v>5.3617278360175931</c:v>
                </c:pt>
                <c:pt idx="6">
                  <c:v>5.9526310252827459</c:v>
                </c:pt>
                <c:pt idx="7">
                  <c:v>0</c:v>
                </c:pt>
                <c:pt idx="8">
                  <c:v>6.4471580313422194</c:v>
                </c:pt>
                <c:pt idx="9">
                  <c:v>7.204119982655925</c:v>
                </c:pt>
                <c:pt idx="10">
                  <c:v>7.7160033436347994</c:v>
                </c:pt>
                <c:pt idx="11">
                  <c:v>8.0934216851622356</c:v>
                </c:pt>
                <c:pt idx="12">
                  <c:v>8.2355284469075496</c:v>
                </c:pt>
                <c:pt idx="13">
                  <c:v>8.6860401202573563</c:v>
                </c:pt>
                <c:pt idx="14">
                  <c:v>8.9615792781810732</c:v>
                </c:pt>
                <c:pt idx="15">
                  <c:v>8.8832828000102761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B-4ADC-9798-D0BE93C129FA}"/>
            </c:ext>
          </c:extLst>
        </c:ser>
        <c:ser>
          <c:idx val="1"/>
          <c:order val="1"/>
          <c:tx>
            <c:v>dades gap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('R17_rep'!$M$4,'R17_rep'!$B$65:$B$67)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('R17_rep'!$Q$6,'R17_rep'!$I$65:$I$67)</c:f>
              <c:numCache>
                <c:formatCode>General</c:formatCode>
                <c:ptCount val="4"/>
                <c:pt idx="0" formatCode="0.00">
                  <c:v>3.1461280356782382</c:v>
                </c:pt>
                <c:pt idx="1">
                  <c:v>5.3617278360175931</c:v>
                </c:pt>
                <c:pt idx="2">
                  <c:v>5.9526310252827459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0B-4ADC-9798-D0BE93C12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682248"/>
        <c:axId val="265682640"/>
      </c:scatterChart>
      <c:valAx>
        <c:axId val="265682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682640"/>
        <c:crosses val="autoZero"/>
        <c:crossBetween val="midCat"/>
      </c:valAx>
      <c:valAx>
        <c:axId val="265682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682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'R17_rep'!$H$85:$H$100</c:f>
              <c:numCache>
                <c:formatCode>0.00</c:formatCode>
                <c:ptCount val="16"/>
                <c:pt idx="0">
                  <c:v>4.9542425094393252</c:v>
                </c:pt>
                <c:pt idx="1">
                  <c:v>5.3096301674258983</c:v>
                </c:pt>
                <c:pt idx="2">
                  <c:v>5.8325089127062366</c:v>
                </c:pt>
                <c:pt idx="3">
                  <c:v>6.3617278360175931</c:v>
                </c:pt>
                <c:pt idx="4">
                  <c:v>6.8692317197309762</c:v>
                </c:pt>
                <c:pt idx="5">
                  <c:v>7.7160033436347994</c:v>
                </c:pt>
                <c:pt idx="6">
                  <c:v>8.2787536009528289</c:v>
                </c:pt>
                <c:pt idx="7">
                  <c:v>0</c:v>
                </c:pt>
                <c:pt idx="8">
                  <c:v>8.3053513694466243</c:v>
                </c:pt>
                <c:pt idx="9">
                  <c:v>8.3463529744506388</c:v>
                </c:pt>
                <c:pt idx="10">
                  <c:v>8.4216039268698317</c:v>
                </c:pt>
                <c:pt idx="11">
                  <c:v>8.3654879848908994</c:v>
                </c:pt>
                <c:pt idx="12">
                  <c:v>8.4409090820652182</c:v>
                </c:pt>
                <c:pt idx="13">
                  <c:v>8.2922560713564764</c:v>
                </c:pt>
                <c:pt idx="14">
                  <c:v>8.2741578492636805</c:v>
                </c:pt>
                <c:pt idx="15">
                  <c:v>8.2552725051033065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7-48B4-BC5E-C3F4FB17CBD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'R17_rep'!$B$85:$B$100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'R17_rep'!$I$85:$I$100</c:f>
              <c:numCache>
                <c:formatCode>0.00</c:formatCode>
                <c:ptCount val="16"/>
                <c:pt idx="0">
                  <c:v>3.3010299956639813</c:v>
                </c:pt>
                <c:pt idx="1">
                  <c:v>3.6334684555795866</c:v>
                </c:pt>
                <c:pt idx="2">
                  <c:v>3.8808135922807914</c:v>
                </c:pt>
                <c:pt idx="3">
                  <c:v>4.2787536009528289</c:v>
                </c:pt>
                <c:pt idx="4">
                  <c:v>4.8573324964312681</c:v>
                </c:pt>
                <c:pt idx="5">
                  <c:v>4.8692317197309762</c:v>
                </c:pt>
                <c:pt idx="6">
                  <c:v>3.8450980400142569</c:v>
                </c:pt>
                <c:pt idx="7">
                  <c:v>0</c:v>
                </c:pt>
                <c:pt idx="8">
                  <c:v>3.716003343634799</c:v>
                </c:pt>
                <c:pt idx="9">
                  <c:v>3.1461280356782382</c:v>
                </c:pt>
                <c:pt idx="10">
                  <c:v>2.6138418218760693</c:v>
                </c:pt>
                <c:pt idx="11">
                  <c:v>2.3891660843645326</c:v>
                </c:pt>
                <c:pt idx="12">
                  <c:v>1.6627578316815741</c:v>
                </c:pt>
                <c:pt idx="13">
                  <c:v>-0.3979400086720376</c:v>
                </c:pt>
                <c:pt idx="14">
                  <c:v>-0.74472749489669399</c:v>
                </c:pt>
                <c:pt idx="15">
                  <c:v>-0.74472749489669399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E7-48B4-BC5E-C3F4FB17CBD5}"/>
            </c:ext>
          </c:extLst>
        </c:ser>
        <c:ser>
          <c:idx val="2"/>
          <c:order val="2"/>
          <c:tx>
            <c:v>dades gap 494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('R17_rep'!$M$4,'R17_rep'!$B$90:$B$92)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('R17_rep'!$Q$4,'R17_rep'!$H$90:$H$92)</c:f>
              <c:numCache>
                <c:formatCode>0.00</c:formatCode>
                <c:ptCount val="4"/>
                <c:pt idx="0">
                  <c:v>5.4771212547196626</c:v>
                </c:pt>
                <c:pt idx="1">
                  <c:v>7.7160033436347994</c:v>
                </c:pt>
                <c:pt idx="2">
                  <c:v>8.2787536009528289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E7-48B4-BC5E-C3F4FB17CBD5}"/>
            </c:ext>
          </c:extLst>
        </c:ser>
        <c:ser>
          <c:idx val="3"/>
          <c:order val="3"/>
          <c:tx>
            <c:v>dades ga`1034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('R17_rep'!$M$4,'R17_rep'!$B$90:$B$92)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('R17_rep'!$Q$6,'R17_rep'!$I$90:$I$92)</c:f>
              <c:numCache>
                <c:formatCode>0.00</c:formatCode>
                <c:ptCount val="4"/>
                <c:pt idx="0">
                  <c:v>3.1461280356782382</c:v>
                </c:pt>
                <c:pt idx="1">
                  <c:v>4.8692317197309762</c:v>
                </c:pt>
                <c:pt idx="2">
                  <c:v>3.8450980400142569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E7-48B4-BC5E-C3F4FB17C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683424"/>
        <c:axId val="265988096"/>
      </c:scatterChart>
      <c:valAx>
        <c:axId val="26568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988096"/>
        <c:crosses val="autoZero"/>
        <c:crossBetween val="midCat"/>
      </c:valAx>
      <c:valAx>
        <c:axId val="265988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68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'R17_rep'!$H$111:$H$126</c:f>
              <c:numCache>
                <c:formatCode>0.00</c:formatCode>
                <c:ptCount val="16"/>
                <c:pt idx="0">
                  <c:v>5.3096301674258983</c:v>
                </c:pt>
                <c:pt idx="1">
                  <c:v>5.6646419755561253</c:v>
                </c:pt>
                <c:pt idx="2">
                  <c:v>6.2253092817258633</c:v>
                </c:pt>
                <c:pt idx="3">
                  <c:v>6.568201724066995</c:v>
                </c:pt>
                <c:pt idx="4">
                  <c:v>6.9444826721501682</c:v>
                </c:pt>
                <c:pt idx="5">
                  <c:v>7.6414741105040997</c:v>
                </c:pt>
                <c:pt idx="6">
                  <c:v>8.1461280356782382</c:v>
                </c:pt>
                <c:pt idx="7">
                  <c:v>0</c:v>
                </c:pt>
                <c:pt idx="8">
                  <c:v>8.220108088040055</c:v>
                </c:pt>
                <c:pt idx="9">
                  <c:v>8.3617278360175931</c:v>
                </c:pt>
                <c:pt idx="10">
                  <c:v>8.3344537511509316</c:v>
                </c:pt>
                <c:pt idx="11">
                  <c:v>8.2552725051033065</c:v>
                </c:pt>
                <c:pt idx="12">
                  <c:v>8.2741578492636805</c:v>
                </c:pt>
                <c:pt idx="13">
                  <c:v>8.2966651902615318</c:v>
                </c:pt>
                <c:pt idx="14">
                  <c:v>8.3654879848908994</c:v>
                </c:pt>
                <c:pt idx="15">
                  <c:v>8.2253092817258633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6A-48DA-B36E-559B00A616E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'R17_rep'!$B$111:$B$126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'R17_rep'!$I$111:$I$126</c:f>
              <c:numCache>
                <c:formatCode>0.00</c:formatCode>
                <c:ptCount val="16"/>
                <c:pt idx="0">
                  <c:v>3.3424226808222062</c:v>
                </c:pt>
                <c:pt idx="1">
                  <c:v>3.4913616938342726</c:v>
                </c:pt>
                <c:pt idx="2">
                  <c:v>3.9637878273455551</c:v>
                </c:pt>
                <c:pt idx="3">
                  <c:v>4.3692158574101425</c:v>
                </c:pt>
                <c:pt idx="4">
                  <c:v>4.8920946026904808</c:v>
                </c:pt>
                <c:pt idx="5">
                  <c:v>5.1583624920952493</c:v>
                </c:pt>
                <c:pt idx="6">
                  <c:v>5.5340261060561353</c:v>
                </c:pt>
                <c:pt idx="7">
                  <c:v>0</c:v>
                </c:pt>
                <c:pt idx="8">
                  <c:v>5.982271233039568</c:v>
                </c:pt>
                <c:pt idx="9">
                  <c:v>6.008600171761918</c:v>
                </c:pt>
                <c:pt idx="10">
                  <c:v>5.982271233039568</c:v>
                </c:pt>
                <c:pt idx="11">
                  <c:v>5.9912260756924951</c:v>
                </c:pt>
                <c:pt idx="12">
                  <c:v>5.8692317197309762</c:v>
                </c:pt>
                <c:pt idx="13">
                  <c:v>5.6812412373755876</c:v>
                </c:pt>
                <c:pt idx="14">
                  <c:v>5.9912260756924951</c:v>
                </c:pt>
                <c:pt idx="15">
                  <c:v>5.9344984512435675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6A-48DA-B36E-559B00A616E4}"/>
            </c:ext>
          </c:extLst>
        </c:ser>
        <c:ser>
          <c:idx val="2"/>
          <c:order val="2"/>
          <c:tx>
            <c:v>dades gap 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('R17_rep'!$M$4,'R17_rep'!$B$116:$B$118)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('R17_rep'!$Q$5,'R17_rep'!$H$116:$H$118)</c:f>
              <c:numCache>
                <c:formatCode>0.00</c:formatCode>
                <c:ptCount val="4"/>
                <c:pt idx="0">
                  <c:v>5.4471580313422194</c:v>
                </c:pt>
                <c:pt idx="1">
                  <c:v>7.6414741105040997</c:v>
                </c:pt>
                <c:pt idx="2">
                  <c:v>8.1461280356782382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6A-48DA-B36E-559B00A616E4}"/>
            </c:ext>
          </c:extLst>
        </c:ser>
        <c:ser>
          <c:idx val="3"/>
          <c:order val="3"/>
          <c:tx>
            <c:v>dades gap 1034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('R17_rep'!$M$4,'R17_rep'!$B$116:$B$118)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15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('R17_rep'!$Q$6,'R17_rep'!$I$116:$I$118)</c:f>
              <c:numCache>
                <c:formatCode>0.00</c:formatCode>
                <c:ptCount val="4"/>
                <c:pt idx="0">
                  <c:v>3.1461280356782382</c:v>
                </c:pt>
                <c:pt idx="1">
                  <c:v>5.1583624920952493</c:v>
                </c:pt>
                <c:pt idx="2">
                  <c:v>5.5340261060561353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6A-48DA-B36E-559B00A61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88880"/>
        <c:axId val="265989272"/>
      </c:scatterChart>
      <c:valAx>
        <c:axId val="26598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989272"/>
        <c:crosses val="autoZero"/>
        <c:crossBetween val="midCat"/>
      </c:valAx>
      <c:valAx>
        <c:axId val="265989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98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'R17_rep'!$F$9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'R17_rep'!$F$10:$F$25</c:f>
              <c:numCache>
                <c:formatCode>General</c:formatCode>
                <c:ptCount val="16"/>
                <c:pt idx="0">
                  <c:v>5.86</c:v>
                </c:pt>
                <c:pt idx="1">
                  <c:v>5.86</c:v>
                </c:pt>
                <c:pt idx="2">
                  <c:v>5.8</c:v>
                </c:pt>
                <c:pt idx="3">
                  <c:v>5.78</c:v>
                </c:pt>
                <c:pt idx="4">
                  <c:v>5.71</c:v>
                </c:pt>
                <c:pt idx="5">
                  <c:v>4.7300000000000004</c:v>
                </c:pt>
                <c:pt idx="6">
                  <c:v>4.4800000000000004</c:v>
                </c:pt>
                <c:pt idx="7">
                  <c:v>4.2</c:v>
                </c:pt>
                <c:pt idx="8">
                  <c:v>4.22</c:v>
                </c:pt>
                <c:pt idx="9">
                  <c:v>4.08</c:v>
                </c:pt>
                <c:pt idx="10">
                  <c:v>4</c:v>
                </c:pt>
                <c:pt idx="11">
                  <c:v>3.93</c:v>
                </c:pt>
                <c:pt idx="12">
                  <c:v>3.91</c:v>
                </c:pt>
                <c:pt idx="13">
                  <c:v>3.78</c:v>
                </c:pt>
                <c:pt idx="14">
                  <c:v>3.82</c:v>
                </c:pt>
                <c:pt idx="15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4-43EB-BCE8-499D7C6524F2}"/>
            </c:ext>
          </c:extLst>
        </c:ser>
        <c:ser>
          <c:idx val="1"/>
          <c:order val="1"/>
          <c:tx>
            <c:strRef>
              <c:f>'R17_rep'!$J$9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'R17_rep'!$J$10:$J$25</c:f>
              <c:numCache>
                <c:formatCode>General</c:formatCode>
                <c:ptCount val="16"/>
                <c:pt idx="0">
                  <c:v>-0.38344214348551281</c:v>
                </c:pt>
                <c:pt idx="1">
                  <c:v>-1.1771588348386512E-2</c:v>
                </c:pt>
                <c:pt idx="2">
                  <c:v>-3.0542828506827231E-2</c:v>
                </c:pt>
                <c:pt idx="3">
                  <c:v>-0.19948398993279373</c:v>
                </c:pt>
                <c:pt idx="4">
                  <c:v>-2.6788580475139087E-2</c:v>
                </c:pt>
                <c:pt idx="5">
                  <c:v>0.43873817545419086</c:v>
                </c:pt>
                <c:pt idx="6">
                  <c:v>1.1407825573798738</c:v>
                </c:pt>
                <c:pt idx="7">
                  <c:v>1.7377079944182887</c:v>
                </c:pt>
                <c:pt idx="8">
                  <c:v>1.722691002291536</c:v>
                </c:pt>
                <c:pt idx="9">
                  <c:v>2.3534046716151442</c:v>
                </c:pt>
                <c:pt idx="10">
                  <c:v>3.0967457818893966</c:v>
                </c:pt>
                <c:pt idx="11">
                  <c:v>3.2731954393787399</c:v>
                </c:pt>
                <c:pt idx="12">
                  <c:v>3.5697810338821032</c:v>
                </c:pt>
                <c:pt idx="13">
                  <c:v>3.8888921165755952</c:v>
                </c:pt>
                <c:pt idx="14">
                  <c:v>4.1329182386353249</c:v>
                </c:pt>
                <c:pt idx="15">
                  <c:v>4.3206306402197319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E4-43EB-BCE8-499D7C6524F2}"/>
            </c:ext>
          </c:extLst>
        </c:ser>
        <c:ser>
          <c:idx val="2"/>
          <c:order val="2"/>
          <c:tx>
            <c:strRef>
              <c:f>'R17_rep'!$L$9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'R17_rep'!$L$10:$L$25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3.2</c:v>
                </c:pt>
                <c:pt idx="9">
                  <c:v>3.2</c:v>
                </c:pt>
                <c:pt idx="10">
                  <c:v>1.6</c:v>
                </c:pt>
                <c:pt idx="11">
                  <c:v>3.2</c:v>
                </c:pt>
                <c:pt idx="12">
                  <c:v>3.2</c:v>
                </c:pt>
                <c:pt idx="14">
                  <c:v>3.2</c:v>
                </c:pt>
                <c:pt idx="1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E4-43EB-BCE8-499D7C65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90056"/>
        <c:axId val="265990448"/>
      </c:scatterChart>
      <c:valAx>
        <c:axId val="26599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990448"/>
        <c:crosses val="autoZero"/>
        <c:crossBetween val="midCat"/>
      </c:valAx>
      <c:valAx>
        <c:axId val="26599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990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'R17_rep'!$F$9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'R17_rep'!$F$36:$F$51</c:f>
              <c:numCache>
                <c:formatCode>General</c:formatCode>
                <c:ptCount val="16"/>
                <c:pt idx="0">
                  <c:v>5.87</c:v>
                </c:pt>
                <c:pt idx="1">
                  <c:v>5.8</c:v>
                </c:pt>
                <c:pt idx="2">
                  <c:v>5.79</c:v>
                </c:pt>
                <c:pt idx="3">
                  <c:v>5.75</c:v>
                </c:pt>
                <c:pt idx="4">
                  <c:v>5.69</c:v>
                </c:pt>
                <c:pt idx="5">
                  <c:v>5.15</c:v>
                </c:pt>
                <c:pt idx="6">
                  <c:v>4.8600000000000003</c:v>
                </c:pt>
                <c:pt idx="7">
                  <c:v>4.3899999999999997</c:v>
                </c:pt>
                <c:pt idx="8">
                  <c:v>4.43</c:v>
                </c:pt>
                <c:pt idx="9">
                  <c:v>4.18</c:v>
                </c:pt>
                <c:pt idx="10">
                  <c:v>4.0599999999999996</c:v>
                </c:pt>
                <c:pt idx="11">
                  <c:v>3.98</c:v>
                </c:pt>
                <c:pt idx="12">
                  <c:v>3.91</c:v>
                </c:pt>
                <c:pt idx="13">
                  <c:v>3.75</c:v>
                </c:pt>
                <c:pt idx="14">
                  <c:v>3.78</c:v>
                </c:pt>
                <c:pt idx="15">
                  <c:v>3.73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D-4A66-938B-2EFD6F9EA1F2}"/>
            </c:ext>
          </c:extLst>
        </c:ser>
        <c:ser>
          <c:idx val="1"/>
          <c:order val="1"/>
          <c:tx>
            <c:strRef>
              <c:f>'R17_rep'!$J$9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'R17_rep'!$J$36:$J$51</c:f>
              <c:numCache>
                <c:formatCode>General</c:formatCode>
                <c:ptCount val="16"/>
                <c:pt idx="0">
                  <c:v>-0.12064478126734268</c:v>
                </c:pt>
                <c:pt idx="1">
                  <c:v>-9.0610797013837535E-2</c:v>
                </c:pt>
                <c:pt idx="2">
                  <c:v>-9.8119293077213829E-2</c:v>
                </c:pt>
                <c:pt idx="3">
                  <c:v>-0.49231533640446895</c:v>
                </c:pt>
                <c:pt idx="4">
                  <c:v>-0.10187354110890197</c:v>
                </c:pt>
                <c:pt idx="5">
                  <c:v>0.19471205339446146</c:v>
                </c:pt>
                <c:pt idx="6">
                  <c:v>0.58139960065834018</c:v>
                </c:pt>
                <c:pt idx="7">
                  <c:v>1.1069943250946805</c:v>
                </c:pt>
                <c:pt idx="8">
                  <c:v>1.1445368054115619</c:v>
                </c:pt>
                <c:pt idx="9">
                  <c:v>1.850335435368933</c:v>
                </c:pt>
                <c:pt idx="10">
                  <c:v>2.6687615062769487</c:v>
                </c:pt>
                <c:pt idx="11">
                  <c:v>2.9127876283366776</c:v>
                </c:pt>
                <c:pt idx="12">
                  <c:v>3.4271196086779536</c:v>
                </c:pt>
                <c:pt idx="13">
                  <c:v>3.9414515890192292</c:v>
                </c:pt>
                <c:pt idx="14">
                  <c:v>4.1103927504451958</c:v>
                </c:pt>
                <c:pt idx="15">
                  <c:v>4.4295038331386873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D-4A66-938B-2EFD6F9EA1F2}"/>
            </c:ext>
          </c:extLst>
        </c:ser>
        <c:ser>
          <c:idx val="2"/>
          <c:order val="2"/>
          <c:tx>
            <c:strRef>
              <c:f>'R17_rep'!$L$9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D-4A66-938B-2EFD6F9EA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91232"/>
        <c:axId val="265991624"/>
      </c:scatterChart>
      <c:valAx>
        <c:axId val="26599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991624"/>
        <c:crosses val="autoZero"/>
        <c:crossBetween val="midCat"/>
      </c:valAx>
      <c:valAx>
        <c:axId val="26599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599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'R17_rep'!$F$9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'R17_rep'!$F$60:$F$75</c:f>
              <c:numCache>
                <c:formatCode>General</c:formatCode>
                <c:ptCount val="16"/>
                <c:pt idx="0">
                  <c:v>5.85</c:v>
                </c:pt>
                <c:pt idx="1">
                  <c:v>5.8</c:v>
                </c:pt>
                <c:pt idx="2">
                  <c:v>5.8</c:v>
                </c:pt>
                <c:pt idx="3">
                  <c:v>5.82</c:v>
                </c:pt>
                <c:pt idx="4">
                  <c:v>5.82</c:v>
                </c:pt>
                <c:pt idx="5">
                  <c:v>5.79</c:v>
                </c:pt>
                <c:pt idx="6">
                  <c:v>5.81</c:v>
                </c:pt>
                <c:pt idx="7">
                  <c:v>5.78</c:v>
                </c:pt>
                <c:pt idx="8">
                  <c:v>5.77</c:v>
                </c:pt>
                <c:pt idx="9">
                  <c:v>5.75</c:v>
                </c:pt>
                <c:pt idx="10">
                  <c:v>5.69</c:v>
                </c:pt>
                <c:pt idx="11">
                  <c:v>5.57</c:v>
                </c:pt>
                <c:pt idx="12">
                  <c:v>5.3</c:v>
                </c:pt>
                <c:pt idx="13">
                  <c:v>4.71</c:v>
                </c:pt>
                <c:pt idx="14">
                  <c:v>4.55</c:v>
                </c:pt>
                <c:pt idx="15">
                  <c:v>4.38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71-494B-B5F8-E8EC95EAFEF5}"/>
            </c:ext>
          </c:extLst>
        </c:ser>
        <c:ser>
          <c:idx val="1"/>
          <c:order val="1"/>
          <c:tx>
            <c:strRef>
              <c:f>'R17_rep'!$J$9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'R17_rep'!$J$60:$J$75</c:f>
              <c:numCache>
                <c:formatCode>General</c:formatCode>
                <c:ptCount val="16"/>
                <c:pt idx="0">
                  <c:v>-0.40972187970732982</c:v>
                </c:pt>
                <c:pt idx="1">
                  <c:v>-2.6788580475139087E-2</c:v>
                </c:pt>
                <c:pt idx="2">
                  <c:v>1.0753899841742361E-2</c:v>
                </c:pt>
                <c:pt idx="3">
                  <c:v>0.64522181719703875</c:v>
                </c:pt>
                <c:pt idx="4">
                  <c:v>-0.21074673402785815</c:v>
                </c:pt>
                <c:pt idx="5">
                  <c:v>-6.8085308823708668E-2</c:v>
                </c:pt>
                <c:pt idx="6">
                  <c:v>-5.3068316696956094E-2</c:v>
                </c:pt>
                <c:pt idx="7">
                  <c:v>-0.15067876552084783</c:v>
                </c:pt>
                <c:pt idx="8">
                  <c:v>-0.259551958439804</c:v>
                </c:pt>
                <c:pt idx="9">
                  <c:v>-6.8085308823708668E-2</c:v>
                </c:pt>
                <c:pt idx="10">
                  <c:v>3.3279388031871221E-2</c:v>
                </c:pt>
                <c:pt idx="11">
                  <c:v>-0.13941602142578344</c:v>
                </c:pt>
                <c:pt idx="12">
                  <c:v>8.2084612443817095E-2</c:v>
                </c:pt>
                <c:pt idx="13">
                  <c:v>1.0093838762707887</c:v>
                </c:pt>
                <c:pt idx="14">
                  <c:v>0.8291799707497578</c:v>
                </c:pt>
                <c:pt idx="15">
                  <c:v>1.2646727424255824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71-494B-B5F8-E8EC95EAFEF5}"/>
            </c:ext>
          </c:extLst>
        </c:ser>
        <c:ser>
          <c:idx val="2"/>
          <c:order val="2"/>
          <c:tx>
            <c:strRef>
              <c:f>'R17_rep'!$L$9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71-494B-B5F8-E8EC95EAF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317176"/>
        <c:axId val="266317568"/>
      </c:scatterChart>
      <c:valAx>
        <c:axId val="266317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317568"/>
        <c:crosses val="autoZero"/>
        <c:crossBetween val="midCat"/>
      </c:valAx>
      <c:valAx>
        <c:axId val="26631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317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'R17_rep'!$F$9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'R17_rep'!$F$85:$F$100</c:f>
              <c:numCache>
                <c:formatCode>General</c:formatCode>
                <c:ptCount val="16"/>
                <c:pt idx="0">
                  <c:v>5.84</c:v>
                </c:pt>
                <c:pt idx="1">
                  <c:v>5.86</c:v>
                </c:pt>
                <c:pt idx="2">
                  <c:v>5.81</c:v>
                </c:pt>
                <c:pt idx="3">
                  <c:v>5.77</c:v>
                </c:pt>
                <c:pt idx="4">
                  <c:v>5.72</c:v>
                </c:pt>
                <c:pt idx="5">
                  <c:v>5.8</c:v>
                </c:pt>
                <c:pt idx="6">
                  <c:v>4.47</c:v>
                </c:pt>
                <c:pt idx="7">
                  <c:v>4.1900000000000004</c:v>
                </c:pt>
                <c:pt idx="8">
                  <c:v>4.0999999999999996</c:v>
                </c:pt>
                <c:pt idx="9">
                  <c:v>4.1100000000000003</c:v>
                </c:pt>
                <c:pt idx="10">
                  <c:v>3.96</c:v>
                </c:pt>
                <c:pt idx="11">
                  <c:v>3.93</c:v>
                </c:pt>
                <c:pt idx="12">
                  <c:v>3.9</c:v>
                </c:pt>
                <c:pt idx="13">
                  <c:v>3.79</c:v>
                </c:pt>
                <c:pt idx="14">
                  <c:v>3.82</c:v>
                </c:pt>
                <c:pt idx="15">
                  <c:v>3.76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2-4750-843C-FFD2EA9486BB}"/>
            </c:ext>
          </c:extLst>
        </c:ser>
        <c:ser>
          <c:idx val="1"/>
          <c:order val="1"/>
          <c:tx>
            <c:strRef>
              <c:f>'R17_rep'!$J$9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'R17_rep'!$J$85:$J$100</c:f>
              <c:numCache>
                <c:formatCode>General</c:formatCode>
                <c:ptCount val="16"/>
                <c:pt idx="0">
                  <c:v>-0.40221338364395348</c:v>
                </c:pt>
                <c:pt idx="1">
                  <c:v>-5.3068316696956094E-2</c:v>
                </c:pt>
                <c:pt idx="2">
                  <c:v>-4.1805572601891668E-2</c:v>
                </c:pt>
                <c:pt idx="3">
                  <c:v>-0.58992578522836081</c:v>
                </c:pt>
                <c:pt idx="4">
                  <c:v>1.0753899841742361E-2</c:v>
                </c:pt>
                <c:pt idx="5">
                  <c:v>0.51006888805626549</c:v>
                </c:pt>
                <c:pt idx="6">
                  <c:v>1.016892372334165</c:v>
                </c:pt>
                <c:pt idx="7">
                  <c:v>1.929174644034384</c:v>
                </c:pt>
                <c:pt idx="8">
                  <c:v>1.7114282581964717</c:v>
                </c:pt>
                <c:pt idx="9">
                  <c:v>2.3233706873616389</c:v>
                </c:pt>
                <c:pt idx="10">
                  <c:v>2.5974307936748735</c:v>
                </c:pt>
                <c:pt idx="11">
                  <c:v>3.1192712700795253</c:v>
                </c:pt>
                <c:pt idx="12">
                  <c:v>3.5697810338821032</c:v>
                </c:pt>
                <c:pt idx="13">
                  <c:v>3.8213156520052087</c:v>
                </c:pt>
                <c:pt idx="14">
                  <c:v>4.2342829354909037</c:v>
                </c:pt>
                <c:pt idx="15">
                  <c:v>4.3356476323464843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32-4750-843C-FFD2EA9486BB}"/>
            </c:ext>
          </c:extLst>
        </c:ser>
        <c:ser>
          <c:idx val="2"/>
          <c:order val="2"/>
          <c:tx>
            <c:strRef>
              <c:f>'R17_rep'!$L$9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'R17_rep'!$L$85:$L$100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  <c:pt idx="12">
                  <c:v>3.2</c:v>
                </c:pt>
                <c:pt idx="14">
                  <c:v>3.2</c:v>
                </c:pt>
                <c:pt idx="15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32-4750-843C-FFD2EA948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318352"/>
        <c:axId val="266318744"/>
      </c:scatterChart>
      <c:valAx>
        <c:axId val="26631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318744"/>
        <c:crosses val="autoZero"/>
        <c:crossBetween val="midCat"/>
      </c:valAx>
      <c:valAx>
        <c:axId val="26631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31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'R17_rep'!$F$9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'R17_rep'!$F$111:$F$126</c:f>
              <c:numCache>
                <c:formatCode>General</c:formatCode>
                <c:ptCount val="16"/>
                <c:pt idx="0">
                  <c:v>5.86</c:v>
                </c:pt>
                <c:pt idx="1">
                  <c:v>5.81</c:v>
                </c:pt>
                <c:pt idx="2">
                  <c:v>5.77</c:v>
                </c:pt>
                <c:pt idx="3">
                  <c:v>5.76</c:v>
                </c:pt>
                <c:pt idx="4">
                  <c:v>5.68</c:v>
                </c:pt>
                <c:pt idx="5">
                  <c:v>5.13</c:v>
                </c:pt>
                <c:pt idx="6">
                  <c:v>4.84</c:v>
                </c:pt>
                <c:pt idx="7">
                  <c:v>4.3600000000000003</c:v>
                </c:pt>
                <c:pt idx="8">
                  <c:v>4.3499999999999996</c:v>
                </c:pt>
                <c:pt idx="9">
                  <c:v>4.1399999999999997</c:v>
                </c:pt>
                <c:pt idx="10">
                  <c:v>4.04</c:v>
                </c:pt>
                <c:pt idx="11">
                  <c:v>3.95</c:v>
                </c:pt>
                <c:pt idx="12">
                  <c:v>3.88</c:v>
                </c:pt>
                <c:pt idx="13">
                  <c:v>3.75</c:v>
                </c:pt>
                <c:pt idx="14">
                  <c:v>3.76</c:v>
                </c:pt>
                <c:pt idx="15">
                  <c:v>3.72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7-4206-A7F5-76C9608EBC69}"/>
            </c:ext>
          </c:extLst>
        </c:ser>
        <c:ser>
          <c:idx val="1"/>
          <c:order val="1"/>
          <c:tx>
            <c:strRef>
              <c:f>'R17_rep'!$J$9</c:f>
              <c:strCache>
                <c:ptCount val="1"/>
                <c:pt idx="0">
                  <c:v>LA (g/L)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'R17_rep'!$J$111:$J$126</c:f>
              <c:numCache>
                <c:formatCode>General</c:formatCode>
                <c:ptCount val="16"/>
                <c:pt idx="0">
                  <c:v>-0.42849311986577054</c:v>
                </c:pt>
                <c:pt idx="1">
                  <c:v>-2.303433244345094E-2</c:v>
                </c:pt>
                <c:pt idx="2">
                  <c:v>-4.5559820633579808E-2</c:v>
                </c:pt>
                <c:pt idx="3">
                  <c:v>-0.3947048875805772</c:v>
                </c:pt>
                <c:pt idx="4">
                  <c:v>1.4508147873430495E-2</c:v>
                </c:pt>
                <c:pt idx="5">
                  <c:v>0.28105975812328876</c:v>
                </c:pt>
                <c:pt idx="6">
                  <c:v>0.78412899436950012</c:v>
                </c:pt>
                <c:pt idx="7">
                  <c:v>1.2909524786473996</c:v>
                </c:pt>
                <c:pt idx="8">
                  <c:v>1.1820792857284435</c:v>
                </c:pt>
                <c:pt idx="9">
                  <c:v>2.0455563330167159</c:v>
                </c:pt>
                <c:pt idx="10">
                  <c:v>2.7250752267522702</c:v>
                </c:pt>
                <c:pt idx="11">
                  <c:v>3.179339238586536</c:v>
                </c:pt>
                <c:pt idx="12">
                  <c:v>3.5847980260088557</c:v>
                </c:pt>
                <c:pt idx="13">
                  <c:v>3.9376973409875409</c:v>
                </c:pt>
                <c:pt idx="14">
                  <c:v>4.1967404551740222</c:v>
                </c:pt>
                <c:pt idx="15">
                  <c:v>4.3243848882514193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47-4206-A7F5-76C9608EBC69}"/>
            </c:ext>
          </c:extLst>
        </c:ser>
        <c:ser>
          <c:idx val="2"/>
          <c:order val="2"/>
          <c:tx>
            <c:strRef>
              <c:f>'R17_rep'!$L$9</c:f>
              <c:strCache>
                <c:ptCount val="1"/>
                <c:pt idx="0">
                  <c:v>Gota (10^3 AU/mL)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'R17_rep'!$L$36:$L$51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47-4206-A7F5-76C9608EB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319528"/>
        <c:axId val="266319920"/>
      </c:scatterChart>
      <c:valAx>
        <c:axId val="26631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319920"/>
        <c:crosses val="autoZero"/>
        <c:crossBetween val="midCat"/>
      </c:valAx>
      <c:valAx>
        <c:axId val="26631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319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</a:t>
            </a:r>
            <a:r>
              <a:rPr lang="ca-ES" b="1" baseline="0"/>
              <a:t> CTC494 R17rep</a:t>
            </a:r>
            <a:endParaRPr lang="ca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R17rep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'R17_rep'!$B$10:$B$25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'R17_rep'!$N$10:$N$25</c:f>
              <c:numCache>
                <c:formatCode>0.00</c:formatCode>
                <c:ptCount val="16"/>
                <c:pt idx="0">
                  <c:v>0</c:v>
                </c:pt>
                <c:pt idx="1">
                  <c:v>0.23510148195567293</c:v>
                </c:pt>
                <c:pt idx="2">
                  <c:v>0.77199094167882532</c:v>
                </c:pt>
                <c:pt idx="3">
                  <c:v>1.2979607639363042</c:v>
                </c:pt>
                <c:pt idx="4">
                  <c:v>1.6538916296008308</c:v>
                </c:pt>
                <c:pt idx="5">
                  <c:v>2.1912646619703375</c:v>
                </c:pt>
                <c:pt idx="6">
                  <c:v>2.4987698816821302</c:v>
                </c:pt>
                <c:pt idx="7">
                  <c:v>0</c:v>
                </c:pt>
                <c:pt idx="8">
                  <c:v>3.1218695048806238</c:v>
                </c:pt>
                <c:pt idx="9">
                  <c:v>3.2131996405078427</c:v>
                </c:pt>
                <c:pt idx="10">
                  <c:v>3.1979596739511065</c:v>
                </c:pt>
                <c:pt idx="11">
                  <c:v>3.1699309503508628</c:v>
                </c:pt>
                <c:pt idx="12">
                  <c:v>3.1861681492215483</c:v>
                </c:pt>
                <c:pt idx="13">
                  <c:v>2.6931404606752949</c:v>
                </c:pt>
                <c:pt idx="14">
                  <c:v>3.0932243234310937</c:v>
                </c:pt>
                <c:pt idx="15">
                  <c:v>3.0572266701595749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E5-4A81-B584-5332743A5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727424"/>
        <c:axId val="266727816"/>
      </c:scatterChart>
      <c:valAx>
        <c:axId val="26672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727816"/>
        <c:crosses val="autoZero"/>
        <c:crossBetween val="midCat"/>
      </c:valAx>
      <c:valAx>
        <c:axId val="266727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72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23K</a:t>
            </a:r>
            <a:r>
              <a:rPr lang="ca-ES" b="1" baseline="0"/>
              <a:t> R17rep</a:t>
            </a:r>
            <a:endParaRPr lang="ca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23K R17rep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'R17_rep'!$B$36:$B$51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'R17_rep'!$M$36:$M$51</c:f>
              <c:numCache>
                <c:formatCode>0.00</c:formatCode>
                <c:ptCount val="16"/>
                <c:pt idx="0">
                  <c:v>0</c:v>
                </c:pt>
                <c:pt idx="1">
                  <c:v>0.24033215531036944</c:v>
                </c:pt>
                <c:pt idx="2">
                  <c:v>0.75221551628924388</c:v>
                </c:pt>
                <c:pt idx="3">
                  <c:v>1.2088151038643042</c:v>
                </c:pt>
                <c:pt idx="4">
                  <c:v>1.5413621509743507</c:v>
                </c:pt>
                <c:pt idx="5">
                  <c:v>2.1677391846909151</c:v>
                </c:pt>
                <c:pt idx="6">
                  <c:v>2.4267435665222417</c:v>
                </c:pt>
                <c:pt idx="7">
                  <c:v>0</c:v>
                </c:pt>
                <c:pt idx="8">
                  <c:v>2.6874901866525889</c:v>
                </c:pt>
                <c:pt idx="9">
                  <c:v>3.0111841669525141</c:v>
                </c:pt>
                <c:pt idx="10">
                  <c:v>3.0074880213925503</c:v>
                </c:pt>
                <c:pt idx="11">
                  <c:v>2.9521393843515611</c:v>
                </c:pt>
                <c:pt idx="12">
                  <c:v>2.8935446690857134</c:v>
                </c:pt>
                <c:pt idx="13">
                  <c:v>2.9678153166285988</c:v>
                </c:pt>
                <c:pt idx="14">
                  <c:v>2.8935446690857134</c:v>
                </c:pt>
                <c:pt idx="15">
                  <c:v>2.9646080249111577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7-4E06-B471-E571ABDB4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728600"/>
        <c:axId val="266728992"/>
      </c:scatterChart>
      <c:valAx>
        <c:axId val="266728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728992"/>
        <c:crosses val="autoZero"/>
        <c:crossBetween val="midCat"/>
      </c:valAx>
      <c:valAx>
        <c:axId val="266728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728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CTC1034</a:t>
            </a:r>
            <a:r>
              <a:rPr lang="ca-ES" b="1" baseline="0"/>
              <a:t> R17rep</a:t>
            </a:r>
            <a:endParaRPr lang="ca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CTC1034 R17rep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'R17_rep'!$B$60:$B$75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'R17_rep'!$L$60:$L$75</c:f>
              <c:numCache>
                <c:formatCode>0.00</c:formatCode>
                <c:ptCount val="16"/>
                <c:pt idx="0">
                  <c:v>0</c:v>
                </c:pt>
                <c:pt idx="1">
                  <c:v>0.10473535052001326</c:v>
                </c:pt>
                <c:pt idx="2">
                  <c:v>0.66617749093971179</c:v>
                </c:pt>
                <c:pt idx="3">
                  <c:v>0.98391318010654549</c:v>
                </c:pt>
                <c:pt idx="4">
                  <c:v>1.4771212547196622</c:v>
                </c:pt>
                <c:pt idx="5">
                  <c:v>2.2155998003393549</c:v>
                </c:pt>
                <c:pt idx="6">
                  <c:v>2.8065029896045077</c:v>
                </c:pt>
                <c:pt idx="7">
                  <c:v>0</c:v>
                </c:pt>
                <c:pt idx="8">
                  <c:v>3.1047353505200133</c:v>
                </c:pt>
                <c:pt idx="9">
                  <c:v>3.8616973018337188</c:v>
                </c:pt>
                <c:pt idx="10">
                  <c:v>4.3735806628125928</c:v>
                </c:pt>
                <c:pt idx="11">
                  <c:v>4.750999004340029</c:v>
                </c:pt>
                <c:pt idx="12">
                  <c:v>4.893105766085343</c:v>
                </c:pt>
                <c:pt idx="13">
                  <c:v>5.5399120845791181</c:v>
                </c:pt>
                <c:pt idx="14">
                  <c:v>5.6191565973588666</c:v>
                </c:pt>
                <c:pt idx="15">
                  <c:v>5.5408601191880695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6C-4337-9EC7-D8DBFE792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729776"/>
        <c:axId val="266730168"/>
      </c:scatterChart>
      <c:valAx>
        <c:axId val="26672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730168"/>
        <c:crosses val="autoZero"/>
        <c:crossBetween val="midCat"/>
      </c:valAx>
      <c:valAx>
        <c:axId val="266730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72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494-1034 R17rep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CTC494 R17rep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'R17_rep'!$N$85:$N$100</c:f>
              <c:numCache>
                <c:formatCode>0.00</c:formatCode>
                <c:ptCount val="16"/>
                <c:pt idx="0">
                  <c:v>0</c:v>
                </c:pt>
                <c:pt idx="1">
                  <c:v>0.35538765798657312</c:v>
                </c:pt>
                <c:pt idx="2">
                  <c:v>0.87826640326691141</c:v>
                </c:pt>
                <c:pt idx="3">
                  <c:v>1.4074853265782679</c:v>
                </c:pt>
                <c:pt idx="4">
                  <c:v>1.914989210291651</c:v>
                </c:pt>
                <c:pt idx="5">
                  <c:v>2.2388820889151368</c:v>
                </c:pt>
                <c:pt idx="6">
                  <c:v>2.8016323462331663</c:v>
                </c:pt>
                <c:pt idx="7">
                  <c:v>0</c:v>
                </c:pt>
                <c:pt idx="8">
                  <c:v>3.3511088600072991</c:v>
                </c:pt>
                <c:pt idx="9">
                  <c:v>3.3921104650113136</c:v>
                </c:pt>
                <c:pt idx="10">
                  <c:v>3.4673614174305065</c:v>
                </c:pt>
                <c:pt idx="11">
                  <c:v>3.4112454754515742</c:v>
                </c:pt>
                <c:pt idx="12">
                  <c:v>3.486666572625893</c:v>
                </c:pt>
                <c:pt idx="13">
                  <c:v>2.8151348166368138</c:v>
                </c:pt>
                <c:pt idx="14">
                  <c:v>3.3199153398243553</c:v>
                </c:pt>
                <c:pt idx="15">
                  <c:v>3.3010299956639813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8F-4D65-B2EA-92FF45233E3C}"/>
            </c:ext>
          </c:extLst>
        </c:ser>
        <c:ser>
          <c:idx val="1"/>
          <c:order val="1"/>
          <c:tx>
            <c:v>log change CTC1034 R17rep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'R17_rep'!$B$85:$B$100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'R17_rep'!$O$85:$O$100</c:f>
              <c:numCache>
                <c:formatCode>0.00</c:formatCode>
                <c:ptCount val="16"/>
                <c:pt idx="0">
                  <c:v>0</c:v>
                </c:pt>
                <c:pt idx="1">
                  <c:v>0.33243845991560539</c:v>
                </c:pt>
                <c:pt idx="2">
                  <c:v>0.57978359661681012</c:v>
                </c:pt>
                <c:pt idx="3">
                  <c:v>0.97772360528884761</c:v>
                </c:pt>
                <c:pt idx="4">
                  <c:v>1.5563025007672868</c:v>
                </c:pt>
                <c:pt idx="5">
                  <c:v>1.7231036840527381</c:v>
                </c:pt>
                <c:pt idx="6">
                  <c:v>0.69897000433601875</c:v>
                </c:pt>
                <c:pt idx="7">
                  <c:v>0</c:v>
                </c:pt>
                <c:pt idx="8">
                  <c:v>0.41497334797081775</c:v>
                </c:pt>
                <c:pt idx="9">
                  <c:v>-0.15490195998574308</c:v>
                </c:pt>
                <c:pt idx="10">
                  <c:v>-0.68718817378791197</c:v>
                </c:pt>
                <c:pt idx="11">
                  <c:v>-0.91186391129944866</c:v>
                </c:pt>
                <c:pt idx="12">
                  <c:v>-1.6382721639824072</c:v>
                </c:pt>
                <c:pt idx="13">
                  <c:v>-3.5440680443502757</c:v>
                </c:pt>
                <c:pt idx="14">
                  <c:v>-4.0457574905606748</c:v>
                </c:pt>
                <c:pt idx="15">
                  <c:v>-4.0457574905606748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8F-4D65-B2EA-92FF45233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730952"/>
        <c:axId val="266596344"/>
      </c:scatterChart>
      <c:valAx>
        <c:axId val="266730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596344"/>
        <c:crosses val="autoZero"/>
        <c:crossBetween val="midCat"/>
      </c:valAx>
      <c:valAx>
        <c:axId val="266596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730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log change 23K-1034 R17rep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 change 23K R17rep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'R17_rep'!$B$111:$B$126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'R17_rep'!$L$111:$L$126</c:f>
              <c:numCache>
                <c:formatCode>0.00</c:formatCode>
                <c:ptCount val="16"/>
                <c:pt idx="0">
                  <c:v>0</c:v>
                </c:pt>
                <c:pt idx="1">
                  <c:v>0.35501180813022692</c:v>
                </c:pt>
                <c:pt idx="2">
                  <c:v>0.91567911429996496</c:v>
                </c:pt>
                <c:pt idx="3">
                  <c:v>1.2585715566410967</c:v>
                </c:pt>
                <c:pt idx="4">
                  <c:v>1.6348525047242699</c:v>
                </c:pt>
                <c:pt idx="5">
                  <c:v>2.1943160791618803</c:v>
                </c:pt>
                <c:pt idx="6">
                  <c:v>2.6989700043360187</c:v>
                </c:pt>
                <c:pt idx="7">
                  <c:v>0</c:v>
                </c:pt>
                <c:pt idx="8">
                  <c:v>2.9104779206141567</c:v>
                </c:pt>
                <c:pt idx="9">
                  <c:v>3.0520976685916947</c:v>
                </c:pt>
                <c:pt idx="10">
                  <c:v>3.0248235837250332</c:v>
                </c:pt>
                <c:pt idx="11">
                  <c:v>2.9456423376774081</c:v>
                </c:pt>
                <c:pt idx="12">
                  <c:v>2.9645276818377821</c:v>
                </c:pt>
                <c:pt idx="13">
                  <c:v>2.8495071589193124</c:v>
                </c:pt>
                <c:pt idx="14">
                  <c:v>3.0558578174650011</c:v>
                </c:pt>
                <c:pt idx="15">
                  <c:v>2.915679114299965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45-40D5-B5FE-8D85503D5475}"/>
            </c:ext>
          </c:extLst>
        </c:ser>
        <c:ser>
          <c:idx val="1"/>
          <c:order val="1"/>
          <c:tx>
            <c:v>log change CTC1034 R17rep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'R17_rep'!$B$111:$B$126</c:f>
              <c:numCache>
                <c:formatCode>0.00</c:formatCode>
                <c:ptCount val="16"/>
                <c:pt idx="0">
                  <c:v>1</c:v>
                </c:pt>
                <c:pt idx="1">
                  <c:v>3.0000000000582077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12.166666666744277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24.166666666744277</c:v>
                </c:pt>
                <c:pt idx="9">
                  <c:v>27.083333333313931</c:v>
                </c:pt>
                <c:pt idx="10">
                  <c:v>30.083333333313931</c:v>
                </c:pt>
                <c:pt idx="11">
                  <c:v>33.083333333313931</c:v>
                </c:pt>
                <c:pt idx="12">
                  <c:v>35.833333333372138</c:v>
                </c:pt>
                <c:pt idx="13">
                  <c:v>42</c:v>
                </c:pt>
                <c:pt idx="14">
                  <c:v>48.25</c:v>
                </c:pt>
                <c:pt idx="15">
                  <c:v>54.083333333313931</c:v>
                </c:pt>
              </c:numCache>
            </c:numRef>
          </c:xVal>
          <c:yVal>
            <c:numRef>
              <c:f>'R17_rep'!$M$111:$M$126</c:f>
              <c:numCache>
                <c:formatCode>0.00</c:formatCode>
                <c:ptCount val="16"/>
                <c:pt idx="0">
                  <c:v>0</c:v>
                </c:pt>
                <c:pt idx="1">
                  <c:v>0.14893901301206647</c:v>
                </c:pt>
                <c:pt idx="2">
                  <c:v>0.62136514652334895</c:v>
                </c:pt>
                <c:pt idx="3">
                  <c:v>1.0267931765879363</c:v>
                </c:pt>
                <c:pt idx="4">
                  <c:v>1.5496719218682746</c:v>
                </c:pt>
                <c:pt idx="5">
                  <c:v>2.0122344564170112</c:v>
                </c:pt>
                <c:pt idx="6">
                  <c:v>2.3878980703778971</c:v>
                </c:pt>
                <c:pt idx="7">
                  <c:v>0</c:v>
                </c:pt>
                <c:pt idx="8">
                  <c:v>2.6398485522173618</c:v>
                </c:pt>
                <c:pt idx="9">
                  <c:v>2.6661774909397118</c:v>
                </c:pt>
                <c:pt idx="10">
                  <c:v>2.6398485522173618</c:v>
                </c:pt>
                <c:pt idx="11">
                  <c:v>2.6488033948702889</c:v>
                </c:pt>
                <c:pt idx="12">
                  <c:v>2.5268090389087701</c:v>
                </c:pt>
                <c:pt idx="13">
                  <c:v>3.1461280356782382</c:v>
                </c:pt>
                <c:pt idx="14">
                  <c:v>2.6488033948702889</c:v>
                </c:pt>
                <c:pt idx="15">
                  <c:v>2.5920757704213613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45-40D5-B5FE-8D85503D5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597128"/>
        <c:axId val="266597520"/>
      </c:scatterChart>
      <c:valAx>
        <c:axId val="266597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597520"/>
        <c:crosses val="autoZero"/>
        <c:crossBetween val="midCat"/>
      </c:valAx>
      <c:valAx>
        <c:axId val="266597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266597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'R18'!$B$10:$B$21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'R18'!$H$10:$H$21</c:f>
              <c:numCache>
                <c:formatCode>General</c:formatCode>
                <c:ptCount val="12"/>
                <c:pt idx="0" formatCode="0.00">
                  <c:v>5.2304489213782741</c:v>
                </c:pt>
                <c:pt idx="4" formatCode="0.00">
                  <c:v>6.6812412373755876</c:v>
                </c:pt>
                <c:pt idx="5" formatCode="0.00">
                  <c:v>8.1643528557844363</c:v>
                </c:pt>
                <c:pt idx="9" formatCode="0.00">
                  <c:v>8.4183012913197448</c:v>
                </c:pt>
                <c:pt idx="10" formatCode="0.00">
                  <c:v>8.214843848047698</c:v>
                </c:pt>
                <c:pt idx="11" formatCode="0.00">
                  <c:v>8.3010299956639813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B2-4E64-9DDD-7B99952AD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'R18'!$B$32:$B$43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'R18'!$H$32:$H$43</c:f>
              <c:numCache>
                <c:formatCode>General</c:formatCode>
                <c:ptCount val="12"/>
                <c:pt idx="0" formatCode="0.00">
                  <c:v>3.7781512503836434</c:v>
                </c:pt>
                <c:pt idx="4" formatCode="0.00">
                  <c:v>0</c:v>
                </c:pt>
                <c:pt idx="5" formatCode="0.00">
                  <c:v>6.6720978579357171</c:v>
                </c:pt>
                <c:pt idx="9" formatCode="0.00">
                  <c:v>7.9138138523837167</c:v>
                </c:pt>
                <c:pt idx="10" formatCode="0.00">
                  <c:v>8.2600713879850751</c:v>
                </c:pt>
                <c:pt idx="11" formatCode="0.00">
                  <c:v>8.214843848047698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49-4727-8E13-1B4567BE9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'R18'!$B$52:$B$63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'R18'!$H$52:$H$63</c:f>
              <c:numCache>
                <c:formatCode>General</c:formatCode>
                <c:ptCount val="12"/>
                <c:pt idx="0" formatCode="0.00">
                  <c:v>3.8450980400142569</c:v>
                </c:pt>
                <c:pt idx="4" formatCode="0.00">
                  <c:v>4.6106601630898796</c:v>
                </c:pt>
                <c:pt idx="5" formatCode="0.00">
                  <c:v>6.3010299956639813</c:v>
                </c:pt>
                <c:pt idx="9" formatCode="0.00">
                  <c:v>7.7307822756663889</c:v>
                </c:pt>
                <c:pt idx="10" formatCode="0.00">
                  <c:v>8.6170003411208995</c:v>
                </c:pt>
                <c:pt idx="11" formatCode="0.00">
                  <c:v>8.7528164311882719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D6-4BB6-A143-B5312956B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'R18'!$B$73:$B$84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'R18'!$H$73:$H$84</c:f>
              <c:numCache>
                <c:formatCode>0.00</c:formatCode>
                <c:ptCount val="12"/>
                <c:pt idx="0">
                  <c:v>5.2922560713564764</c:v>
                </c:pt>
                <c:pt idx="1">
                  <c:v>5.4742162640762553</c:v>
                </c:pt>
                <c:pt idx="2">
                  <c:v>5.924279286061882</c:v>
                </c:pt>
                <c:pt idx="3">
                  <c:v>6.4116197059632301</c:v>
                </c:pt>
                <c:pt idx="4">
                  <c:v>6.9138138523837167</c:v>
                </c:pt>
                <c:pt idx="5">
                  <c:v>8.1398790864012369</c:v>
                </c:pt>
                <c:pt idx="6">
                  <c:v>8.3096301674258992</c:v>
                </c:pt>
                <c:pt idx="7">
                  <c:v>8.330413773349191</c:v>
                </c:pt>
                <c:pt idx="8">
                  <c:v>8.2878017299302265</c:v>
                </c:pt>
                <c:pt idx="9">
                  <c:v>8.318063334962762</c:v>
                </c:pt>
                <c:pt idx="10">
                  <c:v>8.2878017299302265</c:v>
                </c:pt>
                <c:pt idx="11">
                  <c:v>8.214843848047698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66-44BA-B983-2B0668F304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'R18'!$B$73:$B$84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'R18'!$I$73:$I$84</c:f>
              <c:numCache>
                <c:formatCode>0.00</c:formatCode>
                <c:ptCount val="12"/>
                <c:pt idx="0">
                  <c:v>3.7634279935629373</c:v>
                </c:pt>
                <c:pt idx="1">
                  <c:v>3.7781512503836434</c:v>
                </c:pt>
                <c:pt idx="2">
                  <c:v>4.1205739312058496</c:v>
                </c:pt>
                <c:pt idx="3">
                  <c:v>4.5563025007672868</c:v>
                </c:pt>
                <c:pt idx="4">
                  <c:v>4.6551384348113825</c:v>
                </c:pt>
                <c:pt idx="5">
                  <c:v>3.332034277027518</c:v>
                </c:pt>
                <c:pt idx="6">
                  <c:v>3.188084373714938</c:v>
                </c:pt>
                <c:pt idx="7">
                  <c:v>2.1583624920952498</c:v>
                </c:pt>
                <c:pt idx="8">
                  <c:v>0.93449845124356767</c:v>
                </c:pt>
                <c:pt idx="9">
                  <c:v>1.2041199826559248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66-44BA-B983-2B0668F30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'R18'!$B$95:$B$106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'R18'!$H$95:$H$106</c:f>
              <c:numCache>
                <c:formatCode>0.00</c:formatCode>
                <c:ptCount val="12"/>
                <c:pt idx="0">
                  <c:v>3.9030899869919438</c:v>
                </c:pt>
                <c:pt idx="1">
                  <c:v>4.204119982655925</c:v>
                </c:pt>
                <c:pt idx="2">
                  <c:v>3.3010299956639813</c:v>
                </c:pt>
                <c:pt idx="3">
                  <c:v>4.7781512503836439</c:v>
                </c:pt>
                <c:pt idx="4">
                  <c:v>0</c:v>
                </c:pt>
                <c:pt idx="5">
                  <c:v>6.9030899869919438</c:v>
                </c:pt>
                <c:pt idx="6">
                  <c:v>7</c:v>
                </c:pt>
                <c:pt idx="7">
                  <c:v>7.4771212547196626</c:v>
                </c:pt>
                <c:pt idx="8">
                  <c:v>7.8573324964312681</c:v>
                </c:pt>
                <c:pt idx="9">
                  <c:v>7.982271233039568</c:v>
                </c:pt>
                <c:pt idx="10">
                  <c:v>8.318063334962762</c:v>
                </c:pt>
                <c:pt idx="11">
                  <c:v>8.2648178230095368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42-49B8-830B-A88E35250A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'R18'!$B$73:$B$84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'R18'!$I$95:$I$106</c:f>
              <c:numCache>
                <c:formatCode>0.00</c:formatCode>
                <c:ptCount val="12"/>
                <c:pt idx="0">
                  <c:v>3.5797835966168101</c:v>
                </c:pt>
                <c:pt idx="1">
                  <c:v>3.716003343634799</c:v>
                </c:pt>
                <c:pt idx="2">
                  <c:v>4.1461280356782382</c:v>
                </c:pt>
                <c:pt idx="3">
                  <c:v>4.5751878449276608</c:v>
                </c:pt>
                <c:pt idx="4">
                  <c:v>4.3424226808222066</c:v>
                </c:pt>
                <c:pt idx="5">
                  <c:v>6.2304489213782741</c:v>
                </c:pt>
                <c:pt idx="6">
                  <c:v>6.7297046213121874</c:v>
                </c:pt>
                <c:pt idx="7">
                  <c:v>7.1722136039924793</c:v>
                </c:pt>
                <c:pt idx="8">
                  <c:v>7.318063334962762</c:v>
                </c:pt>
                <c:pt idx="9">
                  <c:v>7.4435237466871254</c:v>
                </c:pt>
                <c:pt idx="10">
                  <c:v>7.3759682751322035</c:v>
                </c:pt>
                <c:pt idx="11">
                  <c:v>6.6493348587121419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42-49B8-830B-A88E35250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'R18'!$B$114:$B$125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'R18'!$H$114:$H$125</c:f>
              <c:numCache>
                <c:formatCode>0.00</c:formatCode>
                <c:ptCount val="12"/>
                <c:pt idx="0">
                  <c:v>5.424881636631067</c:v>
                </c:pt>
                <c:pt idx="1">
                  <c:v>5.5237464668115646</c:v>
                </c:pt>
                <c:pt idx="2">
                  <c:v>6.4471580313422194</c:v>
                </c:pt>
                <c:pt idx="3">
                  <c:v>6.8573324964312681</c:v>
                </c:pt>
                <c:pt idx="4">
                  <c:v>7.3010299956639813</c:v>
                </c:pt>
                <c:pt idx="5">
                  <c:v>8.3654879848908994</c:v>
                </c:pt>
                <c:pt idx="6">
                  <c:v>8.2405492482825995</c:v>
                </c:pt>
                <c:pt idx="7">
                  <c:v>8.2922560713564764</c:v>
                </c:pt>
                <c:pt idx="8">
                  <c:v>8.2304489213782741</c:v>
                </c:pt>
                <c:pt idx="9">
                  <c:v>8.3138672203691542</c:v>
                </c:pt>
                <c:pt idx="10">
                  <c:v>8.1461280356782382</c:v>
                </c:pt>
                <c:pt idx="11">
                  <c:v>8.3909351071033793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9-40D0-BE87-8DC68B7E3F5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'R18'!$B$73:$B$84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'R18'!$I$114:$I$125</c:f>
              <c:numCache>
                <c:formatCode>0.00</c:formatCode>
                <c:ptCount val="12"/>
                <c:pt idx="0">
                  <c:v>3.2041199826559246</c:v>
                </c:pt>
                <c:pt idx="1">
                  <c:v>3.7558748556724915</c:v>
                </c:pt>
                <c:pt idx="2">
                  <c:v>4.0863598306747484</c:v>
                </c:pt>
                <c:pt idx="3">
                  <c:v>4.4771212547196626</c:v>
                </c:pt>
                <c:pt idx="4">
                  <c:v>4.982271233039568</c:v>
                </c:pt>
                <c:pt idx="5">
                  <c:v>5.8325089127062366</c:v>
                </c:pt>
                <c:pt idx="6">
                  <c:v>5.6232492903979008</c:v>
                </c:pt>
                <c:pt idx="7">
                  <c:v>5.8195439355418683</c:v>
                </c:pt>
                <c:pt idx="8">
                  <c:v>5.6020599913279625</c:v>
                </c:pt>
                <c:pt idx="9">
                  <c:v>5.5563025007672868</c:v>
                </c:pt>
                <c:pt idx="10">
                  <c:v>5.6354837468149119</c:v>
                </c:pt>
                <c:pt idx="11">
                  <c:v>5.5797835966168101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29-40D0-BE87-8DC68B7E3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'R19'!$B$10:$B$21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'R19'!$H$10:$H$21</c:f>
              <c:numCache>
                <c:formatCode>General</c:formatCode>
                <c:ptCount val="12"/>
                <c:pt idx="0" formatCode="0.00">
                  <c:v>5.2833012287035492</c:v>
                </c:pt>
                <c:pt idx="4" formatCode="0.00">
                  <c:v>6.6627578316815743</c:v>
                </c:pt>
                <c:pt idx="5" formatCode="0.00">
                  <c:v>8.1583624920952502</c:v>
                </c:pt>
                <c:pt idx="9" formatCode="0.00">
                  <c:v>8.2552725051033065</c:v>
                </c:pt>
                <c:pt idx="10" formatCode="0.00">
                  <c:v>8.2405492482825995</c:v>
                </c:pt>
                <c:pt idx="11" formatCode="0.00">
                  <c:v>8.1818435879447726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C-4F7B-93DA-38F917114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'R19'!$B$32:$B$43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'R19'!$H$32:$H$43</c:f>
              <c:numCache>
                <c:formatCode>General</c:formatCode>
                <c:ptCount val="12"/>
                <c:pt idx="0" formatCode="0.00">
                  <c:v>3.6020599913279625</c:v>
                </c:pt>
                <c:pt idx="4" formatCode="0.00">
                  <c:v>0</c:v>
                </c:pt>
                <c:pt idx="5" formatCode="0.00">
                  <c:v>6.6683859166900001</c:v>
                </c:pt>
                <c:pt idx="9" formatCode="0.00">
                  <c:v>8.0413926851582254</c:v>
                </c:pt>
                <c:pt idx="10" formatCode="0.00">
                  <c:v>8.3096301674258992</c:v>
                </c:pt>
                <c:pt idx="11" formatCode="0.00">
                  <c:v>8.3424226808222066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2-4698-A0F1-70DD9370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'R19'!$B$52:$B$63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'R19'!$H$52:$H$63</c:f>
              <c:numCache>
                <c:formatCode>General</c:formatCode>
                <c:ptCount val="12"/>
                <c:pt idx="0" formatCode="0.00">
                  <c:v>3.716003343634799</c:v>
                </c:pt>
                <c:pt idx="4" formatCode="0.00">
                  <c:v>4.5843312243675305</c:v>
                </c:pt>
                <c:pt idx="5" formatCode="0.00">
                  <c:v>6</c:v>
                </c:pt>
                <c:pt idx="9" formatCode="0.00">
                  <c:v>0</c:v>
                </c:pt>
                <c:pt idx="10" formatCode="0.00">
                  <c:v>8.6148972160331354</c:v>
                </c:pt>
                <c:pt idx="11" formatCode="0.00">
                  <c:v>8.7795964912578253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89-499D-9B8A-06785C793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'R19'!$B$73:$B$84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'R19'!$H$73:$H$84</c:f>
              <c:numCache>
                <c:formatCode>0.00</c:formatCode>
                <c:ptCount val="12"/>
                <c:pt idx="0">
                  <c:v>5.1986570869544222</c:v>
                </c:pt>
                <c:pt idx="1">
                  <c:v>5.5538830266438746</c:v>
                </c:pt>
                <c:pt idx="2">
                  <c:v>6.0791812460476251</c:v>
                </c:pt>
                <c:pt idx="3">
                  <c:v>6.4345689040341991</c:v>
                </c:pt>
                <c:pt idx="4">
                  <c:v>6.8195439355418683</c:v>
                </c:pt>
                <c:pt idx="5">
                  <c:v>7.982271233039568</c:v>
                </c:pt>
                <c:pt idx="6">
                  <c:v>8.2600713879850751</c:v>
                </c:pt>
                <c:pt idx="7">
                  <c:v>8.3263358609287508</c:v>
                </c:pt>
                <c:pt idx="8">
                  <c:v>8.3344537511509316</c:v>
                </c:pt>
                <c:pt idx="9">
                  <c:v>8.3096301674258992</c:v>
                </c:pt>
                <c:pt idx="10">
                  <c:v>8.2095150145426317</c:v>
                </c:pt>
                <c:pt idx="11">
                  <c:v>8.220108088040055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5-41E1-A1CD-0653952467E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'R19'!$B$73:$B$84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'R19'!$I$73:$I$84</c:f>
              <c:numCache>
                <c:formatCode>0.00</c:formatCode>
                <c:ptCount val="12"/>
                <c:pt idx="0">
                  <c:v>3.7781512503836434</c:v>
                </c:pt>
                <c:pt idx="1">
                  <c:v>3.8325089127062362</c:v>
                </c:pt>
                <c:pt idx="2">
                  <c:v>4.1205739312058496</c:v>
                </c:pt>
                <c:pt idx="3">
                  <c:v>4.4857214264815797</c:v>
                </c:pt>
                <c:pt idx="4">
                  <c:v>4.6283889300503116</c:v>
                </c:pt>
                <c:pt idx="5">
                  <c:v>3.4156409798961542</c:v>
                </c:pt>
                <c:pt idx="6">
                  <c:v>3.1061908972634154</c:v>
                </c:pt>
                <c:pt idx="7">
                  <c:v>2.1461280356782382</c:v>
                </c:pt>
                <c:pt idx="8">
                  <c:v>1.6812412373755872</c:v>
                </c:pt>
                <c:pt idx="9">
                  <c:v>1.5314789170422551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15-41E1-A1CD-065395246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'R19'!$B$95:$B$106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'R19'!$H$95:$H$106</c:f>
              <c:numCache>
                <c:formatCode>0.00</c:formatCode>
                <c:ptCount val="12"/>
                <c:pt idx="0">
                  <c:v>4</c:v>
                </c:pt>
                <c:pt idx="1">
                  <c:v>4.0791812460476251</c:v>
                </c:pt>
                <c:pt idx="2">
                  <c:v>4.6020599913279625</c:v>
                </c:pt>
                <c:pt idx="3">
                  <c:v>5.1461280356782382</c:v>
                </c:pt>
                <c:pt idx="4">
                  <c:v>5.3010299956639813</c:v>
                </c:pt>
                <c:pt idx="5">
                  <c:v>6.7781512503836439</c:v>
                </c:pt>
                <c:pt idx="6">
                  <c:v>7.0791812460476251</c:v>
                </c:pt>
                <c:pt idx="7">
                  <c:v>7.4471580313422194</c:v>
                </c:pt>
                <c:pt idx="8">
                  <c:v>7.8325089127062366</c:v>
                </c:pt>
                <c:pt idx="9">
                  <c:v>7.9030899869919438</c:v>
                </c:pt>
                <c:pt idx="10">
                  <c:v>8.3463529744506388</c:v>
                </c:pt>
                <c:pt idx="11">
                  <c:v>9.3617278360175931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A-4185-B4E9-95F17046D25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'R19'!$B$95:$B$106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'R19'!$I$95:$I$106</c:f>
              <c:numCache>
                <c:formatCode>0.00</c:formatCode>
                <c:ptCount val="12"/>
                <c:pt idx="0">
                  <c:v>3.5314789170422549</c:v>
                </c:pt>
                <c:pt idx="1">
                  <c:v>3.8061799739838871</c:v>
                </c:pt>
                <c:pt idx="2">
                  <c:v>4.1522883443830567</c:v>
                </c:pt>
                <c:pt idx="3">
                  <c:v>4.5465426634781307</c:v>
                </c:pt>
                <c:pt idx="4">
                  <c:v>4.6646419755561253</c:v>
                </c:pt>
                <c:pt idx="5">
                  <c:v>6.3617278360175931</c:v>
                </c:pt>
                <c:pt idx="6">
                  <c:v>6.5877109650189114</c:v>
                </c:pt>
                <c:pt idx="7">
                  <c:v>7.6020599913279625</c:v>
                </c:pt>
                <c:pt idx="8">
                  <c:v>7.4329692908744054</c:v>
                </c:pt>
                <c:pt idx="9">
                  <c:v>7.5060538173181506</c:v>
                </c:pt>
                <c:pt idx="10">
                  <c:v>7.4603966372976842</c:v>
                </c:pt>
                <c:pt idx="11">
                  <c:v>5.6063813651106047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8A-4185-B4E9-95F17046D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'R19'!$B$116:$B$127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'R19'!$H$116:$H$127</c:f>
              <c:numCache>
                <c:formatCode>0.00</c:formatCode>
                <c:ptCount val="12"/>
                <c:pt idx="0">
                  <c:v>5.3909351071033793</c:v>
                </c:pt>
                <c:pt idx="1">
                  <c:v>5.4913616938342731</c:v>
                </c:pt>
                <c:pt idx="2">
                  <c:v>6.2648178230095368</c:v>
                </c:pt>
                <c:pt idx="3">
                  <c:v>6.9444826721501682</c:v>
                </c:pt>
                <c:pt idx="4">
                  <c:v>7.3617278360175931</c:v>
                </c:pt>
                <c:pt idx="5">
                  <c:v>8.2787536009528289</c:v>
                </c:pt>
                <c:pt idx="6">
                  <c:v>8.2787536009528289</c:v>
                </c:pt>
                <c:pt idx="7">
                  <c:v>8.3424226808222066</c:v>
                </c:pt>
                <c:pt idx="8">
                  <c:v>8.3944516808262168</c:v>
                </c:pt>
                <c:pt idx="9">
                  <c:v>8.2966651902615318</c:v>
                </c:pt>
                <c:pt idx="10">
                  <c:v>8.1760912590556813</c:v>
                </c:pt>
                <c:pt idx="11">
                  <c:v>8.2455126678141504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C6-4B18-84C9-126D3AE9139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'R19'!$B$116:$B$127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'R19'!$I$116:$I$127</c:f>
              <c:numCache>
                <c:formatCode>0.00</c:formatCode>
                <c:ptCount val="12"/>
                <c:pt idx="0">
                  <c:v>3.3010299956639813</c:v>
                </c:pt>
                <c:pt idx="1">
                  <c:v>3.6334684555795866</c:v>
                </c:pt>
                <c:pt idx="2">
                  <c:v>4.1238516409670858</c:v>
                </c:pt>
                <c:pt idx="3">
                  <c:v>4.5314789170422554</c:v>
                </c:pt>
                <c:pt idx="4">
                  <c:v>4.924279286061882</c:v>
                </c:pt>
                <c:pt idx="5">
                  <c:v>5.5051499783199063</c:v>
                </c:pt>
                <c:pt idx="6">
                  <c:v>5.5314789170422554</c:v>
                </c:pt>
                <c:pt idx="7">
                  <c:v>5.5051499783199063</c:v>
                </c:pt>
                <c:pt idx="8">
                  <c:v>5.8195439355418683</c:v>
                </c:pt>
                <c:pt idx="9">
                  <c:v>5.7160033436347994</c:v>
                </c:pt>
                <c:pt idx="10">
                  <c:v>5.7937903846908183</c:v>
                </c:pt>
                <c:pt idx="11">
                  <c:v>5.6627578316815743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C6-4B18-84C9-126D3AE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CTC494-R20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'R20'!$B$10:$B$21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'R20'!$H$10:$H$21</c:f>
              <c:numCache>
                <c:formatCode>General</c:formatCode>
                <c:ptCount val="12"/>
                <c:pt idx="0" formatCode="0.00">
                  <c:v>5.1643528557844371</c:v>
                </c:pt>
                <c:pt idx="4" formatCode="0.00">
                  <c:v>6.8195439355418683</c:v>
                </c:pt>
                <c:pt idx="5" formatCode="0.00">
                  <c:v>8.0334237554869503</c:v>
                </c:pt>
                <c:pt idx="9" formatCode="0.00">
                  <c:v>8.3424226808222066</c:v>
                </c:pt>
                <c:pt idx="10" formatCode="0.00">
                  <c:v>8.1875207208364635</c:v>
                </c:pt>
                <c:pt idx="11" formatCode="0.00">
                  <c:v>8.1072099696478688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7-4DF9-B230-00B477B3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23K-R20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'R20'!$B$32:$B$43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'R20'!$H$32:$H$43</c:f>
              <c:numCache>
                <c:formatCode>General</c:formatCode>
                <c:ptCount val="12"/>
                <c:pt idx="0" formatCode="0.00">
                  <c:v>3.9030899869919438</c:v>
                </c:pt>
                <c:pt idx="4" formatCode="0.00">
                  <c:v>0</c:v>
                </c:pt>
                <c:pt idx="5" formatCode="0.00">
                  <c:v>6.6702458530741238</c:v>
                </c:pt>
                <c:pt idx="9" formatCode="0.00">
                  <c:v>7.9637878273455556</c:v>
                </c:pt>
                <c:pt idx="10" formatCode="0.00">
                  <c:v>8.1522883443830558</c:v>
                </c:pt>
                <c:pt idx="11" formatCode="0.00">
                  <c:v>8.2095150145426317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64-4C3F-9622-4CAF1BADF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CTC1034-R20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'R20'!$B$52:$B$63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'R20'!$H$52:$H$63</c:f>
              <c:numCache>
                <c:formatCode>General</c:formatCode>
                <c:ptCount val="12"/>
                <c:pt idx="0" formatCode="0.00">
                  <c:v>3.8061799739838871</c:v>
                </c:pt>
                <c:pt idx="4" formatCode="0.00">
                  <c:v>4.5910646070264995</c:v>
                </c:pt>
                <c:pt idx="5" formatCode="0.00">
                  <c:v>6.2552725051033065</c:v>
                </c:pt>
                <c:pt idx="9" formatCode="0.00">
                  <c:v>7.8234742291703014</c:v>
                </c:pt>
                <c:pt idx="10" formatCode="0.00">
                  <c:v>8.653212513775344</c:v>
                </c:pt>
                <c:pt idx="11" formatCode="0.00">
                  <c:v>8.7619278384205295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78-4C71-BBFD-18C03B388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494+1034-R20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'R20'!$B$73:$B$84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'R20'!$H$73:$H$84</c:f>
              <c:numCache>
                <c:formatCode>0.00</c:formatCode>
                <c:ptCount val="12"/>
                <c:pt idx="0">
                  <c:v>5.2648178230095368</c:v>
                </c:pt>
                <c:pt idx="1">
                  <c:v>5.568201724066995</c:v>
                </c:pt>
                <c:pt idx="2">
                  <c:v>5.9138138523837167</c:v>
                </c:pt>
                <c:pt idx="3">
                  <c:v>6.4116197059632301</c:v>
                </c:pt>
                <c:pt idx="4">
                  <c:v>6.6812412373755876</c:v>
                </c:pt>
                <c:pt idx="5">
                  <c:v>8.1398790864012369</c:v>
                </c:pt>
                <c:pt idx="6">
                  <c:v>8.1931245983544621</c:v>
                </c:pt>
                <c:pt idx="7">
                  <c:v>8.3010299956639813</c:v>
                </c:pt>
                <c:pt idx="8">
                  <c:v>0</c:v>
                </c:pt>
                <c:pt idx="9">
                  <c:v>8.2405492482825995</c:v>
                </c:pt>
                <c:pt idx="10">
                  <c:v>8.1522883443830558</c:v>
                </c:pt>
                <c:pt idx="11">
                  <c:v>8.1986570869544231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59-4DD9-B06F-56717FCCBD6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'R20'!$B$73:$B$84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'R20'!$I$73:$I$84</c:f>
              <c:numCache>
                <c:formatCode>0.00</c:formatCode>
                <c:ptCount val="12"/>
                <c:pt idx="0">
                  <c:v>3.6434526764861874</c:v>
                </c:pt>
                <c:pt idx="1">
                  <c:v>3.716003343634799</c:v>
                </c:pt>
                <c:pt idx="2">
                  <c:v>4.1461280356782382</c:v>
                </c:pt>
                <c:pt idx="3">
                  <c:v>4.4563660331290427</c:v>
                </c:pt>
                <c:pt idx="4">
                  <c:v>4.5514499979728749</c:v>
                </c:pt>
                <c:pt idx="5">
                  <c:v>3.288249225571986</c:v>
                </c:pt>
                <c:pt idx="6">
                  <c:v>3.2462523122993221</c:v>
                </c:pt>
                <c:pt idx="7">
                  <c:v>2.7923916894982539</c:v>
                </c:pt>
                <c:pt idx="8">
                  <c:v>2.2764618041732443</c:v>
                </c:pt>
                <c:pt idx="9">
                  <c:v>2.173186268412274</c:v>
                </c:pt>
                <c:pt idx="10">
                  <c:v>0.6020599913279624</c:v>
                </c:pt>
                <c:pt idx="11">
                  <c:v>0.3979400086720376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59-4DD9-B06F-56717FCCB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'R20'!$B$95:$B$106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'R20'!$H$95:$H$106</c:f>
              <c:numCache>
                <c:formatCode>0.00</c:formatCode>
                <c:ptCount val="12"/>
                <c:pt idx="0">
                  <c:v>4.1461280356782382</c:v>
                </c:pt>
                <c:pt idx="1">
                  <c:v>4.0791812460476251</c:v>
                </c:pt>
                <c:pt idx="2">
                  <c:v>4.6020599913279625</c:v>
                </c:pt>
                <c:pt idx="3">
                  <c:v>3.255272505103306</c:v>
                </c:pt>
                <c:pt idx="4">
                  <c:v>0</c:v>
                </c:pt>
                <c:pt idx="5">
                  <c:v>6.7781512503836439</c:v>
                </c:pt>
                <c:pt idx="6">
                  <c:v>7.1461280356782382</c:v>
                </c:pt>
                <c:pt idx="7">
                  <c:v>7.6627578316815743</c:v>
                </c:pt>
                <c:pt idx="8">
                  <c:v>7.7634279935629369</c:v>
                </c:pt>
                <c:pt idx="9">
                  <c:v>7.9444826721501682</c:v>
                </c:pt>
                <c:pt idx="10">
                  <c:v>8.214843848047698</c:v>
                </c:pt>
                <c:pt idx="11">
                  <c:v>8.3096301674258992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1E-4F27-8199-477C6F8D2A4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'R20'!$B$95:$B$106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'R20'!$I$95:$I$106</c:f>
              <c:numCache>
                <c:formatCode>0.00</c:formatCode>
                <c:ptCount val="12"/>
                <c:pt idx="0">
                  <c:v>3.4149733479708178</c:v>
                </c:pt>
                <c:pt idx="1">
                  <c:v>4.0253058652647704</c:v>
                </c:pt>
                <c:pt idx="2">
                  <c:v>4.1583624920952493</c:v>
                </c:pt>
                <c:pt idx="3">
                  <c:v>4.3909351071033793</c:v>
                </c:pt>
                <c:pt idx="4">
                  <c:v>4.5910646070264995</c:v>
                </c:pt>
                <c:pt idx="5">
                  <c:v>6.2552725051033065</c:v>
                </c:pt>
                <c:pt idx="6">
                  <c:v>6.7168377232995242</c:v>
                </c:pt>
                <c:pt idx="7">
                  <c:v>7.0569048513364727</c:v>
                </c:pt>
                <c:pt idx="8">
                  <c:v>7.3283796034387381</c:v>
                </c:pt>
                <c:pt idx="9">
                  <c:v>7.3222192947339195</c:v>
                </c:pt>
                <c:pt idx="10">
                  <c:v>7.3679767852945943</c:v>
                </c:pt>
                <c:pt idx="11">
                  <c:v>5.5865873046717551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1E-4F27-8199-477C6F8D2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 b="1"/>
              <a:t>23K+1034-R20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'R20'!$B$115:$B$126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'R20'!$H$115:$H$126</c:f>
              <c:numCache>
                <c:formatCode>0.00</c:formatCode>
                <c:ptCount val="12"/>
                <c:pt idx="0">
                  <c:v>5.4048337166199385</c:v>
                </c:pt>
                <c:pt idx="1">
                  <c:v>5.4623979978989565</c:v>
                </c:pt>
                <c:pt idx="2">
                  <c:v>6.3502480183341632</c:v>
                </c:pt>
                <c:pt idx="3">
                  <c:v>6.8920946026904808</c:v>
                </c:pt>
                <c:pt idx="4">
                  <c:v>7.3096301674258983</c:v>
                </c:pt>
                <c:pt idx="5">
                  <c:v>8.2648178230095368</c:v>
                </c:pt>
                <c:pt idx="6">
                  <c:v>8.2304489213782741</c:v>
                </c:pt>
                <c:pt idx="7">
                  <c:v>8.2787536009528289</c:v>
                </c:pt>
                <c:pt idx="8">
                  <c:v>8.2695129442179169</c:v>
                </c:pt>
                <c:pt idx="9">
                  <c:v>8.3765769570565123</c:v>
                </c:pt>
                <c:pt idx="10">
                  <c:v>8.4313637641589878</c:v>
                </c:pt>
                <c:pt idx="11">
                  <c:v>8.2600713879850751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6E-4640-BF16-F4A68F3D794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'R20'!$B$115:$B$126</c:f>
              <c:numCache>
                <c:formatCode>0.00</c:formatCode>
                <c:ptCount val="12"/>
                <c:pt idx="0">
                  <c:v>1</c:v>
                </c:pt>
                <c:pt idx="1">
                  <c:v>3.25</c:v>
                </c:pt>
                <c:pt idx="2">
                  <c:v>6.0000000000582077</c:v>
                </c:pt>
                <c:pt idx="3">
                  <c:v>9.0000000000582077</c:v>
                </c:pt>
                <c:pt idx="4">
                  <c:v>12.000000000058208</c:v>
                </c:pt>
                <c:pt idx="5">
                  <c:v>24.416666666686069</c:v>
                </c:pt>
                <c:pt idx="6">
                  <c:v>27.25</c:v>
                </c:pt>
                <c:pt idx="7">
                  <c:v>30.000000000058208</c:v>
                </c:pt>
                <c:pt idx="8">
                  <c:v>33.000000000058208</c:v>
                </c:pt>
                <c:pt idx="9">
                  <c:v>35.833333333372138</c:v>
                </c:pt>
                <c:pt idx="10">
                  <c:v>48.500000000116415</c:v>
                </c:pt>
                <c:pt idx="11">
                  <c:v>54.000000000058208</c:v>
                </c:pt>
              </c:numCache>
            </c:numRef>
          </c:xVal>
          <c:yVal>
            <c:numRef>
              <c:f>'R20'!$I$115:$I$126</c:f>
              <c:numCache>
                <c:formatCode>0.00</c:formatCode>
                <c:ptCount val="12"/>
                <c:pt idx="0">
                  <c:v>3.4471580313422194</c:v>
                </c:pt>
                <c:pt idx="1">
                  <c:v>3.6901960800285138</c:v>
                </c:pt>
                <c:pt idx="2">
                  <c:v>4.0492180226701819</c:v>
                </c:pt>
                <c:pt idx="3">
                  <c:v>4.5563025007672868</c:v>
                </c:pt>
                <c:pt idx="4">
                  <c:v>4.9030899869919438</c:v>
                </c:pt>
                <c:pt idx="5">
                  <c:v>5.8450980400142569</c:v>
                </c:pt>
                <c:pt idx="6">
                  <c:v>5.7323937598229682</c:v>
                </c:pt>
                <c:pt idx="7">
                  <c:v>5.7160033436347994</c:v>
                </c:pt>
                <c:pt idx="8">
                  <c:v>5.8808135922807914</c:v>
                </c:pt>
                <c:pt idx="9">
                  <c:v>5.6989700043360187</c:v>
                </c:pt>
                <c:pt idx="10">
                  <c:v>5.4471580313422194</c:v>
                </c:pt>
                <c:pt idx="11">
                  <c:v>5.6812412373755876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6E-4640-BF16-F4A68F3D7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25224"/>
        <c:axId val="595334736"/>
      </c:scatterChart>
      <c:valAx>
        <c:axId val="59532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Time (h)</a:t>
                </a:r>
              </a:p>
            </c:rich>
          </c:tx>
          <c:layout>
            <c:manualLayout>
              <c:xMode val="edge"/>
              <c:yMode val="edge"/>
              <c:x val="0.3996318897637795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34736"/>
        <c:crosses val="autoZero"/>
        <c:crossBetween val="midCat"/>
      </c:valAx>
      <c:valAx>
        <c:axId val="59533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a-ES" b="1"/>
                  <a:t>Log (cfu/mL)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4711030912802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a-E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59532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7.xml"/><Relationship Id="rId13" Type="http://schemas.openxmlformats.org/officeDocument/2006/relationships/chart" Target="../charts/chart62.xml"/><Relationship Id="rId3" Type="http://schemas.openxmlformats.org/officeDocument/2006/relationships/chart" Target="../charts/chart52.xml"/><Relationship Id="rId7" Type="http://schemas.openxmlformats.org/officeDocument/2006/relationships/chart" Target="../charts/chart56.xml"/><Relationship Id="rId12" Type="http://schemas.openxmlformats.org/officeDocument/2006/relationships/chart" Target="../charts/chart61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6" Type="http://schemas.openxmlformats.org/officeDocument/2006/relationships/chart" Target="../charts/chart55.xml"/><Relationship Id="rId11" Type="http://schemas.openxmlformats.org/officeDocument/2006/relationships/chart" Target="../charts/chart60.xml"/><Relationship Id="rId5" Type="http://schemas.openxmlformats.org/officeDocument/2006/relationships/chart" Target="../charts/chart54.xml"/><Relationship Id="rId15" Type="http://schemas.openxmlformats.org/officeDocument/2006/relationships/chart" Target="../charts/chart64.xml"/><Relationship Id="rId10" Type="http://schemas.openxmlformats.org/officeDocument/2006/relationships/chart" Target="../charts/chart59.xml"/><Relationship Id="rId4" Type="http://schemas.openxmlformats.org/officeDocument/2006/relationships/chart" Target="../charts/chart53.xml"/><Relationship Id="rId9" Type="http://schemas.openxmlformats.org/officeDocument/2006/relationships/chart" Target="../charts/chart58.xml"/><Relationship Id="rId14" Type="http://schemas.openxmlformats.org/officeDocument/2006/relationships/chart" Target="../charts/chart6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5" Type="http://schemas.openxmlformats.org/officeDocument/2006/relationships/chart" Target="../charts/chart69.xml"/><Relationship Id="rId4" Type="http://schemas.openxmlformats.org/officeDocument/2006/relationships/chart" Target="../charts/chart68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7.xml"/><Relationship Id="rId13" Type="http://schemas.openxmlformats.org/officeDocument/2006/relationships/chart" Target="../charts/chart82.xml"/><Relationship Id="rId3" Type="http://schemas.openxmlformats.org/officeDocument/2006/relationships/chart" Target="../charts/chart72.xml"/><Relationship Id="rId7" Type="http://schemas.openxmlformats.org/officeDocument/2006/relationships/chart" Target="../charts/chart76.xml"/><Relationship Id="rId12" Type="http://schemas.openxmlformats.org/officeDocument/2006/relationships/chart" Target="../charts/chart81.xml"/><Relationship Id="rId2" Type="http://schemas.openxmlformats.org/officeDocument/2006/relationships/chart" Target="../charts/chart71.xml"/><Relationship Id="rId1" Type="http://schemas.openxmlformats.org/officeDocument/2006/relationships/chart" Target="../charts/chart70.xml"/><Relationship Id="rId6" Type="http://schemas.openxmlformats.org/officeDocument/2006/relationships/chart" Target="../charts/chart75.xml"/><Relationship Id="rId11" Type="http://schemas.openxmlformats.org/officeDocument/2006/relationships/chart" Target="../charts/chart80.xml"/><Relationship Id="rId5" Type="http://schemas.openxmlformats.org/officeDocument/2006/relationships/chart" Target="../charts/chart74.xml"/><Relationship Id="rId15" Type="http://schemas.openxmlformats.org/officeDocument/2006/relationships/chart" Target="../charts/chart84.xml"/><Relationship Id="rId10" Type="http://schemas.openxmlformats.org/officeDocument/2006/relationships/chart" Target="../charts/chart79.xml"/><Relationship Id="rId4" Type="http://schemas.openxmlformats.org/officeDocument/2006/relationships/chart" Target="../charts/chart73.xml"/><Relationship Id="rId9" Type="http://schemas.openxmlformats.org/officeDocument/2006/relationships/chart" Target="../charts/chart78.xml"/><Relationship Id="rId14" Type="http://schemas.openxmlformats.org/officeDocument/2006/relationships/chart" Target="../charts/chart8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5" Type="http://schemas.openxmlformats.org/officeDocument/2006/relationships/chart" Target="../charts/chart89.xml"/><Relationship Id="rId4" Type="http://schemas.openxmlformats.org/officeDocument/2006/relationships/chart" Target="../charts/chart88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2.xml"/><Relationship Id="rId2" Type="http://schemas.openxmlformats.org/officeDocument/2006/relationships/chart" Target="../charts/chart91.xml"/><Relationship Id="rId1" Type="http://schemas.openxmlformats.org/officeDocument/2006/relationships/chart" Target="../charts/chart90.xml"/><Relationship Id="rId5" Type="http://schemas.openxmlformats.org/officeDocument/2006/relationships/chart" Target="../charts/chart94.xml"/><Relationship Id="rId4" Type="http://schemas.openxmlformats.org/officeDocument/2006/relationships/chart" Target="../charts/chart9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7.xml"/><Relationship Id="rId2" Type="http://schemas.openxmlformats.org/officeDocument/2006/relationships/chart" Target="../charts/chart96.xml"/><Relationship Id="rId1" Type="http://schemas.openxmlformats.org/officeDocument/2006/relationships/chart" Target="../charts/chart95.xml"/><Relationship Id="rId5" Type="http://schemas.openxmlformats.org/officeDocument/2006/relationships/chart" Target="../charts/chart99.xml"/><Relationship Id="rId4" Type="http://schemas.openxmlformats.org/officeDocument/2006/relationships/chart" Target="../charts/chart9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2.xml"/><Relationship Id="rId2" Type="http://schemas.openxmlformats.org/officeDocument/2006/relationships/chart" Target="../charts/chart101.xml"/><Relationship Id="rId1" Type="http://schemas.openxmlformats.org/officeDocument/2006/relationships/chart" Target="../charts/chart100.xml"/><Relationship Id="rId5" Type="http://schemas.openxmlformats.org/officeDocument/2006/relationships/chart" Target="../charts/chart104.xml"/><Relationship Id="rId4" Type="http://schemas.openxmlformats.org/officeDocument/2006/relationships/chart" Target="../charts/chart103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7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5" Type="http://schemas.openxmlformats.org/officeDocument/2006/relationships/chart" Target="../charts/chart109.xml"/><Relationship Id="rId4" Type="http://schemas.openxmlformats.org/officeDocument/2006/relationships/chart" Target="../charts/chart108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7.xml"/><Relationship Id="rId13" Type="http://schemas.openxmlformats.org/officeDocument/2006/relationships/chart" Target="../charts/chart122.xml"/><Relationship Id="rId3" Type="http://schemas.openxmlformats.org/officeDocument/2006/relationships/chart" Target="../charts/chart112.xml"/><Relationship Id="rId7" Type="http://schemas.openxmlformats.org/officeDocument/2006/relationships/chart" Target="../charts/chart116.xml"/><Relationship Id="rId12" Type="http://schemas.openxmlformats.org/officeDocument/2006/relationships/chart" Target="../charts/chart121.xml"/><Relationship Id="rId2" Type="http://schemas.openxmlformats.org/officeDocument/2006/relationships/chart" Target="../charts/chart111.xml"/><Relationship Id="rId1" Type="http://schemas.openxmlformats.org/officeDocument/2006/relationships/chart" Target="../charts/chart110.xml"/><Relationship Id="rId6" Type="http://schemas.openxmlformats.org/officeDocument/2006/relationships/chart" Target="../charts/chart115.xml"/><Relationship Id="rId11" Type="http://schemas.openxmlformats.org/officeDocument/2006/relationships/chart" Target="../charts/chart120.xml"/><Relationship Id="rId5" Type="http://schemas.openxmlformats.org/officeDocument/2006/relationships/chart" Target="../charts/chart114.xml"/><Relationship Id="rId15" Type="http://schemas.openxmlformats.org/officeDocument/2006/relationships/chart" Target="../charts/chart124.xml"/><Relationship Id="rId10" Type="http://schemas.openxmlformats.org/officeDocument/2006/relationships/chart" Target="../charts/chart119.xml"/><Relationship Id="rId4" Type="http://schemas.openxmlformats.org/officeDocument/2006/relationships/chart" Target="../charts/chart113.xml"/><Relationship Id="rId9" Type="http://schemas.openxmlformats.org/officeDocument/2006/relationships/chart" Target="../charts/chart118.xml"/><Relationship Id="rId14" Type="http://schemas.openxmlformats.org/officeDocument/2006/relationships/chart" Target="../charts/chart123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7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5" Type="http://schemas.openxmlformats.org/officeDocument/2006/relationships/chart" Target="../charts/chart129.xml"/><Relationship Id="rId4" Type="http://schemas.openxmlformats.org/officeDocument/2006/relationships/chart" Target="../charts/chart128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7.xml"/><Relationship Id="rId13" Type="http://schemas.openxmlformats.org/officeDocument/2006/relationships/chart" Target="../charts/chart142.xml"/><Relationship Id="rId3" Type="http://schemas.openxmlformats.org/officeDocument/2006/relationships/chart" Target="../charts/chart132.xml"/><Relationship Id="rId7" Type="http://schemas.openxmlformats.org/officeDocument/2006/relationships/chart" Target="../charts/chart136.xml"/><Relationship Id="rId12" Type="http://schemas.openxmlformats.org/officeDocument/2006/relationships/chart" Target="../charts/chart141.xml"/><Relationship Id="rId2" Type="http://schemas.openxmlformats.org/officeDocument/2006/relationships/chart" Target="../charts/chart131.xml"/><Relationship Id="rId1" Type="http://schemas.openxmlformats.org/officeDocument/2006/relationships/chart" Target="../charts/chart130.xml"/><Relationship Id="rId6" Type="http://schemas.openxmlformats.org/officeDocument/2006/relationships/chart" Target="../charts/chart135.xml"/><Relationship Id="rId11" Type="http://schemas.openxmlformats.org/officeDocument/2006/relationships/chart" Target="../charts/chart140.xml"/><Relationship Id="rId5" Type="http://schemas.openxmlformats.org/officeDocument/2006/relationships/chart" Target="../charts/chart134.xml"/><Relationship Id="rId15" Type="http://schemas.openxmlformats.org/officeDocument/2006/relationships/chart" Target="../charts/chart144.xml"/><Relationship Id="rId10" Type="http://schemas.openxmlformats.org/officeDocument/2006/relationships/chart" Target="../charts/chart139.xml"/><Relationship Id="rId4" Type="http://schemas.openxmlformats.org/officeDocument/2006/relationships/chart" Target="../charts/chart133.xml"/><Relationship Id="rId9" Type="http://schemas.openxmlformats.org/officeDocument/2006/relationships/chart" Target="../charts/chart138.xml"/><Relationship Id="rId14" Type="http://schemas.openxmlformats.org/officeDocument/2006/relationships/chart" Target="../charts/chart143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7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5" Type="http://schemas.openxmlformats.org/officeDocument/2006/relationships/chart" Target="../charts/chart149.xml"/><Relationship Id="rId4" Type="http://schemas.openxmlformats.org/officeDocument/2006/relationships/chart" Target="../charts/chart148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7.xml"/><Relationship Id="rId13" Type="http://schemas.openxmlformats.org/officeDocument/2006/relationships/chart" Target="../charts/chart162.xml"/><Relationship Id="rId3" Type="http://schemas.openxmlformats.org/officeDocument/2006/relationships/chart" Target="../charts/chart152.xml"/><Relationship Id="rId7" Type="http://schemas.openxmlformats.org/officeDocument/2006/relationships/chart" Target="../charts/chart156.xml"/><Relationship Id="rId12" Type="http://schemas.openxmlformats.org/officeDocument/2006/relationships/chart" Target="../charts/chart161.xml"/><Relationship Id="rId2" Type="http://schemas.openxmlformats.org/officeDocument/2006/relationships/chart" Target="../charts/chart151.xml"/><Relationship Id="rId1" Type="http://schemas.openxmlformats.org/officeDocument/2006/relationships/chart" Target="../charts/chart150.xml"/><Relationship Id="rId6" Type="http://schemas.openxmlformats.org/officeDocument/2006/relationships/chart" Target="../charts/chart155.xml"/><Relationship Id="rId11" Type="http://schemas.openxmlformats.org/officeDocument/2006/relationships/chart" Target="../charts/chart160.xml"/><Relationship Id="rId5" Type="http://schemas.openxmlformats.org/officeDocument/2006/relationships/chart" Target="../charts/chart154.xml"/><Relationship Id="rId15" Type="http://schemas.openxmlformats.org/officeDocument/2006/relationships/chart" Target="../charts/chart164.xml"/><Relationship Id="rId10" Type="http://schemas.openxmlformats.org/officeDocument/2006/relationships/chart" Target="../charts/chart159.xml"/><Relationship Id="rId4" Type="http://schemas.openxmlformats.org/officeDocument/2006/relationships/chart" Target="../charts/chart153.xml"/><Relationship Id="rId9" Type="http://schemas.openxmlformats.org/officeDocument/2006/relationships/chart" Target="../charts/chart158.xml"/><Relationship Id="rId14" Type="http://schemas.openxmlformats.org/officeDocument/2006/relationships/chart" Target="../charts/chart163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7.xml"/><Relationship Id="rId2" Type="http://schemas.openxmlformats.org/officeDocument/2006/relationships/chart" Target="../charts/chart166.xml"/><Relationship Id="rId1" Type="http://schemas.openxmlformats.org/officeDocument/2006/relationships/chart" Target="../charts/chart165.xml"/><Relationship Id="rId6" Type="http://schemas.openxmlformats.org/officeDocument/2006/relationships/chart" Target="../charts/chart170.xml"/><Relationship Id="rId5" Type="http://schemas.openxmlformats.org/officeDocument/2006/relationships/chart" Target="../charts/chart169.xml"/><Relationship Id="rId4" Type="http://schemas.openxmlformats.org/officeDocument/2006/relationships/chart" Target="../charts/chart168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3.xml"/><Relationship Id="rId2" Type="http://schemas.openxmlformats.org/officeDocument/2006/relationships/chart" Target="../charts/chart172.xml"/><Relationship Id="rId1" Type="http://schemas.openxmlformats.org/officeDocument/2006/relationships/chart" Target="../charts/chart171.xml"/><Relationship Id="rId6" Type="http://schemas.openxmlformats.org/officeDocument/2006/relationships/chart" Target="../charts/chart176.xml"/><Relationship Id="rId5" Type="http://schemas.openxmlformats.org/officeDocument/2006/relationships/chart" Target="../charts/chart175.xml"/><Relationship Id="rId4" Type="http://schemas.openxmlformats.org/officeDocument/2006/relationships/chart" Target="../charts/chart17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9.xml"/><Relationship Id="rId2" Type="http://schemas.openxmlformats.org/officeDocument/2006/relationships/chart" Target="../charts/chart178.xml"/><Relationship Id="rId1" Type="http://schemas.openxmlformats.org/officeDocument/2006/relationships/chart" Target="../charts/chart177.xml"/><Relationship Id="rId6" Type="http://schemas.openxmlformats.org/officeDocument/2006/relationships/chart" Target="../charts/chart182.xml"/><Relationship Id="rId5" Type="http://schemas.openxmlformats.org/officeDocument/2006/relationships/chart" Target="../charts/chart181.xml"/><Relationship Id="rId4" Type="http://schemas.openxmlformats.org/officeDocument/2006/relationships/chart" Target="../charts/chart18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122464</xdr:rowOff>
    </xdr:from>
    <xdr:to>
      <xdr:col>13</xdr:col>
      <xdr:colOff>0</xdr:colOff>
      <xdr:row>7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ECF900-0C02-4241-9FB0-06AD45EFACBE}"/>
            </a:ext>
          </a:extLst>
        </xdr:cNvPr>
        <xdr:cNvSpPr txBox="1"/>
      </xdr:nvSpPr>
      <xdr:spPr>
        <a:xfrm>
          <a:off x="800100" y="941614"/>
          <a:ext cx="7410450" cy="53476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a-ES" sz="1100"/>
            <a:t>FeCl3 = 2mL</a:t>
          </a:r>
        </a:p>
        <a:p>
          <a:pPr algn="ctr"/>
          <a:r>
            <a:rPr lang="ca-ES" sz="1100"/>
            <a:t>Mostra = 50 uL</a:t>
          </a:r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10</xdr:col>
      <xdr:colOff>244929</xdr:colOff>
      <xdr:row>27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C34F99-132A-4CFF-8259-F065522FA82F}"/>
            </a:ext>
          </a:extLst>
        </xdr:cNvPr>
        <xdr:cNvSpPr txBox="1"/>
      </xdr:nvSpPr>
      <xdr:spPr>
        <a:xfrm>
          <a:off x="800100" y="4629150"/>
          <a:ext cx="5826579" cy="571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ca-ES" sz="1100"/>
            <a:t>FeCl3 = 1,9mL</a:t>
          </a:r>
        </a:p>
        <a:p>
          <a:pPr algn="ctr"/>
          <a:r>
            <a:rPr lang="ca-ES" sz="1100"/>
            <a:t>Mostra = 100 uL</a:t>
          </a:r>
        </a:p>
      </xdr:txBody>
    </xdr:sp>
    <xdr:clientData/>
  </xdr:twoCellAnchor>
  <xdr:twoCellAnchor>
    <xdr:from>
      <xdr:col>16</xdr:col>
      <xdr:colOff>503464</xdr:colOff>
      <xdr:row>2</xdr:row>
      <xdr:rowOff>136070</xdr:rowOff>
    </xdr:from>
    <xdr:to>
      <xdr:col>33</xdr:col>
      <xdr:colOff>0</xdr:colOff>
      <xdr:row>33</xdr:row>
      <xdr:rowOff>-1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7AEA5E-2549-4A06-A5C2-CDE322E01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633D39-33D8-459E-9DA2-0701C7B3822C}"/>
            </a:ext>
          </a:extLst>
        </xdr:cNvPr>
        <xdr:cNvSpPr txBox="1"/>
      </xdr:nvSpPr>
      <xdr:spPr>
        <a:xfrm>
          <a:off x="0" y="13456227"/>
          <a:ext cx="7020000" cy="3290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E0EEC2-FAA3-403F-9198-8E49FA6FCF93}"/>
            </a:ext>
          </a:extLst>
        </xdr:cNvPr>
        <xdr:cNvSpPr txBox="1"/>
      </xdr:nvSpPr>
      <xdr:spPr>
        <a:xfrm>
          <a:off x="0" y="17695719"/>
          <a:ext cx="7020000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11</xdr:col>
      <xdr:colOff>567170</xdr:colOff>
      <xdr:row>7</xdr:row>
      <xdr:rowOff>13855</xdr:rowOff>
    </xdr:from>
    <xdr:to>
      <xdr:col>19</xdr:col>
      <xdr:colOff>290079</xdr:colOff>
      <xdr:row>21</xdr:row>
      <xdr:rowOff>38101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A91818-7D71-4548-ADE0-35805A801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17319</xdr:colOff>
      <xdr:row>29</xdr:row>
      <xdr:rowOff>1</xdr:rowOff>
    </xdr:from>
    <xdr:to>
      <xdr:col>19</xdr:col>
      <xdr:colOff>346365</xdr:colOff>
      <xdr:row>43</xdr:row>
      <xdr:rowOff>24246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33723F6-D2B9-4FAD-A542-64A30D2A5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329046</xdr:colOff>
      <xdr:row>63</xdr:row>
      <xdr:rowOff>24246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1B3B602-ED55-463A-96F7-D45438A5B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329046</xdr:colOff>
      <xdr:row>84</xdr:row>
      <xdr:rowOff>24245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D6CE3FA-336E-4365-BEA4-BA6BF3F98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34636</xdr:colOff>
      <xdr:row>92</xdr:row>
      <xdr:rowOff>17318</xdr:rowOff>
    </xdr:from>
    <xdr:to>
      <xdr:col>19</xdr:col>
      <xdr:colOff>363682</xdr:colOff>
      <xdr:row>106</xdr:row>
      <xdr:rowOff>41564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63EA292-2983-44A0-AE16-46947B86F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111</xdr:row>
      <xdr:rowOff>25978</xdr:rowOff>
    </xdr:from>
    <xdr:to>
      <xdr:col>11</xdr:col>
      <xdr:colOff>40773</xdr:colOff>
      <xdr:row>112</xdr:row>
      <xdr:rowOff>164523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CDFE3E9-DFB6-473B-9288-BEE4ED858E22}"/>
            </a:ext>
          </a:extLst>
        </xdr:cNvPr>
        <xdr:cNvSpPr txBox="1"/>
      </xdr:nvSpPr>
      <xdr:spPr>
        <a:xfrm>
          <a:off x="0" y="21491864"/>
          <a:ext cx="8362159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LM1034 - REPETIT (5-7/04/2022)</a:t>
          </a:r>
        </a:p>
      </xdr:txBody>
    </xdr:sp>
    <xdr:clientData/>
  </xdr:twoCellAnchor>
  <xdr:twoCellAnchor>
    <xdr:from>
      <xdr:col>12</xdr:col>
      <xdr:colOff>164523</xdr:colOff>
      <xdr:row>111</xdr:row>
      <xdr:rowOff>155864</xdr:rowOff>
    </xdr:from>
    <xdr:to>
      <xdr:col>19</xdr:col>
      <xdr:colOff>493569</xdr:colOff>
      <xdr:row>126</xdr:row>
      <xdr:rowOff>41564</xdr:rowOff>
    </xdr:to>
    <xdr:graphicFrame macro="">
      <xdr:nvGraphicFramePr>
        <xdr:cNvPr id="13" name="Gráfico 10">
          <a:extLst>
            <a:ext uri="{FF2B5EF4-FFF2-40B4-BE49-F238E27FC236}">
              <a16:creationId xmlns:a16="http://schemas.microsoft.com/office/drawing/2014/main" id="{BB5243B4-4858-4ED2-9436-4CFB2FA28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AF7A7CE6-77DD-459C-8F4A-44C668093602}"/>
            </a:ext>
          </a:extLst>
        </xdr:cNvPr>
        <xdr:cNvSpPr txBox="1"/>
      </xdr:nvSpPr>
      <xdr:spPr>
        <a:xfrm>
          <a:off x="0" y="13431116"/>
          <a:ext cx="8317998" cy="3290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F8BC4759-D2E5-4C59-B2F2-75B31032C405}"/>
            </a:ext>
          </a:extLst>
        </xdr:cNvPr>
        <xdr:cNvSpPr txBox="1"/>
      </xdr:nvSpPr>
      <xdr:spPr>
        <a:xfrm>
          <a:off x="0" y="17666278"/>
          <a:ext cx="8317998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17318</xdr:colOff>
      <xdr:row>7</xdr:row>
      <xdr:rowOff>8659</xdr:rowOff>
    </xdr:from>
    <xdr:to>
      <xdr:col>19</xdr:col>
      <xdr:colOff>346363</xdr:colOff>
      <xdr:row>21</xdr:row>
      <xdr:rowOff>32905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0A59404-72BE-4515-B26F-187B8983A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8659</xdr:colOff>
      <xdr:row>29</xdr:row>
      <xdr:rowOff>8660</xdr:rowOff>
    </xdr:from>
    <xdr:to>
      <xdr:col>19</xdr:col>
      <xdr:colOff>337704</xdr:colOff>
      <xdr:row>43</xdr:row>
      <xdr:rowOff>32905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5CBF5D9-E10D-4ED2-985D-AA31F977E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0FF1CEF-FEDC-48A9-A875-A5B2F25D2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25977</xdr:colOff>
      <xdr:row>70</xdr:row>
      <xdr:rowOff>0</xdr:rowOff>
    </xdr:from>
    <xdr:to>
      <xdr:col>19</xdr:col>
      <xdr:colOff>355022</xdr:colOff>
      <xdr:row>84</xdr:row>
      <xdr:rowOff>24245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427F4F9-7E27-43C7-826A-3DA914F3C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7CDA871-AA19-4396-9DBC-190BCCDA4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110</xdr:row>
      <xdr:rowOff>43296</xdr:rowOff>
    </xdr:from>
    <xdr:to>
      <xdr:col>11</xdr:col>
      <xdr:colOff>40773</xdr:colOff>
      <xdr:row>111</xdr:row>
      <xdr:rowOff>181841</xdr:rowOff>
    </xdr:to>
    <xdr:sp macro="" textlink="">
      <xdr:nvSpPr>
        <xdr:cNvPr id="12" name="TextBox 3">
          <a:extLst>
            <a:ext uri="{FF2B5EF4-FFF2-40B4-BE49-F238E27FC236}">
              <a16:creationId xmlns:a16="http://schemas.microsoft.com/office/drawing/2014/main" id="{A8B1FD81-AC47-45E3-9F30-016D8C0BD9CA}"/>
            </a:ext>
          </a:extLst>
        </xdr:cNvPr>
        <xdr:cNvSpPr txBox="1"/>
      </xdr:nvSpPr>
      <xdr:spPr>
        <a:xfrm>
          <a:off x="0" y="21318682"/>
          <a:ext cx="8310205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 (REPETIT</a:t>
          </a:r>
          <a:r>
            <a:rPr lang="ca-ES" sz="1600" b="1" baseline="0"/>
            <a:t> 5-7/04/2022)</a:t>
          </a:r>
          <a:endParaRPr lang="ca-ES" sz="1600" b="1"/>
        </a:p>
      </xdr:txBody>
    </xdr:sp>
    <xdr:clientData/>
  </xdr:twoCellAnchor>
  <xdr:twoCellAnchor>
    <xdr:from>
      <xdr:col>13</xdr:col>
      <xdr:colOff>0</xdr:colOff>
      <xdr:row>112</xdr:row>
      <xdr:rowOff>0</xdr:rowOff>
    </xdr:from>
    <xdr:to>
      <xdr:col>20</xdr:col>
      <xdr:colOff>329046</xdr:colOff>
      <xdr:row>126</xdr:row>
      <xdr:rowOff>76200</xdr:rowOff>
    </xdr:to>
    <xdr:graphicFrame macro="">
      <xdr:nvGraphicFramePr>
        <xdr:cNvPr id="13" name="Gráfico 10">
          <a:extLst>
            <a:ext uri="{FF2B5EF4-FFF2-40B4-BE49-F238E27FC236}">
              <a16:creationId xmlns:a16="http://schemas.microsoft.com/office/drawing/2014/main" id="{1DC609B6-0EEA-4A0A-941B-23BC9FAE0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8B7F57F0-45BD-475F-8B96-5396E2C36396}"/>
            </a:ext>
          </a:extLst>
        </xdr:cNvPr>
        <xdr:cNvSpPr txBox="1"/>
      </xdr:nvSpPr>
      <xdr:spPr>
        <a:xfrm>
          <a:off x="0" y="13431116"/>
          <a:ext cx="8317998" cy="3290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5C1F797B-E54E-46CE-A5B8-ED30D282A531}"/>
            </a:ext>
          </a:extLst>
        </xdr:cNvPr>
        <xdr:cNvSpPr txBox="1"/>
      </xdr:nvSpPr>
      <xdr:spPr>
        <a:xfrm>
          <a:off x="0" y="17666278"/>
          <a:ext cx="8317998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8659</xdr:colOff>
      <xdr:row>6</xdr:row>
      <xdr:rowOff>190499</xdr:rowOff>
    </xdr:from>
    <xdr:to>
      <xdr:col>19</xdr:col>
      <xdr:colOff>337704</xdr:colOff>
      <xdr:row>21</xdr:row>
      <xdr:rowOff>24245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50EE0A-5DDD-411B-9F02-36017A947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19</xdr:col>
      <xdr:colOff>329045</xdr:colOff>
      <xdr:row>43</xdr:row>
      <xdr:rowOff>24245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5E05A75-6134-40E9-8817-54B36BFE3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84CFB26-2D52-4292-B97F-CE1D40CA8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329045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8CEB437-E3E2-4C4E-8BFE-2DDCC9852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B434AD-37B8-4EAD-911E-9DA0C5E40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111</xdr:row>
      <xdr:rowOff>34636</xdr:rowOff>
    </xdr:from>
    <xdr:to>
      <xdr:col>11</xdr:col>
      <xdr:colOff>40773</xdr:colOff>
      <xdr:row>112</xdr:row>
      <xdr:rowOff>173181</xdr:rowOff>
    </xdr:to>
    <xdr:sp macro="" textlink="">
      <xdr:nvSpPr>
        <xdr:cNvPr id="9" name="TextBox 3">
          <a:extLst>
            <a:ext uri="{FF2B5EF4-FFF2-40B4-BE49-F238E27FC236}">
              <a16:creationId xmlns:a16="http://schemas.microsoft.com/office/drawing/2014/main" id="{91A15374-C15A-4B2D-9E5A-CE00B0BEA055}"/>
            </a:ext>
          </a:extLst>
        </xdr:cNvPr>
        <xdr:cNvSpPr txBox="1"/>
      </xdr:nvSpPr>
      <xdr:spPr>
        <a:xfrm>
          <a:off x="0" y="21500522"/>
          <a:ext cx="8362159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 (REPETIT</a:t>
          </a:r>
          <a:r>
            <a:rPr lang="ca-ES" sz="1600" b="1" baseline="0"/>
            <a:t> 5-7/04/2022)</a:t>
          </a:r>
          <a:endParaRPr lang="ca-ES" sz="1600" b="1"/>
        </a:p>
      </xdr:txBody>
    </xdr:sp>
    <xdr:clientData/>
  </xdr:twoCellAnchor>
  <xdr:twoCellAnchor>
    <xdr:from>
      <xdr:col>12</xdr:col>
      <xdr:colOff>0</xdr:colOff>
      <xdr:row>112</xdr:row>
      <xdr:rowOff>0</xdr:rowOff>
    </xdr:from>
    <xdr:to>
      <xdr:col>19</xdr:col>
      <xdr:colOff>329045</xdr:colOff>
      <xdr:row>126</xdr:row>
      <xdr:rowOff>76200</xdr:rowOff>
    </xdr:to>
    <xdr:graphicFrame macro="">
      <xdr:nvGraphicFramePr>
        <xdr:cNvPr id="10" name="Gráfico 7">
          <a:extLst>
            <a:ext uri="{FF2B5EF4-FFF2-40B4-BE49-F238E27FC236}">
              <a16:creationId xmlns:a16="http://schemas.microsoft.com/office/drawing/2014/main" id="{027CF21A-FBA0-462D-9077-E76963390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DF29ED-27BA-418C-A11F-3F8B6F890235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CBAC43-0440-48B6-A1C9-6DAFBF8DCAB0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11</xdr:col>
      <xdr:colOff>567170</xdr:colOff>
      <xdr:row>7</xdr:row>
      <xdr:rowOff>13855</xdr:rowOff>
    </xdr:from>
    <xdr:to>
      <xdr:col>19</xdr:col>
      <xdr:colOff>290079</xdr:colOff>
      <xdr:row>21</xdr:row>
      <xdr:rowOff>38101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6AD29F94-D535-447F-ACAC-6A183D767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17319</xdr:colOff>
      <xdr:row>29</xdr:row>
      <xdr:rowOff>1</xdr:rowOff>
    </xdr:from>
    <xdr:to>
      <xdr:col>19</xdr:col>
      <xdr:colOff>346365</xdr:colOff>
      <xdr:row>43</xdr:row>
      <xdr:rowOff>24246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117D023D-0ACD-4724-9A21-DE049EFBE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329046</xdr:colOff>
      <xdr:row>63</xdr:row>
      <xdr:rowOff>24246</xdr:rowOff>
    </xdr:to>
    <xdr:graphicFrame macro="">
      <xdr:nvGraphicFramePr>
        <xdr:cNvPr id="6" name="Gráfico 8">
          <a:extLst>
            <a:ext uri="{FF2B5EF4-FFF2-40B4-BE49-F238E27FC236}">
              <a16:creationId xmlns:a16="http://schemas.microsoft.com/office/drawing/2014/main" id="{E439D65C-3D54-4CE8-886B-DA6BBD908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329046</xdr:colOff>
      <xdr:row>84</xdr:row>
      <xdr:rowOff>24245</xdr:rowOff>
    </xdr:to>
    <xdr:graphicFrame macro="">
      <xdr:nvGraphicFramePr>
        <xdr:cNvPr id="7" name="Gráfico 9">
          <a:extLst>
            <a:ext uri="{FF2B5EF4-FFF2-40B4-BE49-F238E27FC236}">
              <a16:creationId xmlns:a16="http://schemas.microsoft.com/office/drawing/2014/main" id="{F635FCA4-77CB-4D51-96FE-CF6982A28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34636</xdr:colOff>
      <xdr:row>92</xdr:row>
      <xdr:rowOff>17318</xdr:rowOff>
    </xdr:from>
    <xdr:to>
      <xdr:col>19</xdr:col>
      <xdr:colOff>363682</xdr:colOff>
      <xdr:row>106</xdr:row>
      <xdr:rowOff>41564</xdr:rowOff>
    </xdr:to>
    <xdr:graphicFrame macro="">
      <xdr:nvGraphicFramePr>
        <xdr:cNvPr id="8" name="Gráfico 10">
          <a:extLst>
            <a:ext uri="{FF2B5EF4-FFF2-40B4-BE49-F238E27FC236}">
              <a16:creationId xmlns:a16="http://schemas.microsoft.com/office/drawing/2014/main" id="{5E8B8BAF-97A5-45FE-B1CF-60EDFCA08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CF762F1C-F8B5-444E-ADC6-1A1498D19BF4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A3C13840-CFA9-4F1D-9A82-FBD5247B9D62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17318</xdr:colOff>
      <xdr:row>7</xdr:row>
      <xdr:rowOff>8659</xdr:rowOff>
    </xdr:from>
    <xdr:to>
      <xdr:col>19</xdr:col>
      <xdr:colOff>346363</xdr:colOff>
      <xdr:row>21</xdr:row>
      <xdr:rowOff>32905</xdr:rowOff>
    </xdr:to>
    <xdr:graphicFrame macro="">
      <xdr:nvGraphicFramePr>
        <xdr:cNvPr id="4" name="Gráfico 6">
          <a:extLst>
            <a:ext uri="{FF2B5EF4-FFF2-40B4-BE49-F238E27FC236}">
              <a16:creationId xmlns:a16="http://schemas.microsoft.com/office/drawing/2014/main" id="{8D33405A-2ECB-4F22-8C3E-34890AA09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8659</xdr:colOff>
      <xdr:row>29</xdr:row>
      <xdr:rowOff>8660</xdr:rowOff>
    </xdr:from>
    <xdr:to>
      <xdr:col>19</xdr:col>
      <xdr:colOff>337704</xdr:colOff>
      <xdr:row>43</xdr:row>
      <xdr:rowOff>32905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F4957918-3A14-401E-A695-9C4C5B854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8">
          <a:extLst>
            <a:ext uri="{FF2B5EF4-FFF2-40B4-BE49-F238E27FC236}">
              <a16:creationId xmlns:a16="http://schemas.microsoft.com/office/drawing/2014/main" id="{14CADC91-28AF-4D85-859D-2AE625893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25977</xdr:colOff>
      <xdr:row>70</xdr:row>
      <xdr:rowOff>0</xdr:rowOff>
    </xdr:from>
    <xdr:to>
      <xdr:col>19</xdr:col>
      <xdr:colOff>355022</xdr:colOff>
      <xdr:row>84</xdr:row>
      <xdr:rowOff>24245</xdr:rowOff>
    </xdr:to>
    <xdr:graphicFrame macro="">
      <xdr:nvGraphicFramePr>
        <xdr:cNvPr id="7" name="Gráfico 9">
          <a:extLst>
            <a:ext uri="{FF2B5EF4-FFF2-40B4-BE49-F238E27FC236}">
              <a16:creationId xmlns:a16="http://schemas.microsoft.com/office/drawing/2014/main" id="{6C2C1CE3-6C2F-4D61-8E15-DEAB3DE90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10">
          <a:extLst>
            <a:ext uri="{FF2B5EF4-FFF2-40B4-BE49-F238E27FC236}">
              <a16:creationId xmlns:a16="http://schemas.microsoft.com/office/drawing/2014/main" id="{4C863266-E254-4A5D-ABCF-5A9BC0ED2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B4D09EBA-4A7D-40CD-8556-DF6687D49A11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F83BF5B8-C4B1-431A-87FE-4BA187B77D18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8659</xdr:colOff>
      <xdr:row>6</xdr:row>
      <xdr:rowOff>190499</xdr:rowOff>
    </xdr:from>
    <xdr:to>
      <xdr:col>19</xdr:col>
      <xdr:colOff>337704</xdr:colOff>
      <xdr:row>21</xdr:row>
      <xdr:rowOff>24245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F20445-4BDB-46DA-A7C7-7F11333EB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19</xdr:col>
      <xdr:colOff>329045</xdr:colOff>
      <xdr:row>43</xdr:row>
      <xdr:rowOff>24245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7C3F95E-ABB6-4F7F-9555-EE0EEBDC4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7008C10-CF73-41D1-8532-24800F5AC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329045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70E60DE-A8E4-4281-BF36-51F687803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E0D6144-11F6-4B9A-9F32-C76C407A5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E7366A50-605B-40CC-BD04-D1D4C903E7C1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A6E7BD8-F0F5-433D-9378-6449EA1A00AD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11</xdr:col>
      <xdr:colOff>567170</xdr:colOff>
      <xdr:row>7</xdr:row>
      <xdr:rowOff>13855</xdr:rowOff>
    </xdr:from>
    <xdr:to>
      <xdr:col>19</xdr:col>
      <xdr:colOff>290079</xdr:colOff>
      <xdr:row>21</xdr:row>
      <xdr:rowOff>38101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9E55D54-469F-497F-A3B5-E2609DD1A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17319</xdr:colOff>
      <xdr:row>29</xdr:row>
      <xdr:rowOff>1</xdr:rowOff>
    </xdr:from>
    <xdr:to>
      <xdr:col>19</xdr:col>
      <xdr:colOff>346365</xdr:colOff>
      <xdr:row>43</xdr:row>
      <xdr:rowOff>24246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E3E571B-0CD0-4D67-9E48-5308BDEDA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329046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30A9168-22C7-4B0E-A728-A1DA6D4E7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329046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0CF6DA8-2623-4E61-8BBA-4F413EE4A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34636</xdr:colOff>
      <xdr:row>92</xdr:row>
      <xdr:rowOff>17318</xdr:rowOff>
    </xdr:from>
    <xdr:to>
      <xdr:col>19</xdr:col>
      <xdr:colOff>363682</xdr:colOff>
      <xdr:row>106</xdr:row>
      <xdr:rowOff>41564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3747BA8-B177-405F-A715-A58F4F591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1BACA2F1-C4E6-4AAF-848B-361DF3F3DA33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50B1F22B-C98E-479E-A662-9E2A04523AF8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17318</xdr:colOff>
      <xdr:row>7</xdr:row>
      <xdr:rowOff>8659</xdr:rowOff>
    </xdr:from>
    <xdr:to>
      <xdr:col>19</xdr:col>
      <xdr:colOff>346363</xdr:colOff>
      <xdr:row>21</xdr:row>
      <xdr:rowOff>32905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003C8F-CFFC-42A2-AE61-F31E9810C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8659</xdr:colOff>
      <xdr:row>29</xdr:row>
      <xdr:rowOff>8660</xdr:rowOff>
    </xdr:from>
    <xdr:to>
      <xdr:col>19</xdr:col>
      <xdr:colOff>337704</xdr:colOff>
      <xdr:row>43</xdr:row>
      <xdr:rowOff>32905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49114C2-8D12-4AC0-9681-12632702C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9205598-5426-4097-9E49-D333C0821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25977</xdr:colOff>
      <xdr:row>70</xdr:row>
      <xdr:rowOff>0</xdr:rowOff>
    </xdr:from>
    <xdr:to>
      <xdr:col>19</xdr:col>
      <xdr:colOff>355022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D6DD16A-3FDB-4A5B-B4C8-36D0C058B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C7665BD-58A6-46E5-8D9F-CC86B6AFE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969476E3-43B7-482A-9431-E5B5168BE051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4A4C55FF-24B4-408F-9432-AAAB7DFD6AD0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8659</xdr:colOff>
      <xdr:row>6</xdr:row>
      <xdr:rowOff>190499</xdr:rowOff>
    </xdr:from>
    <xdr:to>
      <xdr:col>19</xdr:col>
      <xdr:colOff>337704</xdr:colOff>
      <xdr:row>21</xdr:row>
      <xdr:rowOff>24245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921553B-AD06-4257-AA92-46126BD6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19</xdr:col>
      <xdr:colOff>329045</xdr:colOff>
      <xdr:row>43</xdr:row>
      <xdr:rowOff>24245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407203D-311D-498D-8540-818A94485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DE59428-3890-408A-9848-D8EB4F891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329045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FE55724-2CF4-4A33-B69A-CE9842711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CB3D10F-258F-4C94-969D-7A77B156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86591</xdr:rowOff>
    </xdr:from>
    <xdr:to>
      <xdr:col>11</xdr:col>
      <xdr:colOff>40773</xdr:colOff>
      <xdr:row>82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E2B73E88-A42B-4D6D-9036-05A36943951A}"/>
            </a:ext>
          </a:extLst>
        </xdr:cNvPr>
        <xdr:cNvSpPr txBox="1"/>
      </xdr:nvSpPr>
      <xdr:spPr>
        <a:xfrm>
          <a:off x="0" y="15218641"/>
          <a:ext cx="8848223" cy="32269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107</xdr:row>
      <xdr:rowOff>83128</xdr:rowOff>
    </xdr:from>
    <xdr:to>
      <xdr:col>11</xdr:col>
      <xdr:colOff>40773</xdr:colOff>
      <xdr:row>108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BB7F381A-2754-4698-ACB0-D776363C1194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 txBox="1"/>
      </xdr:nvSpPr>
      <xdr:spPr>
        <a:xfrm>
          <a:off x="0" y="20053878"/>
          <a:ext cx="8848223" cy="32269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18</xdr:col>
      <xdr:colOff>109512</xdr:colOff>
      <xdr:row>6</xdr:row>
      <xdr:rowOff>78440</xdr:rowOff>
    </xdr:from>
    <xdr:to>
      <xdr:col>25</xdr:col>
      <xdr:colOff>438557</xdr:colOff>
      <xdr:row>24</xdr:row>
      <xdr:rowOff>102686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1F1BCE-4D1D-4AFD-88D9-EA7CC5E75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593912</xdr:colOff>
      <xdr:row>31</xdr:row>
      <xdr:rowOff>168088</xdr:rowOff>
    </xdr:from>
    <xdr:to>
      <xdr:col>25</xdr:col>
      <xdr:colOff>317839</xdr:colOff>
      <xdr:row>50</xdr:row>
      <xdr:rowOff>1833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833A09A-A921-42D7-91F8-1A812BF04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291353</xdr:colOff>
      <xdr:row>56</xdr:row>
      <xdr:rowOff>145676</xdr:rowOff>
    </xdr:from>
    <xdr:to>
      <xdr:col>26</xdr:col>
      <xdr:colOff>15280</xdr:colOff>
      <xdr:row>74</xdr:row>
      <xdr:rowOff>169922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DF8C17D-C37F-4D10-8479-C32C47077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358588</xdr:colOff>
      <xdr:row>79</xdr:row>
      <xdr:rowOff>78441</xdr:rowOff>
    </xdr:from>
    <xdr:to>
      <xdr:col>26</xdr:col>
      <xdr:colOff>82515</xdr:colOff>
      <xdr:row>96</xdr:row>
      <xdr:rowOff>102686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881E4CB-957A-4B2C-B865-5737ED345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549088</xdr:colOff>
      <xdr:row>106</xdr:row>
      <xdr:rowOff>123265</xdr:rowOff>
    </xdr:from>
    <xdr:to>
      <xdr:col>26</xdr:col>
      <xdr:colOff>273015</xdr:colOff>
      <xdr:row>124</xdr:row>
      <xdr:rowOff>147511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9F45724-65F7-4055-B251-54B2EEFFC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549088</xdr:colOff>
      <xdr:row>6</xdr:row>
      <xdr:rowOff>145677</xdr:rowOff>
    </xdr:from>
    <xdr:to>
      <xdr:col>34</xdr:col>
      <xdr:colOff>280147</xdr:colOff>
      <xdr:row>24</xdr:row>
      <xdr:rowOff>177053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A9E7F08-6314-4FEF-A914-B70FAD885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358588</xdr:colOff>
      <xdr:row>79</xdr:row>
      <xdr:rowOff>78441</xdr:rowOff>
    </xdr:from>
    <xdr:to>
      <xdr:col>37</xdr:col>
      <xdr:colOff>89647</xdr:colOff>
      <xdr:row>96</xdr:row>
      <xdr:rowOff>109817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6716A36-B7AF-467D-B809-9916B9EC1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381000</xdr:colOff>
      <xdr:row>31</xdr:row>
      <xdr:rowOff>134470</xdr:rowOff>
    </xdr:from>
    <xdr:to>
      <xdr:col>36</xdr:col>
      <xdr:colOff>112059</xdr:colOff>
      <xdr:row>49</xdr:row>
      <xdr:rowOff>165847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37AC95F-D6FD-467C-9188-E3E61B380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246530</xdr:colOff>
      <xdr:row>56</xdr:row>
      <xdr:rowOff>56029</xdr:rowOff>
    </xdr:from>
    <xdr:to>
      <xdr:col>36</xdr:col>
      <xdr:colOff>582707</xdr:colOff>
      <xdr:row>74</xdr:row>
      <xdr:rowOff>87405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6DCE49C-79F5-46EC-84B3-8A2926CA5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549088</xdr:colOff>
      <xdr:row>106</xdr:row>
      <xdr:rowOff>123265</xdr:rowOff>
    </xdr:from>
    <xdr:to>
      <xdr:col>37</xdr:col>
      <xdr:colOff>280147</xdr:colOff>
      <xdr:row>124</xdr:row>
      <xdr:rowOff>154642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3D8A7DE-2F1A-4BF5-8057-DDD0EDBBA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0</xdr:colOff>
      <xdr:row>7</xdr:row>
      <xdr:rowOff>0</xdr:rowOff>
    </xdr:from>
    <xdr:to>
      <xdr:col>43</xdr:col>
      <xdr:colOff>329044</xdr:colOff>
      <xdr:row>25</xdr:row>
      <xdr:rowOff>24246</xdr:rowOff>
    </xdr:to>
    <xdr:graphicFrame macro="">
      <xdr:nvGraphicFramePr>
        <xdr:cNvPr id="14" name="Gráfico 3">
          <a:extLst>
            <a:ext uri="{FF2B5EF4-FFF2-40B4-BE49-F238E27FC236}">
              <a16:creationId xmlns:a16="http://schemas.microsoft.com/office/drawing/2014/main" id="{1B76E253-23BF-46C2-9BA0-C4B522FF0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0</xdr:colOff>
      <xdr:row>32</xdr:row>
      <xdr:rowOff>0</xdr:rowOff>
    </xdr:from>
    <xdr:to>
      <xdr:col>44</xdr:col>
      <xdr:colOff>329045</xdr:colOff>
      <xdr:row>50</xdr:row>
      <xdr:rowOff>24247</xdr:rowOff>
    </xdr:to>
    <xdr:graphicFrame macro="">
      <xdr:nvGraphicFramePr>
        <xdr:cNvPr id="15" name="Gráfico 3">
          <a:extLst>
            <a:ext uri="{FF2B5EF4-FFF2-40B4-BE49-F238E27FC236}">
              <a16:creationId xmlns:a16="http://schemas.microsoft.com/office/drawing/2014/main" id="{92FCDD21-99C5-4E9E-A922-02E0D0A48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38</xdr:col>
      <xdr:colOff>0</xdr:colOff>
      <xdr:row>56</xdr:row>
      <xdr:rowOff>0</xdr:rowOff>
    </xdr:from>
    <xdr:to>
      <xdr:col>45</xdr:col>
      <xdr:colOff>329045</xdr:colOff>
      <xdr:row>74</xdr:row>
      <xdr:rowOff>24246</xdr:rowOff>
    </xdr:to>
    <xdr:graphicFrame macro="">
      <xdr:nvGraphicFramePr>
        <xdr:cNvPr id="16" name="Gráfico 3">
          <a:extLst>
            <a:ext uri="{FF2B5EF4-FFF2-40B4-BE49-F238E27FC236}">
              <a16:creationId xmlns:a16="http://schemas.microsoft.com/office/drawing/2014/main" id="{60F51C80-24F8-4FA9-9D7E-0C5E23575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38</xdr:col>
      <xdr:colOff>0</xdr:colOff>
      <xdr:row>79</xdr:row>
      <xdr:rowOff>0</xdr:rowOff>
    </xdr:from>
    <xdr:to>
      <xdr:col>45</xdr:col>
      <xdr:colOff>329045</xdr:colOff>
      <xdr:row>96</xdr:row>
      <xdr:rowOff>24246</xdr:rowOff>
    </xdr:to>
    <xdr:graphicFrame macro="">
      <xdr:nvGraphicFramePr>
        <xdr:cNvPr id="17" name="Gráfico 3">
          <a:extLst>
            <a:ext uri="{FF2B5EF4-FFF2-40B4-BE49-F238E27FC236}">
              <a16:creationId xmlns:a16="http://schemas.microsoft.com/office/drawing/2014/main" id="{4E4A8551-1069-470A-B6FA-BEC6E8FF8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0</xdr:colOff>
      <xdr:row>107</xdr:row>
      <xdr:rowOff>0</xdr:rowOff>
    </xdr:from>
    <xdr:to>
      <xdr:col>46</xdr:col>
      <xdr:colOff>329044</xdr:colOff>
      <xdr:row>125</xdr:row>
      <xdr:rowOff>24247</xdr:rowOff>
    </xdr:to>
    <xdr:graphicFrame macro="">
      <xdr:nvGraphicFramePr>
        <xdr:cNvPr id="18" name="Gráfico 3">
          <a:extLst>
            <a:ext uri="{FF2B5EF4-FFF2-40B4-BE49-F238E27FC236}">
              <a16:creationId xmlns:a16="http://schemas.microsoft.com/office/drawing/2014/main" id="{F808F9C5-0E63-403F-9095-7C500FB3D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B2F0F8-6931-49E5-AEA8-3C566B0EF413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EBF0CD-2F57-40F6-B26A-6207E36C933F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11</xdr:col>
      <xdr:colOff>567170</xdr:colOff>
      <xdr:row>7</xdr:row>
      <xdr:rowOff>13855</xdr:rowOff>
    </xdr:from>
    <xdr:to>
      <xdr:col>19</xdr:col>
      <xdr:colOff>290079</xdr:colOff>
      <xdr:row>21</xdr:row>
      <xdr:rowOff>38101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5D1394C9-20D3-44E4-966F-EE12C6971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17319</xdr:colOff>
      <xdr:row>29</xdr:row>
      <xdr:rowOff>1</xdr:rowOff>
    </xdr:from>
    <xdr:to>
      <xdr:col>19</xdr:col>
      <xdr:colOff>346365</xdr:colOff>
      <xdr:row>43</xdr:row>
      <xdr:rowOff>24246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F324A10A-9ADA-47F1-9198-FF2E23787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329046</xdr:colOff>
      <xdr:row>63</xdr:row>
      <xdr:rowOff>24246</xdr:rowOff>
    </xdr:to>
    <xdr:graphicFrame macro="">
      <xdr:nvGraphicFramePr>
        <xdr:cNvPr id="6" name="Gráfico 8">
          <a:extLst>
            <a:ext uri="{FF2B5EF4-FFF2-40B4-BE49-F238E27FC236}">
              <a16:creationId xmlns:a16="http://schemas.microsoft.com/office/drawing/2014/main" id="{DB1BF196-D983-4E14-A008-DFAC5CD25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329046</xdr:colOff>
      <xdr:row>84</xdr:row>
      <xdr:rowOff>24245</xdr:rowOff>
    </xdr:to>
    <xdr:graphicFrame macro="">
      <xdr:nvGraphicFramePr>
        <xdr:cNvPr id="7" name="Gráfico 9">
          <a:extLst>
            <a:ext uri="{FF2B5EF4-FFF2-40B4-BE49-F238E27FC236}">
              <a16:creationId xmlns:a16="http://schemas.microsoft.com/office/drawing/2014/main" id="{1D364160-2D7C-4BC6-BF32-B6F65F20A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34636</xdr:colOff>
      <xdr:row>92</xdr:row>
      <xdr:rowOff>17318</xdr:rowOff>
    </xdr:from>
    <xdr:to>
      <xdr:col>19</xdr:col>
      <xdr:colOff>363682</xdr:colOff>
      <xdr:row>106</xdr:row>
      <xdr:rowOff>41564</xdr:rowOff>
    </xdr:to>
    <xdr:graphicFrame macro="">
      <xdr:nvGraphicFramePr>
        <xdr:cNvPr id="8" name="Gráfico 10">
          <a:extLst>
            <a:ext uri="{FF2B5EF4-FFF2-40B4-BE49-F238E27FC236}">
              <a16:creationId xmlns:a16="http://schemas.microsoft.com/office/drawing/2014/main" id="{E085A5A5-2B99-4E0C-A922-4BC262AE8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86591</xdr:rowOff>
    </xdr:from>
    <xdr:to>
      <xdr:col>11</xdr:col>
      <xdr:colOff>40773</xdr:colOff>
      <xdr:row>82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AB05E09-D15B-44A6-904E-42A9A2AA47AC}"/>
            </a:ext>
          </a:extLst>
        </xdr:cNvPr>
        <xdr:cNvSpPr txBox="1"/>
      </xdr:nvSpPr>
      <xdr:spPr>
        <a:xfrm>
          <a:off x="0" y="15218641"/>
          <a:ext cx="8772023" cy="32269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107</xdr:row>
      <xdr:rowOff>83128</xdr:rowOff>
    </xdr:from>
    <xdr:to>
      <xdr:col>11</xdr:col>
      <xdr:colOff>40773</xdr:colOff>
      <xdr:row>108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C6578DF9-4DCF-4ECB-B7FF-BDA1BDB8C308}"/>
            </a:ext>
          </a:extLst>
        </xdr:cNvPr>
        <xdr:cNvSpPr txBox="1"/>
      </xdr:nvSpPr>
      <xdr:spPr>
        <a:xfrm>
          <a:off x="0" y="20053878"/>
          <a:ext cx="8772023" cy="32269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15</xdr:col>
      <xdr:colOff>376669</xdr:colOff>
      <xdr:row>7</xdr:row>
      <xdr:rowOff>92296</xdr:rowOff>
    </xdr:from>
    <xdr:to>
      <xdr:col>23</xdr:col>
      <xdr:colOff>99578</xdr:colOff>
      <xdr:row>25</xdr:row>
      <xdr:rowOff>116542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4F76D6-5446-4078-954E-CE05FCAB0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196614</xdr:colOff>
      <xdr:row>31</xdr:row>
      <xdr:rowOff>156884</xdr:rowOff>
    </xdr:from>
    <xdr:to>
      <xdr:col>23</xdr:col>
      <xdr:colOff>525659</xdr:colOff>
      <xdr:row>49</xdr:row>
      <xdr:rowOff>181129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6E91C6F-499A-411D-A7F5-FC98C769D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336177</xdr:colOff>
      <xdr:row>55</xdr:row>
      <xdr:rowOff>100853</xdr:rowOff>
    </xdr:from>
    <xdr:to>
      <xdr:col>24</xdr:col>
      <xdr:colOff>60105</xdr:colOff>
      <xdr:row>73</xdr:row>
      <xdr:rowOff>125099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CA1229-3FA8-4FBC-8539-7CA0C7EA9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560294</xdr:colOff>
      <xdr:row>81</xdr:row>
      <xdr:rowOff>78442</xdr:rowOff>
    </xdr:from>
    <xdr:to>
      <xdr:col>24</xdr:col>
      <xdr:colOff>284222</xdr:colOff>
      <xdr:row>99</xdr:row>
      <xdr:rowOff>102687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33D0EC5-6CF5-42B3-BE3A-7953E6A2D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382019</xdr:colOff>
      <xdr:row>106</xdr:row>
      <xdr:rowOff>162994</xdr:rowOff>
    </xdr:from>
    <xdr:to>
      <xdr:col>25</xdr:col>
      <xdr:colOff>105947</xdr:colOff>
      <xdr:row>124</xdr:row>
      <xdr:rowOff>187240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58A04D9-F775-4F68-9A29-6E72F2E72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156882</xdr:colOff>
      <xdr:row>7</xdr:row>
      <xdr:rowOff>100854</xdr:rowOff>
    </xdr:from>
    <xdr:to>
      <xdr:col>30</xdr:col>
      <xdr:colOff>493059</xdr:colOff>
      <xdr:row>25</xdr:row>
      <xdr:rowOff>132230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A1C77D-B08F-4560-8B8E-2C2458DD7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22412</xdr:colOff>
      <xdr:row>31</xdr:row>
      <xdr:rowOff>112058</xdr:rowOff>
    </xdr:from>
    <xdr:to>
      <xdr:col>31</xdr:col>
      <xdr:colOff>358588</xdr:colOff>
      <xdr:row>49</xdr:row>
      <xdr:rowOff>143435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085B49-9FF3-45AE-AD18-BF669A267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381001</xdr:colOff>
      <xdr:row>55</xdr:row>
      <xdr:rowOff>22411</xdr:rowOff>
    </xdr:from>
    <xdr:to>
      <xdr:col>32</xdr:col>
      <xdr:colOff>112059</xdr:colOff>
      <xdr:row>73</xdr:row>
      <xdr:rowOff>53787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A2B60F1-4176-4BB1-95D5-B8054AA5E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33618</xdr:colOff>
      <xdr:row>81</xdr:row>
      <xdr:rowOff>11206</xdr:rowOff>
    </xdr:from>
    <xdr:to>
      <xdr:col>32</xdr:col>
      <xdr:colOff>369794</xdr:colOff>
      <xdr:row>99</xdr:row>
      <xdr:rowOff>42582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845756A-D770-44BF-8A99-5F9FE20B6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437030</xdr:colOff>
      <xdr:row>106</xdr:row>
      <xdr:rowOff>112059</xdr:rowOff>
    </xdr:from>
    <xdr:to>
      <xdr:col>33</xdr:col>
      <xdr:colOff>168089</xdr:colOff>
      <xdr:row>124</xdr:row>
      <xdr:rowOff>143436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3794E05-BA9F-473F-9B27-F3513CF28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100853</xdr:colOff>
      <xdr:row>7</xdr:row>
      <xdr:rowOff>44824</xdr:rowOff>
    </xdr:from>
    <xdr:to>
      <xdr:col>38</xdr:col>
      <xdr:colOff>428879</xdr:colOff>
      <xdr:row>25</xdr:row>
      <xdr:rowOff>69070</xdr:rowOff>
    </xdr:to>
    <xdr:graphicFrame macro="">
      <xdr:nvGraphicFramePr>
        <xdr:cNvPr id="14" name="Gráfico 3">
          <a:extLst>
            <a:ext uri="{FF2B5EF4-FFF2-40B4-BE49-F238E27FC236}">
              <a16:creationId xmlns:a16="http://schemas.microsoft.com/office/drawing/2014/main" id="{24F52B2B-271E-4DCD-8C97-5EEB3514F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0</xdr:colOff>
      <xdr:row>32</xdr:row>
      <xdr:rowOff>0</xdr:rowOff>
    </xdr:from>
    <xdr:to>
      <xdr:col>39</xdr:col>
      <xdr:colOff>328027</xdr:colOff>
      <xdr:row>50</xdr:row>
      <xdr:rowOff>24247</xdr:rowOff>
    </xdr:to>
    <xdr:graphicFrame macro="">
      <xdr:nvGraphicFramePr>
        <xdr:cNvPr id="15" name="Gráfico 3">
          <a:extLst>
            <a:ext uri="{FF2B5EF4-FFF2-40B4-BE49-F238E27FC236}">
              <a16:creationId xmlns:a16="http://schemas.microsoft.com/office/drawing/2014/main" id="{E786891E-C7EB-409B-B9F3-F11606BCA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55</xdr:row>
      <xdr:rowOff>0</xdr:rowOff>
    </xdr:from>
    <xdr:to>
      <xdr:col>40</xdr:col>
      <xdr:colOff>328026</xdr:colOff>
      <xdr:row>73</xdr:row>
      <xdr:rowOff>24246</xdr:rowOff>
    </xdr:to>
    <xdr:graphicFrame macro="">
      <xdr:nvGraphicFramePr>
        <xdr:cNvPr id="16" name="Gráfico 3">
          <a:extLst>
            <a:ext uri="{FF2B5EF4-FFF2-40B4-BE49-F238E27FC236}">
              <a16:creationId xmlns:a16="http://schemas.microsoft.com/office/drawing/2014/main" id="{E2F97D04-7AF5-488F-9FCA-D3070386B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11206</xdr:colOff>
      <xdr:row>80</xdr:row>
      <xdr:rowOff>179294</xdr:rowOff>
    </xdr:from>
    <xdr:to>
      <xdr:col>40</xdr:col>
      <xdr:colOff>339232</xdr:colOff>
      <xdr:row>99</xdr:row>
      <xdr:rowOff>13040</xdr:rowOff>
    </xdr:to>
    <xdr:graphicFrame macro="">
      <xdr:nvGraphicFramePr>
        <xdr:cNvPr id="17" name="Gráfico 3">
          <a:extLst>
            <a:ext uri="{FF2B5EF4-FFF2-40B4-BE49-F238E27FC236}">
              <a16:creationId xmlns:a16="http://schemas.microsoft.com/office/drawing/2014/main" id="{A1847897-1494-4A24-B054-EA6F01E15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0</xdr:colOff>
      <xdr:row>107</xdr:row>
      <xdr:rowOff>0</xdr:rowOff>
    </xdr:from>
    <xdr:to>
      <xdr:col>41</xdr:col>
      <xdr:colOff>328027</xdr:colOff>
      <xdr:row>125</xdr:row>
      <xdr:rowOff>24247</xdr:rowOff>
    </xdr:to>
    <xdr:graphicFrame macro="">
      <xdr:nvGraphicFramePr>
        <xdr:cNvPr id="18" name="Gráfico 3">
          <a:extLst>
            <a:ext uri="{FF2B5EF4-FFF2-40B4-BE49-F238E27FC236}">
              <a16:creationId xmlns:a16="http://schemas.microsoft.com/office/drawing/2014/main" id="{CCBC5B2C-3EAE-4378-BCC9-2A14A7809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F7121C63-8C50-4433-BC82-E03AB9AB5DE1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E9CF7F64-1055-4309-8C7D-C4AC0A112B04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17318</xdr:colOff>
      <xdr:row>7</xdr:row>
      <xdr:rowOff>8659</xdr:rowOff>
    </xdr:from>
    <xdr:to>
      <xdr:col>19</xdr:col>
      <xdr:colOff>346363</xdr:colOff>
      <xdr:row>21</xdr:row>
      <xdr:rowOff>32905</xdr:rowOff>
    </xdr:to>
    <xdr:graphicFrame macro="">
      <xdr:nvGraphicFramePr>
        <xdr:cNvPr id="4" name="Gráfico 6">
          <a:extLst>
            <a:ext uri="{FF2B5EF4-FFF2-40B4-BE49-F238E27FC236}">
              <a16:creationId xmlns:a16="http://schemas.microsoft.com/office/drawing/2014/main" id="{82F2B63B-585C-4809-AC85-58F1C9F81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8659</xdr:colOff>
      <xdr:row>29</xdr:row>
      <xdr:rowOff>8660</xdr:rowOff>
    </xdr:from>
    <xdr:to>
      <xdr:col>19</xdr:col>
      <xdr:colOff>337704</xdr:colOff>
      <xdr:row>43</xdr:row>
      <xdr:rowOff>32905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CCA55370-BA13-4A90-8DFF-657654E8A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8">
          <a:extLst>
            <a:ext uri="{FF2B5EF4-FFF2-40B4-BE49-F238E27FC236}">
              <a16:creationId xmlns:a16="http://schemas.microsoft.com/office/drawing/2014/main" id="{76248759-9CB5-4ECC-BBBF-EC73FD2A1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25977</xdr:colOff>
      <xdr:row>70</xdr:row>
      <xdr:rowOff>0</xdr:rowOff>
    </xdr:from>
    <xdr:to>
      <xdr:col>19</xdr:col>
      <xdr:colOff>355022</xdr:colOff>
      <xdr:row>84</xdr:row>
      <xdr:rowOff>24245</xdr:rowOff>
    </xdr:to>
    <xdr:graphicFrame macro="">
      <xdr:nvGraphicFramePr>
        <xdr:cNvPr id="7" name="Gráfico 9">
          <a:extLst>
            <a:ext uri="{FF2B5EF4-FFF2-40B4-BE49-F238E27FC236}">
              <a16:creationId xmlns:a16="http://schemas.microsoft.com/office/drawing/2014/main" id="{98CD1FFC-9969-4C37-8888-EF4819D31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10">
          <a:extLst>
            <a:ext uri="{FF2B5EF4-FFF2-40B4-BE49-F238E27FC236}">
              <a16:creationId xmlns:a16="http://schemas.microsoft.com/office/drawing/2014/main" id="{A754352C-A6D8-4A8A-9FF8-56FC86868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157F30A9-3D97-4D93-98C2-364CAC189FF2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CEF9B394-8F93-4385-A24F-4BEDF6D28E29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8659</xdr:colOff>
      <xdr:row>6</xdr:row>
      <xdr:rowOff>190499</xdr:rowOff>
    </xdr:from>
    <xdr:to>
      <xdr:col>19</xdr:col>
      <xdr:colOff>337704</xdr:colOff>
      <xdr:row>21</xdr:row>
      <xdr:rowOff>24245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965FD9A-BAEB-468F-BD91-C47DCC758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19</xdr:col>
      <xdr:colOff>329045</xdr:colOff>
      <xdr:row>43</xdr:row>
      <xdr:rowOff>24245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B49512-C8FD-4A8F-8039-2671C317A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666E84D-F367-4FE6-B17B-2CCDBBE81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329045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6544CEF-E806-49C9-8623-89A30D662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55FCA09-314F-4F63-A4C3-6784DE020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8C19AE1A-BDB2-424F-B861-5B41929DB0EF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B3037EE4-5E3C-4889-811B-B60D120FBA56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11</xdr:col>
      <xdr:colOff>538018</xdr:colOff>
      <xdr:row>7</xdr:row>
      <xdr:rowOff>10680</xdr:rowOff>
    </xdr:from>
    <xdr:to>
      <xdr:col>19</xdr:col>
      <xdr:colOff>267277</xdr:colOff>
      <xdr:row>21</xdr:row>
      <xdr:rowOff>38101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B12F47E-7A4F-40AF-B5D0-3F18E3F40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17319</xdr:colOff>
      <xdr:row>29</xdr:row>
      <xdr:rowOff>1</xdr:rowOff>
    </xdr:from>
    <xdr:to>
      <xdr:col>19</xdr:col>
      <xdr:colOff>346365</xdr:colOff>
      <xdr:row>43</xdr:row>
      <xdr:rowOff>24246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CF1410C-0A22-4B97-8D9A-0E47C907A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329046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88E00BB-FD1A-45CF-85ED-4E71C6887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329046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9E88DE3-36E7-41FA-9510-254F96891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34636</xdr:colOff>
      <xdr:row>92</xdr:row>
      <xdr:rowOff>17318</xdr:rowOff>
    </xdr:from>
    <xdr:to>
      <xdr:col>19</xdr:col>
      <xdr:colOff>363682</xdr:colOff>
      <xdr:row>106</xdr:row>
      <xdr:rowOff>41564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2762E04-5B33-4EC0-84B1-EDF6D26E7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DF94C069-13C6-48B3-8C57-5324973C4805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4CF5A4E3-DF07-44E5-B78D-ADF55F59D2B3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17318</xdr:colOff>
      <xdr:row>7</xdr:row>
      <xdr:rowOff>8659</xdr:rowOff>
    </xdr:from>
    <xdr:to>
      <xdr:col>19</xdr:col>
      <xdr:colOff>346363</xdr:colOff>
      <xdr:row>21</xdr:row>
      <xdr:rowOff>32905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1E0BE6E-08DD-4093-8E32-F24535D11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8659</xdr:colOff>
      <xdr:row>29</xdr:row>
      <xdr:rowOff>8660</xdr:rowOff>
    </xdr:from>
    <xdr:to>
      <xdr:col>19</xdr:col>
      <xdr:colOff>337704</xdr:colOff>
      <xdr:row>43</xdr:row>
      <xdr:rowOff>32905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1FCC4E3-2170-4156-8839-3F12A3A1D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3B64866-2217-4B90-AD7A-551662733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25977</xdr:colOff>
      <xdr:row>70</xdr:row>
      <xdr:rowOff>0</xdr:rowOff>
    </xdr:from>
    <xdr:to>
      <xdr:col>19</xdr:col>
      <xdr:colOff>355022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C538077-47BB-4FBF-9A4C-26F96784C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27DDDA-402C-4625-8ECF-D9EEE707B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EBFF6B-ABEE-4DD6-8DD8-28A21244FA7E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F0F417-C3C2-4343-92C4-D42A7574E219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11</xdr:col>
      <xdr:colOff>567170</xdr:colOff>
      <xdr:row>7</xdr:row>
      <xdr:rowOff>13855</xdr:rowOff>
    </xdr:from>
    <xdr:to>
      <xdr:col>19</xdr:col>
      <xdr:colOff>290079</xdr:colOff>
      <xdr:row>21</xdr:row>
      <xdr:rowOff>38101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FD67F377-D705-48C8-82D7-AE0A2BA95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17319</xdr:colOff>
      <xdr:row>29</xdr:row>
      <xdr:rowOff>1</xdr:rowOff>
    </xdr:from>
    <xdr:to>
      <xdr:col>19</xdr:col>
      <xdr:colOff>346365</xdr:colOff>
      <xdr:row>43</xdr:row>
      <xdr:rowOff>24246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7B4DEE94-18AB-4C36-8ACE-49C58CB5F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329046</xdr:colOff>
      <xdr:row>63</xdr:row>
      <xdr:rowOff>24246</xdr:rowOff>
    </xdr:to>
    <xdr:graphicFrame macro="">
      <xdr:nvGraphicFramePr>
        <xdr:cNvPr id="6" name="Gráfico 8">
          <a:extLst>
            <a:ext uri="{FF2B5EF4-FFF2-40B4-BE49-F238E27FC236}">
              <a16:creationId xmlns:a16="http://schemas.microsoft.com/office/drawing/2014/main" id="{103FCF46-2318-4A75-8E57-BD6928F8C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329046</xdr:colOff>
      <xdr:row>84</xdr:row>
      <xdr:rowOff>24245</xdr:rowOff>
    </xdr:to>
    <xdr:graphicFrame macro="">
      <xdr:nvGraphicFramePr>
        <xdr:cNvPr id="7" name="Gráfico 9">
          <a:extLst>
            <a:ext uri="{FF2B5EF4-FFF2-40B4-BE49-F238E27FC236}">
              <a16:creationId xmlns:a16="http://schemas.microsoft.com/office/drawing/2014/main" id="{0040F944-0A46-4751-ACEA-1FA25CB96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34636</xdr:colOff>
      <xdr:row>92</xdr:row>
      <xdr:rowOff>17318</xdr:rowOff>
    </xdr:from>
    <xdr:to>
      <xdr:col>19</xdr:col>
      <xdr:colOff>363682</xdr:colOff>
      <xdr:row>106</xdr:row>
      <xdr:rowOff>41564</xdr:rowOff>
    </xdr:to>
    <xdr:graphicFrame macro="">
      <xdr:nvGraphicFramePr>
        <xdr:cNvPr id="8" name="Gráfico 10">
          <a:extLst>
            <a:ext uri="{FF2B5EF4-FFF2-40B4-BE49-F238E27FC236}">
              <a16:creationId xmlns:a16="http://schemas.microsoft.com/office/drawing/2014/main" id="{8F0B7F42-C61E-4462-AB7F-8EA713568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86591</xdr:rowOff>
    </xdr:from>
    <xdr:to>
      <xdr:col>11</xdr:col>
      <xdr:colOff>40773</xdr:colOff>
      <xdr:row>82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FAB58979-0B0F-4E06-AEC5-806B8E9AAB6D}"/>
            </a:ext>
          </a:extLst>
        </xdr:cNvPr>
        <xdr:cNvSpPr txBox="1"/>
      </xdr:nvSpPr>
      <xdr:spPr>
        <a:xfrm>
          <a:off x="0" y="15218641"/>
          <a:ext cx="8829173" cy="32269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107</xdr:row>
      <xdr:rowOff>83128</xdr:rowOff>
    </xdr:from>
    <xdr:to>
      <xdr:col>11</xdr:col>
      <xdr:colOff>40773</xdr:colOff>
      <xdr:row>108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3B07C21-C9E6-47AF-9C55-01EB4A62DB4C}"/>
            </a:ext>
          </a:extLst>
        </xdr:cNvPr>
        <xdr:cNvSpPr txBox="1"/>
      </xdr:nvSpPr>
      <xdr:spPr>
        <a:xfrm>
          <a:off x="0" y="20053878"/>
          <a:ext cx="8829173" cy="32269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15</xdr:col>
      <xdr:colOff>343052</xdr:colOff>
      <xdr:row>7</xdr:row>
      <xdr:rowOff>2649</xdr:rowOff>
    </xdr:from>
    <xdr:to>
      <xdr:col>22</xdr:col>
      <xdr:colOff>682284</xdr:colOff>
      <xdr:row>25</xdr:row>
      <xdr:rowOff>26895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9E26F4-1FAE-471B-83EA-1554A862A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398318</xdr:colOff>
      <xdr:row>32</xdr:row>
      <xdr:rowOff>1</xdr:rowOff>
    </xdr:from>
    <xdr:to>
      <xdr:col>23</xdr:col>
      <xdr:colOff>111041</xdr:colOff>
      <xdr:row>50</xdr:row>
      <xdr:rowOff>24246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BE6738-F65D-44DD-9C56-D95065B11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358587</xdr:colOff>
      <xdr:row>56</xdr:row>
      <xdr:rowOff>11206</xdr:rowOff>
    </xdr:from>
    <xdr:to>
      <xdr:col>23</xdr:col>
      <xdr:colOff>71310</xdr:colOff>
      <xdr:row>74</xdr:row>
      <xdr:rowOff>35452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144EDFA-9182-437D-82FE-C47B1E7D4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56030</xdr:colOff>
      <xdr:row>81</xdr:row>
      <xdr:rowOff>44824</xdr:rowOff>
    </xdr:from>
    <xdr:to>
      <xdr:col>23</xdr:col>
      <xdr:colOff>385076</xdr:colOff>
      <xdr:row>99</xdr:row>
      <xdr:rowOff>69069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04464D4-EE8D-4E7F-A4EB-CDEFA605B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57047</xdr:colOff>
      <xdr:row>107</xdr:row>
      <xdr:rowOff>6112</xdr:rowOff>
    </xdr:from>
    <xdr:to>
      <xdr:col>23</xdr:col>
      <xdr:colOff>386093</xdr:colOff>
      <xdr:row>125</xdr:row>
      <xdr:rowOff>30358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E2CBAEB-006F-4F25-9800-9ED232265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7</xdr:row>
      <xdr:rowOff>0</xdr:rowOff>
    </xdr:from>
    <xdr:to>
      <xdr:col>30</xdr:col>
      <xdr:colOff>336176</xdr:colOff>
      <xdr:row>25</xdr:row>
      <xdr:rowOff>31376</xdr:rowOff>
    </xdr:to>
    <xdr:graphicFrame macro="">
      <xdr:nvGraphicFramePr>
        <xdr:cNvPr id="9" name="Chart 11">
          <a:extLst>
            <a:ext uri="{FF2B5EF4-FFF2-40B4-BE49-F238E27FC236}">
              <a16:creationId xmlns:a16="http://schemas.microsoft.com/office/drawing/2014/main" id="{26330D9B-0E33-4FA5-BAC4-FAC6C57E1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425824</xdr:colOff>
      <xdr:row>81</xdr:row>
      <xdr:rowOff>11205</xdr:rowOff>
    </xdr:from>
    <xdr:to>
      <xdr:col>31</xdr:col>
      <xdr:colOff>156883</xdr:colOff>
      <xdr:row>99</xdr:row>
      <xdr:rowOff>42581</xdr:rowOff>
    </xdr:to>
    <xdr:graphicFrame macro="">
      <xdr:nvGraphicFramePr>
        <xdr:cNvPr id="10" name="Chart 12">
          <a:extLst>
            <a:ext uri="{FF2B5EF4-FFF2-40B4-BE49-F238E27FC236}">
              <a16:creationId xmlns:a16="http://schemas.microsoft.com/office/drawing/2014/main" id="{77A0464D-A3A8-40B9-936D-32BAAE81E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212912</xdr:colOff>
      <xdr:row>31</xdr:row>
      <xdr:rowOff>168087</xdr:rowOff>
    </xdr:from>
    <xdr:to>
      <xdr:col>30</xdr:col>
      <xdr:colOff>549088</xdr:colOff>
      <xdr:row>50</xdr:row>
      <xdr:rowOff>8964</xdr:rowOff>
    </xdr:to>
    <xdr:graphicFrame macro="">
      <xdr:nvGraphicFramePr>
        <xdr:cNvPr id="11" name="Chart 13">
          <a:extLst>
            <a:ext uri="{FF2B5EF4-FFF2-40B4-BE49-F238E27FC236}">
              <a16:creationId xmlns:a16="http://schemas.microsoft.com/office/drawing/2014/main" id="{8E48C52E-2B83-4D5B-97E0-49FFA0AB5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381001</xdr:colOff>
      <xdr:row>55</xdr:row>
      <xdr:rowOff>112058</xdr:rowOff>
    </xdr:from>
    <xdr:to>
      <xdr:col>31</xdr:col>
      <xdr:colOff>112060</xdr:colOff>
      <xdr:row>73</xdr:row>
      <xdr:rowOff>143434</xdr:rowOff>
    </xdr:to>
    <xdr:graphicFrame macro="">
      <xdr:nvGraphicFramePr>
        <xdr:cNvPr id="12" name="Chart 14">
          <a:extLst>
            <a:ext uri="{FF2B5EF4-FFF2-40B4-BE49-F238E27FC236}">
              <a16:creationId xmlns:a16="http://schemas.microsoft.com/office/drawing/2014/main" id="{763412DE-6B1D-4E2A-8AD6-19DE9B2CD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425824</xdr:colOff>
      <xdr:row>107</xdr:row>
      <xdr:rowOff>11205</xdr:rowOff>
    </xdr:from>
    <xdr:to>
      <xdr:col>31</xdr:col>
      <xdr:colOff>156883</xdr:colOff>
      <xdr:row>125</xdr:row>
      <xdr:rowOff>42582</xdr:rowOff>
    </xdr:to>
    <xdr:graphicFrame macro="">
      <xdr:nvGraphicFramePr>
        <xdr:cNvPr id="13" name="Chart 15">
          <a:extLst>
            <a:ext uri="{FF2B5EF4-FFF2-40B4-BE49-F238E27FC236}">
              <a16:creationId xmlns:a16="http://schemas.microsoft.com/office/drawing/2014/main" id="{61AE537C-A32A-4B83-AAFA-C4A6FBEE3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470647</xdr:colOff>
      <xdr:row>6</xdr:row>
      <xdr:rowOff>179295</xdr:rowOff>
    </xdr:from>
    <xdr:to>
      <xdr:col>38</xdr:col>
      <xdr:colOff>215967</xdr:colOff>
      <xdr:row>25</xdr:row>
      <xdr:rowOff>13041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310B2E07-4323-49B4-BDEC-82FBFB2F9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201706</xdr:colOff>
      <xdr:row>31</xdr:row>
      <xdr:rowOff>156882</xdr:rowOff>
    </xdr:from>
    <xdr:to>
      <xdr:col>38</xdr:col>
      <xdr:colOff>552143</xdr:colOff>
      <xdr:row>49</xdr:row>
      <xdr:rowOff>181129</xdr:rowOff>
    </xdr:to>
    <xdr:graphicFrame macro="">
      <xdr:nvGraphicFramePr>
        <xdr:cNvPr id="15" name="Gráfico 1">
          <a:extLst>
            <a:ext uri="{FF2B5EF4-FFF2-40B4-BE49-F238E27FC236}">
              <a16:creationId xmlns:a16="http://schemas.microsoft.com/office/drawing/2014/main" id="{4D8A646C-C0AC-4DFF-BC7B-85EB22C09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336177</xdr:colOff>
      <xdr:row>55</xdr:row>
      <xdr:rowOff>134471</xdr:rowOff>
    </xdr:from>
    <xdr:to>
      <xdr:col>39</xdr:col>
      <xdr:colOff>81497</xdr:colOff>
      <xdr:row>73</xdr:row>
      <xdr:rowOff>158717</xdr:rowOff>
    </xdr:to>
    <xdr:graphicFrame macro="">
      <xdr:nvGraphicFramePr>
        <xdr:cNvPr id="16" name="Gráfico 1">
          <a:extLst>
            <a:ext uri="{FF2B5EF4-FFF2-40B4-BE49-F238E27FC236}">
              <a16:creationId xmlns:a16="http://schemas.microsoft.com/office/drawing/2014/main" id="{E38D56F1-D892-404B-8D0D-F02E3CF47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212912</xdr:colOff>
      <xdr:row>81</xdr:row>
      <xdr:rowOff>22412</xdr:rowOff>
    </xdr:from>
    <xdr:to>
      <xdr:col>39</xdr:col>
      <xdr:colOff>563350</xdr:colOff>
      <xdr:row>99</xdr:row>
      <xdr:rowOff>46658</xdr:rowOff>
    </xdr:to>
    <xdr:graphicFrame macro="">
      <xdr:nvGraphicFramePr>
        <xdr:cNvPr id="17" name="Gráfico 1">
          <a:extLst>
            <a:ext uri="{FF2B5EF4-FFF2-40B4-BE49-F238E27FC236}">
              <a16:creationId xmlns:a16="http://schemas.microsoft.com/office/drawing/2014/main" id="{8422B907-ADA0-445F-B55A-2FEDA39E4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112060</xdr:colOff>
      <xdr:row>106</xdr:row>
      <xdr:rowOff>179294</xdr:rowOff>
    </xdr:from>
    <xdr:to>
      <xdr:col>39</xdr:col>
      <xdr:colOff>462498</xdr:colOff>
      <xdr:row>125</xdr:row>
      <xdr:rowOff>13041</xdr:rowOff>
    </xdr:to>
    <xdr:graphicFrame macro="">
      <xdr:nvGraphicFramePr>
        <xdr:cNvPr id="18" name="Gráfico 1">
          <a:extLst>
            <a:ext uri="{FF2B5EF4-FFF2-40B4-BE49-F238E27FC236}">
              <a16:creationId xmlns:a16="http://schemas.microsoft.com/office/drawing/2014/main" id="{CC702577-BD42-427E-B4EE-938C71EC2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B2226AD6-8338-4FD7-8808-69CFC391E060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5A986431-645A-4208-99AC-765FF5783957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17318</xdr:colOff>
      <xdr:row>7</xdr:row>
      <xdr:rowOff>8659</xdr:rowOff>
    </xdr:from>
    <xdr:to>
      <xdr:col>19</xdr:col>
      <xdr:colOff>346363</xdr:colOff>
      <xdr:row>21</xdr:row>
      <xdr:rowOff>32905</xdr:rowOff>
    </xdr:to>
    <xdr:graphicFrame macro="">
      <xdr:nvGraphicFramePr>
        <xdr:cNvPr id="4" name="Gráfico 6">
          <a:extLst>
            <a:ext uri="{FF2B5EF4-FFF2-40B4-BE49-F238E27FC236}">
              <a16:creationId xmlns:a16="http://schemas.microsoft.com/office/drawing/2014/main" id="{827D5979-4C40-4ECB-AAEF-8B912C6DD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8659</xdr:colOff>
      <xdr:row>29</xdr:row>
      <xdr:rowOff>8660</xdr:rowOff>
    </xdr:from>
    <xdr:to>
      <xdr:col>19</xdr:col>
      <xdr:colOff>337704</xdr:colOff>
      <xdr:row>43</xdr:row>
      <xdr:rowOff>32905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7BB99B39-84AD-4244-AA40-7A23F1D70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8">
          <a:extLst>
            <a:ext uri="{FF2B5EF4-FFF2-40B4-BE49-F238E27FC236}">
              <a16:creationId xmlns:a16="http://schemas.microsoft.com/office/drawing/2014/main" id="{7D49AE51-31C1-439D-A3D4-B99CF283E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25977</xdr:colOff>
      <xdr:row>70</xdr:row>
      <xdr:rowOff>0</xdr:rowOff>
    </xdr:from>
    <xdr:to>
      <xdr:col>19</xdr:col>
      <xdr:colOff>355022</xdr:colOff>
      <xdr:row>84</xdr:row>
      <xdr:rowOff>24245</xdr:rowOff>
    </xdr:to>
    <xdr:graphicFrame macro="">
      <xdr:nvGraphicFramePr>
        <xdr:cNvPr id="7" name="Gráfico 9">
          <a:extLst>
            <a:ext uri="{FF2B5EF4-FFF2-40B4-BE49-F238E27FC236}">
              <a16:creationId xmlns:a16="http://schemas.microsoft.com/office/drawing/2014/main" id="{BEB27B1C-70B2-48B2-8DD2-6D5C8C2EF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10">
          <a:extLst>
            <a:ext uri="{FF2B5EF4-FFF2-40B4-BE49-F238E27FC236}">
              <a16:creationId xmlns:a16="http://schemas.microsoft.com/office/drawing/2014/main" id="{B92A1A7A-029A-4934-B4AA-BD6A0690F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86591</xdr:rowOff>
    </xdr:from>
    <xdr:to>
      <xdr:col>11</xdr:col>
      <xdr:colOff>40773</xdr:colOff>
      <xdr:row>82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543FC917-B1E0-4F92-B223-B76418AF9FFC}"/>
            </a:ext>
          </a:extLst>
        </xdr:cNvPr>
        <xdr:cNvSpPr txBox="1"/>
      </xdr:nvSpPr>
      <xdr:spPr>
        <a:xfrm>
          <a:off x="0" y="15218641"/>
          <a:ext cx="8740273" cy="32269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107</xdr:row>
      <xdr:rowOff>83128</xdr:rowOff>
    </xdr:from>
    <xdr:to>
      <xdr:col>11</xdr:col>
      <xdr:colOff>40773</xdr:colOff>
      <xdr:row>108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79756B2D-6098-456F-83C1-C3EE0736DD83}"/>
            </a:ext>
          </a:extLst>
        </xdr:cNvPr>
        <xdr:cNvSpPr txBox="1"/>
      </xdr:nvSpPr>
      <xdr:spPr>
        <a:xfrm>
          <a:off x="0" y="20053878"/>
          <a:ext cx="8740273" cy="32269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15</xdr:col>
      <xdr:colOff>28523</xdr:colOff>
      <xdr:row>7</xdr:row>
      <xdr:rowOff>8658</xdr:rowOff>
    </xdr:from>
    <xdr:to>
      <xdr:col>22</xdr:col>
      <xdr:colOff>357568</xdr:colOff>
      <xdr:row>25</xdr:row>
      <xdr:rowOff>32904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2A622E-8E6A-42D9-973F-B8A266E04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445689</xdr:colOff>
      <xdr:row>31</xdr:row>
      <xdr:rowOff>187954</xdr:rowOff>
    </xdr:from>
    <xdr:to>
      <xdr:col>22</xdr:col>
      <xdr:colOff>169616</xdr:colOff>
      <xdr:row>50</xdr:row>
      <xdr:rowOff>21699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4036B0-4F86-4648-AF9F-02040C83F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347382</xdr:colOff>
      <xdr:row>55</xdr:row>
      <xdr:rowOff>156883</xdr:rowOff>
    </xdr:from>
    <xdr:to>
      <xdr:col>22</xdr:col>
      <xdr:colOff>194574</xdr:colOff>
      <xdr:row>73</xdr:row>
      <xdr:rowOff>181129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1FD2723-E4C6-4E82-B8F4-EE4119798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283711</xdr:colOff>
      <xdr:row>81</xdr:row>
      <xdr:rowOff>22412</xdr:rowOff>
    </xdr:from>
    <xdr:to>
      <xdr:col>26</xdr:col>
      <xdr:colOff>130903</xdr:colOff>
      <xdr:row>99</xdr:row>
      <xdr:rowOff>46657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6A19E66-813E-43EB-A4DA-A58E91035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481853</xdr:colOff>
      <xdr:row>107</xdr:row>
      <xdr:rowOff>56030</xdr:rowOff>
    </xdr:from>
    <xdr:to>
      <xdr:col>26</xdr:col>
      <xdr:colOff>329045</xdr:colOff>
      <xdr:row>125</xdr:row>
      <xdr:rowOff>80276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0E0578-0A0E-4983-876B-C0A72FF27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448235</xdr:colOff>
      <xdr:row>7</xdr:row>
      <xdr:rowOff>11206</xdr:rowOff>
    </xdr:from>
    <xdr:to>
      <xdr:col>30</xdr:col>
      <xdr:colOff>179293</xdr:colOff>
      <xdr:row>25</xdr:row>
      <xdr:rowOff>42582</xdr:rowOff>
    </xdr:to>
    <xdr:graphicFrame macro="">
      <xdr:nvGraphicFramePr>
        <xdr:cNvPr id="9" name="Chart 11">
          <a:extLst>
            <a:ext uri="{FF2B5EF4-FFF2-40B4-BE49-F238E27FC236}">
              <a16:creationId xmlns:a16="http://schemas.microsoft.com/office/drawing/2014/main" id="{8E318C8F-8FAE-4826-8CDE-100FAD365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336176</xdr:colOff>
      <xdr:row>80</xdr:row>
      <xdr:rowOff>190499</xdr:rowOff>
    </xdr:from>
    <xdr:to>
      <xdr:col>34</xdr:col>
      <xdr:colOff>67234</xdr:colOff>
      <xdr:row>99</xdr:row>
      <xdr:rowOff>31375</xdr:rowOff>
    </xdr:to>
    <xdr:graphicFrame macro="">
      <xdr:nvGraphicFramePr>
        <xdr:cNvPr id="10" name="Chart 12">
          <a:extLst>
            <a:ext uri="{FF2B5EF4-FFF2-40B4-BE49-F238E27FC236}">
              <a16:creationId xmlns:a16="http://schemas.microsoft.com/office/drawing/2014/main" id="{1E18E434-0B39-496C-A8AF-A118970E2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212912</xdr:colOff>
      <xdr:row>31</xdr:row>
      <xdr:rowOff>168087</xdr:rowOff>
    </xdr:from>
    <xdr:to>
      <xdr:col>29</xdr:col>
      <xdr:colOff>549088</xdr:colOff>
      <xdr:row>50</xdr:row>
      <xdr:rowOff>8964</xdr:rowOff>
    </xdr:to>
    <xdr:graphicFrame macro="">
      <xdr:nvGraphicFramePr>
        <xdr:cNvPr id="11" name="Chart 13">
          <a:extLst>
            <a:ext uri="{FF2B5EF4-FFF2-40B4-BE49-F238E27FC236}">
              <a16:creationId xmlns:a16="http://schemas.microsoft.com/office/drawing/2014/main" id="{C6F97D3E-0902-4F61-BA70-3A1478E07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381001</xdr:colOff>
      <xdr:row>55</xdr:row>
      <xdr:rowOff>112058</xdr:rowOff>
    </xdr:from>
    <xdr:to>
      <xdr:col>30</xdr:col>
      <xdr:colOff>112059</xdr:colOff>
      <xdr:row>73</xdr:row>
      <xdr:rowOff>143434</xdr:rowOff>
    </xdr:to>
    <xdr:graphicFrame macro="">
      <xdr:nvGraphicFramePr>
        <xdr:cNvPr id="12" name="Chart 14">
          <a:extLst>
            <a:ext uri="{FF2B5EF4-FFF2-40B4-BE49-F238E27FC236}">
              <a16:creationId xmlns:a16="http://schemas.microsoft.com/office/drawing/2014/main" id="{98D0177E-7E7F-404E-B667-90A6FAEB2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481853</xdr:colOff>
      <xdr:row>107</xdr:row>
      <xdr:rowOff>22410</xdr:rowOff>
    </xdr:from>
    <xdr:to>
      <xdr:col>34</xdr:col>
      <xdr:colOff>212911</xdr:colOff>
      <xdr:row>125</xdr:row>
      <xdr:rowOff>53787</xdr:rowOff>
    </xdr:to>
    <xdr:graphicFrame macro="">
      <xdr:nvGraphicFramePr>
        <xdr:cNvPr id="13" name="Chart 15">
          <a:extLst>
            <a:ext uri="{FF2B5EF4-FFF2-40B4-BE49-F238E27FC236}">
              <a16:creationId xmlns:a16="http://schemas.microsoft.com/office/drawing/2014/main" id="{EA7C5807-F471-4626-963A-15D3634EA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403412</xdr:colOff>
      <xdr:row>6</xdr:row>
      <xdr:rowOff>156883</xdr:rowOff>
    </xdr:from>
    <xdr:to>
      <xdr:col>38</xdr:col>
      <xdr:colOff>148732</xdr:colOff>
      <xdr:row>24</xdr:row>
      <xdr:rowOff>181129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56F8EB0A-E386-4B5B-88A6-78E840215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100854</xdr:colOff>
      <xdr:row>31</xdr:row>
      <xdr:rowOff>56030</xdr:rowOff>
    </xdr:from>
    <xdr:to>
      <xdr:col>38</xdr:col>
      <xdr:colOff>451292</xdr:colOff>
      <xdr:row>49</xdr:row>
      <xdr:rowOff>80277</xdr:rowOff>
    </xdr:to>
    <xdr:graphicFrame macro="">
      <xdr:nvGraphicFramePr>
        <xdr:cNvPr id="15" name="Gráfico 1">
          <a:extLst>
            <a:ext uri="{FF2B5EF4-FFF2-40B4-BE49-F238E27FC236}">
              <a16:creationId xmlns:a16="http://schemas.microsoft.com/office/drawing/2014/main" id="{5C30AF1D-8708-46AC-A53B-53980C028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179294</xdr:colOff>
      <xdr:row>55</xdr:row>
      <xdr:rowOff>11206</xdr:rowOff>
    </xdr:from>
    <xdr:to>
      <xdr:col>38</xdr:col>
      <xdr:colOff>529732</xdr:colOff>
      <xdr:row>73</xdr:row>
      <xdr:rowOff>35452</xdr:rowOff>
    </xdr:to>
    <xdr:graphicFrame macro="">
      <xdr:nvGraphicFramePr>
        <xdr:cNvPr id="16" name="Gráfico 1">
          <a:extLst>
            <a:ext uri="{FF2B5EF4-FFF2-40B4-BE49-F238E27FC236}">
              <a16:creationId xmlns:a16="http://schemas.microsoft.com/office/drawing/2014/main" id="{54378138-44C7-40C5-9A0F-3B73651AF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459441</xdr:colOff>
      <xdr:row>80</xdr:row>
      <xdr:rowOff>145677</xdr:rowOff>
    </xdr:from>
    <xdr:to>
      <xdr:col>42</xdr:col>
      <xdr:colOff>204762</xdr:colOff>
      <xdr:row>98</xdr:row>
      <xdr:rowOff>169923</xdr:rowOff>
    </xdr:to>
    <xdr:graphicFrame macro="">
      <xdr:nvGraphicFramePr>
        <xdr:cNvPr id="17" name="Gráfico 1">
          <a:extLst>
            <a:ext uri="{FF2B5EF4-FFF2-40B4-BE49-F238E27FC236}">
              <a16:creationId xmlns:a16="http://schemas.microsoft.com/office/drawing/2014/main" id="{2DD30F40-6193-4DBE-B92A-AB83518DF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526676</xdr:colOff>
      <xdr:row>107</xdr:row>
      <xdr:rowOff>-1</xdr:rowOff>
    </xdr:from>
    <xdr:to>
      <xdr:col>42</xdr:col>
      <xdr:colOff>271997</xdr:colOff>
      <xdr:row>125</xdr:row>
      <xdr:rowOff>24246</xdr:rowOff>
    </xdr:to>
    <xdr:graphicFrame macro="">
      <xdr:nvGraphicFramePr>
        <xdr:cNvPr id="18" name="Gráfico 1">
          <a:extLst>
            <a:ext uri="{FF2B5EF4-FFF2-40B4-BE49-F238E27FC236}">
              <a16:creationId xmlns:a16="http://schemas.microsoft.com/office/drawing/2014/main" id="{FEEABD09-AD96-4621-B154-1BCD3E6F5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39915978-CAA0-4A3E-8DE1-B95B92A69901}"/>
            </a:ext>
          </a:extLst>
        </xdr:cNvPr>
        <xdr:cNvSpPr txBox="1"/>
      </xdr:nvSpPr>
      <xdr:spPr>
        <a:xfrm>
          <a:off x="0" y="13231091"/>
          <a:ext cx="6746373" cy="2909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25CA893C-9ADF-4745-B16F-A692D9E76D5F}"/>
            </a:ext>
          </a:extLst>
        </xdr:cNvPr>
        <xdr:cNvSpPr txBox="1"/>
      </xdr:nvSpPr>
      <xdr:spPr>
        <a:xfrm>
          <a:off x="0" y="17418628"/>
          <a:ext cx="6746373" cy="300470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8659</xdr:colOff>
      <xdr:row>6</xdr:row>
      <xdr:rowOff>190499</xdr:rowOff>
    </xdr:from>
    <xdr:to>
      <xdr:col>19</xdr:col>
      <xdr:colOff>337704</xdr:colOff>
      <xdr:row>21</xdr:row>
      <xdr:rowOff>24245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7F27A4-EE5B-4D0A-ADB8-393DE83F9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19</xdr:col>
      <xdr:colOff>329045</xdr:colOff>
      <xdr:row>43</xdr:row>
      <xdr:rowOff>24245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CEC0AB-BF43-4466-94F2-C89E9C50F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FDF0E28-C68E-41F5-A12E-109D12B07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329045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47D793E-06A0-4BCF-A3F4-582F9D4C5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03110EF-2604-43F8-BAC7-F35FD6B44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86591</xdr:rowOff>
    </xdr:from>
    <xdr:to>
      <xdr:col>11</xdr:col>
      <xdr:colOff>40773</xdr:colOff>
      <xdr:row>82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16F616BA-D1A3-4E7A-A5F8-5AD8923C58DB}"/>
            </a:ext>
          </a:extLst>
        </xdr:cNvPr>
        <xdr:cNvSpPr txBox="1"/>
      </xdr:nvSpPr>
      <xdr:spPr>
        <a:xfrm>
          <a:off x="0" y="15212291"/>
          <a:ext cx="8772023" cy="32269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107</xdr:row>
      <xdr:rowOff>83128</xdr:rowOff>
    </xdr:from>
    <xdr:to>
      <xdr:col>11</xdr:col>
      <xdr:colOff>40773</xdr:colOff>
      <xdr:row>108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6393CC84-5557-49FE-B1FA-5F4863D50C66}"/>
            </a:ext>
          </a:extLst>
        </xdr:cNvPr>
        <xdr:cNvSpPr txBox="1"/>
      </xdr:nvSpPr>
      <xdr:spPr>
        <a:xfrm>
          <a:off x="0" y="20047528"/>
          <a:ext cx="8772023" cy="32269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15</xdr:col>
      <xdr:colOff>544440</xdr:colOff>
      <xdr:row>6</xdr:row>
      <xdr:rowOff>130968</xdr:rowOff>
    </xdr:from>
    <xdr:to>
      <xdr:col>23</xdr:col>
      <xdr:colOff>266266</xdr:colOff>
      <xdr:row>24</xdr:row>
      <xdr:rowOff>155214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520054-D499-4A06-9818-467D3096F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428626</xdr:colOff>
      <xdr:row>32</xdr:row>
      <xdr:rowOff>47625</xdr:rowOff>
    </xdr:from>
    <xdr:to>
      <xdr:col>23</xdr:col>
      <xdr:colOff>150452</xdr:colOff>
      <xdr:row>50</xdr:row>
      <xdr:rowOff>71870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70B967B-49A9-4E42-9DBA-025EEAB05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547688</xdr:colOff>
      <xdr:row>56</xdr:row>
      <xdr:rowOff>178594</xdr:rowOff>
    </xdr:from>
    <xdr:to>
      <xdr:col>23</xdr:col>
      <xdr:colOff>269514</xdr:colOff>
      <xdr:row>75</xdr:row>
      <xdr:rowOff>12340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C2CB211-2EDB-4DE4-9877-0E2CE27E6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488156</xdr:colOff>
      <xdr:row>82</xdr:row>
      <xdr:rowOff>130969</xdr:rowOff>
    </xdr:from>
    <xdr:to>
      <xdr:col>27</xdr:col>
      <xdr:colOff>209982</xdr:colOff>
      <xdr:row>100</xdr:row>
      <xdr:rowOff>155214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9F01CD1-91AF-4A37-A3E8-2414A0C38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464345</xdr:colOff>
      <xdr:row>108</xdr:row>
      <xdr:rowOff>35719</xdr:rowOff>
    </xdr:from>
    <xdr:to>
      <xdr:col>24</xdr:col>
      <xdr:colOff>590984</xdr:colOff>
      <xdr:row>126</xdr:row>
      <xdr:rowOff>59965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ABC19B3-FA67-476E-BFFD-C10C54750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303609</xdr:colOff>
      <xdr:row>6</xdr:row>
      <xdr:rowOff>134540</xdr:rowOff>
    </xdr:from>
    <xdr:to>
      <xdr:col>31</xdr:col>
      <xdr:colOff>17859</xdr:colOff>
      <xdr:row>24</xdr:row>
      <xdr:rowOff>163115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083CCAD-68F9-4216-9D24-1F753921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214314</xdr:colOff>
      <xdr:row>32</xdr:row>
      <xdr:rowOff>71438</xdr:rowOff>
    </xdr:from>
    <xdr:to>
      <xdr:col>30</xdr:col>
      <xdr:colOff>535783</xdr:colOff>
      <xdr:row>50</xdr:row>
      <xdr:rowOff>100013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2191ED3-911F-4BC6-B0DE-DED3A408F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333375</xdr:colOff>
      <xdr:row>56</xdr:row>
      <xdr:rowOff>154781</xdr:rowOff>
    </xdr:from>
    <xdr:to>
      <xdr:col>31</xdr:col>
      <xdr:colOff>47625</xdr:colOff>
      <xdr:row>74</xdr:row>
      <xdr:rowOff>183356</xdr:rowOff>
    </xdr:to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E7FD392F-2418-494F-B9C3-AA779FEFA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321468</xdr:colOff>
      <xdr:row>82</xdr:row>
      <xdr:rowOff>154782</xdr:rowOff>
    </xdr:from>
    <xdr:to>
      <xdr:col>35</xdr:col>
      <xdr:colOff>35718</xdr:colOff>
      <xdr:row>100</xdr:row>
      <xdr:rowOff>183357</xdr:rowOff>
    </xdr:to>
    <xdr:graphicFrame macro="">
      <xdr:nvGraphicFramePr>
        <xdr:cNvPr id="12" name="Chart 12">
          <a:extLst>
            <a:ext uri="{FF2B5EF4-FFF2-40B4-BE49-F238E27FC236}">
              <a16:creationId xmlns:a16="http://schemas.microsoft.com/office/drawing/2014/main" id="{D4AE371A-AA28-41E5-8358-A4A77253B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154781</xdr:colOff>
      <xdr:row>107</xdr:row>
      <xdr:rowOff>166687</xdr:rowOff>
    </xdr:from>
    <xdr:to>
      <xdr:col>32</xdr:col>
      <xdr:colOff>476249</xdr:colOff>
      <xdr:row>126</xdr:row>
      <xdr:rowOff>4762</xdr:rowOff>
    </xdr:to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B7D43CA8-DF59-4B67-B6FB-A2FD396FF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0</xdr:colOff>
      <xdr:row>7</xdr:row>
      <xdr:rowOff>0</xdr:rowOff>
    </xdr:from>
    <xdr:to>
      <xdr:col>39</xdr:col>
      <xdr:colOff>329044</xdr:colOff>
      <xdr:row>25</xdr:row>
      <xdr:rowOff>24246</xdr:rowOff>
    </xdr:to>
    <xdr:graphicFrame macro="">
      <xdr:nvGraphicFramePr>
        <xdr:cNvPr id="14" name="Gráfico 3">
          <a:extLst>
            <a:ext uri="{FF2B5EF4-FFF2-40B4-BE49-F238E27FC236}">
              <a16:creationId xmlns:a16="http://schemas.microsoft.com/office/drawing/2014/main" id="{C520D48A-FC47-4F66-8AE8-945DC6FB7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154781</xdr:colOff>
      <xdr:row>32</xdr:row>
      <xdr:rowOff>71437</xdr:rowOff>
    </xdr:from>
    <xdr:to>
      <xdr:col>39</xdr:col>
      <xdr:colOff>483825</xdr:colOff>
      <xdr:row>50</xdr:row>
      <xdr:rowOff>95683</xdr:rowOff>
    </xdr:to>
    <xdr:graphicFrame macro="">
      <xdr:nvGraphicFramePr>
        <xdr:cNvPr id="15" name="Gráfico 3">
          <a:extLst>
            <a:ext uri="{FF2B5EF4-FFF2-40B4-BE49-F238E27FC236}">
              <a16:creationId xmlns:a16="http://schemas.microsoft.com/office/drawing/2014/main" id="{2CF9B93A-8596-47C1-A0A6-1135C24CD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32</xdr:col>
      <xdr:colOff>321469</xdr:colOff>
      <xdr:row>56</xdr:row>
      <xdr:rowOff>154781</xdr:rowOff>
    </xdr:from>
    <xdr:to>
      <xdr:col>40</xdr:col>
      <xdr:colOff>43295</xdr:colOff>
      <xdr:row>75</xdr:row>
      <xdr:rowOff>433</xdr:rowOff>
    </xdr:to>
    <xdr:graphicFrame macro="">
      <xdr:nvGraphicFramePr>
        <xdr:cNvPr id="16" name="Gráfico 3">
          <a:extLst>
            <a:ext uri="{FF2B5EF4-FFF2-40B4-BE49-F238E27FC236}">
              <a16:creationId xmlns:a16="http://schemas.microsoft.com/office/drawing/2014/main" id="{64F97507-87D8-4E1D-A3F0-9098E000E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0</xdr:colOff>
      <xdr:row>83</xdr:row>
      <xdr:rowOff>0</xdr:rowOff>
    </xdr:from>
    <xdr:to>
      <xdr:col>43</xdr:col>
      <xdr:colOff>329044</xdr:colOff>
      <xdr:row>101</xdr:row>
      <xdr:rowOff>71871</xdr:rowOff>
    </xdr:to>
    <xdr:graphicFrame macro="">
      <xdr:nvGraphicFramePr>
        <xdr:cNvPr id="17" name="Gráfico 3">
          <a:extLst>
            <a:ext uri="{FF2B5EF4-FFF2-40B4-BE49-F238E27FC236}">
              <a16:creationId xmlns:a16="http://schemas.microsoft.com/office/drawing/2014/main" id="{1EB90D07-BFFF-4276-BF5C-A174FD86C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0</xdr:colOff>
      <xdr:row>108</xdr:row>
      <xdr:rowOff>0</xdr:rowOff>
    </xdr:from>
    <xdr:to>
      <xdr:col>41</xdr:col>
      <xdr:colOff>329045</xdr:colOff>
      <xdr:row>126</xdr:row>
      <xdr:rowOff>24246</xdr:rowOff>
    </xdr:to>
    <xdr:graphicFrame macro="">
      <xdr:nvGraphicFramePr>
        <xdr:cNvPr id="18" name="Gráfico 3">
          <a:extLst>
            <a:ext uri="{FF2B5EF4-FFF2-40B4-BE49-F238E27FC236}">
              <a16:creationId xmlns:a16="http://schemas.microsoft.com/office/drawing/2014/main" id="{A4CBF890-EF15-445B-916C-3E3BCEE6B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D54F8DC9-886E-458E-B744-815274B883C2}"/>
            </a:ext>
          </a:extLst>
        </xdr:cNvPr>
        <xdr:cNvSpPr txBox="1"/>
      </xdr:nvSpPr>
      <xdr:spPr>
        <a:xfrm>
          <a:off x="0" y="13431116"/>
          <a:ext cx="8365623" cy="3290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EC251EE1-1AC6-4ECE-A7AF-59AA5B109500}"/>
            </a:ext>
          </a:extLst>
        </xdr:cNvPr>
        <xdr:cNvSpPr txBox="1"/>
      </xdr:nvSpPr>
      <xdr:spPr>
        <a:xfrm>
          <a:off x="0" y="17666278"/>
          <a:ext cx="8365623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11</xdr:col>
      <xdr:colOff>567170</xdr:colOff>
      <xdr:row>7</xdr:row>
      <xdr:rowOff>13855</xdr:rowOff>
    </xdr:from>
    <xdr:to>
      <xdr:col>19</xdr:col>
      <xdr:colOff>290079</xdr:colOff>
      <xdr:row>21</xdr:row>
      <xdr:rowOff>38101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6E856F-3B6C-4D3A-A352-0AF40308F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17319</xdr:colOff>
      <xdr:row>29</xdr:row>
      <xdr:rowOff>1</xdr:rowOff>
    </xdr:from>
    <xdr:to>
      <xdr:col>19</xdr:col>
      <xdr:colOff>346365</xdr:colOff>
      <xdr:row>43</xdr:row>
      <xdr:rowOff>24246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9139F2-323C-4BEC-A763-700DD84C8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329046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CFF17F9-EFEC-4C54-ABCC-C884B591A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329046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DFCF980-BE43-42D8-80E4-4C2FFE225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34636</xdr:colOff>
      <xdr:row>92</xdr:row>
      <xdr:rowOff>17318</xdr:rowOff>
    </xdr:from>
    <xdr:to>
      <xdr:col>19</xdr:col>
      <xdr:colOff>363682</xdr:colOff>
      <xdr:row>106</xdr:row>
      <xdr:rowOff>41564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1E7C0C1-03D8-4D71-BEAF-A57F29D2E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112</xdr:row>
      <xdr:rowOff>0</xdr:rowOff>
    </xdr:from>
    <xdr:to>
      <xdr:col>19</xdr:col>
      <xdr:colOff>329046</xdr:colOff>
      <xdr:row>126</xdr:row>
      <xdr:rowOff>76200</xdr:rowOff>
    </xdr:to>
    <xdr:graphicFrame macro="">
      <xdr:nvGraphicFramePr>
        <xdr:cNvPr id="9" name="Gráfico 7">
          <a:extLst>
            <a:ext uri="{FF2B5EF4-FFF2-40B4-BE49-F238E27FC236}">
              <a16:creationId xmlns:a16="http://schemas.microsoft.com/office/drawing/2014/main" id="{9887E190-08F9-4E7F-9222-83D3CB1B5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110</xdr:row>
      <xdr:rowOff>25977</xdr:rowOff>
    </xdr:from>
    <xdr:to>
      <xdr:col>11</xdr:col>
      <xdr:colOff>40773</xdr:colOff>
      <xdr:row>111</xdr:row>
      <xdr:rowOff>164522</xdr:rowOff>
    </xdr:to>
    <xdr:sp macro="" textlink="">
      <xdr:nvSpPr>
        <xdr:cNvPr id="10" name="TextBox 3">
          <a:extLst>
            <a:ext uri="{FF2B5EF4-FFF2-40B4-BE49-F238E27FC236}">
              <a16:creationId xmlns:a16="http://schemas.microsoft.com/office/drawing/2014/main" id="{EC4AFE0D-FE22-4EF9-A477-C77C7AF13E7D}"/>
            </a:ext>
          </a:extLst>
        </xdr:cNvPr>
        <xdr:cNvSpPr txBox="1"/>
      </xdr:nvSpPr>
      <xdr:spPr>
        <a:xfrm>
          <a:off x="0" y="21301363"/>
          <a:ext cx="8362159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 (REPETIT</a:t>
          </a:r>
          <a:r>
            <a:rPr lang="ca-ES" sz="1600" b="1" baseline="0"/>
            <a:t> 5-7/04/2022)</a:t>
          </a:r>
          <a:endParaRPr lang="ca-ES" sz="1600" b="1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E7EDE839-A7B3-47FC-BF2A-F8443211B35E}"/>
            </a:ext>
          </a:extLst>
        </xdr:cNvPr>
        <xdr:cNvSpPr txBox="1"/>
      </xdr:nvSpPr>
      <xdr:spPr>
        <a:xfrm>
          <a:off x="0" y="13431116"/>
          <a:ext cx="8317998" cy="3290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61AD7ECD-5DC8-4FC9-8425-38D754B830B8}"/>
            </a:ext>
          </a:extLst>
        </xdr:cNvPr>
        <xdr:cNvSpPr txBox="1"/>
      </xdr:nvSpPr>
      <xdr:spPr>
        <a:xfrm>
          <a:off x="0" y="17666278"/>
          <a:ext cx="8317998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17318</xdr:colOff>
      <xdr:row>7</xdr:row>
      <xdr:rowOff>8659</xdr:rowOff>
    </xdr:from>
    <xdr:to>
      <xdr:col>19</xdr:col>
      <xdr:colOff>346363</xdr:colOff>
      <xdr:row>21</xdr:row>
      <xdr:rowOff>32905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67E365-341A-4FC0-A087-A7B913886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8659</xdr:colOff>
      <xdr:row>29</xdr:row>
      <xdr:rowOff>8660</xdr:rowOff>
    </xdr:from>
    <xdr:to>
      <xdr:col>19</xdr:col>
      <xdr:colOff>337704</xdr:colOff>
      <xdr:row>43</xdr:row>
      <xdr:rowOff>32905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362E51-D479-4383-B684-B3CD05C09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495C3C4-BB83-4358-9BF1-3E92FDB40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25977</xdr:colOff>
      <xdr:row>70</xdr:row>
      <xdr:rowOff>0</xdr:rowOff>
    </xdr:from>
    <xdr:to>
      <xdr:col>19</xdr:col>
      <xdr:colOff>355022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E333229-2840-4B5B-94B3-FAFEF3CD1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438E710-BF50-4654-A8AE-1C16E6FD2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114</xdr:row>
      <xdr:rowOff>0</xdr:rowOff>
    </xdr:from>
    <xdr:to>
      <xdr:col>19</xdr:col>
      <xdr:colOff>329045</xdr:colOff>
      <xdr:row>128</xdr:row>
      <xdr:rowOff>76200</xdr:rowOff>
    </xdr:to>
    <xdr:graphicFrame macro="">
      <xdr:nvGraphicFramePr>
        <xdr:cNvPr id="9" name="Gráfico 7">
          <a:extLst>
            <a:ext uri="{FF2B5EF4-FFF2-40B4-BE49-F238E27FC236}">
              <a16:creationId xmlns:a16="http://schemas.microsoft.com/office/drawing/2014/main" id="{FEE15642-3DCF-4C05-9514-51B826BC2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112</xdr:row>
      <xdr:rowOff>34636</xdr:rowOff>
    </xdr:from>
    <xdr:to>
      <xdr:col>11</xdr:col>
      <xdr:colOff>40773</xdr:colOff>
      <xdr:row>113</xdr:row>
      <xdr:rowOff>173181</xdr:rowOff>
    </xdr:to>
    <xdr:sp macro="" textlink="">
      <xdr:nvSpPr>
        <xdr:cNvPr id="10" name="TextBox 3">
          <a:extLst>
            <a:ext uri="{FF2B5EF4-FFF2-40B4-BE49-F238E27FC236}">
              <a16:creationId xmlns:a16="http://schemas.microsoft.com/office/drawing/2014/main" id="{31AC0842-A911-4371-8A1A-EBD018584D89}"/>
            </a:ext>
          </a:extLst>
        </xdr:cNvPr>
        <xdr:cNvSpPr txBox="1"/>
      </xdr:nvSpPr>
      <xdr:spPr>
        <a:xfrm>
          <a:off x="0" y="21691022"/>
          <a:ext cx="8266909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 (REPETIT 5-7/05/2022)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86591</xdr:rowOff>
    </xdr:from>
    <xdr:to>
      <xdr:col>11</xdr:col>
      <xdr:colOff>40773</xdr:colOff>
      <xdr:row>70</xdr:row>
      <xdr:rowOff>225136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40E3CCEF-AE64-4C2E-9F40-292BF1AA0904}"/>
            </a:ext>
          </a:extLst>
        </xdr:cNvPr>
        <xdr:cNvSpPr txBox="1"/>
      </xdr:nvSpPr>
      <xdr:spPr>
        <a:xfrm>
          <a:off x="0" y="13431116"/>
          <a:ext cx="8365623" cy="329045"/>
        </a:xfrm>
        <a:prstGeom prst="rect">
          <a:avLst/>
        </a:prstGeom>
        <a:gradFill>
          <a:gsLst>
            <a:gs pos="30000">
              <a:schemeClr val="accent6">
                <a:lumMod val="60000"/>
                <a:lumOff val="40000"/>
              </a:schemeClr>
            </a:gs>
            <a:gs pos="70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CTC494 + LM1034</a:t>
          </a:r>
        </a:p>
      </xdr:txBody>
    </xdr:sp>
    <xdr:clientData/>
  </xdr:twoCellAnchor>
  <xdr:twoCellAnchor>
    <xdr:from>
      <xdr:col>0</xdr:col>
      <xdr:colOff>0</xdr:colOff>
      <xdr:row>91</xdr:row>
      <xdr:rowOff>83128</xdr:rowOff>
    </xdr:from>
    <xdr:to>
      <xdr:col>11</xdr:col>
      <xdr:colOff>40773</xdr:colOff>
      <xdr:row>92</xdr:row>
      <xdr:rowOff>221673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FD1F4C8C-4439-4D5C-832C-5F56662E9598}"/>
            </a:ext>
          </a:extLst>
        </xdr:cNvPr>
        <xdr:cNvSpPr txBox="1"/>
      </xdr:nvSpPr>
      <xdr:spPr>
        <a:xfrm>
          <a:off x="0" y="17666278"/>
          <a:ext cx="8365623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</a:t>
          </a:r>
        </a:p>
      </xdr:txBody>
    </xdr:sp>
    <xdr:clientData/>
  </xdr:twoCellAnchor>
  <xdr:twoCellAnchor>
    <xdr:from>
      <xdr:col>12</xdr:col>
      <xdr:colOff>8659</xdr:colOff>
      <xdr:row>6</xdr:row>
      <xdr:rowOff>190499</xdr:rowOff>
    </xdr:from>
    <xdr:to>
      <xdr:col>19</xdr:col>
      <xdr:colOff>337704</xdr:colOff>
      <xdr:row>21</xdr:row>
      <xdr:rowOff>24245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5B458AF-B044-4699-B60D-EF245D54F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19</xdr:col>
      <xdr:colOff>329045</xdr:colOff>
      <xdr:row>43</xdr:row>
      <xdr:rowOff>24245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75549DD-0200-429D-A46E-65C1547E6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19</xdr:col>
      <xdr:colOff>329045</xdr:colOff>
      <xdr:row>63</xdr:row>
      <xdr:rowOff>24246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BE59CEE-6D5F-465A-9623-DC3FC61CA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19</xdr:col>
      <xdr:colOff>329045</xdr:colOff>
      <xdr:row>84</xdr:row>
      <xdr:rowOff>24245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7F650D8-3274-4F57-813E-924E721AA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19</xdr:col>
      <xdr:colOff>329045</xdr:colOff>
      <xdr:row>106</xdr:row>
      <xdr:rowOff>24246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01E5A4F-0A40-4DD5-8F93-254E2101B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111</xdr:row>
      <xdr:rowOff>44824</xdr:rowOff>
    </xdr:from>
    <xdr:to>
      <xdr:col>11</xdr:col>
      <xdr:colOff>40773</xdr:colOff>
      <xdr:row>112</xdr:row>
      <xdr:rowOff>183369</xdr:rowOff>
    </xdr:to>
    <xdr:sp macro="" textlink="">
      <xdr:nvSpPr>
        <xdr:cNvPr id="9" name="TextBox 3">
          <a:extLst>
            <a:ext uri="{FF2B5EF4-FFF2-40B4-BE49-F238E27FC236}">
              <a16:creationId xmlns:a16="http://schemas.microsoft.com/office/drawing/2014/main" id="{6A03609D-A4BD-4991-8D25-9B3C1EDA5144}"/>
            </a:ext>
          </a:extLst>
        </xdr:cNvPr>
        <xdr:cNvSpPr txBox="1"/>
      </xdr:nvSpPr>
      <xdr:spPr>
        <a:xfrm>
          <a:off x="0" y="21470471"/>
          <a:ext cx="8321920" cy="329045"/>
        </a:xfrm>
        <a:prstGeom prst="rect">
          <a:avLst/>
        </a:prstGeom>
        <a:gradFill>
          <a:gsLst>
            <a:gs pos="25000">
              <a:srgbClr val="B6793C"/>
            </a:gs>
            <a:gs pos="75000">
              <a:srgbClr val="FF99FF"/>
            </a:gs>
          </a:gsLst>
          <a:lin ang="0" scaled="1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600" b="1"/>
            <a:t>23K + LM1034 (REPETIT 5-7/04/2022)</a:t>
          </a:r>
        </a:p>
      </xdr:txBody>
    </xdr:sp>
    <xdr:clientData/>
  </xdr:twoCellAnchor>
  <xdr:twoCellAnchor>
    <xdr:from>
      <xdr:col>12</xdr:col>
      <xdr:colOff>0</xdr:colOff>
      <xdr:row>112</xdr:row>
      <xdr:rowOff>56028</xdr:rowOff>
    </xdr:from>
    <xdr:to>
      <xdr:col>19</xdr:col>
      <xdr:colOff>329045</xdr:colOff>
      <xdr:row>126</xdr:row>
      <xdr:rowOff>125097</xdr:rowOff>
    </xdr:to>
    <xdr:graphicFrame macro="">
      <xdr:nvGraphicFramePr>
        <xdr:cNvPr id="10" name="Gráfico 7">
          <a:extLst>
            <a:ext uri="{FF2B5EF4-FFF2-40B4-BE49-F238E27FC236}">
              <a16:creationId xmlns:a16="http://schemas.microsoft.com/office/drawing/2014/main" id="{29F67146-07A0-4895-9BAA-E1C5CBD32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cordoba-my.sharepoint.com/personal/z42copej_uco_es/Documents/2022_2023/21%20-%20%20Experimental%20IRTA/OneDrive_1_6-3-2023/02%20-%20Experiments%20IRTA/2_Resultats/2_CCD_results/CCD_results_counts_Part%205.xlsx" TargetMode="External"/><Relationship Id="rId1" Type="http://schemas.openxmlformats.org/officeDocument/2006/relationships/externalLinkPath" Target="CCD_results_counts_Part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_Calibration_curve"/>
      <sheetName val="ControlSheet"/>
      <sheetName val="R15_rep"/>
      <sheetName val="R16_rep"/>
      <sheetName val="R17_rep"/>
      <sheetName val="R9_rep"/>
      <sheetName val="R10_rep"/>
      <sheetName val="R11_rep"/>
    </sheetNames>
    <sheetDataSet>
      <sheetData sheetId="0" refreshError="1"/>
      <sheetData sheetId="1" refreshError="1"/>
      <sheetData sheetId="2">
        <row r="4">
          <cell r="M4">
            <v>0</v>
          </cell>
          <cell r="Q4">
            <v>5.4771212547196626</v>
          </cell>
        </row>
        <row r="5">
          <cell r="Q5">
            <v>5.4471580313422194</v>
          </cell>
        </row>
        <row r="6">
          <cell r="Q6">
            <v>3.1461280356782382</v>
          </cell>
        </row>
        <row r="9">
          <cell r="F9" t="str">
            <v>pH</v>
          </cell>
          <cell r="J9" t="str">
            <v>LA (g/L)</v>
          </cell>
          <cell r="L9" t="str">
            <v>Gota (10^3 AU/mL)</v>
          </cell>
        </row>
        <row r="10">
          <cell r="B10">
            <v>1</v>
          </cell>
          <cell r="H10">
            <v>4.9912260756924951</v>
          </cell>
          <cell r="J10">
            <v>-0.12815327733071899</v>
          </cell>
          <cell r="L10">
            <v>0</v>
          </cell>
          <cell r="N10">
            <v>0</v>
          </cell>
        </row>
        <row r="11">
          <cell r="B11">
            <v>3.0000000000582077</v>
          </cell>
          <cell r="H11">
            <v>5.4048337166199385</v>
          </cell>
          <cell r="J11">
            <v>-5.6822564728644241E-2</v>
          </cell>
          <cell r="L11">
            <v>0</v>
          </cell>
          <cell r="N11">
            <v>0.4136076409274434</v>
          </cell>
        </row>
        <row r="12">
          <cell r="B12">
            <v>6.0000000000582077</v>
          </cell>
          <cell r="H12">
            <v>6</v>
          </cell>
          <cell r="J12">
            <v>4.0787884095247515E-2</v>
          </cell>
          <cell r="L12">
            <v>0</v>
          </cell>
          <cell r="N12">
            <v>1.0087739243075049</v>
          </cell>
        </row>
        <row r="13">
          <cell r="B13">
            <v>9.0000000000582077</v>
          </cell>
          <cell r="H13">
            <v>6.3979400086720375</v>
          </cell>
          <cell r="J13">
            <v>-9.4365045045525675E-2</v>
          </cell>
          <cell r="L13">
            <v>0</v>
          </cell>
          <cell r="N13">
            <v>1.4067139329795424</v>
          </cell>
        </row>
        <row r="14">
          <cell r="B14">
            <v>12.166666666744277</v>
          </cell>
          <cell r="H14">
            <v>6.8325089127062366</v>
          </cell>
          <cell r="J14">
            <v>-5.6822564728644241E-2</v>
          </cell>
          <cell r="L14">
            <v>0</v>
          </cell>
          <cell r="N14">
            <v>1.8412828370137415</v>
          </cell>
        </row>
        <row r="15">
          <cell r="B15">
            <v>15</v>
          </cell>
          <cell r="H15">
            <v>7.7466341989375787</v>
          </cell>
          <cell r="J15">
            <v>0.22099178961627844</v>
          </cell>
          <cell r="N15">
            <v>2.2695129442179161</v>
          </cell>
        </row>
        <row r="16">
          <cell r="B16">
            <v>18</v>
          </cell>
          <cell r="H16">
            <v>8.008600171761918</v>
          </cell>
          <cell r="J16">
            <v>1.1182570691897449</v>
          </cell>
          <cell r="N16">
            <v>2.5314789170422554</v>
          </cell>
        </row>
        <row r="17">
          <cell r="B17">
            <v>21</v>
          </cell>
          <cell r="H17">
            <v>8.2405492482825995</v>
          </cell>
          <cell r="J17">
            <v>1.8090387070203635</v>
          </cell>
          <cell r="N17">
            <v>2.7634279935629369</v>
          </cell>
        </row>
        <row r="18">
          <cell r="B18">
            <v>24.166666666744277</v>
          </cell>
          <cell r="H18">
            <v>8.4593924877592315</v>
          </cell>
          <cell r="J18">
            <v>1.8540896834006213</v>
          </cell>
          <cell r="L18">
            <v>3.2</v>
          </cell>
          <cell r="N18">
            <v>3.4681664120667364</v>
          </cell>
        </row>
        <row r="19">
          <cell r="B19">
            <v>27.083333333313931</v>
          </cell>
          <cell r="H19">
            <v>8.3010299956639813</v>
          </cell>
          <cell r="J19">
            <v>2.4735406086291651</v>
          </cell>
          <cell r="L19">
            <v>3.2</v>
          </cell>
          <cell r="N19">
            <v>3.3098039199714862</v>
          </cell>
        </row>
        <row r="20">
          <cell r="B20">
            <v>30.083333333313931</v>
          </cell>
          <cell r="H20">
            <v>8.2922560713564764</v>
          </cell>
          <cell r="J20">
            <v>2.9953810850338169</v>
          </cell>
          <cell r="L20">
            <v>3.2</v>
          </cell>
          <cell r="N20">
            <v>3.3010299956639813</v>
          </cell>
        </row>
        <row r="21">
          <cell r="B21">
            <v>33.083333333313931</v>
          </cell>
          <cell r="H21">
            <v>8.330413773349191</v>
          </cell>
          <cell r="J21">
            <v>3.0892372858260204</v>
          </cell>
          <cell r="L21">
            <v>3.2</v>
          </cell>
          <cell r="N21">
            <v>3.3391876976566959</v>
          </cell>
        </row>
        <row r="22">
          <cell r="B22">
            <v>35.833333333372138</v>
          </cell>
          <cell r="H22">
            <v>8.318063334962762</v>
          </cell>
          <cell r="J22">
            <v>3.8062986598784563</v>
          </cell>
          <cell r="L22">
            <v>3.2</v>
          </cell>
          <cell r="N22">
            <v>3.3268372592702669</v>
          </cell>
        </row>
        <row r="23">
          <cell r="B23">
            <v>42</v>
          </cell>
          <cell r="H23">
            <v>8.3344537511509316</v>
          </cell>
          <cell r="J23">
            <v>4.1554437268254532</v>
          </cell>
          <cell r="N23">
            <v>2.857332496431269</v>
          </cell>
        </row>
        <row r="24">
          <cell r="B24">
            <v>48.25</v>
          </cell>
          <cell r="H24">
            <v>8.3729120029701072</v>
          </cell>
          <cell r="J24">
            <v>4.3694358646316775</v>
          </cell>
          <cell r="L24">
            <v>3.2</v>
          </cell>
          <cell r="N24">
            <v>3.3816859272776121</v>
          </cell>
        </row>
        <row r="25">
          <cell r="B25">
            <v>54.083333333313931</v>
          </cell>
          <cell r="H25">
            <v>8.204119982655925</v>
          </cell>
          <cell r="J25">
            <v>4.0165365496529928</v>
          </cell>
          <cell r="L25">
            <v>3.2</v>
          </cell>
          <cell r="N25">
            <v>3.2128939069634299</v>
          </cell>
        </row>
        <row r="36">
          <cell r="B36">
            <v>1</v>
          </cell>
          <cell r="F36">
            <v>5.84</v>
          </cell>
          <cell r="H36">
            <v>5.3384564936046051</v>
          </cell>
          <cell r="J36">
            <v>-0.20323823796448184</v>
          </cell>
          <cell r="N36">
            <v>0</v>
          </cell>
        </row>
        <row r="37">
          <cell r="B37">
            <v>3.0000000000582077</v>
          </cell>
          <cell r="F37">
            <v>5.78</v>
          </cell>
          <cell r="H37">
            <v>5.6866362692622934</v>
          </cell>
          <cell r="J37">
            <v>-7.5593804887084962E-2</v>
          </cell>
          <cell r="N37">
            <v>0.34817977565768832</v>
          </cell>
        </row>
        <row r="38">
          <cell r="B38">
            <v>6.0000000000582077</v>
          </cell>
          <cell r="F38">
            <v>5.77</v>
          </cell>
          <cell r="H38">
            <v>6.1461280356782382</v>
          </cell>
          <cell r="J38">
            <v>-1.92800844117628E-2</v>
          </cell>
          <cell r="N38">
            <v>0.80767154207363312</v>
          </cell>
        </row>
        <row r="39">
          <cell r="B39">
            <v>9.0000000000582077</v>
          </cell>
          <cell r="F39">
            <v>5.74</v>
          </cell>
          <cell r="H39">
            <v>6.6063813651106047</v>
          </cell>
          <cell r="J39">
            <v>-0.13566177339409527</v>
          </cell>
          <cell r="N39">
            <v>1.2679248715059996</v>
          </cell>
        </row>
        <row r="40">
          <cell r="B40">
            <v>12.166666666744277</v>
          </cell>
          <cell r="F40">
            <v>5.68</v>
          </cell>
          <cell r="H40">
            <v>7.0569048513364727</v>
          </cell>
          <cell r="J40">
            <v>-7.40921056744097E-2</v>
          </cell>
          <cell r="N40">
            <v>1.7184483577318677</v>
          </cell>
        </row>
        <row r="41">
          <cell r="B41">
            <v>15</v>
          </cell>
          <cell r="F41">
            <v>5.14</v>
          </cell>
          <cell r="H41">
            <v>7.7126497016272113</v>
          </cell>
          <cell r="J41">
            <v>-1.1771588348386512E-2</v>
          </cell>
          <cell r="N41">
            <v>2.2654916702849919</v>
          </cell>
        </row>
        <row r="42">
          <cell r="B42">
            <v>18</v>
          </cell>
          <cell r="F42">
            <v>4.93</v>
          </cell>
          <cell r="H42">
            <v>7.8129133566428557</v>
          </cell>
          <cell r="J42">
            <v>0.52133163215132994</v>
          </cell>
          <cell r="N42">
            <v>2.3657553253006363</v>
          </cell>
        </row>
        <row r="43">
          <cell r="B43">
            <v>21</v>
          </cell>
          <cell r="F43">
            <v>4.41</v>
          </cell>
          <cell r="H43">
            <v>8.0253058652647695</v>
          </cell>
          <cell r="J43">
            <v>1.122011317221433</v>
          </cell>
          <cell r="N43">
            <v>2.5781478339225501</v>
          </cell>
        </row>
        <row r="44">
          <cell r="B44">
            <v>24.166666666744277</v>
          </cell>
          <cell r="F44">
            <v>4.38</v>
          </cell>
          <cell r="H44">
            <v>8.1986570869544231</v>
          </cell>
          <cell r="J44">
            <v>1.2196217660453248</v>
          </cell>
          <cell r="N44">
            <v>2.860200593349818</v>
          </cell>
        </row>
        <row r="45">
          <cell r="B45">
            <v>27.083333333313931</v>
          </cell>
          <cell r="F45">
            <v>4.21</v>
          </cell>
          <cell r="H45">
            <v>8.2648178230095368</v>
          </cell>
          <cell r="J45">
            <v>2.068081821206845</v>
          </cell>
          <cell r="N45">
            <v>2.9263613294049318</v>
          </cell>
        </row>
        <row r="46">
          <cell r="B46">
            <v>30.083333333313931</v>
          </cell>
          <cell r="F46">
            <v>4.03</v>
          </cell>
          <cell r="H46">
            <v>8.330413773349191</v>
          </cell>
          <cell r="J46">
            <v>2.8301941716395387</v>
          </cell>
          <cell r="N46">
            <v>2.9919572797445859</v>
          </cell>
        </row>
        <row r="47">
          <cell r="B47">
            <v>33.083333333313931</v>
          </cell>
          <cell r="F47">
            <v>3.97</v>
          </cell>
          <cell r="H47">
            <v>8.2741578492636805</v>
          </cell>
          <cell r="J47">
            <v>2.8752451480197965</v>
          </cell>
          <cell r="N47">
            <v>2.9357013556590754</v>
          </cell>
        </row>
        <row r="48">
          <cell r="B48">
            <v>35.833333333372138</v>
          </cell>
          <cell r="F48">
            <v>3.9</v>
          </cell>
          <cell r="H48">
            <v>8.3541084391474012</v>
          </cell>
          <cell r="J48">
            <v>3.509713065375093</v>
          </cell>
          <cell r="N48">
            <v>3.0156519455427961</v>
          </cell>
        </row>
        <row r="49">
          <cell r="B49">
            <v>42</v>
          </cell>
          <cell r="F49">
            <v>3.74</v>
          </cell>
          <cell r="H49">
            <v>8.318063334962762</v>
          </cell>
          <cell r="J49">
            <v>4.1892319591106464</v>
          </cell>
          <cell r="N49">
            <v>2.8709053036205425</v>
          </cell>
        </row>
        <row r="50">
          <cell r="B50">
            <v>48.25</v>
          </cell>
          <cell r="F50">
            <v>3.78</v>
          </cell>
          <cell r="H50">
            <v>8.3010299956639813</v>
          </cell>
          <cell r="J50">
            <v>4.3131221441563552</v>
          </cell>
          <cell r="N50">
            <v>2.9625735020593762</v>
          </cell>
        </row>
        <row r="51">
          <cell r="B51">
            <v>54.083333333313931</v>
          </cell>
          <cell r="F51">
            <v>3.73</v>
          </cell>
          <cell r="H51">
            <v>8.2741578492636805</v>
          </cell>
          <cell r="J51">
            <v>5.5557782426451308</v>
          </cell>
          <cell r="N51">
            <v>2.9357013556590754</v>
          </cell>
        </row>
        <row r="60">
          <cell r="B60">
            <v>1</v>
          </cell>
          <cell r="F60">
            <v>5.84</v>
          </cell>
          <cell r="I60">
            <v>3.2041199826559246</v>
          </cell>
          <cell r="J60">
            <v>-0.17695850174266484</v>
          </cell>
          <cell r="N60">
            <v>0</v>
          </cell>
        </row>
        <row r="61">
          <cell r="B61">
            <v>3.0000000000582077</v>
          </cell>
          <cell r="F61">
            <v>5.8</v>
          </cell>
          <cell r="I61">
            <v>3.6627578316815739</v>
          </cell>
          <cell r="J61">
            <v>-6.0576812760332374E-2</v>
          </cell>
          <cell r="N61">
            <v>0.4586378490256493</v>
          </cell>
        </row>
        <row r="62">
          <cell r="B62">
            <v>6.0000000000582077</v>
          </cell>
          <cell r="F62">
            <v>5.77</v>
          </cell>
          <cell r="I62">
            <v>3.716003343634799</v>
          </cell>
          <cell r="J62">
            <v>8.5838860475505249E-2</v>
          </cell>
          <cell r="N62">
            <v>0.51188336097887444</v>
          </cell>
        </row>
        <row r="63">
          <cell r="B63">
            <v>9.0000000000582077</v>
          </cell>
          <cell r="F63">
            <v>5.81</v>
          </cell>
          <cell r="I63">
            <v>4.3692158574101425</v>
          </cell>
          <cell r="J63">
            <v>-3.4297076538515374E-2</v>
          </cell>
          <cell r="N63">
            <v>1.1650958747542179</v>
          </cell>
        </row>
        <row r="64">
          <cell r="B64">
            <v>12.166666666744277</v>
          </cell>
          <cell r="F64">
            <v>5.79</v>
          </cell>
          <cell r="I64">
            <v>4.7634279935629369</v>
          </cell>
          <cell r="J64">
            <v>-0.17695850174266484</v>
          </cell>
          <cell r="N64">
            <v>1.5593080109070123</v>
          </cell>
        </row>
        <row r="65">
          <cell r="B65">
            <v>15</v>
          </cell>
          <cell r="F65">
            <v>5.8</v>
          </cell>
          <cell r="I65">
            <v>5.3010299956639813</v>
          </cell>
          <cell r="J65">
            <v>-0.3947048875805772</v>
          </cell>
          <cell r="N65">
            <v>2.1549019599857431</v>
          </cell>
        </row>
        <row r="66">
          <cell r="B66">
            <v>18</v>
          </cell>
          <cell r="F66">
            <v>5.78</v>
          </cell>
          <cell r="I66">
            <v>5.957287952867838</v>
          </cell>
          <cell r="J66">
            <v>-8.0173403166983633E-3</v>
          </cell>
          <cell r="N66">
            <v>2.8111599171895998</v>
          </cell>
        </row>
        <row r="67">
          <cell r="B67">
            <v>21</v>
          </cell>
          <cell r="F67">
            <v>5.81</v>
          </cell>
          <cell r="I67">
            <v>6.3424226808222066</v>
          </cell>
          <cell r="J67">
            <v>-0.12439902929903084</v>
          </cell>
          <cell r="N67">
            <v>3.1962946451439684</v>
          </cell>
        </row>
        <row r="68">
          <cell r="B68">
            <v>24.166666666744277</v>
          </cell>
          <cell r="F68">
            <v>5.72</v>
          </cell>
          <cell r="I68">
            <v>6.8195439355418683</v>
          </cell>
          <cell r="J68">
            <v>-8.6856548982149395E-2</v>
          </cell>
          <cell r="N68">
            <v>3.6154239528859438</v>
          </cell>
        </row>
        <row r="69">
          <cell r="B69">
            <v>27.083333333313931</v>
          </cell>
          <cell r="F69">
            <v>5.76</v>
          </cell>
          <cell r="I69">
            <v>7.2833012287035492</v>
          </cell>
          <cell r="J69">
            <v>-4.2630922850102164E-3</v>
          </cell>
          <cell r="N69">
            <v>4.0791812460476251</v>
          </cell>
        </row>
        <row r="70">
          <cell r="B70">
            <v>30.083333333313931</v>
          </cell>
          <cell r="F70">
            <v>5.64</v>
          </cell>
          <cell r="I70">
            <v>7.9138138523837167</v>
          </cell>
          <cell r="J70">
            <v>-0.180712749774353</v>
          </cell>
          <cell r="N70">
            <v>4.7096938697277917</v>
          </cell>
        </row>
        <row r="71">
          <cell r="B71">
            <v>33.083333333313931</v>
          </cell>
          <cell r="F71">
            <v>5.51</v>
          </cell>
          <cell r="I71">
            <v>8.1583624920952502</v>
          </cell>
          <cell r="J71">
            <v>-0.17695850174266484</v>
          </cell>
          <cell r="N71">
            <v>4.9542425094393252</v>
          </cell>
        </row>
        <row r="72">
          <cell r="B72">
            <v>35.833333333372138</v>
          </cell>
          <cell r="F72">
            <v>5.22</v>
          </cell>
          <cell r="I72">
            <v>8.3692158574101434</v>
          </cell>
          <cell r="J72">
            <v>0.22850028567965472</v>
          </cell>
          <cell r="N72">
            <v>5.1650958747542184</v>
          </cell>
        </row>
        <row r="73">
          <cell r="B73">
            <v>42</v>
          </cell>
          <cell r="F73">
            <v>4.75</v>
          </cell>
          <cell r="I73">
            <v>8.8007170782823856</v>
          </cell>
          <cell r="J73">
            <v>-0.7626211946860153</v>
          </cell>
          <cell r="N73">
            <v>5.6545890426041474</v>
          </cell>
        </row>
        <row r="74">
          <cell r="B74">
            <v>48.25</v>
          </cell>
          <cell r="F74">
            <v>4.5199999999999996</v>
          </cell>
          <cell r="I74">
            <v>8.8901414600645765</v>
          </cell>
          <cell r="J74">
            <v>1.0807145888728635</v>
          </cell>
          <cell r="N74">
            <v>5.6860214774086515</v>
          </cell>
        </row>
        <row r="75">
          <cell r="B75">
            <v>54.083333333313931</v>
          </cell>
          <cell r="F75">
            <v>4.38</v>
          </cell>
          <cell r="I75">
            <v>8.8752542402808583</v>
          </cell>
          <cell r="J75">
            <v>0.94180741170040216</v>
          </cell>
          <cell r="N75">
            <v>5.6711342576249333</v>
          </cell>
        </row>
        <row r="85">
          <cell r="B85">
            <v>1</v>
          </cell>
          <cell r="F85">
            <v>5.85</v>
          </cell>
          <cell r="H85">
            <v>5.1583624920952493</v>
          </cell>
          <cell r="I85">
            <v>3.1760912590556813</v>
          </cell>
          <cell r="J85">
            <v>-3.0542828506827231E-2</v>
          </cell>
          <cell r="L85">
            <v>0</v>
          </cell>
          <cell r="N85">
            <v>0</v>
          </cell>
          <cell r="O85">
            <v>0</v>
          </cell>
        </row>
        <row r="86">
          <cell r="B86">
            <v>3.0000000000582077</v>
          </cell>
          <cell r="F86">
            <v>5.83</v>
          </cell>
          <cell r="H86">
            <v>5.4471580313422194</v>
          </cell>
          <cell r="I86">
            <v>3.4149733479708178</v>
          </cell>
          <cell r="J86">
            <v>-5.3068316696956094E-2</v>
          </cell>
          <cell r="L86">
            <v>0</v>
          </cell>
          <cell r="N86">
            <v>0.2887955392469701</v>
          </cell>
          <cell r="O86">
            <v>0.2388820889151364</v>
          </cell>
        </row>
        <row r="87">
          <cell r="B87">
            <v>6.0000000000582077</v>
          </cell>
          <cell r="F87">
            <v>5.8</v>
          </cell>
          <cell r="H87">
            <v>6.0644579892269181</v>
          </cell>
          <cell r="I87">
            <v>3.8573324964312685</v>
          </cell>
          <cell r="J87">
            <v>-4.2630922850102164E-3</v>
          </cell>
          <cell r="L87">
            <v>0</v>
          </cell>
          <cell r="N87">
            <v>0.90609549713166881</v>
          </cell>
          <cell r="O87">
            <v>0.68124123737558717</v>
          </cell>
        </row>
        <row r="88">
          <cell r="B88">
            <v>9.0000000000582077</v>
          </cell>
          <cell r="F88">
            <v>5.76</v>
          </cell>
          <cell r="H88">
            <v>6.4712917110589387</v>
          </cell>
          <cell r="I88">
            <v>4.3502480183341632</v>
          </cell>
          <cell r="J88">
            <v>-7.9348052918773102E-2</v>
          </cell>
          <cell r="L88">
            <v>0</v>
          </cell>
          <cell r="N88">
            <v>1.3129292189636894</v>
          </cell>
          <cell r="O88">
            <v>1.1741567592784818</v>
          </cell>
        </row>
        <row r="89">
          <cell r="B89">
            <v>12.166666666744277</v>
          </cell>
          <cell r="F89">
            <v>5.71</v>
          </cell>
          <cell r="H89">
            <v>6.8692317197309762</v>
          </cell>
          <cell r="I89">
            <v>4.9444826721501682</v>
          </cell>
          <cell r="J89">
            <v>-0.13190752536240713</v>
          </cell>
          <cell r="L89">
            <v>0</v>
          </cell>
          <cell r="N89">
            <v>1.7108692276357269</v>
          </cell>
          <cell r="O89">
            <v>1.7683914130944869</v>
          </cell>
        </row>
        <row r="90">
          <cell r="B90">
            <v>15</v>
          </cell>
          <cell r="F90">
            <v>4.75</v>
          </cell>
          <cell r="H90">
            <v>7.7708520116421438</v>
          </cell>
          <cell r="I90">
            <v>4.8808135922807914</v>
          </cell>
          <cell r="J90">
            <v>0.20597479748952585</v>
          </cell>
          <cell r="N90">
            <v>2.2937307569224812</v>
          </cell>
          <cell r="O90">
            <v>1.7346855566025532</v>
          </cell>
        </row>
        <row r="91">
          <cell r="B91">
            <v>18</v>
          </cell>
          <cell r="F91">
            <v>4.5599999999999996</v>
          </cell>
          <cell r="H91">
            <v>7.3765769570565123</v>
          </cell>
          <cell r="I91">
            <v>4.1702617153949575</v>
          </cell>
          <cell r="J91">
            <v>0.95307015579546661</v>
          </cell>
          <cell r="N91">
            <v>1.8994557023368497</v>
          </cell>
          <cell r="O91">
            <v>1.0241336797167193</v>
          </cell>
        </row>
        <row r="92">
          <cell r="B92">
            <v>21</v>
          </cell>
          <cell r="F92">
            <v>4.2</v>
          </cell>
          <cell r="H92">
            <v>8.2787536009528289</v>
          </cell>
          <cell r="I92">
            <v>3.255272505103306</v>
          </cell>
          <cell r="J92">
            <v>1.8127929550520516</v>
          </cell>
          <cell r="N92">
            <v>2.8016323462331663</v>
          </cell>
          <cell r="O92">
            <v>0.10914446942506784</v>
          </cell>
        </row>
        <row r="93">
          <cell r="B93">
            <v>24.166666666744277</v>
          </cell>
          <cell r="F93">
            <v>4.1500000000000004</v>
          </cell>
          <cell r="H93">
            <v>8.2253092817258633</v>
          </cell>
          <cell r="I93">
            <v>3.7781512503836434</v>
          </cell>
          <cell r="J93">
            <v>1.9742256204146418</v>
          </cell>
          <cell r="L93">
            <v>1.6</v>
          </cell>
          <cell r="N93">
            <v>3.066946789630614</v>
          </cell>
          <cell r="O93">
            <v>0.60205999132796206</v>
          </cell>
        </row>
        <row r="94">
          <cell r="B94">
            <v>27.083333333313931</v>
          </cell>
          <cell r="F94">
            <v>4.1399999999999997</v>
          </cell>
          <cell r="H94">
            <v>8.3096301674258992</v>
          </cell>
          <cell r="I94">
            <v>3.1461280356782382</v>
          </cell>
          <cell r="J94">
            <v>2.4585236165024122</v>
          </cell>
          <cell r="L94">
            <v>3.2</v>
          </cell>
          <cell r="N94">
            <v>3.1512676753306499</v>
          </cell>
          <cell r="O94">
            <v>-2.9963223377443171E-2</v>
          </cell>
        </row>
        <row r="95">
          <cell r="B95">
            <v>30.083333333313931</v>
          </cell>
          <cell r="F95">
            <v>3.92</v>
          </cell>
          <cell r="H95">
            <v>8.2833012287035501</v>
          </cell>
          <cell r="I95">
            <v>2.5171958979499744</v>
          </cell>
          <cell r="J95">
            <v>3.337017655917438</v>
          </cell>
          <cell r="L95">
            <v>3.2</v>
          </cell>
          <cell r="N95">
            <v>3.1249387366083008</v>
          </cell>
          <cell r="O95">
            <v>-0.6588953611057069</v>
          </cell>
        </row>
        <row r="96">
          <cell r="B96">
            <v>33.083333333313931</v>
          </cell>
          <cell r="F96">
            <v>3.91</v>
          </cell>
          <cell r="H96">
            <v>8.3617278360175931</v>
          </cell>
          <cell r="I96">
            <v>2.0791812460476247</v>
          </cell>
          <cell r="J96">
            <v>3.2243902149667938</v>
          </cell>
          <cell r="L96">
            <v>3.2</v>
          </cell>
          <cell r="N96">
            <v>3.2033653439223437</v>
          </cell>
          <cell r="O96">
            <v>-1.0969100130080567</v>
          </cell>
        </row>
        <row r="97">
          <cell r="B97">
            <v>35.833333333372138</v>
          </cell>
          <cell r="F97">
            <v>3.89</v>
          </cell>
          <cell r="H97">
            <v>8.4116197059632309</v>
          </cell>
          <cell r="I97">
            <v>1.6812412373755872</v>
          </cell>
          <cell r="J97">
            <v>3.6748999787693712</v>
          </cell>
          <cell r="L97">
            <v>3.2</v>
          </cell>
          <cell r="N97">
            <v>3.2532572138679816</v>
          </cell>
          <cell r="O97">
            <v>-1.4948500216800942</v>
          </cell>
        </row>
        <row r="98">
          <cell r="B98">
            <v>42</v>
          </cell>
          <cell r="F98">
            <v>3.78</v>
          </cell>
          <cell r="H98">
            <v>8.3654879848908994</v>
          </cell>
          <cell r="I98">
            <v>-0.3979400086720376</v>
          </cell>
          <cell r="J98">
            <v>4.0315535417797452</v>
          </cell>
          <cell r="N98">
            <v>2.8883667301712368</v>
          </cell>
          <cell r="O98">
            <v>-3.5440680443502757</v>
          </cell>
        </row>
        <row r="99">
          <cell r="B99">
            <v>48.25</v>
          </cell>
          <cell r="F99">
            <v>3.82</v>
          </cell>
          <cell r="H99">
            <v>8.2600713879850751</v>
          </cell>
          <cell r="I99">
            <v>-0.74472749489669399</v>
          </cell>
          <cell r="J99">
            <v>4.5646567622794612</v>
          </cell>
          <cell r="L99">
            <v>3.2</v>
          </cell>
          <cell r="N99">
            <v>3.1017088958898258</v>
          </cell>
          <cell r="O99">
            <v>-3.9208187539523753</v>
          </cell>
        </row>
        <row r="100">
          <cell r="B100">
            <v>54.083333333313931</v>
          </cell>
          <cell r="F100">
            <v>3.78</v>
          </cell>
          <cell r="H100">
            <v>8.214843848047698</v>
          </cell>
          <cell r="I100">
            <v>2.1271047983648077</v>
          </cell>
          <cell r="J100">
            <v>4.0503247819381851</v>
          </cell>
          <cell r="L100">
            <v>3.2</v>
          </cell>
          <cell r="N100">
            <v>3.0564813559524486</v>
          </cell>
          <cell r="O100">
            <v>-1.0489864606908736</v>
          </cell>
        </row>
        <row r="111">
          <cell r="B111">
            <v>1</v>
          </cell>
          <cell r="F111">
            <v>5.84</v>
          </cell>
          <cell r="H111">
            <v>5.3138672203691533</v>
          </cell>
          <cell r="I111">
            <v>3.2787536009528289</v>
          </cell>
          <cell r="J111">
            <v>-9.8119293077213829E-2</v>
          </cell>
          <cell r="L111">
            <v>0</v>
          </cell>
          <cell r="M111">
            <v>0</v>
          </cell>
        </row>
        <row r="112">
          <cell r="B112">
            <v>3.0000000000582077</v>
          </cell>
          <cell r="F112">
            <v>5.81</v>
          </cell>
          <cell r="H112">
            <v>5.6608654780038696</v>
          </cell>
          <cell r="I112">
            <v>3.6627578316815739</v>
          </cell>
          <cell r="J112">
            <v>2.2016643936806791E-2</v>
          </cell>
          <cell r="L112">
            <v>0.34699825763471637</v>
          </cell>
          <cell r="M112">
            <v>0.38400423072874501</v>
          </cell>
        </row>
        <row r="113">
          <cell r="B113">
            <v>6.0000000000582077</v>
          </cell>
          <cell r="F113">
            <v>5.76</v>
          </cell>
          <cell r="H113">
            <v>6.1398790864012369</v>
          </cell>
          <cell r="I113">
            <v>3.9637878273455551</v>
          </cell>
          <cell r="J113">
            <v>6.9996518100542138E-3</v>
          </cell>
          <cell r="L113">
            <v>0.82601186603208365</v>
          </cell>
          <cell r="M113">
            <v>0.68503422639272626</v>
          </cell>
        </row>
        <row r="114">
          <cell r="B114">
            <v>9.0000000000582077</v>
          </cell>
          <cell r="F114">
            <v>5.76</v>
          </cell>
          <cell r="H114">
            <v>6.568201724066995</v>
          </cell>
          <cell r="I114">
            <v>4.3802112417116064</v>
          </cell>
          <cell r="J114">
            <v>6.7067620317064508E-2</v>
          </cell>
          <cell r="L114">
            <v>1.2543345036978417</v>
          </cell>
          <cell r="M114">
            <v>1.1014576407587775</v>
          </cell>
        </row>
        <row r="115">
          <cell r="B115">
            <v>12.166666666744277</v>
          </cell>
          <cell r="F115">
            <v>5.71</v>
          </cell>
          <cell r="H115">
            <v>7.0791812460476251</v>
          </cell>
          <cell r="I115">
            <v>4.8808135922807914</v>
          </cell>
          <cell r="J115">
            <v>-2.6788580475139087E-2</v>
          </cell>
          <cell r="L115">
            <v>1.7653140256784718</v>
          </cell>
          <cell r="M115">
            <v>1.6020599913279625</v>
          </cell>
        </row>
        <row r="116">
          <cell r="B116">
            <v>15</v>
          </cell>
          <cell r="F116">
            <v>5.18</v>
          </cell>
          <cell r="H116">
            <v>7.7058637122839189</v>
          </cell>
          <cell r="I116">
            <v>5.2552725051033065</v>
          </cell>
          <cell r="J116">
            <v>-3.8051324570203521E-2</v>
          </cell>
          <cell r="L116">
            <v>2.2587056809416994</v>
          </cell>
          <cell r="M116">
            <v>2.1091444694250683</v>
          </cell>
        </row>
        <row r="117">
          <cell r="B117">
            <v>18</v>
          </cell>
          <cell r="F117">
            <v>4.9000000000000004</v>
          </cell>
          <cell r="H117">
            <v>8.1461280356782382</v>
          </cell>
          <cell r="I117">
            <v>5.5314789170422554</v>
          </cell>
          <cell r="J117">
            <v>0.45375516758094342</v>
          </cell>
          <cell r="L117">
            <v>2.6989700043360187</v>
          </cell>
          <cell r="M117">
            <v>2.3853508813640172</v>
          </cell>
        </row>
        <row r="118">
          <cell r="B118">
            <v>21</v>
          </cell>
          <cell r="F118">
            <v>4.37</v>
          </cell>
          <cell r="H118">
            <v>8.1205739312058505</v>
          </cell>
          <cell r="I118">
            <v>5.8450980400142569</v>
          </cell>
          <cell r="J118">
            <v>1.1295198132848094</v>
          </cell>
          <cell r="L118">
            <v>2.673415899863631</v>
          </cell>
          <cell r="M118">
            <v>2.6989700043360187</v>
          </cell>
        </row>
        <row r="119">
          <cell r="B119">
            <v>24.166666666744277</v>
          </cell>
          <cell r="F119">
            <v>4.3499999999999996</v>
          </cell>
          <cell r="H119">
            <v>8.2966651902615318</v>
          </cell>
          <cell r="I119">
            <v>5.9030899869919438</v>
          </cell>
          <cell r="J119">
            <v>1.3547746951860979</v>
          </cell>
          <cell r="L119">
            <v>2.9827979698923786</v>
          </cell>
          <cell r="M119">
            <v>2.6243363860391149</v>
          </cell>
        </row>
        <row r="120">
          <cell r="B120">
            <v>27.083333333313931</v>
          </cell>
          <cell r="F120">
            <v>4.16</v>
          </cell>
          <cell r="H120">
            <v>8.2878017299302265</v>
          </cell>
          <cell r="I120">
            <v>5.9731278535996983</v>
          </cell>
          <cell r="J120">
            <v>2.0981158054603504</v>
          </cell>
          <cell r="L120">
            <v>2.9739345095610732</v>
          </cell>
          <cell r="M120">
            <v>2.6943742526468695</v>
          </cell>
        </row>
        <row r="121">
          <cell r="B121">
            <v>30.083333333313931</v>
          </cell>
          <cell r="F121">
            <v>4.0199999999999996</v>
          </cell>
          <cell r="H121">
            <v>8.383815365980432</v>
          </cell>
          <cell r="I121">
            <v>5.9344984512435675</v>
          </cell>
          <cell r="J121">
            <v>3.2506699511886112</v>
          </cell>
          <cell r="L121">
            <v>3.0699481456112787</v>
          </cell>
          <cell r="M121">
            <v>2.6557448502907386</v>
          </cell>
        </row>
        <row r="122">
          <cell r="B122">
            <v>33.083333333313931</v>
          </cell>
          <cell r="F122">
            <v>3.95</v>
          </cell>
          <cell r="H122">
            <v>8.3010299956639813</v>
          </cell>
          <cell r="I122">
            <v>5.9030899869919438</v>
          </cell>
          <cell r="J122">
            <v>3.0441863094457626</v>
          </cell>
          <cell r="L122">
            <v>2.987162775294828</v>
          </cell>
          <cell r="M122">
            <v>2.6243363860391149</v>
          </cell>
        </row>
        <row r="123">
          <cell r="B123">
            <v>35.833333333372138</v>
          </cell>
          <cell r="F123">
            <v>3.89</v>
          </cell>
          <cell r="H123">
            <v>8.2695129442179169</v>
          </cell>
          <cell r="I123">
            <v>5.8808135922807914</v>
          </cell>
          <cell r="J123">
            <v>3.4158568645828895</v>
          </cell>
          <cell r="L123">
            <v>2.9556457238487637</v>
          </cell>
          <cell r="M123">
            <v>2.6020599913279625</v>
          </cell>
        </row>
        <row r="124">
          <cell r="B124">
            <v>42</v>
          </cell>
          <cell r="F124">
            <v>3.75</v>
          </cell>
          <cell r="H124">
            <v>8.3053513694466243</v>
          </cell>
          <cell r="I124">
            <v>5.6812412373755876</v>
          </cell>
          <cell r="J124">
            <v>3.9076633567340355</v>
          </cell>
          <cell r="L124">
            <v>2.8581933381044049</v>
          </cell>
          <cell r="M124">
            <v>2.5351132016973494</v>
          </cell>
        </row>
        <row r="125">
          <cell r="B125">
            <v>48.25</v>
          </cell>
          <cell r="F125">
            <v>3.76</v>
          </cell>
          <cell r="H125">
            <v>8.1931245983544621</v>
          </cell>
          <cell r="I125">
            <v>5.8573324964312681</v>
          </cell>
          <cell r="J125">
            <v>4.3919613528218067</v>
          </cell>
          <cell r="L125">
            <v>2.8792573779853088</v>
          </cell>
          <cell r="M125">
            <v>2.5785788954784392</v>
          </cell>
        </row>
        <row r="126">
          <cell r="B126">
            <v>54.083333333313931</v>
          </cell>
          <cell r="F126">
            <v>3.73</v>
          </cell>
          <cell r="H126">
            <v>8.2695129442179169</v>
          </cell>
          <cell r="I126">
            <v>5.8808135922807914</v>
          </cell>
          <cell r="J126">
            <v>4.2230201913958396</v>
          </cell>
          <cell r="L126">
            <v>2.9556457238487637</v>
          </cell>
          <cell r="M126">
            <v>2.6020599913279625</v>
          </cell>
        </row>
      </sheetData>
      <sheetData sheetId="3">
        <row r="4">
          <cell r="M4">
            <v>0</v>
          </cell>
          <cell r="Q4">
            <v>5.4771212547196626</v>
          </cell>
        </row>
        <row r="5">
          <cell r="Q5">
            <v>5.4471580313422194</v>
          </cell>
        </row>
        <row r="6">
          <cell r="Q6">
            <v>3.1461280356782382</v>
          </cell>
        </row>
        <row r="9">
          <cell r="F9" t="str">
            <v>pH</v>
          </cell>
          <cell r="J9" t="str">
            <v>LA (g/L)</v>
          </cell>
          <cell r="L9" t="str">
            <v>Gota (10^3 AU/mL)</v>
          </cell>
        </row>
        <row r="10">
          <cell r="B10">
            <v>1</v>
          </cell>
          <cell r="F10">
            <v>5.84</v>
          </cell>
          <cell r="H10">
            <v>4.8692317197309762</v>
          </cell>
          <cell r="J10">
            <v>7.0821868348752662E-2</v>
          </cell>
          <cell r="L10">
            <v>0</v>
          </cell>
          <cell r="N10">
            <v>0</v>
          </cell>
        </row>
        <row r="11">
          <cell r="B11">
            <v>3.0000000000582077</v>
          </cell>
          <cell r="F11">
            <v>5.78</v>
          </cell>
          <cell r="H11">
            <v>5.394451680826216</v>
          </cell>
          <cell r="J11">
            <v>1.4508147873430495E-2</v>
          </cell>
          <cell r="L11">
            <v>0</v>
          </cell>
          <cell r="N11">
            <v>0.52521996109523972</v>
          </cell>
        </row>
        <row r="12">
          <cell r="B12">
            <v>6.0000000000582077</v>
          </cell>
          <cell r="F12">
            <v>5.79</v>
          </cell>
          <cell r="H12">
            <v>5.6812412373755876</v>
          </cell>
          <cell r="J12">
            <v>-9.4365045045525675E-2</v>
          </cell>
          <cell r="L12">
            <v>0</v>
          </cell>
          <cell r="N12">
            <v>0.81200951764461138</v>
          </cell>
        </row>
        <row r="13">
          <cell r="B13">
            <v>9.0000000000582077</v>
          </cell>
          <cell r="F13">
            <v>5.78</v>
          </cell>
          <cell r="H13">
            <v>6.3010299956639813</v>
          </cell>
          <cell r="J13">
            <v>-0.10562778914059012</v>
          </cell>
          <cell r="L13">
            <v>0</v>
          </cell>
          <cell r="N13">
            <v>1.431798275933005</v>
          </cell>
        </row>
        <row r="14">
          <cell r="B14">
            <v>12.166666666744277</v>
          </cell>
          <cell r="F14">
            <v>5.72</v>
          </cell>
          <cell r="H14">
            <v>6.8808135922807914</v>
          </cell>
          <cell r="J14">
            <v>-0.10562778914059012</v>
          </cell>
          <cell r="L14">
            <v>0</v>
          </cell>
          <cell r="N14">
            <v>2.0115818725498151</v>
          </cell>
        </row>
        <row r="15">
          <cell r="B15">
            <v>15</v>
          </cell>
          <cell r="F15">
            <v>4.84</v>
          </cell>
          <cell r="H15">
            <v>7.7403626894942441</v>
          </cell>
          <cell r="J15">
            <v>0.34863622269367534</v>
          </cell>
          <cell r="N15">
            <v>2.2632414347745815</v>
          </cell>
        </row>
        <row r="16">
          <cell r="B16">
            <v>18</v>
          </cell>
          <cell r="F16">
            <v>4.5199999999999996</v>
          </cell>
          <cell r="H16">
            <v>8.3222192947339195</v>
          </cell>
          <cell r="J16">
            <v>1.0281551164292293</v>
          </cell>
          <cell r="N16">
            <v>2.8450980400142569</v>
          </cell>
        </row>
        <row r="17">
          <cell r="B17">
            <v>21</v>
          </cell>
          <cell r="F17">
            <v>4.2</v>
          </cell>
          <cell r="H17">
            <v>8.1398790864012369</v>
          </cell>
          <cell r="J17">
            <v>1.722691002291536</v>
          </cell>
          <cell r="N17">
            <v>2.6627578316815743</v>
          </cell>
        </row>
        <row r="18">
          <cell r="B18">
            <v>24.166666666744277</v>
          </cell>
          <cell r="F18">
            <v>4.3</v>
          </cell>
          <cell r="H18">
            <v>8.3010299956639813</v>
          </cell>
          <cell r="J18">
            <v>1.565012584960634</v>
          </cell>
          <cell r="L18">
            <v>0.8</v>
          </cell>
          <cell r="N18">
            <v>3.431798275933005</v>
          </cell>
        </row>
        <row r="19">
          <cell r="B19">
            <v>27.083333333313931</v>
          </cell>
          <cell r="F19">
            <v>4.1500000000000004</v>
          </cell>
          <cell r="H19">
            <v>8.3654879848908994</v>
          </cell>
          <cell r="J19">
            <v>2.0455563330167159</v>
          </cell>
          <cell r="L19">
            <v>1.6</v>
          </cell>
          <cell r="N19">
            <v>3.4962562651599232</v>
          </cell>
        </row>
        <row r="20">
          <cell r="B20">
            <v>30.083333333313931</v>
          </cell>
          <cell r="F20">
            <v>4.0199999999999996</v>
          </cell>
          <cell r="H20">
            <v>8.3944516808262168</v>
          </cell>
          <cell r="J20">
            <v>2.9278046204634305</v>
          </cell>
          <cell r="L20">
            <v>1.6</v>
          </cell>
          <cell r="N20">
            <v>3.5252199610952406</v>
          </cell>
        </row>
        <row r="21">
          <cell r="B21">
            <v>33.083333333313931</v>
          </cell>
          <cell r="F21">
            <v>3.99</v>
          </cell>
          <cell r="H21">
            <v>8.2504200023088945</v>
          </cell>
          <cell r="J21">
            <v>2.9878725889704407</v>
          </cell>
          <cell r="L21">
            <v>1.6</v>
          </cell>
          <cell r="N21">
            <v>3.3811882825779183</v>
          </cell>
        </row>
        <row r="22">
          <cell r="B22">
            <v>35.833333333372138</v>
          </cell>
          <cell r="F22">
            <v>3.92</v>
          </cell>
          <cell r="H22">
            <v>8.2304489213782741</v>
          </cell>
          <cell r="J22">
            <v>3.430873856709642</v>
          </cell>
          <cell r="L22">
            <v>0.8</v>
          </cell>
          <cell r="N22">
            <v>3.3612172016472979</v>
          </cell>
        </row>
        <row r="23">
          <cell r="B23">
            <v>42</v>
          </cell>
          <cell r="F23">
            <v>3.79</v>
          </cell>
          <cell r="H23">
            <v>8.3502480183341632</v>
          </cell>
          <cell r="J23">
            <v>3.7499849394031335</v>
          </cell>
          <cell r="N23">
            <v>2.8731267636145006</v>
          </cell>
        </row>
        <row r="24">
          <cell r="B24">
            <v>48.25</v>
          </cell>
          <cell r="F24">
            <v>3.89</v>
          </cell>
          <cell r="H24">
            <v>8.2833012287035501</v>
          </cell>
          <cell r="J24">
            <v>4.1179012465085716</v>
          </cell>
          <cell r="L24">
            <v>1.6</v>
          </cell>
          <cell r="N24">
            <v>3.4140695089725739</v>
          </cell>
        </row>
        <row r="25">
          <cell r="B25">
            <v>54.083333333313931</v>
          </cell>
          <cell r="F25">
            <v>3.81</v>
          </cell>
          <cell r="H25">
            <v>8.1931245983544621</v>
          </cell>
          <cell r="J25">
            <v>4.2981051520296027</v>
          </cell>
          <cell r="L25">
            <v>1.6</v>
          </cell>
          <cell r="N25">
            <v>3.3238928786234858</v>
          </cell>
        </row>
        <row r="36">
          <cell r="B36">
            <v>1</v>
          </cell>
          <cell r="F36">
            <v>5.83</v>
          </cell>
          <cell r="H36">
            <v>5.3502480183341632</v>
          </cell>
          <cell r="J36">
            <v>-1.5525836380074652E-2</v>
          </cell>
          <cell r="M36">
            <v>0</v>
          </cell>
        </row>
        <row r="37">
          <cell r="B37">
            <v>3.0000000000582077</v>
          </cell>
          <cell r="F37">
            <v>5.81</v>
          </cell>
          <cell r="H37">
            <v>5.6414741105040997</v>
          </cell>
          <cell r="J37">
            <v>-1.92800844117628E-2</v>
          </cell>
          <cell r="M37">
            <v>0.29122609216993656</v>
          </cell>
        </row>
        <row r="38">
          <cell r="B38">
            <v>6.0000000000582077</v>
          </cell>
          <cell r="F38">
            <v>5.78</v>
          </cell>
          <cell r="H38">
            <v>6.0492180226701819</v>
          </cell>
          <cell r="J38">
            <v>-0.11689053323565454</v>
          </cell>
          <cell r="M38">
            <v>0.69897000433601875</v>
          </cell>
        </row>
        <row r="39">
          <cell r="B39">
            <v>9.0000000000582077</v>
          </cell>
          <cell r="F39">
            <v>5.76</v>
          </cell>
          <cell r="H39">
            <v>6.4742162640762553</v>
          </cell>
          <cell r="J39">
            <v>-0.24828921434473961</v>
          </cell>
          <cell r="M39">
            <v>1.1239682457420921</v>
          </cell>
        </row>
        <row r="40">
          <cell r="B40">
            <v>12.166666666744277</v>
          </cell>
          <cell r="F40">
            <v>5.7</v>
          </cell>
          <cell r="H40">
            <v>6.7323937598229682</v>
          </cell>
          <cell r="J40">
            <v>-0.16569575764760042</v>
          </cell>
          <cell r="M40">
            <v>1.382145741488805</v>
          </cell>
        </row>
        <row r="41">
          <cell r="B41">
            <v>15</v>
          </cell>
          <cell r="F41">
            <v>5.23</v>
          </cell>
          <cell r="H41">
            <v>7.6570558528571038</v>
          </cell>
          <cell r="J41">
            <v>0.16092382110926812</v>
          </cell>
          <cell r="M41">
            <v>2.2098978215148843</v>
          </cell>
        </row>
        <row r="42">
          <cell r="B42">
            <v>18</v>
          </cell>
          <cell r="F42">
            <v>4.92</v>
          </cell>
          <cell r="H42">
            <v>5.4436974992327123</v>
          </cell>
          <cell r="J42">
            <v>0.46877215970769592</v>
          </cell>
          <cell r="M42">
            <v>-3.4605321095071417E-3</v>
          </cell>
        </row>
        <row r="43">
          <cell r="B43">
            <v>21</v>
          </cell>
          <cell r="F43">
            <v>4.43</v>
          </cell>
          <cell r="H43">
            <v>8.0644579892269181</v>
          </cell>
          <cell r="J43">
            <v>1.0919773329679279</v>
          </cell>
          <cell r="M43">
            <v>2.6172999578846987</v>
          </cell>
        </row>
        <row r="44">
          <cell r="B44">
            <v>24.166666666744277</v>
          </cell>
          <cell r="F44">
            <v>4.51</v>
          </cell>
          <cell r="H44">
            <v>8.1003705451175634</v>
          </cell>
          <cell r="J44">
            <v>0.93429891563702594</v>
          </cell>
          <cell r="M44">
            <v>2.7501225267834002</v>
          </cell>
        </row>
        <row r="45">
          <cell r="B45">
            <v>27.083333333313931</v>
          </cell>
          <cell r="F45">
            <v>4.3099999999999996</v>
          </cell>
          <cell r="H45">
            <v>8.2878017299302265</v>
          </cell>
          <cell r="J45">
            <v>1.3998256715663557</v>
          </cell>
          <cell r="M45">
            <v>2.9375537115960633</v>
          </cell>
        </row>
        <row r="46">
          <cell r="B46">
            <v>30.083333333313931</v>
          </cell>
          <cell r="F46">
            <v>4.08</v>
          </cell>
          <cell r="H46">
            <v>8.2695129442179169</v>
          </cell>
          <cell r="J46">
            <v>2.3796844078369617</v>
          </cell>
          <cell r="M46">
            <v>2.9192649258837537</v>
          </cell>
        </row>
        <row r="47">
          <cell r="B47">
            <v>33.083333333313931</v>
          </cell>
          <cell r="F47">
            <v>4</v>
          </cell>
          <cell r="H47">
            <v>8.330413773349191</v>
          </cell>
          <cell r="J47">
            <v>2.781388947227593</v>
          </cell>
          <cell r="M47">
            <v>2.9801657550150278</v>
          </cell>
        </row>
        <row r="48">
          <cell r="B48">
            <v>35.833333333372138</v>
          </cell>
          <cell r="F48">
            <v>3.94</v>
          </cell>
          <cell r="H48">
            <v>8.3263358609287508</v>
          </cell>
          <cell r="J48">
            <v>3.0817287897626442</v>
          </cell>
          <cell r="M48">
            <v>2.9760878425945876</v>
          </cell>
        </row>
        <row r="49">
          <cell r="B49">
            <v>42</v>
          </cell>
          <cell r="F49">
            <v>3.77</v>
          </cell>
          <cell r="H49">
            <v>8.4048337166199385</v>
          </cell>
          <cell r="J49">
            <v>3.8250699000368966</v>
          </cell>
          <cell r="M49">
            <v>2.9576756852777191</v>
          </cell>
        </row>
        <row r="50">
          <cell r="B50">
            <v>48.25</v>
          </cell>
          <cell r="F50">
            <v>3.81</v>
          </cell>
          <cell r="H50">
            <v>8.3096301674258992</v>
          </cell>
          <cell r="J50">
            <v>4.0428162858748093</v>
          </cell>
          <cell r="M50">
            <v>2.959382149091736</v>
          </cell>
        </row>
        <row r="51">
          <cell r="B51">
            <v>54.083333333313931</v>
          </cell>
          <cell r="F51">
            <v>3.74</v>
          </cell>
          <cell r="H51">
            <v>8.1760912590556813</v>
          </cell>
          <cell r="J51">
            <v>4.1929862071423347</v>
          </cell>
          <cell r="M51">
            <v>2.8258432407215182</v>
          </cell>
        </row>
        <row r="60">
          <cell r="B60">
            <v>1</v>
          </cell>
          <cell r="F60">
            <v>5.84</v>
          </cell>
          <cell r="I60">
            <v>3.2041199826559246</v>
          </cell>
          <cell r="J60">
            <v>-4.2630922850102164E-3</v>
          </cell>
          <cell r="L60">
            <v>0</v>
          </cell>
        </row>
        <row r="61">
          <cell r="B61">
            <v>3.0000000000582077</v>
          </cell>
          <cell r="F61">
            <v>5.82</v>
          </cell>
          <cell r="I61">
            <v>3.4913616938342726</v>
          </cell>
          <cell r="J61">
            <v>4.0787884095247515E-2</v>
          </cell>
          <cell r="L61">
            <v>0.28724171117834807</v>
          </cell>
        </row>
        <row r="62">
          <cell r="B62">
            <v>6.0000000000582077</v>
          </cell>
          <cell r="F62">
            <v>5.8</v>
          </cell>
          <cell r="I62">
            <v>3.7781512503836434</v>
          </cell>
          <cell r="J62">
            <v>-6.8085308823708668E-2</v>
          </cell>
          <cell r="L62">
            <v>0.57403126772771884</v>
          </cell>
        </row>
        <row r="63">
          <cell r="B63">
            <v>9.0000000000582077</v>
          </cell>
          <cell r="F63">
            <v>5.81</v>
          </cell>
          <cell r="I63">
            <v>4.2966651902615309</v>
          </cell>
          <cell r="J63">
            <v>-0.21825523009123446</v>
          </cell>
          <cell r="L63">
            <v>1.0925452076056064</v>
          </cell>
        </row>
        <row r="64">
          <cell r="B64">
            <v>12.166666666744277</v>
          </cell>
          <cell r="F64">
            <v>5.81</v>
          </cell>
          <cell r="I64">
            <v>4.7160033436347994</v>
          </cell>
          <cell r="J64">
            <v>-0.12064478126734268</v>
          </cell>
          <cell r="L64">
            <v>1.5118833609788749</v>
          </cell>
        </row>
        <row r="65">
          <cell r="B65">
            <v>15</v>
          </cell>
          <cell r="F65">
            <v>5.83</v>
          </cell>
          <cell r="I65">
            <v>5.2787536009528289</v>
          </cell>
          <cell r="J65">
            <v>-0.14317026945747158</v>
          </cell>
          <cell r="L65">
            <v>2.1326255652745907</v>
          </cell>
        </row>
        <row r="66">
          <cell r="B66">
            <v>18</v>
          </cell>
          <cell r="F66">
            <v>5.84</v>
          </cell>
          <cell r="I66">
            <v>5.7242758696007892</v>
          </cell>
          <cell r="J66">
            <v>-0.14692451748915972</v>
          </cell>
          <cell r="L66">
            <v>2.578147833922551</v>
          </cell>
        </row>
        <row r="67">
          <cell r="B67">
            <v>21</v>
          </cell>
          <cell r="F67">
            <v>5.83</v>
          </cell>
          <cell r="I67">
            <v>6.4771212547196626</v>
          </cell>
          <cell r="J67">
            <v>-0.25579771040811589</v>
          </cell>
          <cell r="L67">
            <v>3.3309932190414244</v>
          </cell>
        </row>
        <row r="68">
          <cell r="B68">
            <v>24.166666666744277</v>
          </cell>
          <cell r="F68">
            <v>5.76</v>
          </cell>
          <cell r="I68">
            <v>6.3424226808222066</v>
          </cell>
          <cell r="J68">
            <v>7.4576116380440802E-2</v>
          </cell>
          <cell r="L68">
            <v>3.138302698166282</v>
          </cell>
        </row>
        <row r="69">
          <cell r="B69">
            <v>27.083333333313931</v>
          </cell>
          <cell r="F69">
            <v>5.75</v>
          </cell>
          <cell r="I69">
            <v>7.0334237554869494</v>
          </cell>
          <cell r="J69">
            <v>-9.0610797013837535E-2</v>
          </cell>
          <cell r="L69">
            <v>3.8293037728310249</v>
          </cell>
        </row>
        <row r="70">
          <cell r="B70">
            <v>30.083333333313931</v>
          </cell>
          <cell r="F70">
            <v>5.71</v>
          </cell>
          <cell r="I70">
            <v>7.5314789170422554</v>
          </cell>
          <cell r="J70">
            <v>-3.4297076538515374E-2</v>
          </cell>
          <cell r="L70">
            <v>4.3273589343863303</v>
          </cell>
        </row>
        <row r="71">
          <cell r="B71">
            <v>33.083333333313931</v>
          </cell>
          <cell r="F71">
            <v>5.63</v>
          </cell>
          <cell r="I71">
            <v>7.8061799739838875</v>
          </cell>
          <cell r="J71">
            <v>-0.13190752536240713</v>
          </cell>
          <cell r="L71">
            <v>4.6020599913279625</v>
          </cell>
        </row>
        <row r="72">
          <cell r="B72">
            <v>35.833333333372138</v>
          </cell>
          <cell r="F72">
            <v>5.49</v>
          </cell>
          <cell r="I72">
            <v>8.0791812460476251</v>
          </cell>
          <cell r="J72">
            <v>-0.13190752536240713</v>
          </cell>
          <cell r="L72">
            <v>4.8750612633917001</v>
          </cell>
        </row>
        <row r="73">
          <cell r="B73">
            <v>42</v>
          </cell>
          <cell r="F73">
            <v>4.79</v>
          </cell>
          <cell r="I73">
            <v>8.7754890858477097</v>
          </cell>
          <cell r="J73">
            <v>0.50631464002457738</v>
          </cell>
          <cell r="L73">
            <v>5.6293610501694715</v>
          </cell>
        </row>
        <row r="74">
          <cell r="B74">
            <v>48.25</v>
          </cell>
          <cell r="F74">
            <v>4.67</v>
          </cell>
          <cell r="I74">
            <v>8.8756399370041681</v>
          </cell>
          <cell r="J74">
            <v>0.81040873059131713</v>
          </cell>
          <cell r="L74">
            <v>5.6715199543482431</v>
          </cell>
        </row>
        <row r="75">
          <cell r="B75">
            <v>54.083333333313931</v>
          </cell>
          <cell r="F75">
            <v>4.45</v>
          </cell>
          <cell r="I75">
            <v>8.8933918348789298</v>
          </cell>
          <cell r="J75">
            <v>0.8779851951617037</v>
          </cell>
          <cell r="L75">
            <v>5.6892718522230048</v>
          </cell>
        </row>
        <row r="85">
          <cell r="B85">
            <v>1</v>
          </cell>
          <cell r="F85">
            <v>5.84</v>
          </cell>
          <cell r="H85">
            <v>5.1271047983648073</v>
          </cell>
          <cell r="I85">
            <v>3</v>
          </cell>
          <cell r="J85">
            <v>-1.92800844117628E-2</v>
          </cell>
          <cell r="L85">
            <v>0</v>
          </cell>
          <cell r="N85">
            <v>0</v>
          </cell>
          <cell r="O85">
            <v>0</v>
          </cell>
        </row>
        <row r="86">
          <cell r="B86">
            <v>3.0000000000582077</v>
          </cell>
          <cell r="F86">
            <v>5.85</v>
          </cell>
          <cell r="H86">
            <v>5.4742162640762553</v>
          </cell>
          <cell r="I86">
            <v>3.5440680443502757</v>
          </cell>
          <cell r="J86">
            <v>-1.92800844117628E-2</v>
          </cell>
          <cell r="L86">
            <v>0</v>
          </cell>
          <cell r="N86">
            <v>0.34711146571144802</v>
          </cell>
          <cell r="O86">
            <v>0.54406804435027567</v>
          </cell>
        </row>
        <row r="87">
          <cell r="B87">
            <v>6.0000000000582077</v>
          </cell>
          <cell r="F87">
            <v>5.79</v>
          </cell>
          <cell r="H87">
            <v>5.7781512503836439</v>
          </cell>
          <cell r="I87">
            <v>3.8450980400142569</v>
          </cell>
          <cell r="J87">
            <v>-1.5525836380074652E-2</v>
          </cell>
          <cell r="L87">
            <v>0</v>
          </cell>
          <cell r="N87">
            <v>0.6510464520188366</v>
          </cell>
          <cell r="O87">
            <v>0.84509804001425692</v>
          </cell>
        </row>
        <row r="88">
          <cell r="B88">
            <v>9.0000000000582077</v>
          </cell>
          <cell r="F88">
            <v>5.76</v>
          </cell>
          <cell r="H88">
            <v>6.3344537511509307</v>
          </cell>
          <cell r="I88">
            <v>4.1271047983648073</v>
          </cell>
          <cell r="J88">
            <v>-0.13566177339409527</v>
          </cell>
          <cell r="L88">
            <v>0</v>
          </cell>
          <cell r="N88">
            <v>1.2073489527861234</v>
          </cell>
          <cell r="O88">
            <v>1.1271047983648073</v>
          </cell>
        </row>
        <row r="89">
          <cell r="B89">
            <v>12.166666666744277</v>
          </cell>
          <cell r="F89">
            <v>5.74</v>
          </cell>
          <cell r="H89">
            <v>6.8061799739838875</v>
          </cell>
          <cell r="I89">
            <v>4.6020599913279625</v>
          </cell>
          <cell r="J89">
            <v>-0.14692451748915972</v>
          </cell>
          <cell r="L89">
            <v>0</v>
          </cell>
          <cell r="N89">
            <v>1.6790751756190803</v>
          </cell>
          <cell r="O89">
            <v>1.6020599913279625</v>
          </cell>
        </row>
        <row r="90">
          <cell r="B90">
            <v>15</v>
          </cell>
          <cell r="F90">
            <v>4.84</v>
          </cell>
          <cell r="H90">
            <v>7.8247764624755458</v>
          </cell>
          <cell r="I90">
            <v>4.8195439355418683</v>
          </cell>
          <cell r="J90">
            <v>0.42747543135912641</v>
          </cell>
          <cell r="N90">
            <v>2.3476552077558832</v>
          </cell>
          <cell r="O90">
            <v>1.6734158998636302</v>
          </cell>
        </row>
        <row r="91">
          <cell r="B91">
            <v>18</v>
          </cell>
          <cell r="F91">
            <v>4.5199999999999996</v>
          </cell>
          <cell r="H91">
            <v>8.3891660843645326</v>
          </cell>
          <cell r="I91">
            <v>4.1818435879447726</v>
          </cell>
          <cell r="J91">
            <v>0.99812113217572418</v>
          </cell>
          <cell r="N91">
            <v>2.91204482964487</v>
          </cell>
          <cell r="O91">
            <v>1.0357155522665344</v>
          </cell>
        </row>
        <row r="92">
          <cell r="B92">
            <v>21</v>
          </cell>
          <cell r="F92">
            <v>4.21</v>
          </cell>
          <cell r="H92">
            <v>8</v>
          </cell>
          <cell r="I92">
            <v>3.255272505103306</v>
          </cell>
          <cell r="J92">
            <v>1.7489707385133531</v>
          </cell>
          <cell r="N92">
            <v>2.5228787452803374</v>
          </cell>
          <cell r="O92">
            <v>0.10914446942506784</v>
          </cell>
        </row>
        <row r="93">
          <cell r="B93">
            <v>24.166666666744277</v>
          </cell>
          <cell r="F93">
            <v>4.26</v>
          </cell>
          <cell r="H93">
            <v>8.204119982655925</v>
          </cell>
          <cell r="I93">
            <v>3.5051499783199058</v>
          </cell>
          <cell r="J93">
            <v>1.7452164904816649</v>
          </cell>
          <cell r="L93">
            <v>1.6</v>
          </cell>
          <cell r="N93">
            <v>3.0770151842911178</v>
          </cell>
          <cell r="O93">
            <v>0.50514997831990582</v>
          </cell>
        </row>
        <row r="94">
          <cell r="B94">
            <v>27.083333333313931</v>
          </cell>
          <cell r="F94">
            <v>4.12</v>
          </cell>
          <cell r="H94">
            <v>8.3138672203691542</v>
          </cell>
          <cell r="I94">
            <v>3.1461280356782382</v>
          </cell>
          <cell r="J94">
            <v>1.9554543802562014</v>
          </cell>
          <cell r="L94">
            <v>1.6</v>
          </cell>
          <cell r="N94">
            <v>3.1867624220043469</v>
          </cell>
          <cell r="O94">
            <v>0.14612803567823818</v>
          </cell>
        </row>
        <row r="95">
          <cell r="B95">
            <v>30.083333333313931</v>
          </cell>
          <cell r="F95">
            <v>3.96</v>
          </cell>
          <cell r="H95">
            <v>8.2922560713564764</v>
          </cell>
          <cell r="I95">
            <v>2.6848453616444123</v>
          </cell>
          <cell r="J95">
            <v>3.0892372858260204</v>
          </cell>
          <cell r="L95">
            <v>1.6</v>
          </cell>
          <cell r="N95">
            <v>3.1651512729916691</v>
          </cell>
          <cell r="O95">
            <v>-0.31515463835558766</v>
          </cell>
        </row>
        <row r="96">
          <cell r="B96">
            <v>33.083333333313931</v>
          </cell>
          <cell r="F96">
            <v>3.94</v>
          </cell>
          <cell r="H96">
            <v>8.3802112417116064</v>
          </cell>
          <cell r="I96">
            <v>2.576341350205793</v>
          </cell>
          <cell r="J96">
            <v>3.1192712700795253</v>
          </cell>
          <cell r="L96">
            <v>1.6</v>
          </cell>
          <cell r="N96">
            <v>3.2531064433467991</v>
          </cell>
          <cell r="O96">
            <v>-0.42365864979420698</v>
          </cell>
        </row>
        <row r="97">
          <cell r="B97">
            <v>35.833333333372138</v>
          </cell>
          <cell r="F97">
            <v>3.92</v>
          </cell>
          <cell r="H97">
            <v>8.2878017299302265</v>
          </cell>
          <cell r="I97">
            <v>2.1038037209559568</v>
          </cell>
          <cell r="J97">
            <v>3.2131274708717297</v>
          </cell>
          <cell r="L97">
            <v>3.2</v>
          </cell>
          <cell r="N97">
            <v>3.1606969315654192</v>
          </cell>
          <cell r="O97">
            <v>-0.8961962790440432</v>
          </cell>
        </row>
        <row r="98">
          <cell r="B98">
            <v>42</v>
          </cell>
          <cell r="F98">
            <v>3.8</v>
          </cell>
          <cell r="H98">
            <v>8.2787536009528289</v>
          </cell>
          <cell r="I98" t="e">
            <v>#NUM!</v>
          </cell>
          <cell r="J98">
            <v>3.7875274197200151</v>
          </cell>
          <cell r="N98">
            <v>2.8016323462331663</v>
          </cell>
          <cell r="O98" t="e">
            <v>#NUM!</v>
          </cell>
        </row>
        <row r="99">
          <cell r="B99">
            <v>48.25</v>
          </cell>
          <cell r="F99">
            <v>3.81</v>
          </cell>
          <cell r="H99">
            <v>8.2504200023088945</v>
          </cell>
          <cell r="I99">
            <v>-0.74472749489669399</v>
          </cell>
          <cell r="J99">
            <v>4.1629522228888298</v>
          </cell>
          <cell r="L99">
            <v>3.2</v>
          </cell>
          <cell r="N99">
            <v>3.1233152039440872</v>
          </cell>
          <cell r="O99">
            <v>-3.744727494896694</v>
          </cell>
        </row>
        <row r="100">
          <cell r="B100">
            <v>54.083333333313931</v>
          </cell>
          <cell r="F100">
            <v>3.78</v>
          </cell>
          <cell r="H100">
            <v>8.1931245983544621</v>
          </cell>
          <cell r="I100">
            <v>-0.74472749489669399</v>
          </cell>
          <cell r="J100">
            <v>4.1366724866670133</v>
          </cell>
          <cell r="L100">
            <v>1.6</v>
          </cell>
          <cell r="N100">
            <v>3.0660197999896548</v>
          </cell>
          <cell r="O100">
            <v>-3.744727494896694</v>
          </cell>
        </row>
        <row r="111">
          <cell r="B111">
            <v>1</v>
          </cell>
          <cell r="F111">
            <v>5.83</v>
          </cell>
          <cell r="H111">
            <v>5.2878017299302265</v>
          </cell>
          <cell r="I111">
            <v>3.3979400086720375</v>
          </cell>
          <cell r="J111">
            <v>-1.1771588348386512E-2</v>
          </cell>
          <cell r="L111">
            <v>0</v>
          </cell>
          <cell r="M111">
            <v>0</v>
          </cell>
        </row>
        <row r="112">
          <cell r="B112">
            <v>3.0000000000582077</v>
          </cell>
          <cell r="F112">
            <v>5.79</v>
          </cell>
          <cell r="H112">
            <v>5.6434526764861879</v>
          </cell>
          <cell r="I112">
            <v>3.5051499783199058</v>
          </cell>
          <cell r="J112">
            <v>-4.1805572601891668E-2</v>
          </cell>
          <cell r="L112">
            <v>0.35565094655596141</v>
          </cell>
          <cell r="M112">
            <v>0.10720996964786833</v>
          </cell>
        </row>
        <row r="113">
          <cell r="B113">
            <v>6.0000000000582077</v>
          </cell>
          <cell r="F113">
            <v>5.76</v>
          </cell>
          <cell r="H113">
            <v>6.0863598306747484</v>
          </cell>
          <cell r="I113">
            <v>3.6232492903979003</v>
          </cell>
          <cell r="J113">
            <v>-7.5593804887084962E-2</v>
          </cell>
          <cell r="L113">
            <v>0.79855810074452194</v>
          </cell>
          <cell r="M113">
            <v>0.22530928172586284</v>
          </cell>
        </row>
        <row r="114">
          <cell r="B114">
            <v>9.0000000000582077</v>
          </cell>
          <cell r="F114">
            <v>5.76</v>
          </cell>
          <cell r="H114">
            <v>6.5465426634781307</v>
          </cell>
          <cell r="I114">
            <v>4.2095150145426308</v>
          </cell>
          <cell r="J114">
            <v>-0.19572974190110559</v>
          </cell>
          <cell r="L114">
            <v>1.2587409335479043</v>
          </cell>
          <cell r="M114">
            <v>0.81157500587059328</v>
          </cell>
        </row>
        <row r="115">
          <cell r="B115">
            <v>12.166666666744277</v>
          </cell>
          <cell r="F115">
            <v>5.7</v>
          </cell>
          <cell r="H115">
            <v>7</v>
          </cell>
          <cell r="I115">
            <v>4.6020599913279625</v>
          </cell>
          <cell r="J115">
            <v>-0.13566177339409527</v>
          </cell>
          <cell r="L115">
            <v>1.7121982700697735</v>
          </cell>
          <cell r="M115">
            <v>1.204119982655925</v>
          </cell>
        </row>
        <row r="116">
          <cell r="B116">
            <v>15</v>
          </cell>
          <cell r="F116">
            <v>5.19</v>
          </cell>
          <cell r="H116">
            <v>7.77232170672292</v>
          </cell>
          <cell r="I116">
            <v>5.3502480183341632</v>
          </cell>
          <cell r="J116">
            <v>0.19846630142614954</v>
          </cell>
          <cell r="L116">
            <v>2.3251636753807006</v>
          </cell>
          <cell r="M116">
            <v>2.204119982655925</v>
          </cell>
        </row>
        <row r="117">
          <cell r="B117">
            <v>18</v>
          </cell>
          <cell r="F117">
            <v>4.88</v>
          </cell>
          <cell r="H117">
            <v>8.0374264979406238</v>
          </cell>
          <cell r="I117">
            <v>6.1461280356782382</v>
          </cell>
          <cell r="J117">
            <v>0.4988061439612011</v>
          </cell>
          <cell r="L117">
            <v>2.5902684665984044</v>
          </cell>
          <cell r="M117">
            <v>3</v>
          </cell>
        </row>
        <row r="118">
          <cell r="B118">
            <v>21</v>
          </cell>
          <cell r="F118">
            <v>4.41</v>
          </cell>
          <cell r="H118">
            <v>8.0492180226701819</v>
          </cell>
          <cell r="I118">
            <v>5.6812412373755876</v>
          </cell>
          <cell r="J118">
            <v>1.1182570691897449</v>
          </cell>
          <cell r="L118">
            <v>2.6020599913279625</v>
          </cell>
          <cell r="M118">
            <v>2.5351132016973494</v>
          </cell>
        </row>
        <row r="119">
          <cell r="B119">
            <v>24.166666666744277</v>
          </cell>
          <cell r="F119">
            <v>4.53</v>
          </cell>
          <cell r="H119">
            <v>8.1702617153949575</v>
          </cell>
          <cell r="I119">
            <v>5.8061799739838875</v>
          </cell>
          <cell r="J119">
            <v>1.1370283093481857</v>
          </cell>
          <cell r="L119">
            <v>2.882459985464731</v>
          </cell>
          <cell r="M119">
            <v>2.40823996531185</v>
          </cell>
        </row>
        <row r="120">
          <cell r="B120">
            <v>27.083333333313931</v>
          </cell>
          <cell r="F120">
            <v>4.3</v>
          </cell>
          <cell r="H120">
            <v>8.2833012287035501</v>
          </cell>
          <cell r="I120">
            <v>5.8692317197309762</v>
          </cell>
          <cell r="J120">
            <v>1.4298596558198609</v>
          </cell>
          <cell r="L120">
            <v>2.9954994987733237</v>
          </cell>
          <cell r="M120">
            <v>2.4712917110589387</v>
          </cell>
        </row>
        <row r="121">
          <cell r="B121">
            <v>30.083333333313931</v>
          </cell>
          <cell r="F121">
            <v>4.08</v>
          </cell>
          <cell r="H121">
            <v>8.2922560713564764</v>
          </cell>
          <cell r="I121">
            <v>5.9030899869919438</v>
          </cell>
          <cell r="J121">
            <v>2.6912869944670774</v>
          </cell>
          <cell r="L121">
            <v>3.0044543414262499</v>
          </cell>
          <cell r="M121">
            <v>2.5051499783199063</v>
          </cell>
        </row>
        <row r="122">
          <cell r="B122">
            <v>33.083333333313931</v>
          </cell>
          <cell r="F122">
            <v>3.99</v>
          </cell>
          <cell r="H122">
            <v>8.3424226808222066</v>
          </cell>
          <cell r="I122">
            <v>5.924279286061882</v>
          </cell>
          <cell r="J122">
            <v>2.9465758606218717</v>
          </cell>
          <cell r="L122">
            <v>3.0546209508919802</v>
          </cell>
          <cell r="M122">
            <v>2.5263392773898445</v>
          </cell>
        </row>
        <row r="123">
          <cell r="B123">
            <v>35.833333333372138</v>
          </cell>
          <cell r="F123">
            <v>3.92</v>
          </cell>
          <cell r="H123">
            <v>8.3802112417116064</v>
          </cell>
          <cell r="I123">
            <v>6</v>
          </cell>
          <cell r="J123">
            <v>3.1530595023647194</v>
          </cell>
          <cell r="L123">
            <v>3.0924095117813799</v>
          </cell>
          <cell r="M123">
            <v>2.6020599913279625</v>
          </cell>
        </row>
        <row r="124">
          <cell r="B124">
            <v>42</v>
          </cell>
          <cell r="F124">
            <v>3.77</v>
          </cell>
          <cell r="H124" t="e">
            <v>#NUM!</v>
          </cell>
          <cell r="I124" t="e">
            <v>#NUM!</v>
          </cell>
          <cell r="J124">
            <v>3.7950359157833913</v>
          </cell>
          <cell r="L124" t="e">
            <v>#NUM!</v>
          </cell>
          <cell r="M124" t="e">
            <v>#NUM!</v>
          </cell>
        </row>
        <row r="125">
          <cell r="B125">
            <v>48.25</v>
          </cell>
          <cell r="F125">
            <v>3.77</v>
          </cell>
          <cell r="H125">
            <v>8.2355284469075496</v>
          </cell>
          <cell r="I125">
            <v>6.0253058652647704</v>
          </cell>
          <cell r="J125">
            <v>4.0578332780015618</v>
          </cell>
          <cell r="L125">
            <v>2.9477267169773231</v>
          </cell>
          <cell r="M125">
            <v>2.6273658565927329</v>
          </cell>
        </row>
        <row r="126">
          <cell r="B126">
            <v>54.083333333313931</v>
          </cell>
          <cell r="F126">
            <v>3.74</v>
          </cell>
          <cell r="H126">
            <v>8.2455126678141504</v>
          </cell>
          <cell r="I126">
            <v>5.8061799739838875</v>
          </cell>
          <cell r="J126">
            <v>4.3656816165999892</v>
          </cell>
          <cell r="L126">
            <v>2.9577109378839239</v>
          </cell>
          <cell r="M126">
            <v>2.40823996531185</v>
          </cell>
        </row>
      </sheetData>
      <sheetData sheetId="4">
        <row r="4">
          <cell r="M4">
            <v>0</v>
          </cell>
          <cell r="Q4">
            <v>5.4771212547196626</v>
          </cell>
        </row>
        <row r="5">
          <cell r="Q5">
            <v>5.4471580313422194</v>
          </cell>
        </row>
        <row r="6">
          <cell r="Q6">
            <v>3.1461280356782382</v>
          </cell>
        </row>
        <row r="9">
          <cell r="F9" t="str">
            <v>pH</v>
          </cell>
          <cell r="J9" t="str">
            <v>LA (g/L)</v>
          </cell>
          <cell r="L9" t="str">
            <v>Gota (10^3 AU/mL)</v>
          </cell>
        </row>
        <row r="10">
          <cell r="B10">
            <v>1</v>
          </cell>
          <cell r="F10">
            <v>5.86</v>
          </cell>
          <cell r="H10">
            <v>5.1522883443830567</v>
          </cell>
          <cell r="J10">
            <v>-0.38344214348551281</v>
          </cell>
          <cell r="L10">
            <v>0</v>
          </cell>
          <cell r="N10">
            <v>0</v>
          </cell>
        </row>
        <row r="11">
          <cell r="B11">
            <v>3.0000000000582077</v>
          </cell>
          <cell r="F11">
            <v>5.86</v>
          </cell>
          <cell r="H11">
            <v>5.3873898263387296</v>
          </cell>
          <cell r="J11">
            <v>-1.1771588348386512E-2</v>
          </cell>
          <cell r="L11">
            <v>0</v>
          </cell>
          <cell r="N11">
            <v>0.23510148195567293</v>
          </cell>
        </row>
        <row r="12">
          <cell r="B12">
            <v>6.0000000000582077</v>
          </cell>
          <cell r="F12">
            <v>5.8</v>
          </cell>
          <cell r="H12">
            <v>5.924279286061882</v>
          </cell>
          <cell r="J12">
            <v>-3.0542828506827231E-2</v>
          </cell>
          <cell r="L12">
            <v>0</v>
          </cell>
          <cell r="N12">
            <v>0.77199094167882532</v>
          </cell>
        </row>
        <row r="13">
          <cell r="B13">
            <v>9.0000000000582077</v>
          </cell>
          <cell r="F13">
            <v>5.78</v>
          </cell>
          <cell r="H13">
            <v>6.4502491083193609</v>
          </cell>
          <cell r="J13">
            <v>-0.19948398993279373</v>
          </cell>
          <cell r="L13">
            <v>0</v>
          </cell>
          <cell r="N13">
            <v>1.2979607639363042</v>
          </cell>
        </row>
        <row r="14">
          <cell r="B14">
            <v>12.166666666744277</v>
          </cell>
          <cell r="F14">
            <v>5.71</v>
          </cell>
          <cell r="H14">
            <v>6.8061799739838875</v>
          </cell>
          <cell r="J14">
            <v>-2.6788580475139087E-2</v>
          </cell>
          <cell r="L14">
            <v>0</v>
          </cell>
          <cell r="N14">
            <v>1.6538916296008308</v>
          </cell>
        </row>
        <row r="15">
          <cell r="B15">
            <v>15</v>
          </cell>
          <cell r="F15">
            <v>4.7300000000000004</v>
          </cell>
          <cell r="H15">
            <v>7.6683859166900001</v>
          </cell>
          <cell r="J15">
            <v>0.43873817545419086</v>
          </cell>
          <cell r="N15">
            <v>2.1912646619703375</v>
          </cell>
        </row>
        <row r="16">
          <cell r="B16">
            <v>18</v>
          </cell>
          <cell r="F16">
            <v>4.4800000000000004</v>
          </cell>
          <cell r="H16">
            <v>7.9758911364017928</v>
          </cell>
          <cell r="J16">
            <v>1.1407825573798738</v>
          </cell>
          <cell r="N16">
            <v>2.4987698816821302</v>
          </cell>
        </row>
        <row r="17">
          <cell r="B17">
            <v>21</v>
          </cell>
          <cell r="F17">
            <v>4.2</v>
          </cell>
          <cell r="H17" t="e">
            <v>#NUM!</v>
          </cell>
          <cell r="J17">
            <v>1.7377079944182887</v>
          </cell>
          <cell r="N17" t="e">
            <v>#NUM!</v>
          </cell>
        </row>
        <row r="18">
          <cell r="B18">
            <v>24.166666666744277</v>
          </cell>
          <cell r="F18">
            <v>4.22</v>
          </cell>
          <cell r="H18">
            <v>8.2741578492636805</v>
          </cell>
          <cell r="J18">
            <v>1.722691002291536</v>
          </cell>
          <cell r="L18">
            <v>3.2</v>
          </cell>
          <cell r="N18">
            <v>3.1218695048806238</v>
          </cell>
        </row>
        <row r="19">
          <cell r="B19">
            <v>27.083333333313931</v>
          </cell>
          <cell r="F19">
            <v>4.08</v>
          </cell>
          <cell r="H19">
            <v>8.3654879848908994</v>
          </cell>
          <cell r="J19">
            <v>2.3534046716151442</v>
          </cell>
          <cell r="L19">
            <v>3.2</v>
          </cell>
          <cell r="N19">
            <v>3.2131996405078427</v>
          </cell>
        </row>
        <row r="20">
          <cell r="B20">
            <v>30.083333333313931</v>
          </cell>
          <cell r="F20">
            <v>4</v>
          </cell>
          <cell r="H20">
            <v>8.3502480183341632</v>
          </cell>
          <cell r="J20">
            <v>3.0967457818893966</v>
          </cell>
          <cell r="L20">
            <v>1.6</v>
          </cell>
          <cell r="N20">
            <v>3.1979596739511065</v>
          </cell>
        </row>
        <row r="21">
          <cell r="B21">
            <v>33.083333333313931</v>
          </cell>
          <cell r="F21">
            <v>3.93</v>
          </cell>
          <cell r="H21">
            <v>8.3222192947339195</v>
          </cell>
          <cell r="J21">
            <v>3.2731954393787399</v>
          </cell>
          <cell r="L21">
            <v>3.2</v>
          </cell>
          <cell r="N21">
            <v>3.1699309503508628</v>
          </cell>
        </row>
        <row r="22">
          <cell r="B22">
            <v>35.833333333372138</v>
          </cell>
          <cell r="F22">
            <v>3.91</v>
          </cell>
          <cell r="H22">
            <v>8.3384564936046051</v>
          </cell>
          <cell r="J22">
            <v>3.5697810338821032</v>
          </cell>
          <cell r="L22">
            <v>3.2</v>
          </cell>
          <cell r="N22">
            <v>3.1861681492215483</v>
          </cell>
        </row>
        <row r="23">
          <cell r="B23">
            <v>42</v>
          </cell>
          <cell r="F23">
            <v>3.78</v>
          </cell>
          <cell r="H23">
            <v>8.1702617153949575</v>
          </cell>
          <cell r="J23">
            <v>3.8888921165755952</v>
          </cell>
          <cell r="N23">
            <v>2.6931404606752949</v>
          </cell>
        </row>
        <row r="24">
          <cell r="B24">
            <v>48.25</v>
          </cell>
          <cell r="F24">
            <v>3.82</v>
          </cell>
          <cell r="H24">
            <v>8.2455126678141504</v>
          </cell>
          <cell r="J24">
            <v>4.1329182386353249</v>
          </cell>
          <cell r="L24">
            <v>3.2</v>
          </cell>
          <cell r="N24">
            <v>3.0932243234310937</v>
          </cell>
        </row>
        <row r="25">
          <cell r="B25">
            <v>54.083333333313931</v>
          </cell>
          <cell r="F25">
            <v>3.81</v>
          </cell>
          <cell r="H25">
            <v>8.2095150145426317</v>
          </cell>
          <cell r="J25">
            <v>4.3206306402197319</v>
          </cell>
          <cell r="L25">
            <v>1.6</v>
          </cell>
          <cell r="N25">
            <v>3.0572266701595749</v>
          </cell>
        </row>
        <row r="36">
          <cell r="B36">
            <v>1</v>
          </cell>
          <cell r="F36">
            <v>5.87</v>
          </cell>
          <cell r="H36">
            <v>5.3617278360175931</v>
          </cell>
          <cell r="J36">
            <v>-0.12064478126734268</v>
          </cell>
          <cell r="M36">
            <v>0</v>
          </cell>
        </row>
        <row r="37">
          <cell r="B37">
            <v>3.0000000000582077</v>
          </cell>
          <cell r="F37">
            <v>5.8</v>
          </cell>
          <cell r="H37">
            <v>5.6020599913279625</v>
          </cell>
          <cell r="J37">
            <v>-9.0610797013837535E-2</v>
          </cell>
          <cell r="M37">
            <v>0.24033215531036944</v>
          </cell>
        </row>
        <row r="38">
          <cell r="B38">
            <v>6.0000000000582077</v>
          </cell>
          <cell r="F38">
            <v>5.79</v>
          </cell>
          <cell r="H38">
            <v>6.1139433523068369</v>
          </cell>
          <cell r="J38">
            <v>-9.8119293077213829E-2</v>
          </cell>
          <cell r="M38">
            <v>0.75221551628924388</v>
          </cell>
        </row>
        <row r="39">
          <cell r="B39">
            <v>9.0000000000582077</v>
          </cell>
          <cell r="F39">
            <v>5.75</v>
          </cell>
          <cell r="H39">
            <v>6.5705429398818973</v>
          </cell>
          <cell r="J39">
            <v>-0.49231533640446895</v>
          </cell>
          <cell r="M39">
            <v>1.2088151038643042</v>
          </cell>
        </row>
        <row r="40">
          <cell r="B40">
            <v>12.166666666744277</v>
          </cell>
          <cell r="F40">
            <v>5.69</v>
          </cell>
          <cell r="H40">
            <v>6.9030899869919438</v>
          </cell>
          <cell r="J40">
            <v>-0.10187354110890197</v>
          </cell>
          <cell r="M40">
            <v>1.5413621509743507</v>
          </cell>
        </row>
        <row r="41">
          <cell r="B41">
            <v>15</v>
          </cell>
          <cell r="F41">
            <v>5.15</v>
          </cell>
          <cell r="H41">
            <v>7.6148972160331345</v>
          </cell>
          <cell r="J41">
            <v>0.19471205339446146</v>
          </cell>
          <cell r="M41">
            <v>2.1677391846909151</v>
          </cell>
        </row>
        <row r="42">
          <cell r="B42">
            <v>18</v>
          </cell>
          <cell r="F42">
            <v>4.8600000000000003</v>
          </cell>
          <cell r="H42">
            <v>7.8739015978644611</v>
          </cell>
          <cell r="J42">
            <v>0.58139960065834018</v>
          </cell>
          <cell r="M42">
            <v>2.4267435665222417</v>
          </cell>
        </row>
        <row r="43">
          <cell r="B43">
            <v>21</v>
          </cell>
          <cell r="F43">
            <v>4.3899999999999997</v>
          </cell>
          <cell r="H43" t="e">
            <v>#NUM!</v>
          </cell>
          <cell r="J43">
            <v>1.1069943250946805</v>
          </cell>
          <cell r="M43" t="e">
            <v>#NUM!</v>
          </cell>
        </row>
        <row r="44">
          <cell r="B44">
            <v>24.166666666744277</v>
          </cell>
          <cell r="F44">
            <v>4.43</v>
          </cell>
          <cell r="H44">
            <v>8.0492180226701819</v>
          </cell>
          <cell r="J44">
            <v>1.1445368054115619</v>
          </cell>
          <cell r="M44">
            <v>2.6874901866525889</v>
          </cell>
        </row>
        <row r="45">
          <cell r="B45">
            <v>27.083333333313931</v>
          </cell>
          <cell r="F45">
            <v>4.18</v>
          </cell>
          <cell r="H45">
            <v>8.3729120029701072</v>
          </cell>
          <cell r="J45">
            <v>1.850335435368933</v>
          </cell>
          <cell r="M45">
            <v>3.0111841669525141</v>
          </cell>
        </row>
        <row r="46">
          <cell r="B46">
            <v>30.083333333313931</v>
          </cell>
          <cell r="F46">
            <v>4.0599999999999996</v>
          </cell>
          <cell r="H46">
            <v>8.3692158574101434</v>
          </cell>
          <cell r="J46">
            <v>2.6687615062769487</v>
          </cell>
          <cell r="M46">
            <v>3.0074880213925503</v>
          </cell>
        </row>
        <row r="47">
          <cell r="B47">
            <v>33.083333333313931</v>
          </cell>
          <cell r="F47">
            <v>3.98</v>
          </cell>
          <cell r="H47">
            <v>8.3138672203691542</v>
          </cell>
          <cell r="J47">
            <v>2.9127876283366776</v>
          </cell>
          <cell r="M47">
            <v>2.9521393843515611</v>
          </cell>
        </row>
        <row r="48">
          <cell r="B48">
            <v>35.833333333372138</v>
          </cell>
          <cell r="F48">
            <v>3.91</v>
          </cell>
          <cell r="H48">
            <v>8.2552725051033065</v>
          </cell>
          <cell r="J48">
            <v>3.4271196086779536</v>
          </cell>
          <cell r="M48">
            <v>2.8935446690857134</v>
          </cell>
        </row>
        <row r="49">
          <cell r="B49">
            <v>42</v>
          </cell>
          <cell r="F49">
            <v>3.75</v>
          </cell>
          <cell r="H49">
            <v>8.4149733479708182</v>
          </cell>
          <cell r="J49">
            <v>3.9414515890192292</v>
          </cell>
          <cell r="M49">
            <v>2.9678153166285988</v>
          </cell>
        </row>
        <row r="50">
          <cell r="B50">
            <v>48.25</v>
          </cell>
          <cell r="F50">
            <v>3.78</v>
          </cell>
          <cell r="H50">
            <v>8.2552725051033065</v>
          </cell>
          <cell r="J50">
            <v>4.1103927504451958</v>
          </cell>
          <cell r="M50">
            <v>2.8935446690857134</v>
          </cell>
        </row>
        <row r="51">
          <cell r="B51">
            <v>54.083333333313931</v>
          </cell>
          <cell r="F51">
            <v>3.73</v>
          </cell>
          <cell r="H51">
            <v>8.3263358609287508</v>
          </cell>
          <cell r="J51">
            <v>4.4295038331386873</v>
          </cell>
          <cell r="M51">
            <v>2.9646080249111577</v>
          </cell>
        </row>
        <row r="60">
          <cell r="B60">
            <v>1</v>
          </cell>
          <cell r="F60">
            <v>5.85</v>
          </cell>
          <cell r="I60">
            <v>3.3424226808222062</v>
          </cell>
          <cell r="J60">
            <v>-0.40972187970732982</v>
          </cell>
          <cell r="L60">
            <v>0</v>
          </cell>
        </row>
        <row r="61">
          <cell r="B61">
            <v>3.0000000000582077</v>
          </cell>
          <cell r="F61">
            <v>5.8</v>
          </cell>
          <cell r="I61">
            <v>3.4471580313422194</v>
          </cell>
          <cell r="J61">
            <v>-2.6788580475139087E-2</v>
          </cell>
          <cell r="L61">
            <v>0.10473535052001326</v>
          </cell>
        </row>
        <row r="62">
          <cell r="B62">
            <v>6.0000000000582077</v>
          </cell>
          <cell r="F62">
            <v>5.8</v>
          </cell>
          <cell r="I62">
            <v>4.008600171761918</v>
          </cell>
          <cell r="J62">
            <v>1.0753899841742361E-2</v>
          </cell>
          <cell r="L62">
            <v>0.66617749093971179</v>
          </cell>
        </row>
        <row r="63">
          <cell r="B63">
            <v>9.0000000000582077</v>
          </cell>
          <cell r="F63">
            <v>5.82</v>
          </cell>
          <cell r="I63">
            <v>4.3263358609287517</v>
          </cell>
          <cell r="J63">
            <v>0.64522181719703875</v>
          </cell>
          <cell r="L63">
            <v>0.98391318010654549</v>
          </cell>
        </row>
        <row r="64">
          <cell r="B64">
            <v>12.166666666744277</v>
          </cell>
          <cell r="F64">
            <v>5.82</v>
          </cell>
          <cell r="I64">
            <v>4.8195439355418683</v>
          </cell>
          <cell r="J64">
            <v>-0.21074673402785815</v>
          </cell>
          <cell r="L64">
            <v>1.4771212547196622</v>
          </cell>
        </row>
        <row r="65">
          <cell r="B65">
            <v>15</v>
          </cell>
          <cell r="F65">
            <v>5.79</v>
          </cell>
          <cell r="I65">
            <v>5.3617278360175931</v>
          </cell>
          <cell r="J65">
            <v>-6.8085308823708668E-2</v>
          </cell>
          <cell r="L65">
            <v>2.2155998003393549</v>
          </cell>
        </row>
        <row r="66">
          <cell r="B66">
            <v>18</v>
          </cell>
          <cell r="F66">
            <v>5.81</v>
          </cell>
          <cell r="I66">
            <v>5.9526310252827459</v>
          </cell>
          <cell r="J66">
            <v>-5.3068316696956094E-2</v>
          </cell>
          <cell r="L66">
            <v>2.8065029896045077</v>
          </cell>
        </row>
        <row r="67">
          <cell r="B67">
            <v>21</v>
          </cell>
          <cell r="F67">
            <v>5.78</v>
          </cell>
          <cell r="I67" t="e">
            <v>#NUM!</v>
          </cell>
          <cell r="J67">
            <v>-0.15067876552084783</v>
          </cell>
          <cell r="L67" t="e">
            <v>#NUM!</v>
          </cell>
        </row>
        <row r="68">
          <cell r="B68">
            <v>24.166666666744277</v>
          </cell>
          <cell r="F68">
            <v>5.77</v>
          </cell>
          <cell r="I68">
            <v>6.4471580313422194</v>
          </cell>
          <cell r="J68">
            <v>-0.259551958439804</v>
          </cell>
          <cell r="L68">
            <v>3.1047353505200133</v>
          </cell>
        </row>
        <row r="69">
          <cell r="B69">
            <v>27.083333333313931</v>
          </cell>
          <cell r="F69">
            <v>5.75</v>
          </cell>
          <cell r="I69">
            <v>7.204119982655925</v>
          </cell>
          <cell r="J69">
            <v>-6.8085308823708668E-2</v>
          </cell>
          <cell r="L69">
            <v>3.8616973018337188</v>
          </cell>
        </row>
        <row r="70">
          <cell r="B70">
            <v>30.083333333313931</v>
          </cell>
          <cell r="F70">
            <v>5.69</v>
          </cell>
          <cell r="I70">
            <v>7.7160033436347994</v>
          </cell>
          <cell r="J70">
            <v>3.3279388031871221E-2</v>
          </cell>
          <cell r="L70">
            <v>4.3735806628125928</v>
          </cell>
        </row>
        <row r="71">
          <cell r="B71">
            <v>33.083333333313931</v>
          </cell>
          <cell r="F71">
            <v>5.57</v>
          </cell>
          <cell r="I71">
            <v>8.0934216851622356</v>
          </cell>
          <cell r="J71">
            <v>-0.13941602142578344</v>
          </cell>
          <cell r="L71">
            <v>4.750999004340029</v>
          </cell>
        </row>
        <row r="72">
          <cell r="B72">
            <v>35.833333333372138</v>
          </cell>
          <cell r="F72">
            <v>5.3</v>
          </cell>
          <cell r="I72">
            <v>8.2355284469075496</v>
          </cell>
          <cell r="J72">
            <v>8.2084612443817095E-2</v>
          </cell>
          <cell r="L72">
            <v>4.893105766085343</v>
          </cell>
        </row>
        <row r="73">
          <cell r="B73">
            <v>42</v>
          </cell>
          <cell r="F73">
            <v>4.71</v>
          </cell>
          <cell r="I73">
            <v>8.6860401202573563</v>
          </cell>
          <cell r="J73">
            <v>1.0093838762707887</v>
          </cell>
          <cell r="L73">
            <v>5.5399120845791181</v>
          </cell>
        </row>
        <row r="74">
          <cell r="B74">
            <v>48.25</v>
          </cell>
          <cell r="F74">
            <v>4.55</v>
          </cell>
          <cell r="I74">
            <v>8.9615792781810732</v>
          </cell>
          <cell r="J74">
            <v>0.8291799707497578</v>
          </cell>
          <cell r="L74">
            <v>5.6191565973588666</v>
          </cell>
        </row>
        <row r="75">
          <cell r="B75">
            <v>54.083333333313931</v>
          </cell>
          <cell r="F75">
            <v>4.38</v>
          </cell>
          <cell r="I75">
            <v>8.8832828000102761</v>
          </cell>
          <cell r="J75">
            <v>1.2646727424255824</v>
          </cell>
          <cell r="L75">
            <v>5.5408601191880695</v>
          </cell>
        </row>
        <row r="85">
          <cell r="B85">
            <v>1</v>
          </cell>
          <cell r="F85">
            <v>5.84</v>
          </cell>
          <cell r="H85">
            <v>4.9542425094393252</v>
          </cell>
          <cell r="I85">
            <v>3.3010299956639813</v>
          </cell>
          <cell r="J85">
            <v>-0.40221338364395348</v>
          </cell>
          <cell r="L85">
            <v>0</v>
          </cell>
          <cell r="N85">
            <v>0</v>
          </cell>
          <cell r="O85">
            <v>0</v>
          </cell>
        </row>
        <row r="86">
          <cell r="B86">
            <v>3.0000000000582077</v>
          </cell>
          <cell r="F86">
            <v>5.86</v>
          </cell>
          <cell r="H86">
            <v>5.3096301674258983</v>
          </cell>
          <cell r="I86">
            <v>3.6334684555795866</v>
          </cell>
          <cell r="J86">
            <v>-5.3068316696956094E-2</v>
          </cell>
          <cell r="L86">
            <v>0</v>
          </cell>
          <cell r="N86">
            <v>0.35538765798657312</v>
          </cell>
          <cell r="O86">
            <v>0.33243845991560539</v>
          </cell>
        </row>
        <row r="87">
          <cell r="B87">
            <v>6.0000000000582077</v>
          </cell>
          <cell r="F87">
            <v>5.81</v>
          </cell>
          <cell r="H87">
            <v>5.8325089127062366</v>
          </cell>
          <cell r="I87">
            <v>3.8808135922807914</v>
          </cell>
          <cell r="J87">
            <v>-4.1805572601891668E-2</v>
          </cell>
          <cell r="L87">
            <v>0</v>
          </cell>
          <cell r="N87">
            <v>0.87826640326691141</v>
          </cell>
          <cell r="O87">
            <v>0.57978359661681012</v>
          </cell>
        </row>
        <row r="88">
          <cell r="B88">
            <v>9.0000000000582077</v>
          </cell>
          <cell r="F88">
            <v>5.77</v>
          </cell>
          <cell r="H88">
            <v>6.3617278360175931</v>
          </cell>
          <cell r="I88">
            <v>4.2787536009528289</v>
          </cell>
          <cell r="J88">
            <v>-0.58992578522836081</v>
          </cell>
          <cell r="L88">
            <v>0</v>
          </cell>
          <cell r="N88">
            <v>1.4074853265782679</v>
          </cell>
          <cell r="O88">
            <v>0.97772360528884761</v>
          </cell>
        </row>
        <row r="89">
          <cell r="B89">
            <v>12.166666666744277</v>
          </cell>
          <cell r="F89">
            <v>5.72</v>
          </cell>
          <cell r="H89">
            <v>6.8692317197309762</v>
          </cell>
          <cell r="I89">
            <v>4.8573324964312681</v>
          </cell>
          <cell r="J89">
            <v>1.0753899841742361E-2</v>
          </cell>
          <cell r="L89">
            <v>0</v>
          </cell>
          <cell r="N89">
            <v>1.914989210291651</v>
          </cell>
          <cell r="O89">
            <v>1.5563025007672868</v>
          </cell>
        </row>
        <row r="90">
          <cell r="B90">
            <v>15</v>
          </cell>
          <cell r="F90">
            <v>5.8</v>
          </cell>
          <cell r="H90">
            <v>7.7160033436347994</v>
          </cell>
          <cell r="I90">
            <v>4.8692317197309762</v>
          </cell>
          <cell r="J90">
            <v>0.51006888805626549</v>
          </cell>
          <cell r="N90">
            <v>2.2388820889151368</v>
          </cell>
          <cell r="O90">
            <v>1.7231036840527381</v>
          </cell>
        </row>
        <row r="91">
          <cell r="B91">
            <v>18</v>
          </cell>
          <cell r="F91">
            <v>4.47</v>
          </cell>
          <cell r="H91">
            <v>8.2787536009528289</v>
          </cell>
          <cell r="I91">
            <v>3.8450980400142569</v>
          </cell>
          <cell r="J91">
            <v>1.016892372334165</v>
          </cell>
          <cell r="N91">
            <v>2.8016323462331663</v>
          </cell>
          <cell r="O91">
            <v>0.69897000433601875</v>
          </cell>
        </row>
        <row r="92">
          <cell r="B92">
            <v>21</v>
          </cell>
          <cell r="F92">
            <v>4.1900000000000004</v>
          </cell>
          <cell r="H92" t="e">
            <v>#NUM!</v>
          </cell>
          <cell r="I92" t="e">
            <v>#NUM!</v>
          </cell>
          <cell r="J92">
            <v>1.929174644034384</v>
          </cell>
          <cell r="N92" t="e">
            <v>#NUM!</v>
          </cell>
          <cell r="O92" t="e">
            <v>#NUM!</v>
          </cell>
        </row>
        <row r="93">
          <cell r="B93">
            <v>24.166666666744277</v>
          </cell>
          <cell r="F93">
            <v>4.0999999999999996</v>
          </cell>
          <cell r="H93">
            <v>8.3053513694466243</v>
          </cell>
          <cell r="I93">
            <v>3.716003343634799</v>
          </cell>
          <cell r="J93">
            <v>1.7114282581964717</v>
          </cell>
          <cell r="L93">
            <v>3.2</v>
          </cell>
          <cell r="N93">
            <v>3.3511088600072991</v>
          </cell>
          <cell r="O93">
            <v>0.41497334797081775</v>
          </cell>
        </row>
        <row r="94">
          <cell r="B94">
            <v>27.083333333313931</v>
          </cell>
          <cell r="F94">
            <v>4.1100000000000003</v>
          </cell>
          <cell r="H94">
            <v>8.3463529744506388</v>
          </cell>
          <cell r="I94">
            <v>3.1461280356782382</v>
          </cell>
          <cell r="J94">
            <v>2.3233706873616389</v>
          </cell>
          <cell r="L94">
            <v>3.2</v>
          </cell>
          <cell r="N94">
            <v>3.3921104650113136</v>
          </cell>
          <cell r="O94">
            <v>-0.15490195998574308</v>
          </cell>
        </row>
        <row r="95">
          <cell r="B95">
            <v>30.083333333313931</v>
          </cell>
          <cell r="F95">
            <v>3.96</v>
          </cell>
          <cell r="H95">
            <v>8.4216039268698317</v>
          </cell>
          <cell r="I95">
            <v>2.6138418218760693</v>
          </cell>
          <cell r="J95">
            <v>2.5974307936748735</v>
          </cell>
          <cell r="L95">
            <v>3.2</v>
          </cell>
          <cell r="N95">
            <v>3.4673614174305065</v>
          </cell>
          <cell r="O95">
            <v>-0.68718817378791197</v>
          </cell>
        </row>
        <row r="96">
          <cell r="B96">
            <v>33.083333333313931</v>
          </cell>
          <cell r="F96">
            <v>3.93</v>
          </cell>
          <cell r="H96">
            <v>8.3654879848908994</v>
          </cell>
          <cell r="I96">
            <v>2.3891660843645326</v>
          </cell>
          <cell r="J96">
            <v>3.1192712700795253</v>
          </cell>
          <cell r="L96">
            <v>3.2</v>
          </cell>
          <cell r="N96">
            <v>3.4112454754515742</v>
          </cell>
          <cell r="O96">
            <v>-0.91186391129944866</v>
          </cell>
        </row>
        <row r="97">
          <cell r="B97">
            <v>35.833333333372138</v>
          </cell>
          <cell r="F97">
            <v>3.9</v>
          </cell>
          <cell r="H97">
            <v>8.4409090820652182</v>
          </cell>
          <cell r="I97">
            <v>1.6627578316815741</v>
          </cell>
          <cell r="J97">
            <v>3.5697810338821032</v>
          </cell>
          <cell r="L97">
            <v>3.2</v>
          </cell>
          <cell r="N97">
            <v>3.486666572625893</v>
          </cell>
          <cell r="O97">
            <v>-1.6382721639824072</v>
          </cell>
        </row>
        <row r="98">
          <cell r="B98">
            <v>42</v>
          </cell>
          <cell r="F98">
            <v>3.79</v>
          </cell>
          <cell r="H98">
            <v>8.2922560713564764</v>
          </cell>
          <cell r="I98">
            <v>-0.3979400086720376</v>
          </cell>
          <cell r="J98">
            <v>3.8213156520052087</v>
          </cell>
          <cell r="N98">
            <v>2.8151348166368138</v>
          </cell>
          <cell r="O98">
            <v>-3.5440680443502757</v>
          </cell>
        </row>
        <row r="99">
          <cell r="B99">
            <v>48.25</v>
          </cell>
          <cell r="F99">
            <v>3.82</v>
          </cell>
          <cell r="H99">
            <v>8.2741578492636805</v>
          </cell>
          <cell r="I99">
            <v>-0.74472749489669399</v>
          </cell>
          <cell r="J99">
            <v>4.2342829354909037</v>
          </cell>
          <cell r="L99">
            <v>3.2</v>
          </cell>
          <cell r="N99">
            <v>3.3199153398243553</v>
          </cell>
          <cell r="O99">
            <v>-4.0457574905606748</v>
          </cell>
        </row>
        <row r="100">
          <cell r="B100">
            <v>54.083333333313931</v>
          </cell>
          <cell r="F100">
            <v>3.76</v>
          </cell>
          <cell r="H100">
            <v>8.2552725051033065</v>
          </cell>
          <cell r="I100">
            <v>-0.74472749489669399</v>
          </cell>
          <cell r="J100">
            <v>4.3356476323464843</v>
          </cell>
          <cell r="L100">
            <v>3.2</v>
          </cell>
          <cell r="N100">
            <v>3.3010299956639813</v>
          </cell>
          <cell r="O100">
            <v>-4.0457574905606748</v>
          </cell>
        </row>
        <row r="111">
          <cell r="B111">
            <v>1</v>
          </cell>
          <cell r="F111">
            <v>5.86</v>
          </cell>
          <cell r="H111">
            <v>5.3096301674258983</v>
          </cell>
          <cell r="I111">
            <v>3.3424226808222062</v>
          </cell>
          <cell r="J111">
            <v>-0.42849311986577054</v>
          </cell>
          <cell r="L111">
            <v>0</v>
          </cell>
          <cell r="M111">
            <v>0</v>
          </cell>
        </row>
        <row r="112">
          <cell r="B112">
            <v>3.0000000000582077</v>
          </cell>
          <cell r="F112">
            <v>5.81</v>
          </cell>
          <cell r="H112">
            <v>5.6646419755561253</v>
          </cell>
          <cell r="I112">
            <v>3.4913616938342726</v>
          </cell>
          <cell r="J112">
            <v>-2.303433244345094E-2</v>
          </cell>
          <cell r="L112">
            <v>0.35501180813022692</v>
          </cell>
          <cell r="M112">
            <v>0.14893901301206647</v>
          </cell>
        </row>
        <row r="113">
          <cell r="B113">
            <v>6.0000000000582077</v>
          </cell>
          <cell r="F113">
            <v>5.77</v>
          </cell>
          <cell r="H113">
            <v>6.2253092817258633</v>
          </cell>
          <cell r="I113">
            <v>3.9637878273455551</v>
          </cell>
          <cell r="J113">
            <v>-4.5559820633579808E-2</v>
          </cell>
          <cell r="L113">
            <v>0.91567911429996496</v>
          </cell>
          <cell r="M113">
            <v>0.62136514652334895</v>
          </cell>
        </row>
        <row r="114">
          <cell r="B114">
            <v>9.0000000000582077</v>
          </cell>
          <cell r="F114">
            <v>5.76</v>
          </cell>
          <cell r="H114">
            <v>6.568201724066995</v>
          </cell>
          <cell r="I114">
            <v>4.3692158574101425</v>
          </cell>
          <cell r="J114">
            <v>-0.3947048875805772</v>
          </cell>
          <cell r="L114">
            <v>1.2585715566410967</v>
          </cell>
          <cell r="M114">
            <v>1.0267931765879363</v>
          </cell>
        </row>
        <row r="115">
          <cell r="B115">
            <v>12.166666666744277</v>
          </cell>
          <cell r="F115">
            <v>5.68</v>
          </cell>
          <cell r="H115">
            <v>6.9444826721501682</v>
          </cell>
          <cell r="I115">
            <v>4.8920946026904808</v>
          </cell>
          <cell r="J115">
            <v>1.4508147873430495E-2</v>
          </cell>
          <cell r="L115">
            <v>1.6348525047242699</v>
          </cell>
          <cell r="M115">
            <v>1.5496719218682746</v>
          </cell>
        </row>
        <row r="116">
          <cell r="B116">
            <v>15</v>
          </cell>
          <cell r="F116">
            <v>5.13</v>
          </cell>
          <cell r="H116">
            <v>7.6414741105040997</v>
          </cell>
          <cell r="I116">
            <v>5.1583624920952493</v>
          </cell>
          <cell r="J116">
            <v>0.28105975812328876</v>
          </cell>
          <cell r="L116">
            <v>2.1943160791618803</v>
          </cell>
          <cell r="M116">
            <v>2.0122344564170112</v>
          </cell>
        </row>
        <row r="117">
          <cell r="B117">
            <v>18</v>
          </cell>
          <cell r="F117">
            <v>4.84</v>
          </cell>
          <cell r="H117">
            <v>8.1461280356782382</v>
          </cell>
          <cell r="I117">
            <v>5.5340261060561353</v>
          </cell>
          <cell r="J117">
            <v>0.78412899436950012</v>
          </cell>
          <cell r="L117">
            <v>2.6989700043360187</v>
          </cell>
          <cell r="M117">
            <v>2.3878980703778971</v>
          </cell>
        </row>
        <row r="118">
          <cell r="B118">
            <v>21</v>
          </cell>
          <cell r="F118">
            <v>4.3600000000000003</v>
          </cell>
          <cell r="H118" t="e">
            <v>#NUM!</v>
          </cell>
          <cell r="I118" t="e">
            <v>#NUM!</v>
          </cell>
          <cell r="J118">
            <v>1.2909524786473996</v>
          </cell>
          <cell r="L118" t="e">
            <v>#NUM!</v>
          </cell>
          <cell r="M118" t="e">
            <v>#NUM!</v>
          </cell>
        </row>
        <row r="119">
          <cell r="B119">
            <v>24.166666666744277</v>
          </cell>
          <cell r="F119">
            <v>4.3499999999999996</v>
          </cell>
          <cell r="H119">
            <v>8.220108088040055</v>
          </cell>
          <cell r="I119">
            <v>5.982271233039568</v>
          </cell>
          <cell r="J119">
            <v>1.1820792857284435</v>
          </cell>
          <cell r="L119">
            <v>2.9104779206141567</v>
          </cell>
          <cell r="M119">
            <v>2.6398485522173618</v>
          </cell>
        </row>
        <row r="120">
          <cell r="B120">
            <v>27.083333333313931</v>
          </cell>
          <cell r="F120">
            <v>4.1399999999999997</v>
          </cell>
          <cell r="H120">
            <v>8.3617278360175931</v>
          </cell>
          <cell r="I120">
            <v>6.008600171761918</v>
          </cell>
          <cell r="J120">
            <v>2.0455563330167159</v>
          </cell>
          <cell r="L120">
            <v>3.0520976685916947</v>
          </cell>
          <cell r="M120">
            <v>2.6661774909397118</v>
          </cell>
        </row>
        <row r="121">
          <cell r="B121">
            <v>30.083333333313931</v>
          </cell>
          <cell r="F121">
            <v>4.04</v>
          </cell>
          <cell r="H121">
            <v>8.3344537511509316</v>
          </cell>
          <cell r="I121">
            <v>5.982271233039568</v>
          </cell>
          <cell r="J121">
            <v>2.7250752267522702</v>
          </cell>
          <cell r="L121">
            <v>3.0248235837250332</v>
          </cell>
          <cell r="M121">
            <v>2.6398485522173618</v>
          </cell>
        </row>
        <row r="122">
          <cell r="B122">
            <v>33.083333333313931</v>
          </cell>
          <cell r="F122">
            <v>3.95</v>
          </cell>
          <cell r="H122">
            <v>8.2552725051033065</v>
          </cell>
          <cell r="I122">
            <v>5.9912260756924951</v>
          </cell>
          <cell r="J122">
            <v>3.179339238586536</v>
          </cell>
          <cell r="L122">
            <v>2.9456423376774081</v>
          </cell>
          <cell r="M122">
            <v>2.6488033948702889</v>
          </cell>
        </row>
        <row r="123">
          <cell r="B123">
            <v>35.833333333372138</v>
          </cell>
          <cell r="F123">
            <v>3.88</v>
          </cell>
          <cell r="H123">
            <v>8.2741578492636805</v>
          </cell>
          <cell r="I123">
            <v>5.8692317197309762</v>
          </cell>
          <cell r="J123">
            <v>3.5847980260088557</v>
          </cell>
          <cell r="L123">
            <v>2.9645276818377821</v>
          </cell>
          <cell r="M123">
            <v>2.5268090389087701</v>
          </cell>
        </row>
        <row r="124">
          <cell r="B124">
            <v>42</v>
          </cell>
          <cell r="F124">
            <v>3.75</v>
          </cell>
          <cell r="H124">
            <v>8.2966651902615318</v>
          </cell>
          <cell r="I124">
            <v>5.6812412373755876</v>
          </cell>
          <cell r="J124">
            <v>3.9376973409875409</v>
          </cell>
          <cell r="L124">
            <v>2.8495071589193124</v>
          </cell>
          <cell r="M124">
            <v>3.1461280356782382</v>
          </cell>
        </row>
        <row r="125">
          <cell r="B125">
            <v>48.25</v>
          </cell>
          <cell r="F125">
            <v>3.76</v>
          </cell>
          <cell r="H125">
            <v>8.3654879848908994</v>
          </cell>
          <cell r="I125">
            <v>5.9912260756924951</v>
          </cell>
          <cell r="J125">
            <v>4.1967404551740222</v>
          </cell>
          <cell r="L125">
            <v>3.0558578174650011</v>
          </cell>
          <cell r="M125">
            <v>2.6488033948702889</v>
          </cell>
        </row>
        <row r="126">
          <cell r="B126">
            <v>54.083333333313931</v>
          </cell>
          <cell r="F126">
            <v>3.72</v>
          </cell>
          <cell r="H126">
            <v>8.2253092817258633</v>
          </cell>
          <cell r="I126">
            <v>5.9344984512435675</v>
          </cell>
          <cell r="J126">
            <v>4.3243848882514193</v>
          </cell>
          <cell r="L126">
            <v>2.915679114299965</v>
          </cell>
          <cell r="M126">
            <v>2.5920757704213613</v>
          </cell>
        </row>
      </sheetData>
      <sheetData sheetId="5">
        <row r="4">
          <cell r="M4">
            <v>0</v>
          </cell>
          <cell r="Q4">
            <v>5.4771212547196626</v>
          </cell>
        </row>
        <row r="5">
          <cell r="Q5">
            <v>5.4471580313422194</v>
          </cell>
        </row>
        <row r="6">
          <cell r="Q6">
            <v>3.1461280356782382</v>
          </cell>
        </row>
        <row r="9">
          <cell r="F9" t="str">
            <v>pH</v>
          </cell>
          <cell r="J9" t="str">
            <v>LA (g/L)</v>
          </cell>
          <cell r="L9" t="str">
            <v>Gota (10^3 AU/mL)</v>
          </cell>
        </row>
        <row r="10">
          <cell r="B10">
            <v>1</v>
          </cell>
          <cell r="F10">
            <v>5.77</v>
          </cell>
          <cell r="H10">
            <v>5.0863598306747484</v>
          </cell>
          <cell r="J10">
            <v>8.5838860475505249E-2</v>
          </cell>
          <cell r="L10">
            <v>0</v>
          </cell>
          <cell r="N10">
            <v>0</v>
          </cell>
        </row>
        <row r="11">
          <cell r="B11">
            <v>3.0000000000582077</v>
          </cell>
          <cell r="F11">
            <v>5.76</v>
          </cell>
          <cell r="H11">
            <v>5.4082399653118491</v>
          </cell>
          <cell r="J11">
            <v>-5.3068316696956094E-2</v>
          </cell>
          <cell r="L11">
            <v>0</v>
          </cell>
          <cell r="N11">
            <v>0.32188013463710075</v>
          </cell>
        </row>
        <row r="12">
          <cell r="B12">
            <v>6.0000000000582077</v>
          </cell>
          <cell r="F12">
            <v>5.73</v>
          </cell>
          <cell r="H12">
            <v>5.8808135922807914</v>
          </cell>
          <cell r="J12">
            <v>-2.6788580475139087E-2</v>
          </cell>
          <cell r="L12">
            <v>0</v>
          </cell>
          <cell r="N12">
            <v>0.79445376160604297</v>
          </cell>
        </row>
        <row r="13">
          <cell r="B13">
            <v>9.0000000000582077</v>
          </cell>
          <cell r="F13">
            <v>5.71</v>
          </cell>
          <cell r="H13">
            <v>6.4149733479708182</v>
          </cell>
          <cell r="J13">
            <v>0.20597479748952585</v>
          </cell>
          <cell r="L13">
            <v>0</v>
          </cell>
          <cell r="N13">
            <v>1.3286135172960698</v>
          </cell>
        </row>
        <row r="14">
          <cell r="B14">
            <v>12.166666666744277</v>
          </cell>
          <cell r="F14">
            <v>5.64</v>
          </cell>
          <cell r="H14">
            <v>6.8061799739838875</v>
          </cell>
          <cell r="J14">
            <v>-8.3102300950461255E-2</v>
          </cell>
          <cell r="L14">
            <v>0</v>
          </cell>
          <cell r="N14">
            <v>1.7198201433091391</v>
          </cell>
        </row>
        <row r="15">
          <cell r="B15">
            <v>15</v>
          </cell>
          <cell r="F15">
            <v>4.87</v>
          </cell>
          <cell r="H15">
            <v>7.7007037171450197</v>
          </cell>
          <cell r="J15">
            <v>0.35614471875705161</v>
          </cell>
          <cell r="N15">
            <v>2.2235824624253571</v>
          </cell>
        </row>
        <row r="16">
          <cell r="B16">
            <v>18</v>
          </cell>
          <cell r="F16">
            <v>5.27</v>
          </cell>
          <cell r="H16">
            <v>8.204119982655925</v>
          </cell>
          <cell r="J16">
            <v>0.26979701402822431</v>
          </cell>
          <cell r="N16">
            <v>2.7269987279362624</v>
          </cell>
        </row>
        <row r="17">
          <cell r="B17">
            <v>21</v>
          </cell>
          <cell r="F17">
            <v>4.21</v>
          </cell>
          <cell r="H17">
            <v>8.1760912590556813</v>
          </cell>
          <cell r="J17">
            <v>1.6738857778795904</v>
          </cell>
          <cell r="N17">
            <v>2.6989700043360187</v>
          </cell>
        </row>
        <row r="18">
          <cell r="B18">
            <v>24.166666666744277</v>
          </cell>
          <cell r="F18">
            <v>4.17</v>
          </cell>
          <cell r="H18">
            <v>8.2833012287035501</v>
          </cell>
          <cell r="J18">
            <v>1.8540896834006213</v>
          </cell>
          <cell r="L18">
            <v>3.2</v>
          </cell>
          <cell r="N18">
            <v>3.1969413980288017</v>
          </cell>
        </row>
        <row r="19">
          <cell r="B19">
            <v>27.083333333313931</v>
          </cell>
          <cell r="F19">
            <v>4.07</v>
          </cell>
          <cell r="H19">
            <v>8.2833012287035501</v>
          </cell>
          <cell r="J19">
            <v>2.3233706873616389</v>
          </cell>
          <cell r="L19">
            <v>3.2</v>
          </cell>
          <cell r="N19">
            <v>3.1969413980288017</v>
          </cell>
        </row>
        <row r="20">
          <cell r="B20">
            <v>30.083333333313931</v>
          </cell>
          <cell r="F20">
            <v>3.98</v>
          </cell>
          <cell r="H20">
            <v>8.4149733479708182</v>
          </cell>
          <cell r="J20">
            <v>3.0103980771605698</v>
          </cell>
          <cell r="L20">
            <v>3.2</v>
          </cell>
          <cell r="N20">
            <v>3.3286135172960698</v>
          </cell>
        </row>
        <row r="21">
          <cell r="B21">
            <v>33.083333333313931</v>
          </cell>
          <cell r="F21">
            <v>3.92</v>
          </cell>
          <cell r="H21">
            <v>8.2922560713564764</v>
          </cell>
          <cell r="J21">
            <v>3.2056189748083534</v>
          </cell>
          <cell r="L21">
            <v>3.2</v>
          </cell>
          <cell r="N21">
            <v>3.205896240681728</v>
          </cell>
        </row>
        <row r="22">
          <cell r="B22">
            <v>35.833333333372138</v>
          </cell>
          <cell r="F22">
            <v>3.88</v>
          </cell>
          <cell r="H22">
            <v>8.3541084391474012</v>
          </cell>
          <cell r="J22">
            <v>3.5435012976602858</v>
          </cell>
          <cell r="L22">
            <v>3.2</v>
          </cell>
          <cell r="N22">
            <v>3.2677486084726528</v>
          </cell>
        </row>
        <row r="23">
          <cell r="B23">
            <v>42</v>
          </cell>
          <cell r="F23">
            <v>3.78</v>
          </cell>
          <cell r="H23">
            <v>8.4771212547196626</v>
          </cell>
          <cell r="J23">
            <v>3.9001548606706593</v>
          </cell>
          <cell r="N23">
            <v>3</v>
          </cell>
        </row>
        <row r="24">
          <cell r="B24">
            <v>48.25</v>
          </cell>
          <cell r="F24">
            <v>3.82</v>
          </cell>
          <cell r="H24">
            <v>8.2966651902615318</v>
          </cell>
          <cell r="J24">
            <v>4.1479352307620774</v>
          </cell>
          <cell r="L24">
            <v>3.2</v>
          </cell>
          <cell r="N24">
            <v>3.2103053595867834</v>
          </cell>
        </row>
        <row r="25">
          <cell r="B25">
            <v>54.083333333313931</v>
          </cell>
          <cell r="F25">
            <v>3.79</v>
          </cell>
          <cell r="H25">
            <v>8.3802112417116064</v>
          </cell>
          <cell r="J25">
            <v>4.8274541244976312</v>
          </cell>
          <cell r="L25">
            <v>3.2</v>
          </cell>
          <cell r="N25">
            <v>3.293851411036858</v>
          </cell>
        </row>
        <row r="36">
          <cell r="B36">
            <v>1</v>
          </cell>
          <cell r="F36">
            <v>5.77</v>
          </cell>
          <cell r="H36">
            <v>5.3729120029701063</v>
          </cell>
          <cell r="J36">
            <v>-1.1771588348386512E-2</v>
          </cell>
          <cell r="M36">
            <v>0</v>
          </cell>
        </row>
        <row r="37">
          <cell r="B37">
            <v>3.0000000000582077</v>
          </cell>
          <cell r="F37">
            <v>5.73</v>
          </cell>
          <cell r="H37">
            <v>5.6702458530741238</v>
          </cell>
          <cell r="J37">
            <v>-0.15818726158422414</v>
          </cell>
          <cell r="M37">
            <v>0.29733385010401747</v>
          </cell>
        </row>
        <row r="38">
          <cell r="B38">
            <v>6.0000000000582077</v>
          </cell>
          <cell r="F38">
            <v>5.7</v>
          </cell>
          <cell r="H38">
            <v>6.1818435879447726</v>
          </cell>
          <cell r="J38">
            <v>-3.8051324570203521E-2</v>
          </cell>
          <cell r="M38">
            <v>0.80893158497466633</v>
          </cell>
        </row>
        <row r="39">
          <cell r="B39">
            <v>9.0000000000582077</v>
          </cell>
          <cell r="F39">
            <v>5.7</v>
          </cell>
          <cell r="H39">
            <v>6.5658478186735181</v>
          </cell>
          <cell r="J39">
            <v>-0.3571624072636958</v>
          </cell>
          <cell r="M39">
            <v>1.1929358157034118</v>
          </cell>
        </row>
        <row r="40">
          <cell r="B40">
            <v>12.166666666744277</v>
          </cell>
          <cell r="F40">
            <v>5.65</v>
          </cell>
          <cell r="H40">
            <v>6.8061799739838875</v>
          </cell>
          <cell r="J40">
            <v>-0.14317026945747158</v>
          </cell>
          <cell r="M40">
            <v>1.4332679710137812</v>
          </cell>
        </row>
        <row r="41">
          <cell r="B41">
            <v>15</v>
          </cell>
          <cell r="F41">
            <v>5.29</v>
          </cell>
          <cell r="H41">
            <v>7.4345689040341991</v>
          </cell>
          <cell r="J41">
            <v>0.17969506126770887</v>
          </cell>
          <cell r="M41">
            <v>1.9874108726919797</v>
          </cell>
        </row>
        <row r="42">
          <cell r="B42">
            <v>18</v>
          </cell>
          <cell r="F42">
            <v>5.46</v>
          </cell>
          <cell r="H42">
            <v>8.4771212547196626</v>
          </cell>
          <cell r="J42">
            <v>0.27730551009160059</v>
          </cell>
          <cell r="M42">
            <v>3.0299632233774432</v>
          </cell>
        </row>
        <row r="43">
          <cell r="B43">
            <v>21</v>
          </cell>
          <cell r="F43">
            <v>4.54</v>
          </cell>
          <cell r="H43">
            <v>7.9731278535996983</v>
          </cell>
          <cell r="J43">
            <v>0.79914598649625268</v>
          </cell>
          <cell r="M43">
            <v>2.5259698222574789</v>
          </cell>
        </row>
        <row r="44">
          <cell r="B44">
            <v>24.166666666744277</v>
          </cell>
          <cell r="F44">
            <v>4.42</v>
          </cell>
          <cell r="H44">
            <v>8.2304489213782741</v>
          </cell>
          <cell r="J44">
            <v>1.1708165416333789</v>
          </cell>
          <cell r="M44">
            <v>2.8575369184081678</v>
          </cell>
        </row>
        <row r="45">
          <cell r="B45">
            <v>27.083333333313931</v>
          </cell>
          <cell r="F45">
            <v>4.2300000000000004</v>
          </cell>
          <cell r="H45">
            <v>8.1461280356782382</v>
          </cell>
          <cell r="J45">
            <v>1.7714962267034819</v>
          </cell>
          <cell r="M45">
            <v>2.7732160327081319</v>
          </cell>
        </row>
        <row r="46">
          <cell r="B46">
            <v>30.083333333313931</v>
          </cell>
          <cell r="F46">
            <v>4.04</v>
          </cell>
          <cell r="H46">
            <v>8.2878017299302265</v>
          </cell>
          <cell r="J46">
            <v>2.5598883133579919</v>
          </cell>
          <cell r="M46">
            <v>2.9148897269601202</v>
          </cell>
        </row>
        <row r="47">
          <cell r="B47">
            <v>33.083333333313931</v>
          </cell>
          <cell r="F47">
            <v>3.96</v>
          </cell>
          <cell r="H47">
            <v>8.3463529744506388</v>
          </cell>
          <cell r="J47">
            <v>2.7663719551008406</v>
          </cell>
          <cell r="M47">
            <v>2.9734409714805325</v>
          </cell>
        </row>
        <row r="48">
          <cell r="B48">
            <v>35.833333333372138</v>
          </cell>
          <cell r="F48">
            <v>3.89</v>
          </cell>
          <cell r="H48">
            <v>8.2787536009528289</v>
          </cell>
          <cell r="J48">
            <v>3.498450321280028</v>
          </cell>
          <cell r="M48">
            <v>2.9058415979827226</v>
          </cell>
        </row>
        <row r="49">
          <cell r="B49">
            <v>42</v>
          </cell>
          <cell r="F49">
            <v>3.77</v>
          </cell>
          <cell r="H49">
            <v>8.1398790864012369</v>
          </cell>
          <cell r="J49">
            <v>3.7574934354665097</v>
          </cell>
          <cell r="M49">
            <v>2.6927210550590175</v>
          </cell>
        </row>
        <row r="50">
          <cell r="B50">
            <v>48.25</v>
          </cell>
          <cell r="F50">
            <v>3.77</v>
          </cell>
          <cell r="H50">
            <v>8.2405492482825995</v>
          </cell>
          <cell r="J50">
            <v>4.2530541756493454</v>
          </cell>
          <cell r="M50">
            <v>2.8676372453124932</v>
          </cell>
        </row>
        <row r="51">
          <cell r="B51">
            <v>54.083333333313931</v>
          </cell>
          <cell r="F51">
            <v>3.71</v>
          </cell>
          <cell r="H51">
            <v>8.2695129442179169</v>
          </cell>
          <cell r="J51">
            <v>4.489571801645698</v>
          </cell>
          <cell r="M51">
            <v>2.8966009412478106</v>
          </cell>
        </row>
        <row r="60">
          <cell r="B60">
            <v>1</v>
          </cell>
          <cell r="F60">
            <v>5.77</v>
          </cell>
          <cell r="I60">
            <v>3</v>
          </cell>
          <cell r="J60">
            <v>-2.6788580475139087E-2</v>
          </cell>
          <cell r="L60">
            <v>0</v>
          </cell>
        </row>
        <row r="61">
          <cell r="B61">
            <v>3.0000000000582077</v>
          </cell>
          <cell r="F61">
            <v>5.74</v>
          </cell>
          <cell r="I61">
            <v>3.4471580313422194</v>
          </cell>
          <cell r="J61">
            <v>-0.20323823796448184</v>
          </cell>
          <cell r="L61">
            <v>0.44715803134221943</v>
          </cell>
        </row>
        <row r="62">
          <cell r="B62">
            <v>6.0000000000582077</v>
          </cell>
          <cell r="F62">
            <v>5.7</v>
          </cell>
          <cell r="I62">
            <v>3.7634279935629373</v>
          </cell>
          <cell r="J62">
            <v>-3.8051324570203521E-2</v>
          </cell>
          <cell r="L62">
            <v>0.76342799356293733</v>
          </cell>
        </row>
        <row r="63">
          <cell r="B63">
            <v>9.0000000000582077</v>
          </cell>
          <cell r="F63">
            <v>5.7</v>
          </cell>
          <cell r="I63">
            <v>4.3053513694466234</v>
          </cell>
          <cell r="J63">
            <v>-0.3571624072636958</v>
          </cell>
          <cell r="L63">
            <v>1.3053513694466234</v>
          </cell>
        </row>
        <row r="64">
          <cell r="B64">
            <v>12.166666666744277</v>
          </cell>
          <cell r="F64">
            <v>5.65</v>
          </cell>
          <cell r="I64">
            <v>4.6989700043360187</v>
          </cell>
          <cell r="J64">
            <v>-0.14317026945747158</v>
          </cell>
          <cell r="L64">
            <v>1.6989700043360187</v>
          </cell>
        </row>
        <row r="65">
          <cell r="B65">
            <v>15</v>
          </cell>
          <cell r="F65">
            <v>5.75</v>
          </cell>
          <cell r="I65">
            <v>5.1335389083702179</v>
          </cell>
          <cell r="J65">
            <v>-0.10562778914059012</v>
          </cell>
          <cell r="L65">
            <v>1.9874108726919797</v>
          </cell>
        </row>
        <row r="66">
          <cell r="B66">
            <v>18</v>
          </cell>
          <cell r="F66">
            <v>5.85</v>
          </cell>
          <cell r="I66">
            <v>5.7369274246922792</v>
          </cell>
          <cell r="J66">
            <v>-0.17695850174266484</v>
          </cell>
          <cell r="L66">
            <v>2.5907993890140411</v>
          </cell>
        </row>
        <row r="67">
          <cell r="B67">
            <v>21</v>
          </cell>
          <cell r="F67">
            <v>5.75</v>
          </cell>
          <cell r="I67">
            <v>6.3424226808222066</v>
          </cell>
          <cell r="J67">
            <v>-0.15067876552084783</v>
          </cell>
          <cell r="L67">
            <v>3.1962946451439684</v>
          </cell>
        </row>
        <row r="68">
          <cell r="B68">
            <v>24.166666666744277</v>
          </cell>
          <cell r="F68">
            <v>5.74</v>
          </cell>
          <cell r="I68">
            <v>6.7160033436347994</v>
          </cell>
          <cell r="J68">
            <v>-0.16945000567928856</v>
          </cell>
          <cell r="L68">
            <v>3.7160033436347994</v>
          </cell>
        </row>
        <row r="69">
          <cell r="B69">
            <v>27.083333333313931</v>
          </cell>
          <cell r="F69">
            <v>5.7</v>
          </cell>
          <cell r="I69">
            <v>6.924279286061882</v>
          </cell>
          <cell r="J69">
            <v>-0.10938203717227826</v>
          </cell>
          <cell r="L69">
            <v>3.924279286061882</v>
          </cell>
        </row>
        <row r="70">
          <cell r="B70">
            <v>30.083333333313931</v>
          </cell>
          <cell r="F70">
            <v>5.64</v>
          </cell>
          <cell r="I70">
            <v>7.6812412373755876</v>
          </cell>
          <cell r="J70">
            <v>-0.13190752536240713</v>
          </cell>
          <cell r="L70">
            <v>4.6812412373755876</v>
          </cell>
        </row>
        <row r="71">
          <cell r="B71">
            <v>33.083333333313931</v>
          </cell>
          <cell r="F71">
            <v>5.55</v>
          </cell>
          <cell r="I71">
            <v>8.0413926851582254</v>
          </cell>
          <cell r="J71">
            <v>-0.13190752536240713</v>
          </cell>
          <cell r="L71">
            <v>5.0413926851582254</v>
          </cell>
        </row>
        <row r="72">
          <cell r="B72">
            <v>35.833333333372138</v>
          </cell>
          <cell r="F72">
            <v>5.35</v>
          </cell>
          <cell r="I72">
            <v>8.1522883443830558</v>
          </cell>
          <cell r="J72">
            <v>4.0787884095247515E-2</v>
          </cell>
          <cell r="L72">
            <v>5.1522883443830558</v>
          </cell>
        </row>
        <row r="73">
          <cell r="B73">
            <v>42</v>
          </cell>
          <cell r="F73">
            <v>4.87</v>
          </cell>
          <cell r="I73">
            <v>8.7876965682898742</v>
          </cell>
          <cell r="J73">
            <v>0.44624667151756714</v>
          </cell>
          <cell r="L73">
            <v>5.641568532611636</v>
          </cell>
        </row>
        <row r="74">
          <cell r="B74">
            <v>48.25</v>
          </cell>
          <cell r="F74">
            <v>4.5999999999999996</v>
          </cell>
          <cell r="I74">
            <v>8.7972675408307168</v>
          </cell>
          <cell r="J74">
            <v>0.74658651405261867</v>
          </cell>
          <cell r="L74">
            <v>5.7972675408307168</v>
          </cell>
        </row>
        <row r="75">
          <cell r="B75">
            <v>54.083333333313931</v>
          </cell>
          <cell r="F75">
            <v>4.41</v>
          </cell>
          <cell r="I75">
            <v>8.6937269489236471</v>
          </cell>
          <cell r="J75">
            <v>1.0544348526510463</v>
          </cell>
          <cell r="L75">
            <v>5.6937269489236471</v>
          </cell>
        </row>
        <row r="85">
          <cell r="B85">
            <v>1</v>
          </cell>
          <cell r="F85">
            <v>5.8</v>
          </cell>
          <cell r="H85">
            <v>5.1702617153949575</v>
          </cell>
          <cell r="I85">
            <v>3.2787536009528289</v>
          </cell>
          <cell r="J85">
            <v>4.4542132126935648E-2</v>
          </cell>
          <cell r="L85">
            <v>0</v>
          </cell>
          <cell r="N85">
            <v>0</v>
          </cell>
          <cell r="O85">
            <v>0</v>
          </cell>
        </row>
        <row r="86">
          <cell r="B86">
            <v>3.0000000000582077</v>
          </cell>
          <cell r="F86">
            <v>5.76</v>
          </cell>
          <cell r="H86">
            <v>5.3979400086720375</v>
          </cell>
          <cell r="I86">
            <v>3.5910646070264991</v>
          </cell>
          <cell r="J86">
            <v>-0.14317026945747158</v>
          </cell>
          <cell r="L86">
            <v>0</v>
          </cell>
          <cell r="N86">
            <v>0.22767829327708</v>
          </cell>
          <cell r="O86">
            <v>0.31231100607367024</v>
          </cell>
        </row>
        <row r="87">
          <cell r="B87">
            <v>6.0000000000582077</v>
          </cell>
          <cell r="F87">
            <v>5.7</v>
          </cell>
          <cell r="H87">
            <v>5.8061799739838875</v>
          </cell>
          <cell r="I87">
            <v>3.7781512503836434</v>
          </cell>
          <cell r="J87">
            <v>-3.8051324570203521E-2</v>
          </cell>
          <cell r="L87">
            <v>0</v>
          </cell>
          <cell r="N87">
            <v>0.63591825858893003</v>
          </cell>
          <cell r="O87">
            <v>0.49939764943081455</v>
          </cell>
        </row>
        <row r="88">
          <cell r="B88">
            <v>9.0000000000582077</v>
          </cell>
          <cell r="F88">
            <v>5.71</v>
          </cell>
          <cell r="H88">
            <v>6.3617278360175931</v>
          </cell>
          <cell r="I88">
            <v>4.2648178230095368</v>
          </cell>
          <cell r="J88">
            <v>-0.49231533640446895</v>
          </cell>
          <cell r="L88">
            <v>0</v>
          </cell>
          <cell r="N88">
            <v>1.1914661206226356</v>
          </cell>
          <cell r="O88">
            <v>0.98606422205670796</v>
          </cell>
        </row>
        <row r="89">
          <cell r="B89">
            <v>12.166666666744277</v>
          </cell>
          <cell r="F89">
            <v>5.66</v>
          </cell>
          <cell r="H89">
            <v>6.8808135922807914</v>
          </cell>
          <cell r="I89">
            <v>4.6020599913279625</v>
          </cell>
          <cell r="J89">
            <v>-0.154433013552536</v>
          </cell>
          <cell r="L89">
            <v>0</v>
          </cell>
          <cell r="N89">
            <v>1.7105518768858339</v>
          </cell>
          <cell r="O89">
            <v>1.3233063903751336</v>
          </cell>
        </row>
        <row r="90">
          <cell r="B90">
            <v>15</v>
          </cell>
          <cell r="F90">
            <v>4.88</v>
          </cell>
          <cell r="H90">
            <v>7.5797835966168101</v>
          </cell>
          <cell r="I90">
            <v>4.7634279935629369</v>
          </cell>
          <cell r="J90">
            <v>0.40870419120068563</v>
          </cell>
          <cell r="N90">
            <v>2.1026623418971475</v>
          </cell>
          <cell r="O90">
            <v>1.6172999578846987</v>
          </cell>
        </row>
        <row r="91">
          <cell r="B91">
            <v>18</v>
          </cell>
          <cell r="F91">
            <v>5.32</v>
          </cell>
          <cell r="H91">
            <v>8.3979400086720375</v>
          </cell>
          <cell r="I91">
            <v>4.5587085705331658</v>
          </cell>
          <cell r="J91">
            <v>0.32611073450354644</v>
          </cell>
          <cell r="N91">
            <v>2.9208187539523749</v>
          </cell>
          <cell r="O91">
            <v>1.4125805348549276</v>
          </cell>
        </row>
        <row r="92">
          <cell r="B92">
            <v>21</v>
          </cell>
          <cell r="F92">
            <v>4.24</v>
          </cell>
          <cell r="H92">
            <v>8.2741578492636805</v>
          </cell>
          <cell r="I92">
            <v>3.6434526764861874</v>
          </cell>
          <cell r="J92">
            <v>1.7752504747351701</v>
          </cell>
          <cell r="N92">
            <v>2.7970365945440179</v>
          </cell>
          <cell r="O92">
            <v>0.49732464080794925</v>
          </cell>
        </row>
        <row r="93">
          <cell r="B93">
            <v>24.166666666744277</v>
          </cell>
          <cell r="F93">
            <v>4.1900000000000004</v>
          </cell>
          <cell r="H93">
            <v>8.3053513694466243</v>
          </cell>
          <cell r="I93">
            <v>3.7781512503836434</v>
          </cell>
          <cell r="J93">
            <v>1.7602334826084176</v>
          </cell>
          <cell r="L93">
            <v>3.2</v>
          </cell>
          <cell r="N93">
            <v>3.1350896540516668</v>
          </cell>
          <cell r="O93">
            <v>0.49939764943081455</v>
          </cell>
        </row>
        <row r="94">
          <cell r="B94">
            <v>27.083333333313931</v>
          </cell>
          <cell r="F94">
            <v>4.08</v>
          </cell>
          <cell r="H94">
            <v>8.2355284469075496</v>
          </cell>
          <cell r="I94">
            <v>3</v>
          </cell>
          <cell r="J94">
            <v>2.2783197109813811</v>
          </cell>
          <cell r="L94">
            <v>1.6</v>
          </cell>
          <cell r="N94">
            <v>3.0652667315125921</v>
          </cell>
          <cell r="O94">
            <v>-0.27875360095282886</v>
          </cell>
        </row>
        <row r="95">
          <cell r="B95">
            <v>30.083333333313931</v>
          </cell>
          <cell r="F95">
            <v>3.96</v>
          </cell>
          <cell r="H95">
            <v>8.3502480183341632</v>
          </cell>
          <cell r="I95">
            <v>2.3729120029701067</v>
          </cell>
          <cell r="J95">
            <v>2.9991353330655048</v>
          </cell>
          <cell r="L95">
            <v>1.6</v>
          </cell>
          <cell r="N95">
            <v>3.1799863029392057</v>
          </cell>
          <cell r="O95">
            <v>-0.90584159798272212</v>
          </cell>
        </row>
        <row r="96">
          <cell r="B96">
            <v>33.083333333313931</v>
          </cell>
          <cell r="F96">
            <v>3.93</v>
          </cell>
          <cell r="H96">
            <v>8.3463529744506388</v>
          </cell>
          <cell r="I96">
            <v>2.1875207208364631</v>
          </cell>
          <cell r="J96">
            <v>3.2619326952836749</v>
          </cell>
          <cell r="L96">
            <v>3.2</v>
          </cell>
          <cell r="N96">
            <v>3.1760912590556813</v>
          </cell>
          <cell r="O96">
            <v>-1.0912328801163658</v>
          </cell>
        </row>
        <row r="97">
          <cell r="B97">
            <v>35.833333333372138</v>
          </cell>
          <cell r="F97">
            <v>3.89</v>
          </cell>
          <cell r="H97">
            <v>8.2966651902615318</v>
          </cell>
          <cell r="I97">
            <v>1.414973347970818</v>
          </cell>
          <cell r="J97">
            <v>3.5960607701039198</v>
          </cell>
          <cell r="L97">
            <v>3.2</v>
          </cell>
          <cell r="N97">
            <v>3.1264034748665743</v>
          </cell>
          <cell r="O97">
            <v>-1.8637802529820109</v>
          </cell>
        </row>
        <row r="98">
          <cell r="B98">
            <v>42</v>
          </cell>
          <cell r="F98">
            <v>3.78</v>
          </cell>
          <cell r="H98">
            <v>8.2455126678141504</v>
          </cell>
          <cell r="I98">
            <v>-0.3979400086720376</v>
          </cell>
          <cell r="J98">
            <v>3.9639770772093583</v>
          </cell>
          <cell r="N98">
            <v>2.7683914130944878</v>
          </cell>
          <cell r="O98">
            <v>-3.5440680443502757</v>
          </cell>
        </row>
        <row r="99">
          <cell r="B99">
            <v>48.25</v>
          </cell>
          <cell r="F99">
            <v>3.8</v>
          </cell>
          <cell r="H99">
            <v>8.2966651902615318</v>
          </cell>
          <cell r="I99">
            <v>-0.74472749489669399</v>
          </cell>
          <cell r="J99">
            <v>4.1254097425719483</v>
          </cell>
          <cell r="L99">
            <v>3.2</v>
          </cell>
          <cell r="N99">
            <v>3.1264034748665743</v>
          </cell>
          <cell r="O99">
            <v>-4.0234810958495224</v>
          </cell>
        </row>
        <row r="100">
          <cell r="B100">
            <v>54.083333333313931</v>
          </cell>
          <cell r="F100">
            <v>3.74</v>
          </cell>
          <cell r="H100">
            <v>8.1205739312058505</v>
          </cell>
          <cell r="I100">
            <v>1.414973347970818</v>
          </cell>
          <cell r="J100">
            <v>4.3131221441563552</v>
          </cell>
          <cell r="L100">
            <v>3.2</v>
          </cell>
          <cell r="N100">
            <v>2.950312215810893</v>
          </cell>
          <cell r="O100">
            <v>-1.8637802529820109</v>
          </cell>
        </row>
        <row r="111">
          <cell r="B111">
            <v>1</v>
          </cell>
          <cell r="F111">
            <v>5.78</v>
          </cell>
          <cell r="H111">
            <v>5.3838153659804311</v>
          </cell>
          <cell r="I111">
            <v>3.3802112417116059</v>
          </cell>
          <cell r="J111">
            <v>3.245403778366066E-3</v>
          </cell>
          <cell r="L111">
            <v>0</v>
          </cell>
          <cell r="M111">
            <v>0</v>
          </cell>
        </row>
        <row r="112">
          <cell r="B112">
            <v>3.0000000000582077</v>
          </cell>
          <cell r="F112">
            <v>5.73</v>
          </cell>
          <cell r="H112">
            <v>5.5465426634781307</v>
          </cell>
          <cell r="I112">
            <v>3.5051499783199058</v>
          </cell>
          <cell r="J112">
            <v>-0.16569575764760042</v>
          </cell>
          <cell r="L112">
            <v>0.16272729749769965</v>
          </cell>
          <cell r="M112">
            <v>0.12493873660829991</v>
          </cell>
        </row>
        <row r="113">
          <cell r="B113">
            <v>6.0000000000582077</v>
          </cell>
          <cell r="F113">
            <v>5.69</v>
          </cell>
          <cell r="H113">
            <v>6.1522883443830567</v>
          </cell>
          <cell r="I113">
            <v>3.8061799739838871</v>
          </cell>
          <cell r="J113">
            <v>-2.303433244345094E-2</v>
          </cell>
          <cell r="L113">
            <v>0.76847297840262563</v>
          </cell>
          <cell r="M113">
            <v>0.42596873227228116</v>
          </cell>
        </row>
        <row r="114">
          <cell r="B114">
            <v>9.0000000000582077</v>
          </cell>
          <cell r="F114">
            <v>5.71</v>
          </cell>
          <cell r="H114">
            <v>6.5587085705331658</v>
          </cell>
          <cell r="I114">
            <v>4.318063334962762</v>
          </cell>
          <cell r="J114">
            <v>5.9559124253688242E-2</v>
          </cell>
          <cell r="L114">
            <v>1.1748932045527347</v>
          </cell>
          <cell r="M114">
            <v>0.93785209325115604</v>
          </cell>
        </row>
        <row r="115">
          <cell r="B115">
            <v>12.166666666744277</v>
          </cell>
          <cell r="F115">
            <v>5.64</v>
          </cell>
          <cell r="H115">
            <v>7.0170333392987807</v>
          </cell>
          <cell r="I115">
            <v>4.7634279935629369</v>
          </cell>
          <cell r="J115">
            <v>-0.10562778914059012</v>
          </cell>
          <cell r="L115">
            <v>1.6332179733183496</v>
          </cell>
          <cell r="M115">
            <v>1.383216751851331</v>
          </cell>
        </row>
        <row r="116">
          <cell r="B116">
            <v>15</v>
          </cell>
          <cell r="F116">
            <v>5.27</v>
          </cell>
          <cell r="H116">
            <v>7.3692158574101425</v>
          </cell>
          <cell r="I116">
            <v>5.2695129442179161</v>
          </cell>
          <cell r="J116">
            <v>0.14590682898251556</v>
          </cell>
          <cell r="L116">
            <v>1.9220578260679231</v>
          </cell>
          <cell r="M116">
            <v>2.1233849085396779</v>
          </cell>
        </row>
        <row r="117">
          <cell r="B117">
            <v>18</v>
          </cell>
          <cell r="F117">
            <v>5.07</v>
          </cell>
          <cell r="H117">
            <v>8.3979400086720375</v>
          </cell>
          <cell r="I117">
            <v>5.6851443595783593</v>
          </cell>
          <cell r="J117">
            <v>0.33737347859861089</v>
          </cell>
          <cell r="L117">
            <v>2.9507819773298181</v>
          </cell>
          <cell r="M117">
            <v>2.5390163239001211</v>
          </cell>
        </row>
        <row r="118">
          <cell r="B118">
            <v>21</v>
          </cell>
          <cell r="F118">
            <v>5.47</v>
          </cell>
          <cell r="H118">
            <v>8.0413926851582254</v>
          </cell>
          <cell r="I118">
            <v>5.6434526764861879</v>
          </cell>
          <cell r="J118">
            <v>0.34863622269367534</v>
          </cell>
          <cell r="L118">
            <v>2.5942346538160059</v>
          </cell>
          <cell r="M118">
            <v>2.4973246408079497</v>
          </cell>
        </row>
        <row r="119">
          <cell r="B119">
            <v>24.166666666744277</v>
          </cell>
          <cell r="F119">
            <v>4.43</v>
          </cell>
          <cell r="H119">
            <v>8.1702617153949575</v>
          </cell>
          <cell r="I119">
            <v>6.0413926851582254</v>
          </cell>
          <cell r="J119">
            <v>1.2196217660453248</v>
          </cell>
          <cell r="L119">
            <v>2.7864463494145264</v>
          </cell>
          <cell r="M119">
            <v>2.6611814434466194</v>
          </cell>
        </row>
        <row r="120">
          <cell r="B120">
            <v>27.083333333313931</v>
          </cell>
          <cell r="F120">
            <v>4.24</v>
          </cell>
          <cell r="H120">
            <v>8.2648178230095368</v>
          </cell>
          <cell r="I120">
            <v>5.9444826721501682</v>
          </cell>
          <cell r="J120">
            <v>1.7339537463866006</v>
          </cell>
          <cell r="L120">
            <v>2.8810024570291057</v>
          </cell>
          <cell r="M120">
            <v>2.5642714304385623</v>
          </cell>
        </row>
        <row r="121">
          <cell r="B121">
            <v>30.083333333313931</v>
          </cell>
          <cell r="F121">
            <v>4.0199999999999996</v>
          </cell>
          <cell r="H121">
            <v>8.3053513694466243</v>
          </cell>
          <cell r="I121">
            <v>6.0334237554869494</v>
          </cell>
          <cell r="J121">
            <v>2.7363379708473352</v>
          </cell>
          <cell r="L121">
            <v>2.9215360034661932</v>
          </cell>
          <cell r="M121">
            <v>2.6532125137753435</v>
          </cell>
        </row>
        <row r="122">
          <cell r="B122">
            <v>33.083333333313931</v>
          </cell>
          <cell r="F122">
            <v>3.95</v>
          </cell>
          <cell r="H122">
            <v>8.383815365980432</v>
          </cell>
          <cell r="I122">
            <v>5.9030899869919438</v>
          </cell>
          <cell r="J122">
            <v>2.8639824039247324</v>
          </cell>
          <cell r="L122">
            <v>3.0000000000000009</v>
          </cell>
          <cell r="M122">
            <v>2.5228787452803378</v>
          </cell>
        </row>
        <row r="123">
          <cell r="B123">
            <v>35.833333333372138</v>
          </cell>
          <cell r="F123">
            <v>3.88</v>
          </cell>
          <cell r="H123">
            <v>8.3053513694466243</v>
          </cell>
          <cell r="I123">
            <v>5.9542425094393252</v>
          </cell>
          <cell r="J123">
            <v>3.4909418252166518</v>
          </cell>
          <cell r="L123">
            <v>2.9215360034661932</v>
          </cell>
          <cell r="M123">
            <v>2.5740312677277193</v>
          </cell>
        </row>
        <row r="124">
          <cell r="B124">
            <v>42</v>
          </cell>
          <cell r="F124">
            <v>3.77</v>
          </cell>
          <cell r="H124">
            <v>8.2787536009528289</v>
          </cell>
          <cell r="I124">
            <v>5.6989700043360187</v>
          </cell>
          <cell r="J124">
            <v>3.7875274197200151</v>
          </cell>
          <cell r="L124">
            <v>2.8315955696106094</v>
          </cell>
          <cell r="M124">
            <v>2.5528419686577806</v>
          </cell>
        </row>
        <row r="125">
          <cell r="B125">
            <v>48.25</v>
          </cell>
          <cell r="F125">
            <v>3.74</v>
          </cell>
          <cell r="H125">
            <v>8.3384564936046051</v>
          </cell>
          <cell r="I125">
            <v>5.9344984512435675</v>
          </cell>
          <cell r="J125">
            <v>4.1704607189522056</v>
          </cell>
          <cell r="L125">
            <v>2.954641127624174</v>
          </cell>
          <cell r="M125">
            <v>2.5542872095319615</v>
          </cell>
        </row>
        <row r="126">
          <cell r="B126">
            <v>54.083333333313931</v>
          </cell>
          <cell r="F126">
            <v>3.71</v>
          </cell>
          <cell r="H126">
            <v>8.1205739312058505</v>
          </cell>
          <cell r="I126">
            <v>5.8920946026904808</v>
          </cell>
          <cell r="J126">
            <v>4.489571801645698</v>
          </cell>
          <cell r="L126">
            <v>2.7367585652254194</v>
          </cell>
          <cell r="M126">
            <v>2.5118833609788749</v>
          </cell>
        </row>
      </sheetData>
      <sheetData sheetId="6">
        <row r="4">
          <cell r="M4">
            <v>0</v>
          </cell>
          <cell r="Q4">
            <v>5.4771212547196626</v>
          </cell>
        </row>
        <row r="5">
          <cell r="Q5">
            <v>5.4471580313422194</v>
          </cell>
        </row>
        <row r="6">
          <cell r="Q6">
            <v>3.1461280356782382</v>
          </cell>
        </row>
        <row r="9">
          <cell r="F9" t="str">
            <v>pH</v>
          </cell>
          <cell r="J9" t="str">
            <v>LA (g/L)</v>
          </cell>
          <cell r="L9" t="str">
            <v>Gota (10^3 AU/mL)</v>
          </cell>
        </row>
        <row r="10">
          <cell r="B10">
            <v>1</v>
          </cell>
          <cell r="F10">
            <v>5.9</v>
          </cell>
          <cell r="H10">
            <v>4.9542425094393252</v>
          </cell>
          <cell r="J10">
            <v>1.4508147873430495E-2</v>
          </cell>
          <cell r="L10">
            <v>0</v>
          </cell>
          <cell r="N10">
            <v>0</v>
          </cell>
        </row>
        <row r="11">
          <cell r="B11">
            <v>3.0000000000582077</v>
          </cell>
          <cell r="F11">
            <v>5.9</v>
          </cell>
          <cell r="H11">
            <v>5.3222192947339195</v>
          </cell>
          <cell r="J11">
            <v>-4.9314068665267947E-2</v>
          </cell>
          <cell r="L11">
            <v>0</v>
          </cell>
          <cell r="N11">
            <v>0.36797678529459432</v>
          </cell>
        </row>
        <row r="12">
          <cell r="B12">
            <v>6.0000000000582077</v>
          </cell>
          <cell r="F12">
            <v>5.8</v>
          </cell>
          <cell r="H12">
            <v>5.8573324964312681</v>
          </cell>
          <cell r="J12">
            <v>6.9996518100542138E-3</v>
          </cell>
          <cell r="L12">
            <v>0</v>
          </cell>
          <cell r="N12">
            <v>0.90308998699194287</v>
          </cell>
        </row>
        <row r="13">
          <cell r="B13">
            <v>9.0000000000582077</v>
          </cell>
          <cell r="F13">
            <v>5.81</v>
          </cell>
          <cell r="H13">
            <v>6.4345689040341991</v>
          </cell>
          <cell r="J13">
            <v>0.10461010063394596</v>
          </cell>
          <cell r="L13">
            <v>0</v>
          </cell>
          <cell r="N13">
            <v>1.4803263945948739</v>
          </cell>
        </row>
        <row r="14">
          <cell r="B14">
            <v>12.166666666744277</v>
          </cell>
          <cell r="F14">
            <v>5.75</v>
          </cell>
          <cell r="H14">
            <v>6.8450980400142569</v>
          </cell>
          <cell r="J14">
            <v>-0.10187354110890197</v>
          </cell>
          <cell r="L14">
            <v>0</v>
          </cell>
          <cell r="N14">
            <v>1.8908555305749317</v>
          </cell>
        </row>
        <row r="15">
          <cell r="B15">
            <v>15</v>
          </cell>
          <cell r="F15">
            <v>5.15</v>
          </cell>
          <cell r="H15">
            <v>7.7589118923979736</v>
          </cell>
          <cell r="J15">
            <v>0.3523904707253635</v>
          </cell>
          <cell r="N15">
            <v>2.281790637678311</v>
          </cell>
        </row>
        <row r="16">
          <cell r="B16">
            <v>18</v>
          </cell>
          <cell r="F16">
            <v>4.67</v>
          </cell>
          <cell r="H16">
            <v>7.9344984512435675</v>
          </cell>
          <cell r="J16">
            <v>0.87047669909832737</v>
          </cell>
          <cell r="N16">
            <v>2.4573771965239048</v>
          </cell>
        </row>
        <row r="17">
          <cell r="B17">
            <v>21</v>
          </cell>
          <cell r="F17">
            <v>5.47</v>
          </cell>
          <cell r="H17">
            <v>8.1760912590556813</v>
          </cell>
          <cell r="J17">
            <v>0.32611073450354644</v>
          </cell>
          <cell r="N17">
            <v>2.6989700043360187</v>
          </cell>
        </row>
        <row r="18">
          <cell r="B18">
            <v>24.166666666744277</v>
          </cell>
          <cell r="F18">
            <v>5.43</v>
          </cell>
          <cell r="H18">
            <v>8.1643528557844363</v>
          </cell>
          <cell r="J18">
            <v>0.55511986443652328</v>
          </cell>
          <cell r="L18">
            <v>1.6</v>
          </cell>
          <cell r="N18">
            <v>3.2101103463451111</v>
          </cell>
        </row>
        <row r="19">
          <cell r="B19">
            <v>27.083333333313931</v>
          </cell>
          <cell r="F19">
            <v>5.42</v>
          </cell>
          <cell r="H19">
            <v>8.2695129442179169</v>
          </cell>
          <cell r="J19">
            <v>0.43498392742250269</v>
          </cell>
          <cell r="L19">
            <v>3.2</v>
          </cell>
          <cell r="N19">
            <v>3.3152704347785917</v>
          </cell>
        </row>
        <row r="20">
          <cell r="B20">
            <v>30.083333333313931</v>
          </cell>
          <cell r="F20">
            <v>5.42</v>
          </cell>
          <cell r="H20">
            <v>8.4048337166199385</v>
          </cell>
          <cell r="J20">
            <v>0.50631464002457738</v>
          </cell>
          <cell r="L20">
            <v>1.6</v>
          </cell>
          <cell r="N20">
            <v>3.4505912071806133</v>
          </cell>
        </row>
        <row r="21">
          <cell r="B21">
            <v>33.083333333313931</v>
          </cell>
          <cell r="F21">
            <v>5.43</v>
          </cell>
          <cell r="H21">
            <v>8.4313637641589878</v>
          </cell>
          <cell r="J21">
            <v>0.64146756916535064</v>
          </cell>
          <cell r="L21">
            <v>3.2</v>
          </cell>
          <cell r="N21">
            <v>3.4771212547196626</v>
          </cell>
        </row>
        <row r="22">
          <cell r="B22">
            <v>35.833333333372138</v>
          </cell>
          <cell r="F22">
            <v>5.4</v>
          </cell>
          <cell r="H22">
            <v>8.4183012913197448</v>
          </cell>
          <cell r="J22">
            <v>0.56262836049989962</v>
          </cell>
          <cell r="L22">
            <v>3.2</v>
          </cell>
          <cell r="N22">
            <v>3.4640587818804196</v>
          </cell>
        </row>
        <row r="23">
          <cell r="B23">
            <v>42</v>
          </cell>
          <cell r="F23">
            <v>5.47</v>
          </cell>
          <cell r="H23">
            <v>8.3384564936046051</v>
          </cell>
          <cell r="J23">
            <v>0.38617870301055679</v>
          </cell>
          <cell r="N23">
            <v>2.8613352388849425</v>
          </cell>
        </row>
        <row r="24">
          <cell r="B24">
            <v>48.25</v>
          </cell>
          <cell r="F24">
            <v>5.47</v>
          </cell>
          <cell r="H24">
            <v>8.357934847000454</v>
          </cell>
          <cell r="J24">
            <v>0.51382313608795371</v>
          </cell>
          <cell r="L24">
            <v>1.6</v>
          </cell>
          <cell r="N24">
            <v>3.4036923375611288</v>
          </cell>
        </row>
        <row r="25">
          <cell r="B25">
            <v>54.083333333313931</v>
          </cell>
          <cell r="F25">
            <v>5.42</v>
          </cell>
          <cell r="H25">
            <v>8.2966651902615318</v>
          </cell>
          <cell r="J25">
            <v>0.6564845612921032</v>
          </cell>
          <cell r="L25">
            <v>1.6</v>
          </cell>
          <cell r="N25">
            <v>3.3424226808222066</v>
          </cell>
        </row>
        <row r="36">
          <cell r="B36">
            <v>1</v>
          </cell>
          <cell r="F36">
            <v>5.9</v>
          </cell>
          <cell r="H36">
            <v>5.3802112417116064</v>
          </cell>
          <cell r="J36">
            <v>-9.4365045045525675E-2</v>
          </cell>
          <cell r="M36">
            <v>0</v>
          </cell>
        </row>
        <row r="37">
          <cell r="B37">
            <v>3.0000000000582077</v>
          </cell>
          <cell r="F37">
            <v>5.78</v>
          </cell>
          <cell r="H37">
            <v>5.7193312869837269</v>
          </cell>
          <cell r="J37">
            <v>-3.8051324570203521E-2</v>
          </cell>
          <cell r="M37">
            <v>0.33912004527212058</v>
          </cell>
        </row>
        <row r="38">
          <cell r="B38">
            <v>6.0000000000582077</v>
          </cell>
          <cell r="F38">
            <v>5.8</v>
          </cell>
          <cell r="H38">
            <v>6.2648178230095368</v>
          </cell>
          <cell r="J38">
            <v>6.9996518100542138E-3</v>
          </cell>
          <cell r="M38">
            <v>0.88460658129793046</v>
          </cell>
        </row>
        <row r="39">
          <cell r="B39">
            <v>9.0000000000582077</v>
          </cell>
          <cell r="F39">
            <v>5.76</v>
          </cell>
          <cell r="H39">
            <v>6.7193312869837269</v>
          </cell>
          <cell r="J39">
            <v>-7.5593804887084962E-2</v>
          </cell>
          <cell r="M39">
            <v>1.3391200452721206</v>
          </cell>
        </row>
        <row r="40">
          <cell r="B40">
            <v>12.166666666744277</v>
          </cell>
          <cell r="F40">
            <v>5.68</v>
          </cell>
          <cell r="H40">
            <v>7.1072099696478688</v>
          </cell>
          <cell r="J40">
            <v>-0.19572974190110559</v>
          </cell>
          <cell r="M40">
            <v>1.7269987279362624</v>
          </cell>
        </row>
        <row r="41">
          <cell r="B41">
            <v>15</v>
          </cell>
          <cell r="F41">
            <v>5.29</v>
          </cell>
          <cell r="H41">
            <v>7.9703468762300931</v>
          </cell>
          <cell r="J41">
            <v>0.29232250221835321</v>
          </cell>
          <cell r="M41">
            <v>2.5231888448878736</v>
          </cell>
        </row>
        <row r="42">
          <cell r="B42">
            <v>18</v>
          </cell>
          <cell r="F42">
            <v>5.0999999999999996</v>
          </cell>
          <cell r="H42">
            <v>7.7543483357110192</v>
          </cell>
          <cell r="J42">
            <v>0.40494994316899752</v>
          </cell>
          <cell r="M42">
            <v>2.3071903043687998</v>
          </cell>
        </row>
        <row r="43">
          <cell r="B43">
            <v>21</v>
          </cell>
          <cell r="F43">
            <v>5.37</v>
          </cell>
          <cell r="H43">
            <v>8.3944516808262168</v>
          </cell>
          <cell r="J43">
            <v>0.28105975812328876</v>
          </cell>
          <cell r="M43">
            <v>2.9472936494839974</v>
          </cell>
        </row>
        <row r="44">
          <cell r="B44">
            <v>24.166666666744277</v>
          </cell>
          <cell r="F44">
            <v>5.29</v>
          </cell>
          <cell r="H44">
            <v>8.2922560713564764</v>
          </cell>
          <cell r="J44">
            <v>0.35614471875705161</v>
          </cell>
          <cell r="M44">
            <v>2.91204482964487</v>
          </cell>
        </row>
        <row r="45">
          <cell r="B45">
            <v>27.083333333313931</v>
          </cell>
          <cell r="F45">
            <v>5.34</v>
          </cell>
          <cell r="H45">
            <v>8.4857214264815806</v>
          </cell>
          <cell r="J45">
            <v>0.3035852463134176</v>
          </cell>
          <cell r="M45">
            <v>3.1055101847699742</v>
          </cell>
        </row>
        <row r="46">
          <cell r="B46">
            <v>30.083333333313931</v>
          </cell>
          <cell r="F46">
            <v>5.27</v>
          </cell>
          <cell r="H46">
            <v>8.5078558716958312</v>
          </cell>
          <cell r="J46">
            <v>0.45375516758094342</v>
          </cell>
          <cell r="M46">
            <v>3.1276446299842249</v>
          </cell>
        </row>
        <row r="47">
          <cell r="B47">
            <v>33.083333333313931</v>
          </cell>
          <cell r="F47">
            <v>5.23</v>
          </cell>
          <cell r="H47">
            <v>8.5105450102066129</v>
          </cell>
          <cell r="J47">
            <v>0.40119569513730935</v>
          </cell>
          <cell r="M47">
            <v>3.1303337684950066</v>
          </cell>
        </row>
        <row r="48">
          <cell r="B48">
            <v>35.833333333372138</v>
          </cell>
          <cell r="F48">
            <v>5.19</v>
          </cell>
          <cell r="H48">
            <v>8.5263392773898445</v>
          </cell>
          <cell r="J48">
            <v>0.32235648647185833</v>
          </cell>
          <cell r="M48">
            <v>3.1461280356782382</v>
          </cell>
        </row>
        <row r="49">
          <cell r="B49">
            <v>42</v>
          </cell>
          <cell r="F49">
            <v>5.16</v>
          </cell>
          <cell r="H49">
            <v>8.5538830266438737</v>
          </cell>
          <cell r="J49">
            <v>0.37116171088380423</v>
          </cell>
          <cell r="M49">
            <v>3.1067249953016542</v>
          </cell>
        </row>
        <row r="50">
          <cell r="B50">
            <v>48.25</v>
          </cell>
          <cell r="F50">
            <v>5.19</v>
          </cell>
          <cell r="H50">
            <v>8.4563660331290436</v>
          </cell>
          <cell r="J50">
            <v>0.40119569513730935</v>
          </cell>
          <cell r="M50">
            <v>3.0761547914174372</v>
          </cell>
        </row>
        <row r="51">
          <cell r="B51">
            <v>54.083333333313931</v>
          </cell>
          <cell r="F51">
            <v>5.14</v>
          </cell>
          <cell r="H51">
            <v>8.3263358609287508</v>
          </cell>
          <cell r="J51">
            <v>0.43498392742250269</v>
          </cell>
          <cell r="M51">
            <v>2.9461246192171444</v>
          </cell>
        </row>
        <row r="60">
          <cell r="B60">
            <v>1</v>
          </cell>
          <cell r="F60">
            <v>5.89</v>
          </cell>
          <cell r="I60">
            <v>3.255272505103306</v>
          </cell>
          <cell r="J60">
            <v>-0.16945000567928856</v>
          </cell>
          <cell r="L60">
            <v>0</v>
          </cell>
        </row>
        <row r="61">
          <cell r="B61">
            <v>3.0000000000582077</v>
          </cell>
          <cell r="F61">
            <v>5.84</v>
          </cell>
          <cell r="I61">
            <v>3.6720978579357175</v>
          </cell>
          <cell r="J61">
            <v>-0.16194150961591228</v>
          </cell>
          <cell r="L61">
            <v>0.41682535283241151</v>
          </cell>
        </row>
        <row r="62">
          <cell r="B62">
            <v>6.0000000000582077</v>
          </cell>
          <cell r="F62">
            <v>5.81</v>
          </cell>
          <cell r="I62">
            <v>3.7781512503836434</v>
          </cell>
          <cell r="J62">
            <v>0.10085585260225781</v>
          </cell>
          <cell r="L62">
            <v>0.5228787452803374</v>
          </cell>
        </row>
        <row r="63">
          <cell r="B63">
            <v>9.0000000000582077</v>
          </cell>
          <cell r="F63">
            <v>5.84</v>
          </cell>
          <cell r="I63">
            <v>4.2648178230095368</v>
          </cell>
          <cell r="J63">
            <v>-7.1839556855396822E-2</v>
          </cell>
          <cell r="L63">
            <v>1.0095453179062308</v>
          </cell>
        </row>
        <row r="64">
          <cell r="B64">
            <v>12.166666666744277</v>
          </cell>
          <cell r="F64">
            <v>5.85</v>
          </cell>
          <cell r="I64">
            <v>4.7781512503836439</v>
          </cell>
          <cell r="J64">
            <v>-0.4810525923094045</v>
          </cell>
          <cell r="L64">
            <v>1.5228787452803378</v>
          </cell>
        </row>
        <row r="65">
          <cell r="B65">
            <v>15</v>
          </cell>
          <cell r="F65">
            <v>5.89</v>
          </cell>
          <cell r="I65">
            <v>5.3873898263387296</v>
          </cell>
          <cell r="J65">
            <v>-3.0542828506827231E-2</v>
          </cell>
          <cell r="L65">
            <v>2.2412617906604915</v>
          </cell>
        </row>
        <row r="66">
          <cell r="B66">
            <v>18</v>
          </cell>
          <cell r="F66">
            <v>5.73</v>
          </cell>
          <cell r="I66">
            <v>6.0118522700068455</v>
          </cell>
          <cell r="J66">
            <v>-0.2220094781229226</v>
          </cell>
          <cell r="L66">
            <v>2.8657242343286073</v>
          </cell>
        </row>
        <row r="67">
          <cell r="B67">
            <v>21</v>
          </cell>
          <cell r="F67">
            <v>5.83</v>
          </cell>
          <cell r="I67">
            <v>6.4471580313422194</v>
          </cell>
          <cell r="J67">
            <v>-0.26330620647149217</v>
          </cell>
          <cell r="L67">
            <v>3.3010299956639813</v>
          </cell>
        </row>
        <row r="68">
          <cell r="B68">
            <v>24.166666666744277</v>
          </cell>
          <cell r="F68">
            <v>5.79</v>
          </cell>
          <cell r="I68">
            <v>6.6627578316815743</v>
          </cell>
          <cell r="J68">
            <v>-0.1732042537109767</v>
          </cell>
          <cell r="L68">
            <v>3.4074853265782683</v>
          </cell>
        </row>
        <row r="69">
          <cell r="B69">
            <v>27.083333333313931</v>
          </cell>
          <cell r="F69">
            <v>5.8</v>
          </cell>
          <cell r="I69">
            <v>6.8573324964312681</v>
          </cell>
          <cell r="J69">
            <v>-0.12815327733071899</v>
          </cell>
          <cell r="L69">
            <v>3.6020599913279621</v>
          </cell>
        </row>
        <row r="70">
          <cell r="B70">
            <v>30.083333333313931</v>
          </cell>
          <cell r="F70">
            <v>5.75</v>
          </cell>
          <cell r="I70">
            <v>7.4149733479708182</v>
          </cell>
          <cell r="J70">
            <v>-0.25204346237642777</v>
          </cell>
          <cell r="L70">
            <v>4.1597008428675117</v>
          </cell>
        </row>
        <row r="71">
          <cell r="B71">
            <v>33.083333333313931</v>
          </cell>
          <cell r="F71">
            <v>5.65</v>
          </cell>
          <cell r="I71">
            <v>7.7634279935629369</v>
          </cell>
          <cell r="J71">
            <v>-4.2630922850102164E-3</v>
          </cell>
          <cell r="L71">
            <v>4.5081554884596304</v>
          </cell>
        </row>
        <row r="72">
          <cell r="B72">
            <v>35.833333333372138</v>
          </cell>
          <cell r="F72">
            <v>5.54</v>
          </cell>
          <cell r="I72">
            <v>8.0413926851582254</v>
          </cell>
          <cell r="J72">
            <v>-0.13190752536240713</v>
          </cell>
          <cell r="L72">
            <v>4.7861201800549189</v>
          </cell>
        </row>
        <row r="73">
          <cell r="B73">
            <v>42</v>
          </cell>
          <cell r="F73">
            <v>5.27</v>
          </cell>
          <cell r="I73">
            <v>8.4533183400470371</v>
          </cell>
          <cell r="J73">
            <v>4.4542132126935648E-2</v>
          </cell>
          <cell r="L73">
            <v>5.3071903043687989</v>
          </cell>
        </row>
        <row r="74">
          <cell r="B74">
            <v>48.25</v>
          </cell>
          <cell r="F74">
            <v>5.28</v>
          </cell>
          <cell r="I74">
            <v>8.3424226808222066</v>
          </cell>
          <cell r="J74">
            <v>-0.16569575764760042</v>
          </cell>
          <cell r="L74">
            <v>5.0871501757189002</v>
          </cell>
        </row>
        <row r="75">
          <cell r="B75">
            <v>54.083333333313931</v>
          </cell>
          <cell r="F75">
            <v>5.39</v>
          </cell>
          <cell r="I75">
            <v>8.4216039268698317</v>
          </cell>
          <cell r="J75">
            <v>0.55511986443652328</v>
          </cell>
          <cell r="L75">
            <v>5.1663314217665253</v>
          </cell>
        </row>
        <row r="85">
          <cell r="B85">
            <v>1</v>
          </cell>
          <cell r="F85">
            <v>5.89</v>
          </cell>
          <cell r="H85">
            <v>4.9731278535996983</v>
          </cell>
          <cell r="I85">
            <v>3.3424226808222062</v>
          </cell>
          <cell r="J85">
            <v>-4.9314068665267947E-2</v>
          </cell>
          <cell r="L85">
            <v>0</v>
          </cell>
          <cell r="N85">
            <v>0</v>
          </cell>
          <cell r="O85">
            <v>0</v>
          </cell>
        </row>
        <row r="86">
          <cell r="B86">
            <v>3.0000000000582077</v>
          </cell>
          <cell r="F86">
            <v>5.87</v>
          </cell>
          <cell r="H86">
            <v>5.3729120029701063</v>
          </cell>
          <cell r="I86">
            <v>3.3010299956639813</v>
          </cell>
          <cell r="J86">
            <v>-6.4331060792020528E-2</v>
          </cell>
          <cell r="L86">
            <v>0</v>
          </cell>
          <cell r="N86">
            <v>0.39978414937040796</v>
          </cell>
          <cell r="O86">
            <v>-4.1392685158224918E-2</v>
          </cell>
        </row>
        <row r="87">
          <cell r="B87">
            <v>6.0000000000582077</v>
          </cell>
          <cell r="F87">
            <v>5.8</v>
          </cell>
          <cell r="H87">
            <v>5.9138138523837167</v>
          </cell>
          <cell r="I87">
            <v>3.8450980400142569</v>
          </cell>
          <cell r="J87">
            <v>0.14215258095082742</v>
          </cell>
          <cell r="L87">
            <v>0</v>
          </cell>
          <cell r="N87">
            <v>0.94068599878401837</v>
          </cell>
          <cell r="O87">
            <v>0.50267535919205075</v>
          </cell>
        </row>
        <row r="88">
          <cell r="B88">
            <v>9.0000000000582077</v>
          </cell>
          <cell r="F88">
            <v>5.82</v>
          </cell>
          <cell r="H88">
            <v>6.4014005407815437</v>
          </cell>
          <cell r="I88">
            <v>4.2922560713564764</v>
          </cell>
          <cell r="J88">
            <v>-6.4331060792020528E-2</v>
          </cell>
          <cell r="L88">
            <v>0</v>
          </cell>
          <cell r="N88">
            <v>1.4282726871818454</v>
          </cell>
          <cell r="O88">
            <v>0.94983339053427018</v>
          </cell>
        </row>
        <row r="89">
          <cell r="B89">
            <v>12.166666666744277</v>
          </cell>
          <cell r="F89">
            <v>5.76</v>
          </cell>
          <cell r="H89">
            <v>6.7634279935629369</v>
          </cell>
          <cell r="I89">
            <v>4.6434526764861879</v>
          </cell>
          <cell r="J89">
            <v>-0.40221338364395348</v>
          </cell>
          <cell r="L89">
            <v>0</v>
          </cell>
          <cell r="N89">
            <v>1.7903001399632386</v>
          </cell>
          <cell r="O89">
            <v>1.3010299956639817</v>
          </cell>
        </row>
        <row r="90">
          <cell r="B90">
            <v>15</v>
          </cell>
          <cell r="F90">
            <v>5.14</v>
          </cell>
          <cell r="H90">
            <v>7.6570558528571038</v>
          </cell>
          <cell r="I90">
            <v>4.8450980400142569</v>
          </cell>
          <cell r="J90">
            <v>0.45750941561263159</v>
          </cell>
          <cell r="N90">
            <v>2.1799345981374412</v>
          </cell>
          <cell r="O90">
            <v>1.6989700043360187</v>
          </cell>
        </row>
        <row r="91">
          <cell r="B91">
            <v>18</v>
          </cell>
          <cell r="F91">
            <v>4.66</v>
          </cell>
          <cell r="H91">
            <v>7.9063350418050904</v>
          </cell>
          <cell r="I91">
            <v>4.8226038992559745</v>
          </cell>
          <cell r="J91">
            <v>0.78788324240118823</v>
          </cell>
          <cell r="N91">
            <v>2.4292137870854278</v>
          </cell>
          <cell r="O91">
            <v>1.6764758635777364</v>
          </cell>
        </row>
        <row r="92">
          <cell r="B92">
            <v>21</v>
          </cell>
          <cell r="F92">
            <v>5.47</v>
          </cell>
          <cell r="H92">
            <v>8.2304489213782741</v>
          </cell>
          <cell r="I92">
            <v>4.3424226808222066</v>
          </cell>
          <cell r="J92">
            <v>0.38617870301055679</v>
          </cell>
          <cell r="N92">
            <v>2.7533276666586115</v>
          </cell>
          <cell r="O92">
            <v>1.1962946451439684</v>
          </cell>
        </row>
        <row r="93">
          <cell r="B93">
            <v>24.166666666744277</v>
          </cell>
          <cell r="F93">
            <v>5.46</v>
          </cell>
          <cell r="H93">
            <v>8.1461280356782382</v>
          </cell>
          <cell r="I93">
            <v>4.653212513775344</v>
          </cell>
          <cell r="J93">
            <v>0.44249242348587897</v>
          </cell>
          <cell r="L93">
            <v>1.6</v>
          </cell>
          <cell r="N93">
            <v>3.1730001820785398</v>
          </cell>
          <cell r="O93">
            <v>1.3107898329531378</v>
          </cell>
        </row>
        <row r="94">
          <cell r="B94">
            <v>27.083333333313931</v>
          </cell>
          <cell r="F94">
            <v>5.44</v>
          </cell>
          <cell r="H94">
            <v>8.318063334962762</v>
          </cell>
          <cell r="I94">
            <v>4.2878017299302265</v>
          </cell>
          <cell r="J94">
            <v>0.46126366364431959</v>
          </cell>
          <cell r="L94">
            <v>3.2</v>
          </cell>
          <cell r="N94">
            <v>3.3449354813630636</v>
          </cell>
          <cell r="O94">
            <v>0.94537904910802029</v>
          </cell>
        </row>
        <row r="95">
          <cell r="B95">
            <v>30.083333333313931</v>
          </cell>
          <cell r="F95">
            <v>5.41</v>
          </cell>
          <cell r="H95">
            <v>8.3617278360175931</v>
          </cell>
          <cell r="I95">
            <v>4.0236639181977933</v>
          </cell>
          <cell r="J95">
            <v>0.40119569513730935</v>
          </cell>
          <cell r="L95">
            <v>3.2</v>
          </cell>
          <cell r="N95">
            <v>3.3885999824178947</v>
          </cell>
          <cell r="O95">
            <v>0.68124123737558717</v>
          </cell>
        </row>
        <row r="96">
          <cell r="B96">
            <v>33.083333333313931</v>
          </cell>
          <cell r="F96">
            <v>5.24</v>
          </cell>
          <cell r="H96">
            <v>8.4969296480732144</v>
          </cell>
          <cell r="I96" t="e">
            <v>#VALUE!</v>
          </cell>
          <cell r="J96">
            <v>0.45000091954925525</v>
          </cell>
          <cell r="L96">
            <v>0</v>
          </cell>
          <cell r="N96">
            <v>3.523801794473516</v>
          </cell>
          <cell r="O96" t="e">
            <v>#VALUE!</v>
          </cell>
        </row>
        <row r="97">
          <cell r="B97">
            <v>35.833333333372138</v>
          </cell>
          <cell r="F97">
            <v>5.44</v>
          </cell>
          <cell r="H97">
            <v>8.3424226808222066</v>
          </cell>
          <cell r="I97">
            <v>4.5582284218033253</v>
          </cell>
          <cell r="J97">
            <v>0.33737347859861089</v>
          </cell>
          <cell r="L97">
            <v>0.8</v>
          </cell>
          <cell r="N97">
            <v>3.3692948272225083</v>
          </cell>
          <cell r="O97">
            <v>1.2158057409811192</v>
          </cell>
        </row>
        <row r="98">
          <cell r="B98">
            <v>42</v>
          </cell>
          <cell r="F98">
            <v>5.53</v>
          </cell>
          <cell r="H98">
            <v>8.357934847000454</v>
          </cell>
          <cell r="I98" t="e">
            <v>#VALUE!</v>
          </cell>
          <cell r="J98">
            <v>0.43873817545419086</v>
          </cell>
          <cell r="N98">
            <v>2.8808135922807914</v>
          </cell>
          <cell r="O98" t="e">
            <v>#VALUE!</v>
          </cell>
        </row>
        <row r="99">
          <cell r="B99">
            <v>48.25</v>
          </cell>
          <cell r="F99">
            <v>5.56</v>
          </cell>
          <cell r="H99">
            <v>8.3654879848908994</v>
          </cell>
          <cell r="I99">
            <v>5.2423426210246431</v>
          </cell>
          <cell r="J99">
            <v>0.3035852463134176</v>
          </cell>
          <cell r="L99">
            <v>1.6</v>
          </cell>
          <cell r="N99">
            <v>3.3923601312912011</v>
          </cell>
          <cell r="O99">
            <v>1.8999199402024369</v>
          </cell>
        </row>
        <row r="100">
          <cell r="B100">
            <v>54.083333333313931</v>
          </cell>
          <cell r="F100">
            <v>5.39</v>
          </cell>
          <cell r="H100">
            <v>8.3873898263387296</v>
          </cell>
          <cell r="I100" t="e">
            <v>#VALUE!</v>
          </cell>
          <cell r="J100">
            <v>0.55511986443652328</v>
          </cell>
          <cell r="L100">
            <v>1.6</v>
          </cell>
          <cell r="N100">
            <v>3.4142619727390313</v>
          </cell>
          <cell r="O100" t="e">
            <v>#VALUE!</v>
          </cell>
        </row>
        <row r="111">
          <cell r="B111">
            <v>1</v>
          </cell>
          <cell r="F111">
            <v>5.88</v>
          </cell>
          <cell r="H111">
            <v>5.3010299956639813</v>
          </cell>
          <cell r="I111">
            <v>3.4313637641589874</v>
          </cell>
          <cell r="J111">
            <v>0.20597479748952585</v>
          </cell>
          <cell r="L111">
            <v>0</v>
          </cell>
          <cell r="M111">
            <v>0</v>
          </cell>
        </row>
        <row r="112">
          <cell r="B112">
            <v>3.0000000000582077</v>
          </cell>
          <cell r="F112">
            <v>5.83</v>
          </cell>
          <cell r="H112">
            <v>5.6589648426644352</v>
          </cell>
          <cell r="I112">
            <v>3.568201724066995</v>
          </cell>
          <cell r="J112">
            <v>-0.13190752536240713</v>
          </cell>
          <cell r="L112">
            <v>0.35793484700045397</v>
          </cell>
          <cell r="M112">
            <v>0.13683795990800762</v>
          </cell>
        </row>
        <row r="113">
          <cell r="B113">
            <v>6.0000000000582077</v>
          </cell>
          <cell r="F113">
            <v>5.78</v>
          </cell>
          <cell r="H113">
            <v>6.1818435879447726</v>
          </cell>
          <cell r="I113">
            <v>3.7481880270062002</v>
          </cell>
          <cell r="J113">
            <v>4.0787884095247515E-2</v>
          </cell>
          <cell r="L113">
            <v>0.88081359228079137</v>
          </cell>
          <cell r="M113">
            <v>0.31682426284721288</v>
          </cell>
        </row>
        <row r="114">
          <cell r="B114">
            <v>9.0000000000582077</v>
          </cell>
          <cell r="F114">
            <v>5.77</v>
          </cell>
          <cell r="H114">
            <v>6.5587085705331658</v>
          </cell>
          <cell r="I114">
            <v>4.318063334962762</v>
          </cell>
          <cell r="J114">
            <v>1.8262395905118644E-2</v>
          </cell>
          <cell r="L114">
            <v>1.2576785748691846</v>
          </cell>
          <cell r="M114">
            <v>0.88669957080377459</v>
          </cell>
        </row>
        <row r="115">
          <cell r="B115">
            <v>12.166666666744277</v>
          </cell>
          <cell r="F115">
            <v>5.66</v>
          </cell>
          <cell r="H115">
            <v>7.0569048513364727</v>
          </cell>
          <cell r="I115">
            <v>4.5797835966168101</v>
          </cell>
          <cell r="J115">
            <v>-0.39845913561226537</v>
          </cell>
          <cell r="L115">
            <v>1.7558748556724915</v>
          </cell>
          <cell r="M115">
            <v>1.1484198324578228</v>
          </cell>
        </row>
        <row r="116">
          <cell r="B116">
            <v>15</v>
          </cell>
          <cell r="F116">
            <v>5.3</v>
          </cell>
          <cell r="H116">
            <v>8.1726029312098607</v>
          </cell>
          <cell r="I116">
            <v>5.1072099696478688</v>
          </cell>
          <cell r="J116">
            <v>0.40119569513730935</v>
          </cell>
          <cell r="L116">
            <v>2.7254448998676413</v>
          </cell>
          <cell r="M116">
            <v>1.9610819339696306</v>
          </cell>
        </row>
        <row r="117">
          <cell r="B117">
            <v>18</v>
          </cell>
          <cell r="F117">
            <v>5.07</v>
          </cell>
          <cell r="H117">
            <v>7.802773725291976</v>
          </cell>
          <cell r="I117">
            <v>5.3384564936046051</v>
          </cell>
          <cell r="J117">
            <v>0.33737347859861089</v>
          </cell>
          <cell r="L117">
            <v>2.3556156939497566</v>
          </cell>
          <cell r="M117">
            <v>2.1923284579263669</v>
          </cell>
        </row>
        <row r="118">
          <cell r="B118">
            <v>21</v>
          </cell>
          <cell r="F118">
            <v>5.36</v>
          </cell>
          <cell r="H118">
            <v>8.220108088040055</v>
          </cell>
          <cell r="I118">
            <v>5.5314789170422554</v>
          </cell>
          <cell r="J118">
            <v>0.42747543135912641</v>
          </cell>
          <cell r="L118">
            <v>2.7729500566978356</v>
          </cell>
          <cell r="M118">
            <v>2.3853508813640172</v>
          </cell>
        </row>
        <row r="119">
          <cell r="B119">
            <v>24.166666666744277</v>
          </cell>
          <cell r="F119">
            <v>5.37</v>
          </cell>
          <cell r="H119">
            <v>8.2355284469075496</v>
          </cell>
          <cell r="I119">
            <v>5.7160033436347994</v>
          </cell>
          <cell r="J119">
            <v>0.27355126205991243</v>
          </cell>
          <cell r="L119">
            <v>2.9344984512435683</v>
          </cell>
          <cell r="M119">
            <v>2.2846395794758121</v>
          </cell>
        </row>
        <row r="120">
          <cell r="B120">
            <v>27.083333333313931</v>
          </cell>
          <cell r="F120">
            <v>5.33</v>
          </cell>
          <cell r="H120">
            <v>8.5024271199844321</v>
          </cell>
          <cell r="I120">
            <v>5.924279286061882</v>
          </cell>
          <cell r="J120">
            <v>0.38242445497886862</v>
          </cell>
          <cell r="L120">
            <v>3.2013971243204509</v>
          </cell>
          <cell r="M120">
            <v>2.4929155219028947</v>
          </cell>
        </row>
        <row r="121">
          <cell r="B121">
            <v>30.083333333313931</v>
          </cell>
          <cell r="F121">
            <v>5.24</v>
          </cell>
          <cell r="H121">
            <v>8.5538830266438737</v>
          </cell>
          <cell r="I121">
            <v>6.071882007306125</v>
          </cell>
          <cell r="J121">
            <v>0.48754339986613665</v>
          </cell>
          <cell r="L121">
            <v>3.2528530309798924</v>
          </cell>
          <cell r="M121">
            <v>2.6405182431471377</v>
          </cell>
        </row>
        <row r="122">
          <cell r="B122">
            <v>33.083333333313931</v>
          </cell>
          <cell r="F122">
            <v>5.2</v>
          </cell>
          <cell r="H122">
            <v>8.5314789170422554</v>
          </cell>
          <cell r="I122">
            <v>6.2304489213782741</v>
          </cell>
          <cell r="J122">
            <v>0.52884012821470627</v>
          </cell>
          <cell r="L122">
            <v>3.2304489213782741</v>
          </cell>
          <cell r="M122">
            <v>2.7990851572192867</v>
          </cell>
        </row>
        <row r="123">
          <cell r="B123">
            <v>35.833333333372138</v>
          </cell>
          <cell r="F123">
            <v>5.16</v>
          </cell>
          <cell r="H123">
            <v>8.4683473304121577</v>
          </cell>
          <cell r="I123">
            <v>6.2787536009528289</v>
          </cell>
          <cell r="J123">
            <v>0.38242445497886862</v>
          </cell>
          <cell r="L123">
            <v>3.1673173347481764</v>
          </cell>
          <cell r="M123">
            <v>2.8473898367938415</v>
          </cell>
        </row>
        <row r="124">
          <cell r="B124">
            <v>42</v>
          </cell>
          <cell r="F124">
            <v>5.18</v>
          </cell>
          <cell r="H124">
            <v>8.4771212547196626</v>
          </cell>
          <cell r="I124">
            <v>6.7956483318320968</v>
          </cell>
          <cell r="J124">
            <v>0.40870419120068563</v>
          </cell>
          <cell r="L124">
            <v>3.0299632233774432</v>
          </cell>
          <cell r="M124">
            <v>3.6495202961538586</v>
          </cell>
        </row>
        <row r="125">
          <cell r="B125">
            <v>48.25</v>
          </cell>
          <cell r="F125">
            <v>5.18</v>
          </cell>
          <cell r="H125">
            <v>8.4623979978989556</v>
          </cell>
          <cell r="I125">
            <v>6.6414741105040997</v>
          </cell>
          <cell r="J125">
            <v>0.34863622269367534</v>
          </cell>
          <cell r="L125">
            <v>3.1613680022349744</v>
          </cell>
          <cell r="M125">
            <v>3.2101103463451124</v>
          </cell>
        </row>
        <row r="126">
          <cell r="B126">
            <v>54.083333333313931</v>
          </cell>
          <cell r="F126">
            <v>5.0999999999999996</v>
          </cell>
          <cell r="H126">
            <v>8.4471580313422194</v>
          </cell>
          <cell r="I126">
            <v>6.7781512503836439</v>
          </cell>
          <cell r="J126">
            <v>0.4762806557710722</v>
          </cell>
          <cell r="L126">
            <v>3.1461280356782382</v>
          </cell>
          <cell r="M126">
            <v>3.3467874862246565</v>
          </cell>
        </row>
      </sheetData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errer, Nuria" id="{4C421174-B224-4863-AD46-B175FD3CC88A}" userId="S::nuria.ferrer@irta.cat::f935e07e-e02f-44b5-a428-050b41998a75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6" dT="2022-04-06T07:29:48.43" personId="{4C421174-B224-4863-AD46-B175FD3CC88A}" id="{7B67541A-2F0D-43D0-A58B-9AFF9C91A885}">
    <text>"Pegote" de cèl·lules que pot fer que sobreestimem la concentració real.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96" dT="2022-04-04T10:12:35.21" personId="{4C421174-B224-4863-AD46-B175FD3CC88A}" id="{85ACE1D0-9E46-434C-96C1-E98B65D98927}">
    <text>Placa mal sembrada. Hi havia un pegote de cèl·lules que pot fer que sobreestimem la concentració real</text>
  </threadedComment>
  <threadedComment ref="C106" dT="2022-04-04T10:15:44.82" personId="{4C421174-B224-4863-AD46-B175FD3CC88A}" id="{19C05F83-C998-4345-93AD-E4C8C9715DF6}">
    <text>Es va sembrar el cultiu de la CTC494 enlloc del cultiu amb la 23K.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97" dT="2022-04-04T10:26:54.78" personId="{4C421174-B224-4863-AD46-B175FD3CC88A}" id="{81866FBC-1469-49E3-9177-57AC1011B31D}">
    <text>Placa mal sembrada. Pegote de cèl·lules que pot ser que fem una sobreestimació de la concentració.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04" dT="2022-04-06T07:26:40.21" personId="{4C421174-B224-4863-AD46-B175FD3CC88A}" id="{CF67D501-F4B6-4EB3-B4AA-00E1105754A8}">
    <text>Placa buida, no tenim recompte.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5" dT="2022-04-06T07:25:09.61" personId="{4C421174-B224-4863-AD46-B175FD3CC88A}" id="{7D9F5D22-1984-4428-A621-DF74C1AA13E8}">
    <text>Placa buida, no tenim recompte.</text>
  </threadedComment>
  <threadedComment ref="C37" dT="2022-04-06T07:24:54.15" personId="{4C421174-B224-4863-AD46-B175FD3CC88A}" id="{E79C9F4D-BDB4-4DBA-B251-89C950BC5715}">
    <text>Placa buida, no tenim recompte.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96" dT="2022-04-06T07:29:48.43" personId="{4C421174-B224-4863-AD46-B175FD3CC88A}" id="{AE5777DF-4850-4E8D-A854-0986657061CF}">
    <text>"Pegote" de cèl·lules que pot fer que sobreestimem la concentració real.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L96" dT="2022-05-09T13:40:34.81" personId="{4C421174-B224-4863-AD46-B175FD3CC88A}" id="{4C086477-A7C5-4C92-A62D-4D8A2A5F9010}">
    <text>No va sortir bé l'assaig. Cal repetir-lo.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105" dT="2022-04-11T11:13:47.26" personId="{4C421174-B224-4863-AD46-B175FD3CC88A}" id="{3FE82A79-BD45-4A27-9445-2214B1F6C6E9}">
    <text>Pegote de cèl·lules a la placa...</text>
  </threadedComment>
  <threadedComment ref="D106" dT="2022-04-11T11:14:21.92" personId="{4C421174-B224-4863-AD46-B175FD3CC88A}" id="{CBC04A75-FF99-4ACF-B469-2C1ED6E38505}">
    <text>Falten plaques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DCC5-9CCB-40F9-AA8A-1D10E57956C9}">
  <sheetPr>
    <pageSetUpPr fitToPage="1"/>
  </sheetPr>
  <dimension ref="A1:N40"/>
  <sheetViews>
    <sheetView zoomScale="70" zoomScaleNormal="70" workbookViewId="0">
      <selection activeCell="P3" sqref="P3"/>
    </sheetView>
  </sheetViews>
  <sheetFormatPr baseColWidth="10" defaultColWidth="9.1796875" defaultRowHeight="14.5" x14ac:dyDescent="0.35"/>
  <cols>
    <col min="1" max="1" width="12" bestFit="1" customWidth="1"/>
    <col min="2" max="2" width="10.54296875" bestFit="1" customWidth="1"/>
  </cols>
  <sheetData>
    <row r="1" spans="1:14" ht="15.5" x14ac:dyDescent="0.35">
      <c r="A1" s="4" t="s">
        <v>0</v>
      </c>
      <c r="B1" s="2" t="s">
        <v>1</v>
      </c>
    </row>
    <row r="2" spans="1:14" ht="18.5" x14ac:dyDescent="0.45">
      <c r="A2" s="4" t="s">
        <v>2</v>
      </c>
      <c r="B2" s="3" t="s">
        <v>3</v>
      </c>
    </row>
    <row r="3" spans="1:14" x14ac:dyDescent="0.35">
      <c r="A3" s="4" t="s">
        <v>4</v>
      </c>
      <c r="B3" t="s">
        <v>5</v>
      </c>
    </row>
    <row r="4" spans="1:14" x14ac:dyDescent="0.35">
      <c r="A4" s="4" t="s">
        <v>6</v>
      </c>
      <c r="B4" t="s">
        <v>7</v>
      </c>
    </row>
    <row r="9" spans="1:14" x14ac:dyDescent="0.35">
      <c r="B9" s="34" t="s">
        <v>8</v>
      </c>
      <c r="C9" s="34"/>
      <c r="E9" s="34" t="s">
        <v>9</v>
      </c>
      <c r="F9" s="34"/>
      <c r="H9" s="34" t="s">
        <v>10</v>
      </c>
      <c r="I9" s="34"/>
      <c r="M9" s="11" t="s">
        <v>11</v>
      </c>
      <c r="N9" s="11" t="s">
        <v>12</v>
      </c>
    </row>
    <row r="10" spans="1:14" x14ac:dyDescent="0.35">
      <c r="B10" s="6" t="s">
        <v>13</v>
      </c>
      <c r="C10" s="6" t="s">
        <v>14</v>
      </c>
      <c r="E10" s="6" t="s">
        <v>13</v>
      </c>
      <c r="F10" s="6" t="s">
        <v>14</v>
      </c>
      <c r="H10" s="6" t="s">
        <v>13</v>
      </c>
      <c r="I10" s="6" t="s">
        <v>14</v>
      </c>
      <c r="L10" s="8" t="s">
        <v>13</v>
      </c>
      <c r="M10" s="10" t="s">
        <v>15</v>
      </c>
    </row>
    <row r="11" spans="1:14" x14ac:dyDescent="0.35">
      <c r="B11" s="7">
        <v>10</v>
      </c>
      <c r="C11" s="6">
        <v>1.2989999999999999</v>
      </c>
      <c r="E11" s="7">
        <v>10</v>
      </c>
      <c r="F11" s="6">
        <v>1.3089999999999999</v>
      </c>
      <c r="H11" s="7">
        <v>10</v>
      </c>
      <c r="I11" s="6">
        <v>1.292</v>
      </c>
      <c r="L11" s="9">
        <v>10</v>
      </c>
      <c r="M11" s="8">
        <f>AVERAGE(C11,F11,I11)</f>
        <v>1.2999999999999998</v>
      </c>
      <c r="N11" s="6">
        <f>_xlfn.STDEV.P(C11,F11,I11)</f>
        <v>6.9761498454854135E-3</v>
      </c>
    </row>
    <row r="12" spans="1:14" x14ac:dyDescent="0.35">
      <c r="B12" s="7">
        <v>5</v>
      </c>
      <c r="C12" s="6">
        <v>0.66600000000000004</v>
      </c>
      <c r="E12" s="7">
        <v>5</v>
      </c>
      <c r="F12" s="6">
        <v>0.69299999999999995</v>
      </c>
      <c r="H12" s="7">
        <v>5</v>
      </c>
      <c r="I12" s="6">
        <v>0.65800000000000003</v>
      </c>
      <c r="L12" s="9">
        <v>5</v>
      </c>
      <c r="M12" s="8">
        <f t="shared" ref="M12:M20" si="0">AVERAGE(C12,F12,I12)</f>
        <v>0.67233333333333334</v>
      </c>
      <c r="N12" s="6">
        <f t="shared" ref="N12:N20" si="1">_xlfn.STDEV.P(C12,F12,I12)</f>
        <v>1.4974051630144095E-2</v>
      </c>
    </row>
    <row r="13" spans="1:14" x14ac:dyDescent="0.35">
      <c r="B13" s="7">
        <v>2.5</v>
      </c>
      <c r="C13" s="6">
        <v>0.34799999999999998</v>
      </c>
      <c r="E13" s="7">
        <v>2.5</v>
      </c>
      <c r="F13" s="6">
        <v>0.34799999999999998</v>
      </c>
      <c r="H13" s="7">
        <v>2.5</v>
      </c>
      <c r="I13" s="6">
        <v>0.33200000000000002</v>
      </c>
      <c r="L13" s="9">
        <v>2.5</v>
      </c>
      <c r="M13" s="8">
        <f t="shared" si="0"/>
        <v>0.34266666666666667</v>
      </c>
      <c r="N13" s="6">
        <f t="shared" si="1"/>
        <v>7.5424723326564871E-3</v>
      </c>
    </row>
    <row r="14" spans="1:14" x14ac:dyDescent="0.35">
      <c r="B14" s="7">
        <v>1.25</v>
      </c>
      <c r="C14" s="6">
        <v>0.16500000000000001</v>
      </c>
      <c r="E14" s="7">
        <v>1.25</v>
      </c>
      <c r="F14" s="6">
        <v>0.16900000000000001</v>
      </c>
      <c r="H14" s="7">
        <v>1.25</v>
      </c>
      <c r="I14" s="6">
        <v>0.13800000000000001</v>
      </c>
      <c r="L14" s="9">
        <v>1.25</v>
      </c>
      <c r="M14" s="8">
        <f t="shared" si="0"/>
        <v>0.15733333333333335</v>
      </c>
      <c r="N14" s="6">
        <f t="shared" si="1"/>
        <v>1.3767917618708922E-2</v>
      </c>
    </row>
    <row r="15" spans="1:14" x14ac:dyDescent="0.35">
      <c r="B15" s="7">
        <v>0.625</v>
      </c>
      <c r="C15" s="6">
        <v>8.3000000000000004E-2</v>
      </c>
      <c r="E15" s="7">
        <v>0.625</v>
      </c>
      <c r="F15" s="6">
        <v>0.08</v>
      </c>
      <c r="H15" s="7">
        <v>0.625</v>
      </c>
      <c r="I15" s="6">
        <v>0.08</v>
      </c>
      <c r="L15" s="9">
        <v>0.625</v>
      </c>
      <c r="M15" s="8">
        <f t="shared" si="0"/>
        <v>8.1000000000000003E-2</v>
      </c>
      <c r="N15" s="6">
        <f t="shared" si="1"/>
        <v>1.4142135623730965E-3</v>
      </c>
    </row>
    <row r="16" spans="1:14" x14ac:dyDescent="0.35">
      <c r="B16" s="7">
        <f>0.625/2</f>
        <v>0.3125</v>
      </c>
      <c r="C16" s="6">
        <v>3.1E-2</v>
      </c>
      <c r="E16" s="7">
        <f>0.625/2</f>
        <v>0.3125</v>
      </c>
      <c r="F16" s="6">
        <v>3.7999999999999999E-2</v>
      </c>
      <c r="H16" s="7">
        <f>0.625/2</f>
        <v>0.3125</v>
      </c>
      <c r="I16" s="6">
        <v>5.3999999999999999E-2</v>
      </c>
      <c r="L16" s="9">
        <f>0.625/2</f>
        <v>0.3125</v>
      </c>
      <c r="M16" s="8">
        <f t="shared" si="0"/>
        <v>4.1000000000000002E-2</v>
      </c>
      <c r="N16" s="6">
        <f t="shared" si="1"/>
        <v>9.626352718795755E-3</v>
      </c>
    </row>
    <row r="17" spans="2:14" x14ac:dyDescent="0.35">
      <c r="B17" s="7">
        <f>B16/2</f>
        <v>0.15625</v>
      </c>
      <c r="C17" s="6">
        <v>3.5999999999999997E-2</v>
      </c>
      <c r="E17" s="7">
        <f>E16/2</f>
        <v>0.15625</v>
      </c>
      <c r="F17" s="6">
        <v>8.9999999999999993E-3</v>
      </c>
      <c r="H17" s="7">
        <f>H16/2</f>
        <v>0.15625</v>
      </c>
      <c r="I17" s="6">
        <v>1.4999999999999999E-2</v>
      </c>
      <c r="L17" s="9">
        <f>L16/2</f>
        <v>0.15625</v>
      </c>
      <c r="M17" s="8">
        <f t="shared" si="0"/>
        <v>0.02</v>
      </c>
      <c r="N17" s="6">
        <f t="shared" si="1"/>
        <v>1.1575836902790224E-2</v>
      </c>
    </row>
    <row r="18" spans="2:14" x14ac:dyDescent="0.35">
      <c r="B18" s="7">
        <f>B17/2</f>
        <v>7.8125E-2</v>
      </c>
      <c r="C18" s="6">
        <v>1.4E-2</v>
      </c>
      <c r="E18" s="7">
        <f>E17/2</f>
        <v>7.8125E-2</v>
      </c>
      <c r="F18" s="6">
        <v>-2E-3</v>
      </c>
      <c r="H18" s="7">
        <f>H17/2</f>
        <v>7.8125E-2</v>
      </c>
      <c r="I18" s="6">
        <v>7.0000000000000001E-3</v>
      </c>
      <c r="L18" s="9">
        <f>L17/2</f>
        <v>7.8125E-2</v>
      </c>
      <c r="M18" s="8">
        <f t="shared" si="0"/>
        <v>6.3333333333333332E-3</v>
      </c>
      <c r="N18" s="6">
        <f t="shared" si="1"/>
        <v>6.5489609014628336E-3</v>
      </c>
    </row>
    <row r="19" spans="2:14" x14ac:dyDescent="0.35">
      <c r="B19" s="7">
        <f>B18/2</f>
        <v>3.90625E-2</v>
      </c>
      <c r="C19" s="6">
        <v>7.0000000000000007E-2</v>
      </c>
      <c r="E19" s="7">
        <f>E18/2</f>
        <v>3.90625E-2</v>
      </c>
      <c r="F19" s="6">
        <v>-7.0000000000000001E-3</v>
      </c>
      <c r="H19" s="7">
        <f>H18/2</f>
        <v>3.90625E-2</v>
      </c>
      <c r="I19" s="6">
        <v>5.0000000000000001E-3</v>
      </c>
      <c r="L19" s="9">
        <f>L18/2</f>
        <v>3.90625E-2</v>
      </c>
      <c r="M19" s="8">
        <f t="shared" si="0"/>
        <v>2.2666666666666668E-2</v>
      </c>
      <c r="N19" s="6">
        <f t="shared" si="1"/>
        <v>3.3826353959926309E-2</v>
      </c>
    </row>
    <row r="20" spans="2:14" x14ac:dyDescent="0.35">
      <c r="B20" s="7">
        <f>B19/2</f>
        <v>1.953125E-2</v>
      </c>
      <c r="C20" s="6">
        <v>1E-3</v>
      </c>
      <c r="E20" s="7">
        <f>E19/2</f>
        <v>1.953125E-2</v>
      </c>
      <c r="F20" s="6">
        <v>-1.2E-2</v>
      </c>
      <c r="H20" s="7">
        <f>H19/2</f>
        <v>1.953125E-2</v>
      </c>
      <c r="I20" s="6">
        <v>8.9999999999999993E-3</v>
      </c>
      <c r="L20" s="9">
        <f>L19/2</f>
        <v>1.953125E-2</v>
      </c>
      <c r="M20" s="8">
        <f t="shared" si="0"/>
        <v>-6.6666666666666664E-4</v>
      </c>
      <c r="N20" s="6">
        <f t="shared" si="1"/>
        <v>8.653836657164779E-3</v>
      </c>
    </row>
    <row r="24" spans="2:14" x14ac:dyDescent="0.35">
      <c r="L24" t="s">
        <v>16</v>
      </c>
    </row>
    <row r="25" spans="2:14" x14ac:dyDescent="0.35">
      <c r="L25" t="s">
        <v>17</v>
      </c>
      <c r="M25" t="s">
        <v>18</v>
      </c>
      <c r="N25" t="s">
        <v>19</v>
      </c>
    </row>
    <row r="26" spans="2:14" x14ac:dyDescent="0.35">
      <c r="L26" cm="1">
        <f t="array" ref="L26:M26">LINEST(M32:M40,L32:L40)</f>
        <v>0.26636492622740687</v>
      </c>
      <c r="M26">
        <v>1.8135538261997375E-2</v>
      </c>
      <c r="N26">
        <f>1-(STEYX(M32:M40,L32:L40))^2</f>
        <v>0.99977484526713334</v>
      </c>
    </row>
    <row r="29" spans="2:14" x14ac:dyDescent="0.35">
      <c r="B29" s="34" t="s">
        <v>8</v>
      </c>
      <c r="C29" s="34"/>
      <c r="E29" s="34" t="s">
        <v>9</v>
      </c>
      <c r="F29" s="34"/>
      <c r="H29" s="34" t="s">
        <v>10</v>
      </c>
      <c r="I29" s="34"/>
      <c r="M29" t="s">
        <v>11</v>
      </c>
      <c r="N29" s="11" t="s">
        <v>12</v>
      </c>
    </row>
    <row r="30" spans="2:14" x14ac:dyDescent="0.35">
      <c r="B30" s="6" t="s">
        <v>13</v>
      </c>
      <c r="C30" s="6" t="s">
        <v>14</v>
      </c>
      <c r="E30" s="6" t="s">
        <v>13</v>
      </c>
      <c r="F30" s="6" t="s">
        <v>14</v>
      </c>
      <c r="H30" s="6" t="s">
        <v>13</v>
      </c>
      <c r="I30" s="6" t="s">
        <v>14</v>
      </c>
      <c r="L30" s="8" t="s">
        <v>13</v>
      </c>
      <c r="M30" s="8" t="s">
        <v>15</v>
      </c>
    </row>
    <row r="31" spans="2:14" x14ac:dyDescent="0.35">
      <c r="B31" s="7">
        <v>10</v>
      </c>
      <c r="C31" s="6">
        <v>2.0870000000000002</v>
      </c>
      <c r="E31" s="7">
        <v>10</v>
      </c>
      <c r="F31" s="6">
        <v>2.1139999999999999</v>
      </c>
      <c r="H31" s="7">
        <v>10</v>
      </c>
      <c r="I31" s="6">
        <v>2.1619999999999999</v>
      </c>
      <c r="L31" s="9">
        <v>10</v>
      </c>
      <c r="M31" s="8">
        <f>AVERAGE(C31,F31,I31)</f>
        <v>2.121</v>
      </c>
      <c r="N31" s="7">
        <f>_xlfn.STDEV.P(C31,F31,I31)</f>
        <v>3.1016124838541551E-2</v>
      </c>
    </row>
    <row r="32" spans="2:14" x14ac:dyDescent="0.35">
      <c r="B32" s="7">
        <v>5</v>
      </c>
      <c r="C32" s="6">
        <v>1.321</v>
      </c>
      <c r="E32" s="7">
        <v>5</v>
      </c>
      <c r="F32" s="6">
        <v>1.351</v>
      </c>
      <c r="H32" s="7">
        <v>5</v>
      </c>
      <c r="I32" s="6">
        <v>1.337</v>
      </c>
      <c r="L32" s="9">
        <v>5</v>
      </c>
      <c r="M32" s="8">
        <f t="shared" ref="M32:M40" si="2">AVERAGE(C32,F32,I32)</f>
        <v>1.3363333333333332</v>
      </c>
      <c r="N32" s="7">
        <f t="shared" ref="N32:N40" si="3">_xlfn.STDEV.P(C32,F32,I32)</f>
        <v>1.2256517540566834E-2</v>
      </c>
    </row>
    <row r="33" spans="2:14" x14ac:dyDescent="0.35">
      <c r="B33" s="7">
        <v>2.5</v>
      </c>
      <c r="C33" s="6">
        <v>0.629</v>
      </c>
      <c r="E33" s="7">
        <v>2.5</v>
      </c>
      <c r="F33" s="6">
        <v>0.72799999999999998</v>
      </c>
      <c r="H33" s="7">
        <v>2.5</v>
      </c>
      <c r="I33" s="6">
        <v>0.73699999999999999</v>
      </c>
      <c r="L33" s="9">
        <v>2.5</v>
      </c>
      <c r="M33" s="8">
        <f t="shared" si="2"/>
        <v>0.69799999999999995</v>
      </c>
      <c r="N33" s="7">
        <f t="shared" si="3"/>
        <v>4.8928519290900259E-2</v>
      </c>
    </row>
    <row r="34" spans="2:14" x14ac:dyDescent="0.35">
      <c r="B34" s="7">
        <v>1.25</v>
      </c>
      <c r="C34" s="6">
        <v>0.375</v>
      </c>
      <c r="E34" s="7">
        <v>1.25</v>
      </c>
      <c r="F34" s="6">
        <v>0.36799999999999999</v>
      </c>
      <c r="H34" s="7">
        <v>1.25</v>
      </c>
      <c r="I34" s="6">
        <v>0.38</v>
      </c>
      <c r="L34" s="9">
        <v>1.25</v>
      </c>
      <c r="M34" s="8">
        <f t="shared" si="2"/>
        <v>0.37433333333333335</v>
      </c>
      <c r="N34" s="7">
        <f t="shared" si="3"/>
        <v>4.9216076867444709E-3</v>
      </c>
    </row>
    <row r="35" spans="2:14" x14ac:dyDescent="0.35">
      <c r="B35" s="7">
        <v>0.625</v>
      </c>
      <c r="C35" s="6">
        <v>0.193</v>
      </c>
      <c r="E35" s="7">
        <v>0.625</v>
      </c>
      <c r="F35" s="6">
        <v>0.19900000000000001</v>
      </c>
      <c r="H35" s="7">
        <v>0.625</v>
      </c>
      <c r="I35" s="6">
        <v>0.189</v>
      </c>
      <c r="L35" s="9">
        <v>0.625</v>
      </c>
      <c r="M35" s="8">
        <f t="shared" si="2"/>
        <v>0.19366666666666665</v>
      </c>
      <c r="N35" s="7">
        <f t="shared" si="3"/>
        <v>4.1096093353126546E-3</v>
      </c>
    </row>
    <row r="36" spans="2:14" x14ac:dyDescent="0.35">
      <c r="B36" s="7">
        <f>0.625/2</f>
        <v>0.3125</v>
      </c>
      <c r="C36" s="6">
        <v>0.11600000000000001</v>
      </c>
      <c r="E36" s="7">
        <f>0.625/2</f>
        <v>0.3125</v>
      </c>
      <c r="F36" s="6">
        <v>9.6000000000000002E-2</v>
      </c>
      <c r="H36" s="7">
        <f>0.625/2</f>
        <v>0.3125</v>
      </c>
      <c r="I36" s="6">
        <v>0.1</v>
      </c>
      <c r="L36" s="9">
        <f>0.625/2</f>
        <v>0.3125</v>
      </c>
      <c r="M36" s="8">
        <f t="shared" si="2"/>
        <v>0.10400000000000002</v>
      </c>
      <c r="N36" s="7">
        <f t="shared" si="3"/>
        <v>8.6409875978771481E-3</v>
      </c>
    </row>
    <row r="37" spans="2:14" x14ac:dyDescent="0.35">
      <c r="B37" s="7">
        <f>B36/2</f>
        <v>0.15625</v>
      </c>
      <c r="C37" s="6">
        <v>5.2999999999999999E-2</v>
      </c>
      <c r="E37" s="7">
        <f>E36/2</f>
        <v>0.15625</v>
      </c>
      <c r="F37" s="6">
        <v>5.6000000000000001E-2</v>
      </c>
      <c r="H37" s="7">
        <f>H36/2</f>
        <v>0.15625</v>
      </c>
      <c r="I37" s="6">
        <v>5.2999999999999999E-2</v>
      </c>
      <c r="L37" s="9">
        <f>L36/2</f>
        <v>0.15625</v>
      </c>
      <c r="M37" s="8">
        <f t="shared" si="2"/>
        <v>5.3999999999999999E-2</v>
      </c>
      <c r="N37" s="7">
        <f t="shared" si="3"/>
        <v>1.4142135623730965E-3</v>
      </c>
    </row>
    <row r="38" spans="2:14" x14ac:dyDescent="0.35">
      <c r="B38" s="7">
        <f>B37/2</f>
        <v>7.8125E-2</v>
      </c>
      <c r="C38" s="6">
        <v>2.4E-2</v>
      </c>
      <c r="E38" s="7">
        <f>E37/2</f>
        <v>7.8125E-2</v>
      </c>
      <c r="F38" s="6">
        <v>2.5999999999999999E-2</v>
      </c>
      <c r="H38" s="7">
        <f>H37/2</f>
        <v>7.8125E-2</v>
      </c>
      <c r="I38" s="6">
        <v>2.3E-2</v>
      </c>
      <c r="L38" s="9">
        <f>L37/2</f>
        <v>7.8125E-2</v>
      </c>
      <c r="M38" s="8">
        <f t="shared" si="2"/>
        <v>2.4333333333333335E-2</v>
      </c>
      <c r="N38" s="7">
        <f t="shared" si="3"/>
        <v>1.2472191289246467E-3</v>
      </c>
    </row>
    <row r="39" spans="2:14" x14ac:dyDescent="0.35">
      <c r="B39" s="7">
        <f>B38/2</f>
        <v>3.90625E-2</v>
      </c>
      <c r="C39" s="6">
        <v>1.4999999999999999E-2</v>
      </c>
      <c r="E39" s="7">
        <f>E38/2</f>
        <v>3.90625E-2</v>
      </c>
      <c r="F39" s="6">
        <v>2.4E-2</v>
      </c>
      <c r="H39" s="7">
        <f>H38/2</f>
        <v>3.90625E-2</v>
      </c>
      <c r="I39" s="6">
        <v>5.5E-2</v>
      </c>
      <c r="L39" s="9">
        <f>L38/2</f>
        <v>3.90625E-2</v>
      </c>
      <c r="M39" s="8">
        <f t="shared" si="2"/>
        <v>3.1333333333333331E-2</v>
      </c>
      <c r="N39" s="7">
        <f t="shared" si="3"/>
        <v>1.7133463034528531E-2</v>
      </c>
    </row>
    <row r="40" spans="2:14" x14ac:dyDescent="0.35">
      <c r="B40" s="7">
        <f>B39/2</f>
        <v>1.953125E-2</v>
      </c>
      <c r="C40" s="6">
        <v>8.0000000000000002E-3</v>
      </c>
      <c r="E40" s="7">
        <f>E39/2</f>
        <v>1.953125E-2</v>
      </c>
      <c r="F40" s="6">
        <v>3.0000000000000001E-3</v>
      </c>
      <c r="H40" s="7">
        <f>H39/2</f>
        <v>1.953125E-2</v>
      </c>
      <c r="I40" s="6">
        <v>6.0000000000000001E-3</v>
      </c>
      <c r="L40" s="9">
        <f>L39/2</f>
        <v>1.953125E-2</v>
      </c>
      <c r="M40" s="8">
        <f t="shared" si="2"/>
        <v>5.6666666666666671E-3</v>
      </c>
      <c r="N40" s="7">
        <f t="shared" si="3"/>
        <v>2.0548046676563255E-3</v>
      </c>
    </row>
  </sheetData>
  <mergeCells count="6">
    <mergeCell ref="B9:C9"/>
    <mergeCell ref="E9:F9"/>
    <mergeCell ref="H9:I9"/>
    <mergeCell ref="B29:C29"/>
    <mergeCell ref="E29:F29"/>
    <mergeCell ref="H29:I29"/>
  </mergeCells>
  <pageMargins left="0.7" right="0.7" top="0.75" bottom="0.75" header="0.3" footer="0.3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C1AE-46BC-45D7-8448-0BDC8E26BA45}">
  <dimension ref="A1:K128"/>
  <sheetViews>
    <sheetView topLeftCell="A36" zoomScale="110" zoomScaleNormal="110" workbookViewId="0">
      <selection activeCell="F52" sqref="F52:F63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44635.354166666664</v>
      </c>
      <c r="B10" s="15">
        <f>0*24+1</f>
        <v>1</v>
      </c>
      <c r="C10" s="21">
        <f>89*20*100</f>
        <v>178000</v>
      </c>
      <c r="D10" s="28"/>
      <c r="E10" s="16">
        <v>-0.02</v>
      </c>
      <c r="F10" s="5">
        <v>5.85</v>
      </c>
      <c r="H10" s="15">
        <f>LOG(C10)</f>
        <v>5.2504200023088936</v>
      </c>
    </row>
    <row r="11" spans="1:11" x14ac:dyDescent="0.35">
      <c r="A11" s="14">
        <v>44635.447916666664</v>
      </c>
      <c r="B11" s="15">
        <f>(A11-$A$10)*24+1</f>
        <v>3.25</v>
      </c>
      <c r="C11" s="29"/>
      <c r="D11" s="28"/>
      <c r="E11" s="5">
        <v>4.0000000000000001E-3</v>
      </c>
      <c r="F11" s="5">
        <v>5.85</v>
      </c>
      <c r="H11" s="28"/>
    </row>
    <row r="12" spans="1:11" x14ac:dyDescent="0.35">
      <c r="A12" s="14">
        <v>44635.5625</v>
      </c>
      <c r="B12" s="15">
        <f>(A12-$A$10)*24+1</f>
        <v>6.0000000000582077</v>
      </c>
      <c r="C12" s="29"/>
      <c r="D12" s="28"/>
      <c r="E12" s="5">
        <v>4.0000000000000001E-3</v>
      </c>
      <c r="F12" s="5">
        <v>5.85</v>
      </c>
      <c r="H12" s="28"/>
    </row>
    <row r="13" spans="1:11" x14ac:dyDescent="0.35">
      <c r="A13" s="14">
        <v>44635.6875</v>
      </c>
      <c r="B13" s="15">
        <f t="shared" ref="B13:B21" si="0">(A13-$A$10)*24+1</f>
        <v>9.0000000000582077</v>
      </c>
      <c r="C13" s="29"/>
      <c r="D13" s="28"/>
      <c r="E13" s="5">
        <v>3.0000000000000001E-3</v>
      </c>
      <c r="F13" s="5">
        <v>5.79</v>
      </c>
      <c r="H13" s="28"/>
    </row>
    <row r="14" spans="1:11" x14ac:dyDescent="0.35">
      <c r="A14" s="14">
        <v>44635.8125</v>
      </c>
      <c r="B14" s="15">
        <f t="shared" si="0"/>
        <v>12.000000000058208</v>
      </c>
      <c r="C14" s="21">
        <f>38*20*10^4</f>
        <v>7600000</v>
      </c>
      <c r="D14" s="28"/>
      <c r="E14" s="5">
        <v>2.4E-2</v>
      </c>
      <c r="F14" s="5">
        <v>5.71</v>
      </c>
      <c r="H14" s="15">
        <f>LOG(C14)</f>
        <v>6.8808135922807914</v>
      </c>
    </row>
    <row r="15" spans="1:11" x14ac:dyDescent="0.35">
      <c r="A15" s="14">
        <v>44636.329861111109</v>
      </c>
      <c r="B15" s="15">
        <f t="shared" si="0"/>
        <v>24.416666666686069</v>
      </c>
      <c r="C15" s="21">
        <f>79*20*100000</f>
        <v>158000000</v>
      </c>
      <c r="D15" s="28"/>
      <c r="E15" s="5">
        <v>0.59499999999999997</v>
      </c>
      <c r="F15" s="5">
        <v>4.2300000000000004</v>
      </c>
      <c r="H15" s="15">
        <f>LOG(C15)</f>
        <v>8.1986570869544231</v>
      </c>
    </row>
    <row r="16" spans="1:11" x14ac:dyDescent="0.35">
      <c r="A16" s="14">
        <v>44636.447916666664</v>
      </c>
      <c r="B16" s="15">
        <f t="shared" si="0"/>
        <v>27.25</v>
      </c>
      <c r="C16" s="29"/>
      <c r="D16" s="28"/>
      <c r="E16" s="5">
        <v>0.65400000000000003</v>
      </c>
      <c r="F16" s="5">
        <v>4.1399999999999997</v>
      </c>
      <c r="H16" s="28"/>
    </row>
    <row r="17" spans="1:11" x14ac:dyDescent="0.35">
      <c r="A17" s="14">
        <v>44636.5625</v>
      </c>
      <c r="B17" s="15">
        <f t="shared" si="0"/>
        <v>30.000000000058208</v>
      </c>
      <c r="C17" s="29"/>
      <c r="D17" s="28"/>
      <c r="E17" s="5">
        <v>0.73699999999999999</v>
      </c>
      <c r="F17" s="5">
        <v>4.05</v>
      </c>
      <c r="H17" s="28"/>
    </row>
    <row r="18" spans="1:11" x14ac:dyDescent="0.35">
      <c r="A18" s="14">
        <v>44636.6875</v>
      </c>
      <c r="B18" s="15">
        <f t="shared" si="0"/>
        <v>33.000000000058208</v>
      </c>
      <c r="C18" s="29"/>
      <c r="D18" s="28"/>
      <c r="E18" s="5">
        <v>0.83899999999999997</v>
      </c>
      <c r="F18" s="5">
        <v>4.01</v>
      </c>
      <c r="H18" s="28"/>
    </row>
    <row r="19" spans="1:11" x14ac:dyDescent="0.35">
      <c r="A19" s="14">
        <v>44636.805555555555</v>
      </c>
      <c r="B19" s="15">
        <f t="shared" si="0"/>
        <v>35.833333333372138</v>
      </c>
      <c r="C19" s="5">
        <f>53*20*100000</f>
        <v>106000000</v>
      </c>
      <c r="D19" s="28"/>
      <c r="E19" s="5">
        <v>0.99199999999999999</v>
      </c>
      <c r="F19" s="5">
        <v>3.97</v>
      </c>
      <c r="H19" s="15">
        <f>LOG(C19)</f>
        <v>8.0253058652647695</v>
      </c>
    </row>
    <row r="20" spans="1:11" x14ac:dyDescent="0.35">
      <c r="A20" s="14">
        <v>44637.333333333336</v>
      </c>
      <c r="B20" s="15">
        <f t="shared" si="0"/>
        <v>48.500000000116415</v>
      </c>
      <c r="C20" s="21">
        <f>56*20*100000</f>
        <v>112000000</v>
      </c>
      <c r="D20" s="28"/>
      <c r="E20" s="5">
        <v>1.177</v>
      </c>
      <c r="F20" s="5">
        <v>3.71</v>
      </c>
      <c r="H20" s="15">
        <f>LOG(C20)</f>
        <v>8.0492180226701819</v>
      </c>
    </row>
    <row r="21" spans="1:11" x14ac:dyDescent="0.35">
      <c r="A21" s="14">
        <v>44637.5625</v>
      </c>
      <c r="B21" s="15">
        <f t="shared" si="0"/>
        <v>54.000000000058208</v>
      </c>
      <c r="C21" s="21">
        <f>43*20*100000</f>
        <v>86000000</v>
      </c>
      <c r="D21" s="28"/>
      <c r="E21" s="5">
        <v>1.2669999999999999</v>
      </c>
      <c r="F21" s="5">
        <v>3.72</v>
      </c>
      <c r="H21" s="15">
        <f>LOG(C21)</f>
        <v>7.9344984512435675</v>
      </c>
    </row>
    <row r="22" spans="1:11" x14ac:dyDescent="0.35">
      <c r="B22" s="5"/>
      <c r="C22" s="5"/>
    </row>
    <row r="23" spans="1:11" x14ac:dyDescent="0.35">
      <c r="B23" s="5"/>
      <c r="C23" s="5"/>
      <c r="E23" t="s">
        <v>31</v>
      </c>
      <c r="F23">
        <f>MIN(F10:F21)</f>
        <v>3.71</v>
      </c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44635.354166666664</v>
      </c>
      <c r="B32" s="15">
        <f>0*24+1</f>
        <v>1</v>
      </c>
      <c r="C32" s="21">
        <f>3*20*100</f>
        <v>6000</v>
      </c>
      <c r="D32" s="28"/>
      <c r="E32" s="16">
        <v>-0.01</v>
      </c>
      <c r="F32" s="5">
        <v>5.85</v>
      </c>
      <c r="H32" s="15">
        <f>LOG(C32)</f>
        <v>3.7781512503836434</v>
      </c>
      <c r="I32" s="5"/>
      <c r="J32" s="5"/>
      <c r="K32" s="5"/>
    </row>
    <row r="33" spans="1:11" x14ac:dyDescent="0.35">
      <c r="A33" s="14">
        <v>44635.447916666664</v>
      </c>
      <c r="B33" s="15">
        <f>(A33-$A$32)*24+1</f>
        <v>3.25</v>
      </c>
      <c r="C33" s="29"/>
      <c r="D33" s="28"/>
      <c r="E33" s="16">
        <v>0.02</v>
      </c>
      <c r="F33" s="5">
        <v>5.86</v>
      </c>
      <c r="H33" s="29"/>
      <c r="I33" s="5"/>
      <c r="J33" s="5"/>
      <c r="K33" s="5"/>
    </row>
    <row r="34" spans="1:11" x14ac:dyDescent="0.35">
      <c r="A34" s="14">
        <v>44635.5625</v>
      </c>
      <c r="B34" s="15">
        <f t="shared" ref="B34:B43" si="1">(A34-$A$32)*24+1</f>
        <v>6.0000000000582077</v>
      </c>
      <c r="C34" s="29"/>
      <c r="D34" s="28"/>
      <c r="E34" s="5">
        <v>-3.7999999999999999E-2</v>
      </c>
      <c r="F34" s="5">
        <v>5.88</v>
      </c>
      <c r="H34" s="29"/>
      <c r="I34" s="5"/>
      <c r="J34" s="5"/>
      <c r="K34" s="5"/>
    </row>
    <row r="35" spans="1:11" x14ac:dyDescent="0.35">
      <c r="A35" s="14">
        <v>44635.6875</v>
      </c>
      <c r="B35" s="15">
        <f t="shared" si="1"/>
        <v>9.0000000000582077</v>
      </c>
      <c r="C35" s="29"/>
      <c r="D35" s="28"/>
      <c r="E35" s="5">
        <v>-5.0000000000000001E-3</v>
      </c>
      <c r="F35" s="5">
        <v>5.87</v>
      </c>
      <c r="H35" s="29"/>
      <c r="I35" s="5"/>
      <c r="J35" s="5"/>
      <c r="K35" s="5"/>
    </row>
    <row r="36" spans="1:11" x14ac:dyDescent="0.35">
      <c r="A36" s="14">
        <v>44635.8125</v>
      </c>
      <c r="B36" s="15">
        <f t="shared" si="1"/>
        <v>12.000000000058208</v>
      </c>
      <c r="C36" s="22" t="s">
        <v>33</v>
      </c>
      <c r="D36" s="28"/>
      <c r="E36" s="5">
        <v>-0.04</v>
      </c>
      <c r="F36" s="5">
        <v>5.87</v>
      </c>
      <c r="H36" s="17" t="e">
        <f>LOG(C36)</f>
        <v>#VALUE!</v>
      </c>
      <c r="I36" s="5"/>
      <c r="J36" s="5"/>
      <c r="K36" s="5"/>
    </row>
    <row r="37" spans="1:11" x14ac:dyDescent="0.35">
      <c r="A37" s="14">
        <v>44636.329861111109</v>
      </c>
      <c r="B37" s="15">
        <f t="shared" si="1"/>
        <v>24.416666666686069</v>
      </c>
      <c r="C37" s="21">
        <f>25000000</f>
        <v>25000000</v>
      </c>
      <c r="D37" s="28"/>
      <c r="E37" s="5">
        <v>1.7000000000000001E-2</v>
      </c>
      <c r="F37" s="5">
        <v>5.62</v>
      </c>
      <c r="H37" s="15">
        <f>LOG(C37)</f>
        <v>7.3979400086720375</v>
      </c>
      <c r="I37" s="5"/>
      <c r="J37" s="5"/>
      <c r="K37" s="5"/>
    </row>
    <row r="38" spans="1:11" x14ac:dyDescent="0.35">
      <c r="A38" s="14">
        <v>44636.447916666664</v>
      </c>
      <c r="B38" s="15">
        <f t="shared" si="1"/>
        <v>27.25</v>
      </c>
      <c r="C38" s="29"/>
      <c r="D38" s="28"/>
      <c r="E38" s="5">
        <v>9.0999999999999998E-2</v>
      </c>
      <c r="F38" s="5">
        <v>5.28</v>
      </c>
      <c r="H38" s="29"/>
      <c r="I38" s="5"/>
      <c r="J38" s="5"/>
      <c r="K38" s="5"/>
    </row>
    <row r="39" spans="1:11" x14ac:dyDescent="0.35">
      <c r="A39" s="14">
        <v>44636.5625</v>
      </c>
      <c r="B39" s="15">
        <f t="shared" si="1"/>
        <v>30.000000000058208</v>
      </c>
      <c r="C39" s="29"/>
      <c r="D39" s="28"/>
      <c r="E39" s="5">
        <v>0.14499999999999999</v>
      </c>
      <c r="F39" s="5">
        <v>4.83</v>
      </c>
      <c r="H39" s="29"/>
      <c r="I39" s="5"/>
      <c r="J39" s="5"/>
      <c r="K39" s="5"/>
    </row>
    <row r="40" spans="1:11" x14ac:dyDescent="0.35">
      <c r="A40" s="14">
        <v>44636.6875</v>
      </c>
      <c r="B40" s="15">
        <f t="shared" si="1"/>
        <v>33.000000000058208</v>
      </c>
      <c r="C40" s="29"/>
      <c r="D40" s="28"/>
      <c r="E40" s="16">
        <v>0.39600000000000002</v>
      </c>
      <c r="F40" s="15">
        <v>4.33</v>
      </c>
      <c r="H40" s="29"/>
      <c r="I40" s="5"/>
      <c r="J40" s="5"/>
      <c r="K40" s="5"/>
    </row>
    <row r="41" spans="1:11" x14ac:dyDescent="0.35">
      <c r="A41" s="14">
        <v>44636.805555555555</v>
      </c>
      <c r="B41" s="15">
        <f t="shared" si="1"/>
        <v>35.833333333372138</v>
      </c>
      <c r="C41" s="21">
        <f>187*20*100000</f>
        <v>374000000</v>
      </c>
      <c r="D41" s="28"/>
      <c r="E41" s="5">
        <v>0.624</v>
      </c>
      <c r="F41" s="5">
        <v>4.1100000000000003</v>
      </c>
      <c r="H41" s="15">
        <f>LOG(C41)</f>
        <v>8.5728716022004807</v>
      </c>
      <c r="I41" s="5"/>
      <c r="J41" s="5"/>
      <c r="K41" s="5"/>
    </row>
    <row r="42" spans="1:11" x14ac:dyDescent="0.35">
      <c r="A42" s="14">
        <v>44637.333333333336</v>
      </c>
      <c r="B42" s="15">
        <f t="shared" si="1"/>
        <v>48.500000000116415</v>
      </c>
      <c r="C42" s="21">
        <f>145*20*100000</f>
        <v>290000000</v>
      </c>
      <c r="D42" s="28"/>
      <c r="E42" s="5">
        <v>1.0780000000000001</v>
      </c>
      <c r="F42" s="15">
        <v>3.71</v>
      </c>
      <c r="H42" s="15">
        <f>LOG(C42)</f>
        <v>8.4623979978989556</v>
      </c>
      <c r="I42" s="5"/>
      <c r="J42" s="5"/>
      <c r="K42" s="5"/>
    </row>
    <row r="43" spans="1:11" x14ac:dyDescent="0.35">
      <c r="A43" s="14">
        <v>44637.5625</v>
      </c>
      <c r="B43" s="15">
        <f t="shared" si="1"/>
        <v>54.000000000058208</v>
      </c>
      <c r="C43" s="21">
        <f>48*20*100000</f>
        <v>96000000</v>
      </c>
      <c r="D43" s="28"/>
      <c r="E43" s="5">
        <v>1.2490000000000001</v>
      </c>
      <c r="F43" s="5">
        <v>3.66</v>
      </c>
      <c r="H43" s="15">
        <f>LOG(C43)</f>
        <v>7.982271233039568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E45" t="s">
        <v>31</v>
      </c>
      <c r="F45">
        <f>MIN(F32:F43)</f>
        <v>3.66</v>
      </c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44635.354166666664</v>
      </c>
      <c r="B52" s="15">
        <f>0*24+1</f>
        <v>1</v>
      </c>
      <c r="C52" s="29"/>
      <c r="D52" s="21">
        <f>21*20*10</f>
        <v>4200</v>
      </c>
      <c r="E52" s="5">
        <v>-4.8000000000000001E-2</v>
      </c>
      <c r="F52" s="5">
        <v>5.84</v>
      </c>
      <c r="H52" s="15">
        <f>LOG(D52)</f>
        <v>3.6232492903979003</v>
      </c>
    </row>
    <row r="53" spans="1:11" x14ac:dyDescent="0.35">
      <c r="A53" s="14">
        <v>44635.447916666664</v>
      </c>
      <c r="B53" s="15">
        <f>(A53-$A$32)*24+1</f>
        <v>3.25</v>
      </c>
      <c r="C53" s="29"/>
      <c r="D53" s="29"/>
      <c r="E53" s="16">
        <v>0.04</v>
      </c>
      <c r="F53" s="5">
        <v>5.84</v>
      </c>
      <c r="H53" s="29"/>
    </row>
    <row r="54" spans="1:11" x14ac:dyDescent="0.35">
      <c r="A54" s="14">
        <v>44635.5625</v>
      </c>
      <c r="B54" s="15">
        <f t="shared" ref="B54:B63" si="2">(A54-$A$32)*24+1</f>
        <v>6.0000000000582077</v>
      </c>
      <c r="C54" s="29"/>
      <c r="D54" s="29"/>
      <c r="E54" s="5">
        <v>-4.2000000000000003E-2</v>
      </c>
      <c r="F54" s="5">
        <v>5.87</v>
      </c>
      <c r="H54" s="29"/>
    </row>
    <row r="55" spans="1:11" x14ac:dyDescent="0.35">
      <c r="A55" s="14">
        <v>44635.6875</v>
      </c>
      <c r="B55" s="15">
        <f t="shared" si="2"/>
        <v>9.0000000000582077</v>
      </c>
      <c r="C55" s="29"/>
      <c r="D55" s="29"/>
      <c r="E55" s="5">
        <v>2.5999999999999999E-2</v>
      </c>
      <c r="F55" s="5">
        <v>5.86</v>
      </c>
      <c r="H55" s="29"/>
    </row>
    <row r="56" spans="1:11" x14ac:dyDescent="0.35">
      <c r="A56" s="14">
        <v>44635.8125</v>
      </c>
      <c r="B56" s="15">
        <f t="shared" si="2"/>
        <v>12.000000000058208</v>
      </c>
      <c r="C56" s="29"/>
      <c r="D56" s="21">
        <f>(1.48*10^5+1.12*10^5+1.55*10^5)/3</f>
        <v>138333.33333333334</v>
      </c>
      <c r="E56" s="5">
        <v>-6.0000000000000001E-3</v>
      </c>
      <c r="F56" s="5">
        <v>5.85</v>
      </c>
      <c r="H56" s="15">
        <f>LOG(D56)</f>
        <v>5.1409268419924299</v>
      </c>
    </row>
    <row r="57" spans="1:11" x14ac:dyDescent="0.35">
      <c r="A57" s="14">
        <v>44636.329861111109</v>
      </c>
      <c r="B57" s="15">
        <f t="shared" si="2"/>
        <v>24.416666666686069</v>
      </c>
      <c r="C57" s="29"/>
      <c r="D57" s="21">
        <f>50*20*10000</f>
        <v>10000000</v>
      </c>
      <c r="E57" s="5">
        <v>-1.4E-2</v>
      </c>
      <c r="F57" s="5">
        <v>5.84</v>
      </c>
      <c r="H57" s="15">
        <f>LOG(D57)</f>
        <v>7</v>
      </c>
    </row>
    <row r="58" spans="1:11" x14ac:dyDescent="0.35">
      <c r="A58" s="14">
        <v>44636.447916666664</v>
      </c>
      <c r="B58" s="15">
        <f t="shared" si="2"/>
        <v>27.25</v>
      </c>
      <c r="C58" s="29"/>
      <c r="D58" s="29"/>
      <c r="E58" s="5">
        <v>6.0000000000000001E-3</v>
      </c>
      <c r="F58" s="5">
        <v>5.78</v>
      </c>
      <c r="H58" s="29"/>
    </row>
    <row r="59" spans="1:11" x14ac:dyDescent="0.35">
      <c r="A59" s="14">
        <v>44636.5625</v>
      </c>
      <c r="B59" s="15">
        <f t="shared" si="2"/>
        <v>30.000000000058208</v>
      </c>
      <c r="C59" s="29"/>
      <c r="D59" s="29"/>
      <c r="E59" s="5">
        <v>-1.2E-2</v>
      </c>
      <c r="F59" s="5">
        <v>5.69</v>
      </c>
      <c r="H59" s="29"/>
    </row>
    <row r="60" spans="1:11" x14ac:dyDescent="0.35">
      <c r="A60" s="14">
        <v>44636.6875</v>
      </c>
      <c r="B60" s="15">
        <f t="shared" si="2"/>
        <v>33.000000000058208</v>
      </c>
      <c r="C60" s="29"/>
      <c r="D60" s="29"/>
      <c r="E60" s="5">
        <v>1E-3</v>
      </c>
      <c r="F60" s="5">
        <v>5.43</v>
      </c>
      <c r="H60" s="29"/>
    </row>
    <row r="61" spans="1:11" x14ac:dyDescent="0.35">
      <c r="A61" s="14">
        <v>44636.805555555555</v>
      </c>
      <c r="B61" s="15">
        <f t="shared" si="2"/>
        <v>35.833333333372138</v>
      </c>
      <c r="C61" s="29"/>
      <c r="D61" s="21">
        <f>AVERAGE(21200,321000000,242000000)</f>
        <v>187673733.33333334</v>
      </c>
      <c r="E61" s="5">
        <v>5.5E-2</v>
      </c>
      <c r="F61" s="15">
        <v>5.13</v>
      </c>
      <c r="H61" s="15">
        <f>LOG(D61)</f>
        <v>8.2734034933637854</v>
      </c>
    </row>
    <row r="62" spans="1:11" x14ac:dyDescent="0.35">
      <c r="A62" s="14">
        <v>44637.333333333336</v>
      </c>
      <c r="B62" s="15">
        <f t="shared" si="2"/>
        <v>48.500000000116415</v>
      </c>
      <c r="C62" s="29"/>
      <c r="D62" s="21">
        <f>194*20*100000</f>
        <v>388000000</v>
      </c>
      <c r="E62" s="5">
        <v>0.309</v>
      </c>
      <c r="F62" s="15">
        <v>4.37</v>
      </c>
      <c r="H62" s="15">
        <f>LOG(D62)</f>
        <v>8.5888317255942077</v>
      </c>
    </row>
    <row r="63" spans="1:11" x14ac:dyDescent="0.35">
      <c r="A63" s="14">
        <v>44637.5625</v>
      </c>
      <c r="B63" s="15">
        <f t="shared" si="2"/>
        <v>54.000000000058208</v>
      </c>
      <c r="C63" s="28"/>
      <c r="D63" s="21">
        <f>226*20*100000</f>
        <v>452000000</v>
      </c>
      <c r="E63" s="5">
        <v>0.374</v>
      </c>
      <c r="F63" s="5">
        <v>4.29</v>
      </c>
      <c r="H63" s="15">
        <f>LOG(D63)</f>
        <v>8.6551384348113825</v>
      </c>
    </row>
    <row r="65" spans="1:11" x14ac:dyDescent="0.35">
      <c r="E65" t="s">
        <v>31</v>
      </c>
      <c r="F65">
        <f>MIN(F52:F63)</f>
        <v>4.29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44635.354166666664</v>
      </c>
      <c r="B73" s="15">
        <f>0*24+1</f>
        <v>1</v>
      </c>
      <c r="C73" s="21">
        <f>67*20*100</f>
        <v>134000</v>
      </c>
      <c r="D73" s="21">
        <f>27*20*10</f>
        <v>5400</v>
      </c>
      <c r="E73" s="5">
        <v>7.0000000000000001E-3</v>
      </c>
      <c r="F73" s="5">
        <v>5.88</v>
      </c>
      <c r="H73" s="15">
        <f>LOG(C73)</f>
        <v>5.1271047983648073</v>
      </c>
      <c r="I73" s="15">
        <f>LOG(D73)</f>
        <v>3.7323937598229686</v>
      </c>
    </row>
    <row r="74" spans="1:11" x14ac:dyDescent="0.35">
      <c r="A74" s="14">
        <v>44635.447916666664</v>
      </c>
      <c r="B74" s="15">
        <f>(A74-$A$32)*24+1</f>
        <v>3.25</v>
      </c>
      <c r="C74" s="21">
        <f>213*20*100</f>
        <v>426000</v>
      </c>
      <c r="D74" s="21">
        <f>46*20*10</f>
        <v>9200</v>
      </c>
      <c r="E74" s="5">
        <v>1.6E-2</v>
      </c>
      <c r="F74" s="5">
        <v>5.86</v>
      </c>
      <c r="H74" s="15">
        <f t="shared" ref="H74:H84" si="3">LOG(C74)</f>
        <v>5.6294095991027193</v>
      </c>
      <c r="I74" s="15">
        <f t="shared" ref="I74:I84" si="4">LOG(D74)</f>
        <v>3.9637878273455551</v>
      </c>
    </row>
    <row r="75" spans="1:11" x14ac:dyDescent="0.35">
      <c r="A75" s="14">
        <v>44635.5625</v>
      </c>
      <c r="B75" s="15">
        <f t="shared" ref="B75:B84" si="5">(A75-$A$32)*24+1</f>
        <v>6.0000000000582077</v>
      </c>
      <c r="C75" s="21">
        <f>45*20*10^3</f>
        <v>900000</v>
      </c>
      <c r="D75" s="21">
        <f>94*20*10</f>
        <v>18800</v>
      </c>
      <c r="E75" s="5">
        <v>-3.2000000000000001E-2</v>
      </c>
      <c r="F75" s="5">
        <v>5.86</v>
      </c>
      <c r="H75" s="15">
        <f t="shared" si="3"/>
        <v>5.9542425094393252</v>
      </c>
      <c r="I75" s="15">
        <f t="shared" si="4"/>
        <v>4.2741578492636796</v>
      </c>
    </row>
    <row r="76" spans="1:11" x14ac:dyDescent="0.35">
      <c r="A76" s="14">
        <v>44635.6875</v>
      </c>
      <c r="B76" s="15">
        <f t="shared" si="5"/>
        <v>9.0000000000582077</v>
      </c>
      <c r="C76" s="21">
        <f>167*20*10^3</f>
        <v>3340000</v>
      </c>
      <c r="D76" s="21">
        <f>255*20*10</f>
        <v>51000</v>
      </c>
      <c r="E76" s="5">
        <v>-2E-3</v>
      </c>
      <c r="F76" s="15">
        <v>5.8</v>
      </c>
      <c r="H76" s="15">
        <f t="shared" si="3"/>
        <v>6.5237464668115646</v>
      </c>
      <c r="I76" s="15">
        <f t="shared" si="4"/>
        <v>4.7075701760979367</v>
      </c>
    </row>
    <row r="77" spans="1:11" x14ac:dyDescent="0.35">
      <c r="A77" s="14">
        <v>44635.8125</v>
      </c>
      <c r="B77" s="15">
        <f t="shared" si="5"/>
        <v>12.000000000058208</v>
      </c>
      <c r="C77" s="21">
        <f>38*20*10^4</f>
        <v>7600000</v>
      </c>
      <c r="D77" s="21">
        <f>672*20*10</f>
        <v>134400</v>
      </c>
      <c r="E77" s="5">
        <v>-1.0999999999999999E-2</v>
      </c>
      <c r="F77" s="5">
        <v>5.68</v>
      </c>
      <c r="H77" s="15">
        <f t="shared" si="3"/>
        <v>6.8808135922807914</v>
      </c>
      <c r="I77" s="15">
        <f t="shared" si="4"/>
        <v>5.1283992687178062</v>
      </c>
    </row>
    <row r="78" spans="1:11" x14ac:dyDescent="0.35">
      <c r="A78" s="14">
        <v>44636.329861111109</v>
      </c>
      <c r="B78" s="15">
        <f t="shared" si="5"/>
        <v>24.416666666686069</v>
      </c>
      <c r="C78" s="21">
        <f>65*20*10^5</f>
        <v>130000000</v>
      </c>
      <c r="D78" s="22">
        <f>(166*10^0)/0.5</f>
        <v>332</v>
      </c>
      <c r="E78" s="5">
        <v>0.61899999999999999</v>
      </c>
      <c r="F78" s="5">
        <v>4.1900000000000004</v>
      </c>
      <c r="H78" s="15">
        <f t="shared" si="3"/>
        <v>8.1139433523068369</v>
      </c>
      <c r="I78" s="15">
        <f t="shared" si="4"/>
        <v>2.5211380837040362</v>
      </c>
    </row>
    <row r="79" spans="1:11" x14ac:dyDescent="0.35">
      <c r="A79" s="14">
        <v>44636.447916666664</v>
      </c>
      <c r="B79" s="15">
        <f t="shared" si="5"/>
        <v>27.25</v>
      </c>
      <c r="C79" s="21">
        <f>19*20*10^5</f>
        <v>38000000</v>
      </c>
      <c r="D79" s="22" t="s">
        <v>36</v>
      </c>
      <c r="E79" s="5">
        <v>0.10100000000000001</v>
      </c>
      <c r="F79" s="5">
        <v>5.24</v>
      </c>
      <c r="H79" s="15">
        <f t="shared" si="3"/>
        <v>7.5797835966168101</v>
      </c>
      <c r="I79" s="17" t="e">
        <f t="shared" si="4"/>
        <v>#VALUE!</v>
      </c>
    </row>
    <row r="80" spans="1:11" x14ac:dyDescent="0.35">
      <c r="A80" s="14">
        <v>44636.5625</v>
      </c>
      <c r="B80" s="15">
        <f t="shared" si="5"/>
        <v>30.000000000058208</v>
      </c>
      <c r="C80" s="21">
        <f>62*20*10^5</f>
        <v>124000000</v>
      </c>
      <c r="D80" s="22">
        <f>(391*10^0)/5</f>
        <v>78.2</v>
      </c>
      <c r="E80" s="5">
        <v>0.64900000000000002</v>
      </c>
      <c r="F80" s="5">
        <v>4.01</v>
      </c>
      <c r="H80" s="15">
        <f t="shared" si="3"/>
        <v>8.0934216851622356</v>
      </c>
      <c r="I80" s="15">
        <f t="shared" si="4"/>
        <v>1.893206753059848</v>
      </c>
    </row>
    <row r="81" spans="1:11" x14ac:dyDescent="0.35">
      <c r="A81" s="14">
        <v>44636.6875</v>
      </c>
      <c r="B81" s="15">
        <f t="shared" si="5"/>
        <v>33.000000000058208</v>
      </c>
      <c r="C81" s="21">
        <f>62*20*10^5</f>
        <v>124000000</v>
      </c>
      <c r="D81" s="22">
        <f>(832*10^0)/5</f>
        <v>166.4</v>
      </c>
      <c r="E81" s="5">
        <v>0.871</v>
      </c>
      <c r="F81" s="5">
        <v>4.01</v>
      </c>
      <c r="H81" s="15">
        <f t="shared" si="3"/>
        <v>8.0934216851622356</v>
      </c>
      <c r="I81" s="15">
        <f t="shared" si="4"/>
        <v>2.2211533219547053</v>
      </c>
    </row>
    <row r="82" spans="1:11" x14ac:dyDescent="0.35">
      <c r="A82" s="14">
        <v>44636.805555555555</v>
      </c>
      <c r="B82" s="15">
        <f t="shared" si="5"/>
        <v>35.833333333372138</v>
      </c>
      <c r="C82" s="21">
        <f>63*20*10^5</f>
        <v>126000000</v>
      </c>
      <c r="D82" s="23">
        <f>AVERAGE(148*2,16*2*10)</f>
        <v>308</v>
      </c>
      <c r="E82" s="5">
        <v>0.97399999999999998</v>
      </c>
      <c r="F82" s="5">
        <v>3.95</v>
      </c>
      <c r="H82" s="15">
        <f t="shared" si="3"/>
        <v>8.1003705451175634</v>
      </c>
      <c r="I82" s="15">
        <f t="shared" si="4"/>
        <v>2.4885507165004443</v>
      </c>
    </row>
    <row r="83" spans="1:11" x14ac:dyDescent="0.35">
      <c r="A83" s="14">
        <v>44637.333333333336</v>
      </c>
      <c r="B83" s="15">
        <f t="shared" si="5"/>
        <v>48.500000000116415</v>
      </c>
      <c r="C83" s="21">
        <f>74*20*100000</f>
        <v>148000000</v>
      </c>
      <c r="D83" s="22">
        <f>(80*10^0)/0.5</f>
        <v>160</v>
      </c>
      <c r="E83" s="5">
        <v>1.0469999999999999</v>
      </c>
      <c r="F83" s="5">
        <v>3.68</v>
      </c>
      <c r="H83" s="15">
        <f t="shared" si="3"/>
        <v>8.1702617153949575</v>
      </c>
      <c r="I83" s="15">
        <f t="shared" si="4"/>
        <v>2.2041199826559246</v>
      </c>
    </row>
    <row r="84" spans="1:11" x14ac:dyDescent="0.35">
      <c r="A84" s="14">
        <v>44637.5625</v>
      </c>
      <c r="B84" s="15">
        <f t="shared" si="5"/>
        <v>54.000000000058208</v>
      </c>
      <c r="C84" s="21" t="s">
        <v>33</v>
      </c>
      <c r="D84" s="22">
        <f>(56*10^1)/0.5</f>
        <v>1120</v>
      </c>
      <c r="E84" s="16">
        <v>1.2330000000000001</v>
      </c>
      <c r="F84" s="5">
        <v>3.67</v>
      </c>
      <c r="H84" s="15" t="e">
        <f t="shared" si="3"/>
        <v>#VALUE!</v>
      </c>
      <c r="I84" s="15">
        <f t="shared" si="4"/>
        <v>3.0492180226701815</v>
      </c>
    </row>
    <row r="86" spans="1:11" x14ac:dyDescent="0.35">
      <c r="E86" t="s">
        <v>31</v>
      </c>
      <c r="F86">
        <f>MIN(F73:F84)</f>
        <v>3.67</v>
      </c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44635.354166666664</v>
      </c>
      <c r="B95" s="15">
        <f>0*24+1</f>
        <v>1</v>
      </c>
      <c r="C95" s="21">
        <f>3*20*100</f>
        <v>6000</v>
      </c>
      <c r="D95" s="21">
        <f>27*20*10</f>
        <v>5400</v>
      </c>
      <c r="E95" s="5">
        <v>5.7000000000000002E-2</v>
      </c>
      <c r="F95" s="5">
        <v>5.84</v>
      </c>
      <c r="H95" s="15">
        <f>LOG(C95)</f>
        <v>3.7781512503836434</v>
      </c>
      <c r="I95" s="15">
        <f>LOG(D95)</f>
        <v>3.7323937598229686</v>
      </c>
      <c r="J95" s="5"/>
      <c r="K95" s="5"/>
    </row>
    <row r="96" spans="1:11" x14ac:dyDescent="0.35">
      <c r="A96" s="14">
        <v>44635.447916666664</v>
      </c>
      <c r="B96" s="15">
        <f>(A96-$A$32)*24+1</f>
        <v>3.25</v>
      </c>
      <c r="C96" s="21">
        <f>4*20*100</f>
        <v>8000</v>
      </c>
      <c r="D96" s="21">
        <f>46*20*10</f>
        <v>9200</v>
      </c>
      <c r="E96" s="5">
        <v>1.0999999999999999E-2</v>
      </c>
      <c r="F96" s="5">
        <v>5.86</v>
      </c>
      <c r="H96" s="15">
        <f t="shared" ref="H96:H106" si="6">LOG(C96)</f>
        <v>3.9030899869919438</v>
      </c>
      <c r="I96" s="15">
        <f t="shared" ref="I96:I106" si="7">LOG(D96)</f>
        <v>3.9637878273455551</v>
      </c>
      <c r="J96" s="5"/>
      <c r="K96" s="5"/>
    </row>
    <row r="97" spans="1:11" x14ac:dyDescent="0.35">
      <c r="A97" s="14">
        <v>44635.5625</v>
      </c>
      <c r="B97" s="15">
        <f t="shared" ref="B97:B106" si="8">(A97-$A$32)*24+1</f>
        <v>6.0000000000582077</v>
      </c>
      <c r="C97" s="21">
        <f>3*20*10^3</f>
        <v>60000</v>
      </c>
      <c r="D97" s="21">
        <f>127*20*10</f>
        <v>25400</v>
      </c>
      <c r="E97" s="5">
        <v>-4.1000000000000002E-2</v>
      </c>
      <c r="F97" s="5">
        <v>5.88</v>
      </c>
      <c r="H97" s="15">
        <f t="shared" si="6"/>
        <v>4.7781512503836439</v>
      </c>
      <c r="I97" s="15">
        <f t="shared" si="7"/>
        <v>4.4048337166199385</v>
      </c>
      <c r="J97" s="5"/>
      <c r="K97" s="5"/>
    </row>
    <row r="98" spans="1:11" x14ac:dyDescent="0.35">
      <c r="A98" s="14">
        <v>44635.6875</v>
      </c>
      <c r="B98" s="15">
        <f t="shared" si="8"/>
        <v>9.0000000000582077</v>
      </c>
      <c r="C98" s="21">
        <f>6*20*1000</f>
        <v>120000</v>
      </c>
      <c r="D98" s="21">
        <f>322*10*10</f>
        <v>32200</v>
      </c>
      <c r="E98" s="5">
        <v>5.0000000000000001E-3</v>
      </c>
      <c r="F98" s="5">
        <v>5.87</v>
      </c>
      <c r="H98" s="15">
        <f t="shared" si="6"/>
        <v>5.0791812460476251</v>
      </c>
      <c r="I98" s="15">
        <f t="shared" si="7"/>
        <v>4.5078558716958312</v>
      </c>
      <c r="J98" s="5"/>
      <c r="K98" s="5"/>
    </row>
    <row r="99" spans="1:11" x14ac:dyDescent="0.35">
      <c r="A99" s="14">
        <v>44635.8125</v>
      </c>
      <c r="B99" s="15">
        <f t="shared" si="8"/>
        <v>12.000000000058208</v>
      </c>
      <c r="C99" s="22" t="s">
        <v>33</v>
      </c>
      <c r="D99" s="21">
        <f>73000</f>
        <v>73000</v>
      </c>
      <c r="E99" s="5">
        <v>-1.9E-2</v>
      </c>
      <c r="F99" s="5">
        <v>5.81</v>
      </c>
      <c r="H99" s="17" t="e">
        <f t="shared" si="6"/>
        <v>#VALUE!</v>
      </c>
      <c r="I99" s="15">
        <f t="shared" si="7"/>
        <v>4.8633228601204559</v>
      </c>
      <c r="J99" s="5"/>
      <c r="K99" s="5"/>
    </row>
    <row r="100" spans="1:11" x14ac:dyDescent="0.35">
      <c r="A100" s="14">
        <v>44636.329861111109</v>
      </c>
      <c r="B100" s="15">
        <f t="shared" si="8"/>
        <v>24.416666666686069</v>
      </c>
      <c r="C100" s="21">
        <f>5*20*100000</f>
        <v>10000000</v>
      </c>
      <c r="D100" s="21">
        <f>AVERAGE(13700000,13300000,11700000)</f>
        <v>12900000</v>
      </c>
      <c r="E100" s="5">
        <v>4.2999999999999997E-2</v>
      </c>
      <c r="F100" s="5">
        <v>5.64</v>
      </c>
      <c r="H100" s="15">
        <f t="shared" si="6"/>
        <v>7</v>
      </c>
      <c r="I100" s="15">
        <f t="shared" si="7"/>
        <v>7.1105897102992488</v>
      </c>
      <c r="J100" s="5"/>
      <c r="K100" s="5"/>
    </row>
    <row r="101" spans="1:11" x14ac:dyDescent="0.35">
      <c r="A101" s="14">
        <v>44636.447916666664</v>
      </c>
      <c r="B101" s="15">
        <f t="shared" si="8"/>
        <v>27.25</v>
      </c>
      <c r="C101" s="21">
        <f>14*20*100000</f>
        <v>28000000</v>
      </c>
      <c r="D101" s="21">
        <f>AVERAGE(19800000,17200000,20000000)</f>
        <v>19000000</v>
      </c>
      <c r="E101" s="5">
        <v>9.5000000000000001E-2</v>
      </c>
      <c r="F101" s="15">
        <v>5.2</v>
      </c>
      <c r="H101" s="15">
        <f t="shared" si="6"/>
        <v>7.4471580313422194</v>
      </c>
      <c r="I101" s="15">
        <f t="shared" si="7"/>
        <v>7.2787536009528289</v>
      </c>
      <c r="J101" s="5"/>
      <c r="K101" s="5"/>
    </row>
    <row r="102" spans="1:11" x14ac:dyDescent="0.35">
      <c r="A102" s="14">
        <v>44636.5625</v>
      </c>
      <c r="B102" s="15">
        <f t="shared" si="8"/>
        <v>30.000000000058208</v>
      </c>
      <c r="C102" s="21">
        <f>42*20*100000</f>
        <v>84000000</v>
      </c>
      <c r="D102" s="21">
        <f>AVERAGE(23900000,20400000,19300000)</f>
        <v>21200000</v>
      </c>
      <c r="E102" s="5">
        <v>0.17799999999999999</v>
      </c>
      <c r="F102" s="15">
        <v>4.74</v>
      </c>
      <c r="H102" s="15">
        <f t="shared" si="6"/>
        <v>7.924279286061882</v>
      </c>
      <c r="I102" s="15">
        <f t="shared" si="7"/>
        <v>7.3263358609287517</v>
      </c>
      <c r="J102" s="5"/>
      <c r="K102" s="5"/>
    </row>
    <row r="103" spans="1:11" x14ac:dyDescent="0.35">
      <c r="A103" s="14">
        <v>44636.6875</v>
      </c>
      <c r="B103" s="15">
        <f t="shared" si="8"/>
        <v>33.000000000058208</v>
      </c>
      <c r="C103" s="21">
        <f>68*20*100000</f>
        <v>136000000</v>
      </c>
      <c r="D103" s="21">
        <f>AVERAGE(30400000,32400000,33700000)</f>
        <v>32166666.666666668</v>
      </c>
      <c r="E103" s="16">
        <v>0.42399999999999999</v>
      </c>
      <c r="F103" s="15">
        <v>4.25</v>
      </c>
      <c r="H103" s="15">
        <f t="shared" si="6"/>
        <v>8.1335389083702179</v>
      </c>
      <c r="I103" s="15">
        <f t="shared" si="7"/>
        <v>7.50740605862413</v>
      </c>
      <c r="J103" s="5"/>
      <c r="K103" s="5"/>
    </row>
    <row r="104" spans="1:11" x14ac:dyDescent="0.35">
      <c r="A104" s="14">
        <v>44636.805555555555</v>
      </c>
      <c r="B104" s="15">
        <f t="shared" si="8"/>
        <v>35.833333333372138</v>
      </c>
      <c r="C104" s="21">
        <f>86*20*100000</f>
        <v>172000000</v>
      </c>
      <c r="D104" s="21">
        <f>AVERAGE(22000000,25400000,23700000)</f>
        <v>23700000</v>
      </c>
      <c r="E104" s="5">
        <v>0.628</v>
      </c>
      <c r="F104" s="5">
        <v>4.03</v>
      </c>
      <c r="H104" s="15">
        <f t="shared" si="6"/>
        <v>8.2355284469075496</v>
      </c>
      <c r="I104" s="15">
        <f t="shared" si="7"/>
        <v>7.3747483460101035</v>
      </c>
      <c r="J104" s="5"/>
      <c r="K104" s="5"/>
    </row>
    <row r="105" spans="1:11" x14ac:dyDescent="0.35">
      <c r="A105" s="14">
        <v>44637.333333333336</v>
      </c>
      <c r="B105" s="15">
        <f t="shared" si="8"/>
        <v>48.500000000116415</v>
      </c>
      <c r="C105" s="21">
        <f>74*20*100000</f>
        <v>148000000</v>
      </c>
      <c r="D105" s="21">
        <f>AVERAGE(21900000,17400000,20200000)</f>
        <v>19833333.333333332</v>
      </c>
      <c r="E105" s="16">
        <v>1.472</v>
      </c>
      <c r="F105" s="5">
        <v>3.68</v>
      </c>
      <c r="H105" s="15">
        <f t="shared" si="6"/>
        <v>8.1702617153949575</v>
      </c>
      <c r="I105" s="15">
        <f t="shared" si="7"/>
        <v>7.2973957110088872</v>
      </c>
      <c r="J105" s="5"/>
      <c r="K105" s="5"/>
    </row>
    <row r="106" spans="1:11" x14ac:dyDescent="0.35">
      <c r="A106" s="14">
        <v>44637.5625</v>
      </c>
      <c r="B106" s="15">
        <f t="shared" si="8"/>
        <v>54.000000000058208</v>
      </c>
      <c r="C106" s="22" t="s">
        <v>33</v>
      </c>
      <c r="D106" s="21" t="s">
        <v>38</v>
      </c>
      <c r="E106" s="16">
        <v>1.2909999999999999</v>
      </c>
      <c r="F106" s="5">
        <v>3.65</v>
      </c>
      <c r="H106" s="17" t="e">
        <f t="shared" si="6"/>
        <v>#VALUE!</v>
      </c>
      <c r="I106" s="15" t="e">
        <f t="shared" si="7"/>
        <v>#VALUE!</v>
      </c>
      <c r="J106" s="5"/>
      <c r="K106" s="5"/>
    </row>
    <row r="107" spans="1:11" x14ac:dyDescent="0.35">
      <c r="H107" s="5"/>
      <c r="I107" s="5"/>
      <c r="J107" s="5"/>
      <c r="K107" s="5"/>
    </row>
    <row r="108" spans="1:11" x14ac:dyDescent="0.35">
      <c r="E108" t="s">
        <v>31</v>
      </c>
      <c r="F108">
        <f>MIN(F95:F106)</f>
        <v>3.65</v>
      </c>
    </row>
    <row r="114" spans="1:11" x14ac:dyDescent="0.35">
      <c r="A114" t="s">
        <v>23</v>
      </c>
      <c r="B114" s="5" t="s">
        <v>24</v>
      </c>
      <c r="C114" s="5" t="s">
        <v>25</v>
      </c>
      <c r="D114" s="5" t="s">
        <v>26</v>
      </c>
      <c r="E114" s="5" t="s">
        <v>27</v>
      </c>
      <c r="F114" s="5" t="s">
        <v>28</v>
      </c>
      <c r="G114" s="5"/>
      <c r="H114" s="5" t="s">
        <v>29</v>
      </c>
      <c r="I114" s="5" t="s">
        <v>30</v>
      </c>
      <c r="J114" s="5" t="s">
        <v>13</v>
      </c>
      <c r="K114" s="5" t="s">
        <v>28</v>
      </c>
    </row>
    <row r="115" spans="1:11" x14ac:dyDescent="0.35">
      <c r="A115" s="14">
        <v>44635.354166666664</v>
      </c>
      <c r="B115" s="15">
        <f>0*24+1</f>
        <v>1</v>
      </c>
      <c r="C115" s="21">
        <f>158*20*100</f>
        <v>316000</v>
      </c>
      <c r="D115" s="21">
        <f>21*100</f>
        <v>2100</v>
      </c>
      <c r="E115" s="5">
        <v>-3.2000000000000001E-2</v>
      </c>
      <c r="F115" s="5">
        <v>5.93</v>
      </c>
      <c r="H115" s="15">
        <f>LOG(C115)</f>
        <v>5.4996870826184034</v>
      </c>
      <c r="I115" s="15">
        <f>LOG(D115)</f>
        <v>3.3222192947339191</v>
      </c>
      <c r="J115" s="5"/>
      <c r="K115" s="5"/>
    </row>
    <row r="116" spans="1:11" x14ac:dyDescent="0.35">
      <c r="A116" s="14">
        <v>44635.447916666664</v>
      </c>
      <c r="B116" s="15">
        <f>(A116-$A$32)*24+1</f>
        <v>3.25</v>
      </c>
      <c r="C116" s="21">
        <f>223*20*100</f>
        <v>446000</v>
      </c>
      <c r="D116" s="21">
        <f>78*100</f>
        <v>7800</v>
      </c>
      <c r="E116" s="5">
        <v>-2.8000000000000001E-2</v>
      </c>
      <c r="F116" s="5">
        <v>5.87</v>
      </c>
      <c r="H116" s="15">
        <f t="shared" ref="H116:H126" si="9">LOG(C116)</f>
        <v>5.6493348587121419</v>
      </c>
      <c r="I116" s="15">
        <f t="shared" ref="I116:I126" si="10">LOG(D116)</f>
        <v>3.8920946026904804</v>
      </c>
      <c r="J116" s="5"/>
      <c r="K116" s="5"/>
    </row>
    <row r="117" spans="1:11" x14ac:dyDescent="0.35">
      <c r="A117" s="14">
        <v>44635.5625</v>
      </c>
      <c r="B117" s="15">
        <f t="shared" ref="B117:B126" si="11">(A117-$A$32)*24+1</f>
        <v>6.0000000000582077</v>
      </c>
      <c r="C117" s="21">
        <f>157*20*10^3</f>
        <v>3140000</v>
      </c>
      <c r="D117" s="21">
        <f>99*100</f>
        <v>9900</v>
      </c>
      <c r="E117" s="5">
        <v>4.0000000000000001E-3</v>
      </c>
      <c r="F117" s="5">
        <v>5.88</v>
      </c>
      <c r="H117" s="15">
        <f t="shared" si="9"/>
        <v>6.4969296480732153</v>
      </c>
      <c r="I117" s="15">
        <f t="shared" si="10"/>
        <v>3.9956351945975501</v>
      </c>
      <c r="J117" s="5"/>
      <c r="K117" s="5"/>
    </row>
    <row r="118" spans="1:11" x14ac:dyDescent="0.35">
      <c r="A118" s="14">
        <v>44635.6875</v>
      </c>
      <c r="B118" s="15">
        <f t="shared" si="11"/>
        <v>9.0000000000582077</v>
      </c>
      <c r="C118" s="23">
        <f>55*20*10000</f>
        <v>11000000</v>
      </c>
      <c r="D118" s="22">
        <f>9*20*100</f>
        <v>18000</v>
      </c>
      <c r="E118" s="5">
        <v>1.2999999999999999E-2</v>
      </c>
      <c r="F118" s="5">
        <v>5.77</v>
      </c>
      <c r="H118" s="15">
        <f t="shared" si="9"/>
        <v>7.0413926851582254</v>
      </c>
      <c r="I118" s="15">
        <f t="shared" si="10"/>
        <v>4.2552725051033065</v>
      </c>
      <c r="J118" s="5"/>
      <c r="K118" s="5"/>
    </row>
    <row r="119" spans="1:11" x14ac:dyDescent="0.35">
      <c r="A119" s="14">
        <v>44635.8125</v>
      </c>
      <c r="B119" s="15">
        <f t="shared" si="11"/>
        <v>12.000000000058208</v>
      </c>
      <c r="C119" s="23">
        <v>24000000</v>
      </c>
      <c r="D119" s="21">
        <f>52*20*100</f>
        <v>104000</v>
      </c>
      <c r="E119" s="5">
        <v>7.0000000000000001E-3</v>
      </c>
      <c r="F119" s="5">
        <v>5.47</v>
      </c>
      <c r="H119" s="18">
        <f t="shared" si="9"/>
        <v>7.3802112417116064</v>
      </c>
      <c r="I119" s="15">
        <f t="shared" si="10"/>
        <v>5.0170333392987807</v>
      </c>
      <c r="J119" s="5"/>
      <c r="K119" s="5"/>
    </row>
    <row r="120" spans="1:11" x14ac:dyDescent="0.35">
      <c r="A120" s="14">
        <v>44636.329861111109</v>
      </c>
      <c r="B120" s="15">
        <f t="shared" si="11"/>
        <v>24.416666666686069</v>
      </c>
      <c r="C120" s="23">
        <f>68*20*100000</f>
        <v>136000000</v>
      </c>
      <c r="D120" s="21">
        <f>20*20*1000</f>
        <v>400000</v>
      </c>
      <c r="E120" s="5">
        <v>0.78800000000000003</v>
      </c>
      <c r="F120" s="5">
        <v>4</v>
      </c>
      <c r="H120" s="18">
        <f t="shared" si="9"/>
        <v>8.1335389083702179</v>
      </c>
      <c r="I120" s="15">
        <f t="shared" si="10"/>
        <v>5.6020599913279625</v>
      </c>
      <c r="J120" s="5"/>
      <c r="K120" s="5"/>
    </row>
    <row r="121" spans="1:11" x14ac:dyDescent="0.35">
      <c r="A121" s="14">
        <v>44636.447916666664</v>
      </c>
      <c r="B121" s="15">
        <f t="shared" si="11"/>
        <v>27.25</v>
      </c>
      <c r="C121" s="23">
        <f>58*20*100000</f>
        <v>116000000</v>
      </c>
      <c r="D121" s="21">
        <f>19*20*1000</f>
        <v>380000</v>
      </c>
      <c r="E121" s="5">
        <v>0.91200000000000003</v>
      </c>
      <c r="F121" s="15">
        <v>3.93</v>
      </c>
      <c r="H121" s="18">
        <f t="shared" si="9"/>
        <v>8.0644579892269181</v>
      </c>
      <c r="I121" s="15">
        <f t="shared" si="10"/>
        <v>5.5797835966168101</v>
      </c>
      <c r="J121" s="5"/>
      <c r="K121" s="5"/>
    </row>
    <row r="122" spans="1:11" x14ac:dyDescent="0.35">
      <c r="A122" s="14">
        <v>44636.5625</v>
      </c>
      <c r="B122" s="15">
        <f t="shared" si="11"/>
        <v>30.000000000058208</v>
      </c>
      <c r="C122" s="23">
        <f>84*20*100000</f>
        <v>168000000</v>
      </c>
      <c r="D122" s="21">
        <f>19*20*1000</f>
        <v>380000</v>
      </c>
      <c r="E122" s="5">
        <v>0.996</v>
      </c>
      <c r="F122" s="15">
        <v>3.84</v>
      </c>
      <c r="H122" s="18">
        <f t="shared" si="9"/>
        <v>8.2253092817258633</v>
      </c>
      <c r="I122" s="15">
        <f t="shared" si="10"/>
        <v>5.5797835966168101</v>
      </c>
      <c r="J122" s="5"/>
      <c r="K122" s="5"/>
    </row>
    <row r="123" spans="1:11" x14ac:dyDescent="0.35">
      <c r="A123" s="14">
        <v>44636.6875</v>
      </c>
      <c r="B123" s="15">
        <f t="shared" si="11"/>
        <v>33.000000000058208</v>
      </c>
      <c r="C123" s="23">
        <f>76*20*100000</f>
        <v>152000000</v>
      </c>
      <c r="D123" s="21">
        <f>13*20*1000</f>
        <v>260000</v>
      </c>
      <c r="E123" s="16">
        <v>1.08</v>
      </c>
      <c r="F123" s="15">
        <v>3.79</v>
      </c>
      <c r="H123" s="18">
        <f t="shared" si="9"/>
        <v>8.1818435879447726</v>
      </c>
      <c r="I123" s="15">
        <f t="shared" si="10"/>
        <v>5.4149733479708182</v>
      </c>
      <c r="J123" s="5"/>
      <c r="K123" s="5"/>
    </row>
    <row r="124" spans="1:11" x14ac:dyDescent="0.35">
      <c r="A124" s="14">
        <v>44636.805555555555</v>
      </c>
      <c r="B124" s="15">
        <f t="shared" si="11"/>
        <v>35.833333333372138</v>
      </c>
      <c r="C124" s="23">
        <f>70*20*100000</f>
        <v>140000000</v>
      </c>
      <c r="D124" s="21">
        <f>9*20*1000</f>
        <v>180000</v>
      </c>
      <c r="E124" s="5">
        <v>1.113</v>
      </c>
      <c r="F124" s="5">
        <v>3.76</v>
      </c>
      <c r="H124" s="18">
        <f t="shared" si="9"/>
        <v>8.1461280356782382</v>
      </c>
      <c r="I124" s="15">
        <f t="shared" si="10"/>
        <v>5.2552725051033065</v>
      </c>
      <c r="J124" s="5"/>
      <c r="K124" s="5"/>
    </row>
    <row r="125" spans="1:11" x14ac:dyDescent="0.35">
      <c r="A125" s="14">
        <v>44637.333333333336</v>
      </c>
      <c r="B125" s="15">
        <f t="shared" si="11"/>
        <v>48.500000000116415</v>
      </c>
      <c r="C125" s="23">
        <v>140000000</v>
      </c>
      <c r="D125" s="23">
        <f>117*20*100</f>
        <v>234000</v>
      </c>
      <c r="E125" s="16">
        <v>1.375</v>
      </c>
      <c r="F125" s="5">
        <v>3.71</v>
      </c>
      <c r="H125" s="18">
        <f t="shared" si="9"/>
        <v>8.1461280356782382</v>
      </c>
      <c r="I125" s="15">
        <f t="shared" si="10"/>
        <v>5.3692158574101425</v>
      </c>
      <c r="J125" s="5"/>
      <c r="K125" s="5"/>
    </row>
    <row r="126" spans="1:11" x14ac:dyDescent="0.35">
      <c r="A126" s="14">
        <v>44637.5625</v>
      </c>
      <c r="B126" s="15">
        <f t="shared" si="11"/>
        <v>54.000000000058208</v>
      </c>
      <c r="C126" s="23">
        <f>51*20*100000</f>
        <v>102000000</v>
      </c>
      <c r="D126" s="21">
        <f>9*20*1000</f>
        <v>180000</v>
      </c>
      <c r="E126" s="16">
        <v>1.296</v>
      </c>
      <c r="F126" s="5">
        <v>3.71</v>
      </c>
      <c r="H126" s="18">
        <f t="shared" si="9"/>
        <v>8.008600171761918</v>
      </c>
      <c r="I126" s="15">
        <f t="shared" si="10"/>
        <v>5.2552725051033065</v>
      </c>
      <c r="J126" s="5"/>
      <c r="K126" s="5"/>
    </row>
    <row r="128" spans="1:11" x14ac:dyDescent="0.35">
      <c r="E128" t="s">
        <v>31</v>
      </c>
      <c r="F128">
        <f>MIN(F115:F126)</f>
        <v>3.71</v>
      </c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4D34-01D5-425C-9B58-0566920A5642}">
  <dimension ref="A1:K127"/>
  <sheetViews>
    <sheetView topLeftCell="A97" zoomScale="110" zoomScaleNormal="110" workbookViewId="0">
      <selection activeCell="H125" sqref="H125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3" width="12.26953125" bestFit="1" customWidth="1"/>
    <col min="4" max="4" width="11.5429687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44635.354166666664</v>
      </c>
      <c r="B10" s="15">
        <f>0*(24)+1</f>
        <v>1</v>
      </c>
      <c r="C10" s="21">
        <f>106*20*100</f>
        <v>212000</v>
      </c>
      <c r="D10" s="28"/>
      <c r="E10" s="5">
        <v>-3.5000000000000003E-2</v>
      </c>
      <c r="F10" s="5">
        <v>5.78</v>
      </c>
      <c r="H10" s="15">
        <f>LOG(C10)</f>
        <v>5.3263358609287517</v>
      </c>
    </row>
    <row r="11" spans="1:11" x14ac:dyDescent="0.35">
      <c r="A11" s="14">
        <v>44635.447916666664</v>
      </c>
      <c r="B11" s="15">
        <f>(A11-$A$10)*(24)+1</f>
        <v>3.25</v>
      </c>
      <c r="C11" s="28"/>
      <c r="D11" s="28"/>
      <c r="E11" s="5">
        <v>-1.7000000000000001E-2</v>
      </c>
      <c r="F11" s="5">
        <v>5.81</v>
      </c>
      <c r="H11" s="28"/>
    </row>
    <row r="12" spans="1:11" x14ac:dyDescent="0.35">
      <c r="A12" s="14">
        <v>44635.5625</v>
      </c>
      <c r="B12" s="15">
        <f>(A12-$A$10)*(24)+1</f>
        <v>6.0000000000582077</v>
      </c>
      <c r="C12" s="28"/>
      <c r="D12" s="28"/>
      <c r="E12" s="5">
        <v>-7.0000000000000001E-3</v>
      </c>
      <c r="F12" s="5">
        <v>5.81</v>
      </c>
      <c r="H12" s="28"/>
    </row>
    <row r="13" spans="1:11" x14ac:dyDescent="0.35">
      <c r="A13" s="14">
        <v>44635.6875</v>
      </c>
      <c r="B13" s="15">
        <f>(A13-$A$10)*(24)+1</f>
        <v>9.0000000000582077</v>
      </c>
      <c r="C13" s="28"/>
      <c r="D13" s="28"/>
      <c r="E13" s="5">
        <v>-1.7999999999999999E-2</v>
      </c>
      <c r="F13" s="5">
        <v>5.76</v>
      </c>
      <c r="H13" s="28"/>
    </row>
    <row r="14" spans="1:11" x14ac:dyDescent="0.35">
      <c r="A14" s="14">
        <v>44635.8125</v>
      </c>
      <c r="B14" s="15">
        <f t="shared" ref="B14:B21" si="0">(A14-$A$10)*(24)+1</f>
        <v>12.000000000058208</v>
      </c>
      <c r="C14" s="23">
        <f>28*20*10^4</f>
        <v>5600000</v>
      </c>
      <c r="D14" s="28"/>
      <c r="E14" s="5">
        <v>-2.1999999999999999E-2</v>
      </c>
      <c r="F14" s="5">
        <v>5.73</v>
      </c>
      <c r="H14" s="18">
        <f>LOG(C14)</f>
        <v>6.7481880270062007</v>
      </c>
    </row>
    <row r="15" spans="1:11" x14ac:dyDescent="0.35">
      <c r="A15" s="14">
        <v>44636.329861111109</v>
      </c>
      <c r="B15" s="15">
        <f t="shared" si="0"/>
        <v>24.416666666686069</v>
      </c>
      <c r="C15" s="21">
        <f>62*20*100000</f>
        <v>124000000</v>
      </c>
      <c r="D15" s="28"/>
      <c r="E15" s="5">
        <v>0.66900000000000004</v>
      </c>
      <c r="F15" s="5">
        <v>4.17</v>
      </c>
      <c r="H15" s="15">
        <f>LOG(C15)</f>
        <v>8.0934216851622356</v>
      </c>
    </row>
    <row r="16" spans="1:11" x14ac:dyDescent="0.35">
      <c r="A16" s="14">
        <v>44636.447916666664</v>
      </c>
      <c r="B16" s="15">
        <f t="shared" si="0"/>
        <v>27.25</v>
      </c>
      <c r="C16" s="28"/>
      <c r="D16" s="28"/>
      <c r="E16" s="5">
        <v>0.73699999999999999</v>
      </c>
      <c r="F16" s="5">
        <v>4.07</v>
      </c>
      <c r="H16" s="28"/>
    </row>
    <row r="17" spans="1:11" x14ac:dyDescent="0.35">
      <c r="A17" s="14">
        <v>44636.5625</v>
      </c>
      <c r="B17" s="15">
        <f t="shared" si="0"/>
        <v>30.000000000058208</v>
      </c>
      <c r="C17" s="28"/>
      <c r="D17" s="28"/>
      <c r="E17" s="5">
        <v>0.80900000000000005</v>
      </c>
      <c r="F17" s="5">
        <v>3.98</v>
      </c>
      <c r="H17" s="28"/>
    </row>
    <row r="18" spans="1:11" x14ac:dyDescent="0.35">
      <c r="A18" s="14">
        <v>44636.6875</v>
      </c>
      <c r="B18" s="15">
        <f t="shared" si="0"/>
        <v>33.000000000058208</v>
      </c>
      <c r="C18" s="28"/>
      <c r="D18" s="28"/>
      <c r="E18" s="5">
        <v>0.91500000000000004</v>
      </c>
      <c r="F18" s="5">
        <v>3.96</v>
      </c>
      <c r="H18" s="28"/>
    </row>
    <row r="19" spans="1:11" x14ac:dyDescent="0.35">
      <c r="A19" s="14">
        <v>44636.805555555555</v>
      </c>
      <c r="B19" s="15">
        <f t="shared" si="0"/>
        <v>35.833333333372138</v>
      </c>
      <c r="C19" s="21">
        <f>73*20*100000</f>
        <v>146000000</v>
      </c>
      <c r="D19" s="28"/>
      <c r="E19" s="5">
        <v>1.0569999999999999</v>
      </c>
      <c r="F19" s="5">
        <v>3.92</v>
      </c>
      <c r="H19" s="15">
        <f>LOG(C19)</f>
        <v>8.1643528557844363</v>
      </c>
    </row>
    <row r="20" spans="1:11" x14ac:dyDescent="0.35">
      <c r="A20" s="14">
        <v>44637.333333333336</v>
      </c>
      <c r="B20" s="15">
        <f t="shared" si="0"/>
        <v>48.500000000116415</v>
      </c>
      <c r="C20" s="21">
        <f>60*20*100000</f>
        <v>120000000</v>
      </c>
      <c r="D20" s="28"/>
      <c r="E20" s="5">
        <v>1.3220000000000001</v>
      </c>
      <c r="F20" s="5">
        <v>3.87</v>
      </c>
      <c r="H20" s="15">
        <f>LOG(C20)</f>
        <v>8.0791812460476251</v>
      </c>
    </row>
    <row r="21" spans="1:11" x14ac:dyDescent="0.35">
      <c r="A21" s="14">
        <v>44637.5625</v>
      </c>
      <c r="B21" s="15">
        <f t="shared" si="0"/>
        <v>54.000000000058208</v>
      </c>
      <c r="C21" s="21">
        <f>64*20*100000</f>
        <v>128000000</v>
      </c>
      <c r="D21" s="28"/>
      <c r="E21" s="5">
        <v>1.3089999999999999</v>
      </c>
      <c r="F21" s="5">
        <v>3.66</v>
      </c>
      <c r="H21" s="15">
        <f t="shared" ref="H21" si="1">LOG(C21)</f>
        <v>8.1072099696478688</v>
      </c>
    </row>
    <row r="22" spans="1:11" x14ac:dyDescent="0.35">
      <c r="B22" s="5"/>
      <c r="C22" s="5"/>
    </row>
    <row r="23" spans="1:11" x14ac:dyDescent="0.35">
      <c r="B23" s="5"/>
      <c r="C23" s="5"/>
      <c r="E23" t="s">
        <v>31</v>
      </c>
      <c r="F23">
        <f>MIN(F10:F21)</f>
        <v>3.66</v>
      </c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44635.354166666664</v>
      </c>
      <c r="B32" s="15">
        <f>0*(24)+1</f>
        <v>1</v>
      </c>
      <c r="C32" s="21">
        <f>2*20*10^2</f>
        <v>4000</v>
      </c>
      <c r="D32" s="28"/>
      <c r="E32" s="5">
        <v>-3.2000000000000001E-2</v>
      </c>
      <c r="F32" s="5">
        <v>5.81</v>
      </c>
      <c r="H32" s="15">
        <f>LOG(C32)</f>
        <v>3.6020599913279625</v>
      </c>
      <c r="I32" s="5"/>
      <c r="J32" s="5"/>
      <c r="K32" s="5"/>
    </row>
    <row r="33" spans="1:11" x14ac:dyDescent="0.35">
      <c r="A33" s="14">
        <v>44635.447916666664</v>
      </c>
      <c r="B33" s="15">
        <f>(A33-$A$10)*(24)+1</f>
        <v>3.25</v>
      </c>
      <c r="C33" s="28"/>
      <c r="D33" s="28"/>
      <c r="E33" s="16">
        <v>-0.04</v>
      </c>
      <c r="F33" s="5">
        <v>5.85</v>
      </c>
      <c r="H33" s="28"/>
      <c r="I33" s="5"/>
      <c r="J33" s="5"/>
      <c r="K33" s="5"/>
    </row>
    <row r="34" spans="1:11" x14ac:dyDescent="0.35">
      <c r="A34" s="14">
        <v>44635.5625</v>
      </c>
      <c r="B34" s="15">
        <f>(A34-$A$10)*(24)+1</f>
        <v>6.0000000000582077</v>
      </c>
      <c r="C34" s="28"/>
      <c r="D34" s="28"/>
      <c r="E34" s="5">
        <v>2E-3</v>
      </c>
      <c r="F34" s="5">
        <v>5.82</v>
      </c>
      <c r="H34" s="28"/>
      <c r="I34" s="5"/>
      <c r="J34" s="5"/>
      <c r="K34" s="5"/>
    </row>
    <row r="35" spans="1:11" x14ac:dyDescent="0.35">
      <c r="A35" s="14">
        <v>44635.6875</v>
      </c>
      <c r="B35" s="15">
        <f>(A35-$A$10)*(24)+1</f>
        <v>9.0000000000582077</v>
      </c>
      <c r="C35" s="28"/>
      <c r="D35" s="28"/>
      <c r="E35" s="5">
        <v>-4.7E-2</v>
      </c>
      <c r="F35" s="5">
        <v>5.82</v>
      </c>
      <c r="H35" s="28"/>
      <c r="I35" s="5"/>
      <c r="J35" s="5"/>
      <c r="K35" s="5"/>
    </row>
    <row r="36" spans="1:11" x14ac:dyDescent="0.35">
      <c r="A36" s="14">
        <v>44635.8125</v>
      </c>
      <c r="B36" s="15">
        <f t="shared" ref="B36:B43" si="2">(A36-$A$10)*(24)+1</f>
        <v>12.000000000058208</v>
      </c>
      <c r="C36" s="21">
        <f>2*20*10^4</f>
        <v>400000</v>
      </c>
      <c r="D36" s="28"/>
      <c r="E36" s="5">
        <v>-4.2000000000000003E-2</v>
      </c>
      <c r="F36" s="5">
        <v>5.84</v>
      </c>
      <c r="H36" s="15">
        <f>LOG(C36)</f>
        <v>5.6020599913279625</v>
      </c>
      <c r="I36" s="5"/>
      <c r="J36" s="5"/>
      <c r="K36" s="5"/>
    </row>
    <row r="37" spans="1:11" x14ac:dyDescent="0.35">
      <c r="A37" s="14">
        <v>44636.329861111109</v>
      </c>
      <c r="B37" s="15">
        <f t="shared" si="2"/>
        <v>24.416666666686069</v>
      </c>
      <c r="C37" s="21">
        <f>20000000</f>
        <v>20000000</v>
      </c>
      <c r="D37" s="28"/>
      <c r="E37" s="5">
        <v>-0.121</v>
      </c>
      <c r="F37" s="5">
        <v>5.62</v>
      </c>
      <c r="H37" s="15">
        <f>LOG(C37)</f>
        <v>7.3010299956639813</v>
      </c>
      <c r="I37" s="5"/>
      <c r="J37" s="5"/>
      <c r="K37" s="5"/>
    </row>
    <row r="38" spans="1:11" x14ac:dyDescent="0.35">
      <c r="A38" s="14">
        <v>44636.447916666664</v>
      </c>
      <c r="B38" s="15">
        <f t="shared" si="2"/>
        <v>27.25</v>
      </c>
      <c r="C38" s="28"/>
      <c r="D38" s="28"/>
      <c r="E38" s="5">
        <v>7.6999999999999999E-2</v>
      </c>
      <c r="F38" s="5">
        <v>5.35</v>
      </c>
      <c r="H38" s="28"/>
      <c r="I38" s="5"/>
      <c r="J38" s="5"/>
      <c r="K38" s="5"/>
    </row>
    <row r="39" spans="1:11" x14ac:dyDescent="0.35">
      <c r="A39" s="14">
        <v>44636.5625</v>
      </c>
      <c r="B39" s="15">
        <f t="shared" si="2"/>
        <v>30.000000000058208</v>
      </c>
      <c r="C39" s="28"/>
      <c r="D39" s="28"/>
      <c r="E39" s="5">
        <v>0.13300000000000001</v>
      </c>
      <c r="F39" s="15">
        <v>4.9000000000000004</v>
      </c>
      <c r="H39" s="28"/>
      <c r="I39" s="5"/>
      <c r="J39" s="5"/>
      <c r="K39" s="5"/>
    </row>
    <row r="40" spans="1:11" x14ac:dyDescent="0.35">
      <c r="A40" s="14">
        <v>44636.6875</v>
      </c>
      <c r="B40" s="15">
        <f t="shared" si="2"/>
        <v>33.000000000058208</v>
      </c>
      <c r="C40" s="28"/>
      <c r="D40" s="28"/>
      <c r="E40" s="16">
        <v>0.29499999999999998</v>
      </c>
      <c r="F40" s="5">
        <v>4.41</v>
      </c>
      <c r="H40" s="28"/>
      <c r="I40" s="5"/>
      <c r="J40" s="5"/>
      <c r="K40" s="5"/>
    </row>
    <row r="41" spans="1:11" x14ac:dyDescent="0.35">
      <c r="A41" s="14">
        <v>44636.805555555555</v>
      </c>
      <c r="B41" s="15">
        <f t="shared" si="2"/>
        <v>35.833333333372138</v>
      </c>
      <c r="C41" s="21">
        <f>73*20*100000</f>
        <v>146000000</v>
      </c>
      <c r="D41" s="28"/>
      <c r="E41" s="16">
        <v>0.59</v>
      </c>
      <c r="F41" s="5">
        <v>4.13</v>
      </c>
      <c r="H41" s="15">
        <f>LOG(C41)</f>
        <v>8.1643528557844363</v>
      </c>
      <c r="I41" s="5"/>
      <c r="J41" s="5"/>
      <c r="K41" s="5"/>
    </row>
    <row r="42" spans="1:11" x14ac:dyDescent="0.35">
      <c r="A42" s="14">
        <v>44637.333333333336</v>
      </c>
      <c r="B42" s="15">
        <f t="shared" si="2"/>
        <v>48.500000000116415</v>
      </c>
      <c r="C42" s="21">
        <f>62*20*100000</f>
        <v>124000000</v>
      </c>
      <c r="D42" s="28"/>
      <c r="E42" s="5">
        <v>1.0329999999999999</v>
      </c>
      <c r="F42" s="15">
        <v>3.7</v>
      </c>
      <c r="H42" s="15">
        <f>LOG(C42)</f>
        <v>8.0934216851622356</v>
      </c>
      <c r="I42" s="5"/>
      <c r="J42" s="5"/>
      <c r="K42" s="5"/>
    </row>
    <row r="43" spans="1:11" x14ac:dyDescent="0.35">
      <c r="A43" s="14">
        <v>44637.5625</v>
      </c>
      <c r="B43" s="15">
        <f t="shared" si="2"/>
        <v>54.000000000058208</v>
      </c>
      <c r="C43" s="21" t="s">
        <v>33</v>
      </c>
      <c r="D43" s="28"/>
      <c r="E43" s="5">
        <v>1.1919999999999999</v>
      </c>
      <c r="F43" s="15">
        <v>3.64</v>
      </c>
      <c r="H43" s="15" t="e">
        <f>LOG(C43)</f>
        <v>#VALUE!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E45" t="s">
        <v>31</v>
      </c>
      <c r="F45">
        <f>MIN(F32:F43)</f>
        <v>3.64</v>
      </c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44635.354166666664</v>
      </c>
      <c r="B52" s="15">
        <f>0*(24)+1</f>
        <v>1</v>
      </c>
      <c r="C52" s="29"/>
      <c r="D52" s="21">
        <f>31*20*10</f>
        <v>6200</v>
      </c>
      <c r="E52" s="5">
        <v>-4.7E-2</v>
      </c>
      <c r="F52" s="5">
        <v>5.82</v>
      </c>
      <c r="H52" s="15">
        <f>LOG(D52)</f>
        <v>3.7923916894982539</v>
      </c>
    </row>
    <row r="53" spans="1:11" x14ac:dyDescent="0.35">
      <c r="A53" s="14">
        <v>44635.447916666664</v>
      </c>
      <c r="B53" s="15">
        <f>(A53-$A$10)*(24)+1</f>
        <v>3.25</v>
      </c>
      <c r="C53" s="29"/>
      <c r="D53" s="29"/>
      <c r="E53" s="5">
        <v>8.0000000000000002E-3</v>
      </c>
      <c r="F53" s="5">
        <v>5.79</v>
      </c>
      <c r="H53" s="29"/>
    </row>
    <row r="54" spans="1:11" x14ac:dyDescent="0.35">
      <c r="A54" s="14">
        <v>44635.5625</v>
      </c>
      <c r="B54" s="15">
        <f>(A54-$A$10)*(24)+1</f>
        <v>6.0000000000582077</v>
      </c>
      <c r="C54" s="29"/>
      <c r="D54" s="29"/>
      <c r="E54" s="5">
        <v>-4.0000000000000001E-3</v>
      </c>
      <c r="F54" s="5">
        <v>5.82</v>
      </c>
      <c r="H54" s="29"/>
    </row>
    <row r="55" spans="1:11" x14ac:dyDescent="0.35">
      <c r="A55" s="14">
        <v>44635.6875</v>
      </c>
      <c r="B55" s="15">
        <f>(A55-$A$10)*(24)+1</f>
        <v>9.0000000000582077</v>
      </c>
      <c r="C55" s="29"/>
      <c r="D55" s="29"/>
      <c r="E55" s="5">
        <v>-2.1999999999999999E-2</v>
      </c>
      <c r="F55" s="5">
        <v>5.83</v>
      </c>
      <c r="H55" s="29"/>
    </row>
    <row r="56" spans="1:11" x14ac:dyDescent="0.35">
      <c r="A56" s="14">
        <v>44635.8125</v>
      </c>
      <c r="B56" s="15">
        <f t="shared" ref="B56:B63" si="3">(A56-$A$10)*(24)+1</f>
        <v>12.000000000058208</v>
      </c>
      <c r="C56" s="29"/>
      <c r="D56" s="21">
        <f>(1.36*10^5+1.33*10^5+1.4*10^5)/3</f>
        <v>136333.33333333334</v>
      </c>
      <c r="E56" s="5">
        <v>-5.0999999999999997E-2</v>
      </c>
      <c r="F56" s="5">
        <v>5.85</v>
      </c>
      <c r="H56" s="15">
        <f>LOG(D56)</f>
        <v>5.1346020532876793</v>
      </c>
    </row>
    <row r="57" spans="1:11" x14ac:dyDescent="0.35">
      <c r="A57" s="14">
        <v>44636.329861111109</v>
      </c>
      <c r="B57" s="15">
        <f t="shared" si="3"/>
        <v>24.416666666686069</v>
      </c>
      <c r="C57" s="29"/>
      <c r="D57" s="21">
        <f>72*20*10000</f>
        <v>14400000</v>
      </c>
      <c r="E57" s="5">
        <v>0.67600000000000005</v>
      </c>
      <c r="F57" s="5">
        <v>4.1399999999999997</v>
      </c>
      <c r="H57" s="15">
        <f>LOG(D57)</f>
        <v>7.1583624920952493</v>
      </c>
    </row>
    <row r="58" spans="1:11" x14ac:dyDescent="0.35">
      <c r="A58" s="14">
        <v>44636.447916666664</v>
      </c>
      <c r="B58" s="15">
        <f t="shared" si="3"/>
        <v>27.25</v>
      </c>
      <c r="C58" s="29"/>
      <c r="D58" s="29"/>
      <c r="E58" s="16">
        <v>1.0999999999999999E-2</v>
      </c>
      <c r="F58" s="15">
        <v>5.8</v>
      </c>
      <c r="H58" s="29"/>
    </row>
    <row r="59" spans="1:11" x14ac:dyDescent="0.35">
      <c r="A59" s="14">
        <v>44636.5625</v>
      </c>
      <c r="B59" s="15">
        <f t="shared" si="3"/>
        <v>30.000000000058208</v>
      </c>
      <c r="C59" s="29"/>
      <c r="D59" s="29"/>
      <c r="E59" s="5">
        <v>3.1E-2</v>
      </c>
      <c r="F59" s="5">
        <v>5.65</v>
      </c>
      <c r="H59" s="29"/>
    </row>
    <row r="60" spans="1:11" x14ac:dyDescent="0.35">
      <c r="A60" s="14">
        <v>44636.6875</v>
      </c>
      <c r="B60" s="15">
        <f t="shared" si="3"/>
        <v>33.000000000058208</v>
      </c>
      <c r="C60" s="29"/>
      <c r="D60" s="29"/>
      <c r="E60" s="5">
        <v>3.3000000000000002E-2</v>
      </c>
      <c r="F60" s="15">
        <v>5.42</v>
      </c>
      <c r="H60" s="29"/>
    </row>
    <row r="61" spans="1:11" x14ac:dyDescent="0.35">
      <c r="A61" s="14">
        <v>44636.805555555555</v>
      </c>
      <c r="B61" s="15">
        <f t="shared" si="3"/>
        <v>35.833333333372138</v>
      </c>
      <c r="C61" s="29"/>
      <c r="D61" s="21">
        <f>AVERAGE(258000000,307000000,248000000)</f>
        <v>271000000</v>
      </c>
      <c r="E61" s="5">
        <v>5.6000000000000001E-2</v>
      </c>
      <c r="F61" s="15">
        <v>5.1100000000000003</v>
      </c>
      <c r="H61" s="15">
        <f>LOG(D61)</f>
        <v>8.4329692908744054</v>
      </c>
    </row>
    <row r="62" spans="1:11" x14ac:dyDescent="0.35">
      <c r="A62" s="14">
        <v>44637.333333333336</v>
      </c>
      <c r="B62" s="15">
        <f t="shared" si="3"/>
        <v>48.500000000116415</v>
      </c>
      <c r="C62" s="29"/>
      <c r="D62" s="21">
        <f>282*20*100000</f>
        <v>564000000</v>
      </c>
      <c r="E62" s="16">
        <v>0.30599999999999999</v>
      </c>
      <c r="F62" s="5">
        <v>4.3600000000000003</v>
      </c>
      <c r="H62" s="15">
        <f>LOG(D62)</f>
        <v>8.7512791039833431</v>
      </c>
    </row>
    <row r="63" spans="1:11" x14ac:dyDescent="0.35">
      <c r="A63" s="14">
        <v>44637.5625</v>
      </c>
      <c r="B63" s="15">
        <f t="shared" si="3"/>
        <v>54.000000000058208</v>
      </c>
      <c r="C63" s="28"/>
      <c r="D63" s="23">
        <f>247*20*100000</f>
        <v>494000000</v>
      </c>
      <c r="E63" s="5">
        <v>0.33700000000000002</v>
      </c>
      <c r="F63" s="15">
        <v>4.25</v>
      </c>
      <c r="H63" s="18">
        <f>LOG(D63)</f>
        <v>8.6937269489236471</v>
      </c>
    </row>
    <row r="65" spans="1:11" x14ac:dyDescent="0.35">
      <c r="E65" t="s">
        <v>31</v>
      </c>
      <c r="F65">
        <f>MIN(F52:F63)</f>
        <v>4.1399999999999997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44635.354166666664</v>
      </c>
      <c r="B73" s="15">
        <f>0*24+1</f>
        <v>1</v>
      </c>
      <c r="C73" s="21">
        <f>98*20*100</f>
        <v>196000</v>
      </c>
      <c r="D73" s="21">
        <f>20*20*10</f>
        <v>4000</v>
      </c>
      <c r="E73" s="5">
        <v>-3.2000000000000001E-2</v>
      </c>
      <c r="F73" s="5">
        <v>5.81</v>
      </c>
      <c r="H73" s="15">
        <f>LOG(C73)</f>
        <v>5.2922560713564764</v>
      </c>
      <c r="I73" s="15">
        <f>LOG(D73)</f>
        <v>3.6020599913279625</v>
      </c>
    </row>
    <row r="74" spans="1:11" x14ac:dyDescent="0.35">
      <c r="A74" s="14">
        <v>44635.447916666664</v>
      </c>
      <c r="B74" s="15">
        <f>(A74-$A$32)*24+1</f>
        <v>3.25</v>
      </c>
      <c r="C74" s="21">
        <f>196*20*100</f>
        <v>392000</v>
      </c>
      <c r="D74" s="21">
        <f>24*20*10</f>
        <v>4800</v>
      </c>
      <c r="E74" s="5">
        <v>-2.1999999999999999E-2</v>
      </c>
      <c r="F74" s="5">
        <v>5.81</v>
      </c>
      <c r="H74" s="15">
        <f t="shared" ref="H74:H84" si="4">LOG(C74)</f>
        <v>5.5932860670204576</v>
      </c>
      <c r="I74" s="15">
        <f t="shared" ref="I74:I84" si="5">LOG(D74)</f>
        <v>3.6812412373755872</v>
      </c>
    </row>
    <row r="75" spans="1:11" x14ac:dyDescent="0.35">
      <c r="A75" s="14">
        <v>44635.5625</v>
      </c>
      <c r="B75" s="15">
        <f t="shared" ref="B75:B84" si="6">(A75-$A$32)*24+1</f>
        <v>6.0000000000582077</v>
      </c>
      <c r="C75" s="21">
        <f>62*20*10^3</f>
        <v>1240000</v>
      </c>
      <c r="D75" s="21">
        <f>61*20*10</f>
        <v>12200</v>
      </c>
      <c r="E75" s="16">
        <v>6.0000000000000001E-3</v>
      </c>
      <c r="F75" s="15">
        <v>5.8</v>
      </c>
      <c r="H75" s="15">
        <f t="shared" si="4"/>
        <v>6.0934216851622347</v>
      </c>
      <c r="I75" s="15">
        <f t="shared" si="5"/>
        <v>4.0863598306747484</v>
      </c>
    </row>
    <row r="76" spans="1:11" x14ac:dyDescent="0.35">
      <c r="A76" s="14">
        <v>44635.6875</v>
      </c>
      <c r="B76" s="15">
        <f t="shared" si="6"/>
        <v>9.0000000000582077</v>
      </c>
      <c r="C76" s="21">
        <f>147*20*10^3</f>
        <v>2940000</v>
      </c>
      <c r="D76" s="21">
        <f>230*20*10</f>
        <v>46000</v>
      </c>
      <c r="E76" s="5">
        <v>6.0000000000000001E-3</v>
      </c>
      <c r="F76" s="5">
        <v>5.79</v>
      </c>
      <c r="H76" s="15">
        <f t="shared" si="4"/>
        <v>6.4683473304121577</v>
      </c>
      <c r="I76" s="15">
        <f t="shared" si="5"/>
        <v>4.6627578316815743</v>
      </c>
    </row>
    <row r="77" spans="1:11" x14ac:dyDescent="0.35">
      <c r="A77" s="14">
        <v>44635.8125</v>
      </c>
      <c r="B77" s="15">
        <f t="shared" si="6"/>
        <v>12.000000000058208</v>
      </c>
      <c r="C77" s="21">
        <f>46*20*10000</f>
        <v>9200000</v>
      </c>
      <c r="D77" s="21">
        <f>554*10*10</f>
        <v>55400</v>
      </c>
      <c r="E77" s="5">
        <v>-3.7999999999999999E-2</v>
      </c>
      <c r="F77" s="5">
        <v>5.64</v>
      </c>
      <c r="H77" s="15">
        <f t="shared" si="4"/>
        <v>6.9637878273455556</v>
      </c>
      <c r="I77" s="15">
        <f t="shared" si="5"/>
        <v>4.7435097647284294</v>
      </c>
    </row>
    <row r="78" spans="1:11" x14ac:dyDescent="0.35">
      <c r="A78" s="14">
        <v>44636.329861111109</v>
      </c>
      <c r="B78" s="15">
        <f t="shared" si="6"/>
        <v>24.416666666686069</v>
      </c>
      <c r="C78" s="21">
        <f>72*20*100000</f>
        <v>144000000</v>
      </c>
      <c r="D78" s="21">
        <f>20*2*10</f>
        <v>400</v>
      </c>
      <c r="E78" s="5">
        <v>0.67600000000000005</v>
      </c>
      <c r="F78" s="5">
        <v>4.1399999999999997</v>
      </c>
      <c r="H78" s="15">
        <f t="shared" si="4"/>
        <v>8.1583624920952502</v>
      </c>
      <c r="I78" s="15">
        <f t="shared" si="5"/>
        <v>2.6020599913279625</v>
      </c>
    </row>
    <row r="79" spans="1:11" x14ac:dyDescent="0.35">
      <c r="A79" s="14">
        <v>44636.447916666664</v>
      </c>
      <c r="B79" s="15">
        <f t="shared" si="6"/>
        <v>27.25</v>
      </c>
      <c r="C79" s="21">
        <f>72*20*100000</f>
        <v>144000000</v>
      </c>
      <c r="D79" s="22">
        <f>2*2*10</f>
        <v>40</v>
      </c>
      <c r="E79" s="5">
        <v>0.73399999999999999</v>
      </c>
      <c r="F79" s="5">
        <v>4.0599999999999996</v>
      </c>
      <c r="H79" s="15">
        <f t="shared" si="4"/>
        <v>8.1583624920952502</v>
      </c>
      <c r="I79" s="15">
        <f t="shared" si="5"/>
        <v>1.6020599913279623</v>
      </c>
    </row>
    <row r="80" spans="1:11" x14ac:dyDescent="0.35">
      <c r="A80" s="14">
        <v>44636.5625</v>
      </c>
      <c r="B80" s="15">
        <f t="shared" si="6"/>
        <v>30.000000000058208</v>
      </c>
      <c r="C80" s="21">
        <f>86*20*100000</f>
        <v>172000000</v>
      </c>
      <c r="D80" s="22">
        <f>AVERAGE(7*2,1*2*10,12/5)</f>
        <v>12.133333333333333</v>
      </c>
      <c r="E80" s="5">
        <v>0.82499999999999996</v>
      </c>
      <c r="F80" s="5">
        <v>3.97</v>
      </c>
      <c r="H80" s="15">
        <f t="shared" si="4"/>
        <v>8.2355284469075496</v>
      </c>
      <c r="I80" s="15">
        <f t="shared" si="5"/>
        <v>1.0839801289293935</v>
      </c>
    </row>
    <row r="81" spans="1:11" x14ac:dyDescent="0.35">
      <c r="A81" s="14">
        <v>44636.6875</v>
      </c>
      <c r="B81" s="15">
        <f t="shared" si="6"/>
        <v>33.000000000058208</v>
      </c>
      <c r="C81" s="21">
        <f>88*20*100000</f>
        <v>176000000</v>
      </c>
      <c r="D81" s="22">
        <f>AVERAGE(5*2,1*2*10)</f>
        <v>15</v>
      </c>
      <c r="E81" s="5">
        <v>0.93400000000000005</v>
      </c>
      <c r="F81" s="5">
        <v>3.95</v>
      </c>
      <c r="H81" s="15">
        <f t="shared" si="4"/>
        <v>8.2455126678141504</v>
      </c>
      <c r="I81" s="15">
        <f t="shared" si="5"/>
        <v>1.1760912590556813</v>
      </c>
    </row>
    <row r="82" spans="1:11" x14ac:dyDescent="0.35">
      <c r="A82" s="14">
        <v>44636.805555555555</v>
      </c>
      <c r="B82" s="15">
        <f t="shared" si="6"/>
        <v>35.833333333372138</v>
      </c>
      <c r="C82" s="21">
        <f>64*20*100000</f>
        <v>128000000</v>
      </c>
      <c r="D82" s="22">
        <f>AVERAGE(4*2,14/5)</f>
        <v>5.4</v>
      </c>
      <c r="E82" s="5">
        <v>1.0720000000000001</v>
      </c>
      <c r="F82" s="5">
        <v>3.89</v>
      </c>
      <c r="H82" s="15">
        <f t="shared" si="4"/>
        <v>8.1072099696478688</v>
      </c>
      <c r="I82" s="15">
        <f t="shared" si="5"/>
        <v>0.7323937598229685</v>
      </c>
    </row>
    <row r="83" spans="1:11" x14ac:dyDescent="0.35">
      <c r="A83" s="14">
        <v>44637.333333333336</v>
      </c>
      <c r="B83" s="15">
        <f t="shared" si="6"/>
        <v>48.500000000116415</v>
      </c>
      <c r="C83" s="21">
        <f>76*20*100000</f>
        <v>152000000</v>
      </c>
      <c r="D83" s="23">
        <f>4*2</f>
        <v>8</v>
      </c>
      <c r="E83" s="5">
        <v>1.2030000000000001</v>
      </c>
      <c r="F83" s="5">
        <v>3.71</v>
      </c>
      <c r="H83" s="15">
        <f t="shared" si="4"/>
        <v>8.1818435879447726</v>
      </c>
      <c r="I83" s="15">
        <f t="shared" si="5"/>
        <v>0.90308998699194354</v>
      </c>
    </row>
    <row r="84" spans="1:11" x14ac:dyDescent="0.35">
      <c r="A84" s="14">
        <v>44637.5625</v>
      </c>
      <c r="B84" s="15">
        <f t="shared" si="6"/>
        <v>54.000000000058208</v>
      </c>
      <c r="C84" s="21" t="s">
        <v>33</v>
      </c>
      <c r="D84" s="23">
        <f>2*2</f>
        <v>4</v>
      </c>
      <c r="E84" s="5">
        <v>1.264</v>
      </c>
      <c r="F84" s="5">
        <v>3.62</v>
      </c>
      <c r="H84" s="15" t="e">
        <f t="shared" si="4"/>
        <v>#VALUE!</v>
      </c>
      <c r="I84" s="15">
        <f t="shared" si="5"/>
        <v>0.6020599913279624</v>
      </c>
    </row>
    <row r="85" spans="1:11" x14ac:dyDescent="0.35">
      <c r="C85" s="5"/>
    </row>
    <row r="86" spans="1:11" x14ac:dyDescent="0.35">
      <c r="C86" s="5"/>
      <c r="E86" t="s">
        <v>31</v>
      </c>
      <c r="F86">
        <f>MIN(F73:F84)</f>
        <v>3.62</v>
      </c>
    </row>
    <row r="87" spans="1:11" x14ac:dyDescent="0.35">
      <c r="C87" s="5"/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44635.354166666664</v>
      </c>
      <c r="B95" s="15">
        <f>0*24+1</f>
        <v>1</v>
      </c>
      <c r="C95" s="22">
        <f>0.9*20*100</f>
        <v>1800</v>
      </c>
      <c r="D95" s="21">
        <f>27*20*10</f>
        <v>5400</v>
      </c>
      <c r="E95" s="5">
        <v>-5.5E-2</v>
      </c>
      <c r="F95" s="15">
        <v>5.8</v>
      </c>
      <c r="H95" s="17">
        <f>LOG(C95)</f>
        <v>3.255272505103306</v>
      </c>
      <c r="I95" s="15">
        <f>LOG(D95)</f>
        <v>3.7323937598229686</v>
      </c>
      <c r="J95" s="5"/>
      <c r="K95" s="5"/>
    </row>
    <row r="96" spans="1:11" x14ac:dyDescent="0.35">
      <c r="A96" s="14">
        <v>44635.447916666664</v>
      </c>
      <c r="B96" s="15">
        <f>(A96-$A$32)*24+1</f>
        <v>3.25</v>
      </c>
      <c r="C96" s="21">
        <f>7*20*100</f>
        <v>14000</v>
      </c>
      <c r="D96" s="21">
        <f>35*20*10</f>
        <v>7000</v>
      </c>
      <c r="E96" s="5">
        <v>8.9999999999999993E-3</v>
      </c>
      <c r="F96" s="15">
        <v>5.8</v>
      </c>
      <c r="H96" s="17">
        <f t="shared" ref="H96:H106" si="7">LOG(C96)</f>
        <v>4.1461280356782382</v>
      </c>
      <c r="I96" s="15">
        <f t="shared" ref="I96:I106" si="8">LOG(D96)</f>
        <v>3.8450980400142569</v>
      </c>
      <c r="J96" s="5"/>
      <c r="K96" s="5"/>
    </row>
    <row r="97" spans="1:11" x14ac:dyDescent="0.35">
      <c r="A97" s="14">
        <v>44635.5625</v>
      </c>
      <c r="B97" s="15">
        <f t="shared" ref="B97:B106" si="9">(A97-$A$32)*24+1</f>
        <v>6.0000000000582077</v>
      </c>
      <c r="C97" s="21">
        <f>1*20*10^3</f>
        <v>20000</v>
      </c>
      <c r="D97" s="21">
        <f>95*20*10</f>
        <v>19000</v>
      </c>
      <c r="E97" s="16">
        <v>-7.0000000000000007E-2</v>
      </c>
      <c r="F97" s="5">
        <v>5.82</v>
      </c>
      <c r="H97" s="17">
        <f t="shared" si="7"/>
        <v>4.3010299956639813</v>
      </c>
      <c r="I97" s="15">
        <f t="shared" si="8"/>
        <v>4.2787536009528289</v>
      </c>
      <c r="J97" s="5"/>
      <c r="K97" s="5"/>
    </row>
    <row r="98" spans="1:11" x14ac:dyDescent="0.35">
      <c r="A98" s="14">
        <v>44635.6875</v>
      </c>
      <c r="B98" s="15">
        <f t="shared" si="9"/>
        <v>9.0000000000582077</v>
      </c>
      <c r="C98" s="21">
        <f>3*20*10^3</f>
        <v>60000</v>
      </c>
      <c r="D98" s="21">
        <f>317*20*10</f>
        <v>63400</v>
      </c>
      <c r="E98" s="5">
        <v>-3.9E-2</v>
      </c>
      <c r="F98" s="5">
        <v>5.82</v>
      </c>
      <c r="H98" s="17">
        <f t="shared" si="7"/>
        <v>4.7781512503836439</v>
      </c>
      <c r="I98" s="15">
        <f t="shared" si="8"/>
        <v>4.8020892578817325</v>
      </c>
      <c r="J98" s="5"/>
      <c r="K98" s="5"/>
    </row>
    <row r="99" spans="1:11" x14ac:dyDescent="0.35">
      <c r="A99" s="14">
        <v>44635.8125</v>
      </c>
      <c r="B99" s="15">
        <f t="shared" si="9"/>
        <v>12.000000000058208</v>
      </c>
      <c r="C99" s="21" t="s">
        <v>33</v>
      </c>
      <c r="D99" s="21">
        <v>200000</v>
      </c>
      <c r="E99" s="5">
        <v>-5.3999999999999999E-2</v>
      </c>
      <c r="F99" s="5">
        <v>5.83</v>
      </c>
      <c r="H99" s="17" t="e">
        <f t="shared" si="7"/>
        <v>#VALUE!</v>
      </c>
      <c r="I99" s="15">
        <f t="shared" si="8"/>
        <v>5.3010299956639813</v>
      </c>
      <c r="J99" s="5"/>
      <c r="K99" s="5"/>
    </row>
    <row r="100" spans="1:11" x14ac:dyDescent="0.35">
      <c r="A100" s="14">
        <v>44636.329861111109</v>
      </c>
      <c r="B100" s="15">
        <f t="shared" si="9"/>
        <v>24.416666666686069</v>
      </c>
      <c r="C100" s="21">
        <f>7*20*100000</f>
        <v>14000000</v>
      </c>
      <c r="D100" s="21">
        <f>AVERAGE(8330000,10400000,10900000)</f>
        <v>9876666.666666666</v>
      </c>
      <c r="E100" s="5">
        <v>2.8000000000000001E-2</v>
      </c>
      <c r="F100" s="5">
        <v>5.61</v>
      </c>
      <c r="H100" s="17">
        <f t="shared" si="7"/>
        <v>7.1461280356782382</v>
      </c>
      <c r="I100" s="15">
        <f t="shared" si="8"/>
        <v>6.9946103967603888</v>
      </c>
      <c r="J100" s="5"/>
      <c r="K100" s="5"/>
    </row>
    <row r="101" spans="1:11" x14ac:dyDescent="0.35">
      <c r="A101" s="14">
        <v>44636.447916666664</v>
      </c>
      <c r="B101" s="15">
        <f t="shared" si="9"/>
        <v>27.25</v>
      </c>
      <c r="C101" s="22">
        <f>16*20*100000</f>
        <v>32000000</v>
      </c>
      <c r="D101" s="21">
        <f>AVERAGE(18900000,15700000,19800000)</f>
        <v>18133333.333333332</v>
      </c>
      <c r="E101" s="5">
        <v>7.5999999999999998E-2</v>
      </c>
      <c r="F101" s="5">
        <v>5.27</v>
      </c>
      <c r="H101" s="17">
        <f t="shared" si="7"/>
        <v>7.5051499783199063</v>
      </c>
      <c r="I101" s="15">
        <f t="shared" si="8"/>
        <v>7.2584776449785178</v>
      </c>
      <c r="J101" s="5"/>
      <c r="K101" s="5"/>
    </row>
    <row r="102" spans="1:11" x14ac:dyDescent="0.35">
      <c r="A102" s="14">
        <v>44636.5625</v>
      </c>
      <c r="B102" s="15">
        <f t="shared" si="9"/>
        <v>30.000000000058208</v>
      </c>
      <c r="C102" s="21">
        <f>50*20*100000</f>
        <v>100000000</v>
      </c>
      <c r="D102" s="21">
        <f>AVERAGE(22200000,24800000,21700000)</f>
        <v>22900000</v>
      </c>
      <c r="E102" s="5">
        <v>0.16800000000000001</v>
      </c>
      <c r="F102" s="5">
        <v>4.82</v>
      </c>
      <c r="H102" s="17">
        <f t="shared" si="7"/>
        <v>8</v>
      </c>
      <c r="I102" s="15">
        <f t="shared" si="8"/>
        <v>7.3598354823398884</v>
      </c>
      <c r="J102" s="5"/>
      <c r="K102" s="5"/>
    </row>
    <row r="103" spans="1:11" x14ac:dyDescent="0.35">
      <c r="A103" s="14">
        <v>44636.6875</v>
      </c>
      <c r="B103" s="15">
        <f t="shared" si="9"/>
        <v>33.000000000058208</v>
      </c>
      <c r="C103" s="21" t="s">
        <v>33</v>
      </c>
      <c r="D103" s="21" t="s">
        <v>33</v>
      </c>
      <c r="E103" s="5">
        <v>0.40300000000000002</v>
      </c>
      <c r="F103" s="15">
        <v>4.3</v>
      </c>
      <c r="H103" s="17" t="e">
        <f t="shared" si="7"/>
        <v>#VALUE!</v>
      </c>
      <c r="I103" s="15" t="e">
        <f t="shared" si="8"/>
        <v>#VALUE!</v>
      </c>
      <c r="J103" s="5"/>
      <c r="K103" s="5"/>
    </row>
    <row r="104" spans="1:11" x14ac:dyDescent="0.35">
      <c r="A104" s="14">
        <v>44636.805555555555</v>
      </c>
      <c r="B104" s="15">
        <f t="shared" si="9"/>
        <v>35.833333333372138</v>
      </c>
      <c r="C104" s="21">
        <f>68*20*100000</f>
        <v>136000000</v>
      </c>
      <c r="D104" s="21">
        <f>AVERAGE(34100000,30700000,31300000)</f>
        <v>32033333.333333332</v>
      </c>
      <c r="E104" s="5">
        <v>0.70899999999999996</v>
      </c>
      <c r="F104" s="5">
        <v>4.04</v>
      </c>
      <c r="H104" s="17">
        <f t="shared" si="7"/>
        <v>8.1335389083702179</v>
      </c>
      <c r="I104" s="15">
        <f t="shared" si="8"/>
        <v>7.5056021329488827</v>
      </c>
      <c r="J104" s="5"/>
      <c r="K104" s="5"/>
    </row>
    <row r="105" spans="1:11" x14ac:dyDescent="0.35">
      <c r="A105" s="14">
        <v>44637.333333333336</v>
      </c>
      <c r="B105" s="15">
        <f t="shared" si="9"/>
        <v>48.500000000116415</v>
      </c>
      <c r="C105" s="21">
        <f>90*20*100000</f>
        <v>180000000</v>
      </c>
      <c r="D105" s="21">
        <f>AVERAGE(21900000,17800000,18300000)</f>
        <v>19333333.333333332</v>
      </c>
      <c r="E105" s="5">
        <v>1.1819999999999999</v>
      </c>
      <c r="F105" s="5">
        <v>3.68</v>
      </c>
      <c r="H105" s="17">
        <f t="shared" si="7"/>
        <v>8.2552725051033065</v>
      </c>
      <c r="I105" s="15">
        <f t="shared" si="8"/>
        <v>7.2863067388432752</v>
      </c>
      <c r="J105" s="5"/>
      <c r="K105" s="5"/>
    </row>
    <row r="106" spans="1:11" x14ac:dyDescent="0.35">
      <c r="A106" s="14">
        <v>44637.5625</v>
      </c>
      <c r="B106" s="15">
        <f t="shared" si="9"/>
        <v>54.000000000058208</v>
      </c>
      <c r="C106" s="21" t="s">
        <v>33</v>
      </c>
      <c r="D106" s="21">
        <f>AVERAGE(21700000,19400000,25000000)</f>
        <v>22033333.333333332</v>
      </c>
      <c r="E106" s="5">
        <v>1.2270000000000001</v>
      </c>
      <c r="F106" s="5">
        <v>3.65</v>
      </c>
      <c r="H106" s="17" t="e">
        <f t="shared" si="7"/>
        <v>#VALUE!</v>
      </c>
      <c r="I106" s="15">
        <f t="shared" si="8"/>
        <v>7.343080204765978</v>
      </c>
      <c r="J106" s="5"/>
      <c r="K106" s="5"/>
    </row>
    <row r="107" spans="1:11" x14ac:dyDescent="0.35">
      <c r="H107" s="5"/>
      <c r="I107" s="5"/>
      <c r="J107" s="5"/>
      <c r="K107" s="5"/>
    </row>
    <row r="113" spans="1:11" x14ac:dyDescent="0.35">
      <c r="A113" t="s">
        <v>23</v>
      </c>
      <c r="B113" s="5" t="s">
        <v>24</v>
      </c>
      <c r="C113" s="5" t="s">
        <v>25</v>
      </c>
      <c r="D113" s="5" t="s">
        <v>26</v>
      </c>
      <c r="E113" s="5" t="s">
        <v>27</v>
      </c>
      <c r="F113" s="5" t="s">
        <v>28</v>
      </c>
      <c r="G113" s="5"/>
      <c r="H113" s="5" t="s">
        <v>29</v>
      </c>
      <c r="I113" s="5" t="s">
        <v>30</v>
      </c>
      <c r="J113" s="5" t="s">
        <v>13</v>
      </c>
      <c r="K113" s="5" t="s">
        <v>28</v>
      </c>
    </row>
    <row r="114" spans="1:11" x14ac:dyDescent="0.35">
      <c r="A114" s="14">
        <v>44635.354166666664</v>
      </c>
      <c r="B114" s="15">
        <f>0*24+1</f>
        <v>1</v>
      </c>
      <c r="C114" s="23">
        <f>125*20*100</f>
        <v>250000</v>
      </c>
      <c r="D114" s="21">
        <f>26*100</f>
        <v>2600</v>
      </c>
      <c r="E114" s="5">
        <v>1.0999999999999999E-2</v>
      </c>
      <c r="F114" s="15">
        <v>5.96</v>
      </c>
      <c r="H114" s="17">
        <f>LOG(C114)</f>
        <v>5.3979400086720375</v>
      </c>
      <c r="I114" s="15">
        <f>LOG(D114)</f>
        <v>3.4149733479708178</v>
      </c>
      <c r="J114" s="5"/>
      <c r="K114" s="5"/>
    </row>
    <row r="115" spans="1:11" x14ac:dyDescent="0.35">
      <c r="A115" s="14">
        <v>44635.447916666664</v>
      </c>
      <c r="B115" s="15">
        <f>(A115-$A$32)*24+1</f>
        <v>3.25</v>
      </c>
      <c r="C115" s="23">
        <f>192*20*100</f>
        <v>384000</v>
      </c>
      <c r="D115" s="21">
        <f>44*100</f>
        <v>4400</v>
      </c>
      <c r="E115" s="5">
        <v>2.1000000000000001E-2</v>
      </c>
      <c r="F115" s="15">
        <v>5.99</v>
      </c>
      <c r="H115" s="17">
        <f t="shared" ref="H115:H125" si="10">LOG(C115)</f>
        <v>5.5843312243675305</v>
      </c>
      <c r="I115" s="15">
        <f t="shared" ref="I115:I125" si="11">LOG(D115)</f>
        <v>3.6434526764861874</v>
      </c>
      <c r="J115" s="5"/>
      <c r="K115" s="5"/>
    </row>
    <row r="116" spans="1:11" x14ac:dyDescent="0.35">
      <c r="A116" s="14">
        <v>44635.5625</v>
      </c>
      <c r="B116" s="15">
        <f t="shared" ref="B116:B125" si="12">(A116-$A$32)*24+1</f>
        <v>6.0000000000582077</v>
      </c>
      <c r="C116" s="23">
        <f>157*20*1000</f>
        <v>3140000</v>
      </c>
      <c r="D116" s="21">
        <f>132*100</f>
        <v>13200</v>
      </c>
      <c r="E116" s="16">
        <v>6.9000000000000006E-2</v>
      </c>
      <c r="F116" s="5">
        <v>5.58</v>
      </c>
      <c r="H116" s="17">
        <f t="shared" si="10"/>
        <v>6.4969296480732153</v>
      </c>
      <c r="I116" s="15">
        <f t="shared" si="11"/>
        <v>4.1205739312058496</v>
      </c>
      <c r="J116" s="5"/>
      <c r="K116" s="5"/>
    </row>
    <row r="117" spans="1:11" x14ac:dyDescent="0.35">
      <c r="A117" s="14">
        <v>44635.6875</v>
      </c>
      <c r="B117" s="15">
        <f t="shared" si="12"/>
        <v>9.0000000000582077</v>
      </c>
      <c r="C117" s="23">
        <f>57*20*10000</f>
        <v>11400000</v>
      </c>
      <c r="D117" s="21">
        <f>15*20*100</f>
        <v>30000</v>
      </c>
      <c r="E117" s="5">
        <v>1.2999999999999999E-2</v>
      </c>
      <c r="F117" s="5">
        <v>5.81</v>
      </c>
      <c r="H117" s="17">
        <f t="shared" si="10"/>
        <v>7.0569048513364727</v>
      </c>
      <c r="I117" s="15">
        <f t="shared" si="11"/>
        <v>4.4771212547196626</v>
      </c>
      <c r="J117" s="5"/>
      <c r="K117" s="5"/>
    </row>
    <row r="118" spans="1:11" x14ac:dyDescent="0.35">
      <c r="A118" s="14">
        <v>44635.8125</v>
      </c>
      <c r="B118" s="15">
        <f t="shared" si="12"/>
        <v>12.000000000058208</v>
      </c>
      <c r="C118" s="23">
        <f>35000000</f>
        <v>35000000</v>
      </c>
      <c r="D118" s="21">
        <f>44*20*100</f>
        <v>88000</v>
      </c>
      <c r="E118" s="5">
        <v>5.8000000000000003E-2</v>
      </c>
      <c r="F118" s="5">
        <v>5.47</v>
      </c>
      <c r="H118" s="17">
        <f t="shared" si="10"/>
        <v>7.5440680443502757</v>
      </c>
      <c r="I118" s="15">
        <f t="shared" si="11"/>
        <v>4.9444826721501682</v>
      </c>
      <c r="J118" s="5"/>
      <c r="K118" s="5"/>
    </row>
    <row r="119" spans="1:11" x14ac:dyDescent="0.35">
      <c r="A119" s="14">
        <v>44636.329861111109</v>
      </c>
      <c r="B119" s="15">
        <f t="shared" si="12"/>
        <v>24.416666666686069</v>
      </c>
      <c r="C119" s="23">
        <f>69*20*100000</f>
        <v>138000000</v>
      </c>
      <c r="D119" s="21">
        <f>24*20*1000</f>
        <v>480000</v>
      </c>
      <c r="E119" s="5">
        <v>0.83</v>
      </c>
      <c r="F119" s="5">
        <v>3.99</v>
      </c>
      <c r="H119" s="17">
        <f t="shared" si="10"/>
        <v>8.1398790864012369</v>
      </c>
      <c r="I119" s="15">
        <f t="shared" si="11"/>
        <v>5.6812412373755876</v>
      </c>
      <c r="J119" s="5"/>
      <c r="K119" s="5"/>
    </row>
    <row r="120" spans="1:11" x14ac:dyDescent="0.35">
      <c r="A120" s="14">
        <v>44636.447916666664</v>
      </c>
      <c r="B120" s="15">
        <f t="shared" si="12"/>
        <v>27.25</v>
      </c>
      <c r="C120" s="23">
        <f>75*20*100000</f>
        <v>150000000</v>
      </c>
      <c r="D120" s="21">
        <f>14*20*1000</f>
        <v>280000</v>
      </c>
      <c r="E120" s="5">
        <v>0.92700000000000005</v>
      </c>
      <c r="F120" s="5">
        <v>3.92</v>
      </c>
      <c r="H120" s="17">
        <f t="shared" si="10"/>
        <v>8.1760912590556813</v>
      </c>
      <c r="I120" s="15">
        <f t="shared" si="11"/>
        <v>5.4471580313422194</v>
      </c>
      <c r="J120" s="5"/>
      <c r="K120" s="5"/>
    </row>
    <row r="121" spans="1:11" x14ac:dyDescent="0.35">
      <c r="A121" s="14">
        <v>44636.5625</v>
      </c>
      <c r="B121" s="15">
        <f t="shared" si="12"/>
        <v>30.000000000058208</v>
      </c>
      <c r="C121" s="21">
        <f>103*20*100000</f>
        <v>206000000</v>
      </c>
      <c r="D121" s="21">
        <f>21*20*1000</f>
        <v>420000</v>
      </c>
      <c r="E121" s="5">
        <v>1.032</v>
      </c>
      <c r="F121" s="5">
        <v>3.84</v>
      </c>
      <c r="H121" s="17">
        <f t="shared" si="10"/>
        <v>8.3138672203691542</v>
      </c>
      <c r="I121" s="15">
        <f t="shared" si="11"/>
        <v>5.6232492903979008</v>
      </c>
      <c r="J121" s="5"/>
      <c r="K121" s="5"/>
    </row>
    <row r="122" spans="1:11" x14ac:dyDescent="0.35">
      <c r="A122" s="14">
        <v>44636.6875</v>
      </c>
      <c r="B122" s="15">
        <f t="shared" si="12"/>
        <v>33.000000000058208</v>
      </c>
      <c r="C122" s="21">
        <f>91*20*100000</f>
        <v>182000000</v>
      </c>
      <c r="D122" s="21">
        <f>18*20*1000</f>
        <v>360000</v>
      </c>
      <c r="E122" s="5">
        <v>1.071</v>
      </c>
      <c r="F122" s="15">
        <v>3.77</v>
      </c>
      <c r="H122" s="17">
        <f t="shared" si="10"/>
        <v>8.2600713879850751</v>
      </c>
      <c r="I122" s="15">
        <f t="shared" si="11"/>
        <v>5.5563025007672868</v>
      </c>
      <c r="J122" s="5"/>
      <c r="K122" s="5"/>
    </row>
    <row r="123" spans="1:11" x14ac:dyDescent="0.35">
      <c r="A123" s="14">
        <v>44636.805555555555</v>
      </c>
      <c r="B123" s="15">
        <f t="shared" si="12"/>
        <v>35.833333333372138</v>
      </c>
      <c r="C123" s="21">
        <f>81*20*100000</f>
        <v>162000000</v>
      </c>
      <c r="D123" s="21">
        <f>11*20*1000</f>
        <v>220000</v>
      </c>
      <c r="E123" s="5">
        <v>1.141</v>
      </c>
      <c r="F123" s="5">
        <v>3.75</v>
      </c>
      <c r="H123" s="17">
        <f t="shared" si="10"/>
        <v>8.2095150145426317</v>
      </c>
      <c r="I123" s="15">
        <f t="shared" si="11"/>
        <v>5.3424226808222066</v>
      </c>
      <c r="J123" s="5"/>
      <c r="K123" s="5"/>
    </row>
    <row r="124" spans="1:11" x14ac:dyDescent="0.35">
      <c r="A124" s="14">
        <v>44637.333333333336</v>
      </c>
      <c r="B124" s="15">
        <f t="shared" si="12"/>
        <v>48.500000000116415</v>
      </c>
      <c r="C124" s="23">
        <f>150000000</f>
        <v>150000000</v>
      </c>
      <c r="D124" s="23">
        <f>133*20*100</f>
        <v>266000</v>
      </c>
      <c r="E124" s="5">
        <v>1.371</v>
      </c>
      <c r="F124" s="5">
        <v>3.68</v>
      </c>
      <c r="H124" s="17">
        <f t="shared" si="10"/>
        <v>8.1760912590556813</v>
      </c>
      <c r="I124" s="15">
        <f t="shared" si="11"/>
        <v>5.424881636631067</v>
      </c>
      <c r="J124" s="5"/>
      <c r="K124" s="5"/>
    </row>
    <row r="125" spans="1:11" x14ac:dyDescent="0.35">
      <c r="A125" s="14">
        <v>44637.5625</v>
      </c>
      <c r="B125" s="15">
        <f t="shared" si="12"/>
        <v>54.000000000058208</v>
      </c>
      <c r="C125" s="21">
        <f>62*20*100000</f>
        <v>124000000</v>
      </c>
      <c r="D125" s="21">
        <f>17*20*1000</f>
        <v>340000</v>
      </c>
      <c r="E125" s="5">
        <v>1.292</v>
      </c>
      <c r="F125" s="5">
        <v>368</v>
      </c>
      <c r="H125" s="17">
        <f t="shared" si="10"/>
        <v>8.0934216851622356</v>
      </c>
      <c r="I125" s="15">
        <f t="shared" si="11"/>
        <v>5.5314789170422554</v>
      </c>
      <c r="J125" s="5"/>
      <c r="K125" s="5"/>
    </row>
    <row r="127" spans="1:11" x14ac:dyDescent="0.35">
      <c r="E127" t="s">
        <v>31</v>
      </c>
      <c r="F127">
        <f>MIN(F114:F125)</f>
        <v>3.68</v>
      </c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A3E2-C20C-4226-935D-60D85B5E9AC0}">
  <dimension ref="A1:K128"/>
  <sheetViews>
    <sheetView topLeftCell="A74" zoomScale="110" zoomScaleNormal="110" workbookViewId="0">
      <selection activeCell="H131" sqref="H131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44635.354166666664</v>
      </c>
      <c r="B10" s="15">
        <f>0*24+1</f>
        <v>1</v>
      </c>
      <c r="C10" s="21">
        <f>94*20*100</f>
        <v>188000</v>
      </c>
      <c r="D10" s="28"/>
      <c r="E10" s="16">
        <v>0.02</v>
      </c>
      <c r="F10" s="5">
        <v>5.83</v>
      </c>
      <c r="H10" s="15">
        <f>LOG(C10)</f>
        <v>5.2741578492636796</v>
      </c>
    </row>
    <row r="11" spans="1:11" x14ac:dyDescent="0.35">
      <c r="A11" s="14">
        <v>44635.447916666664</v>
      </c>
      <c r="B11" s="15">
        <f>(A11-$A$10)*24+1</f>
        <v>3.25</v>
      </c>
      <c r="C11" s="28"/>
      <c r="D11" s="28"/>
      <c r="E11" s="16">
        <v>7.2999999999999995E-2</v>
      </c>
      <c r="F11" s="5">
        <v>5.86</v>
      </c>
      <c r="H11" s="28"/>
    </row>
    <row r="12" spans="1:11" x14ac:dyDescent="0.35">
      <c r="A12" s="14">
        <v>44635.5625</v>
      </c>
      <c r="B12" s="15">
        <f>(A12-$A$10)*24+1</f>
        <v>6.0000000000582077</v>
      </c>
      <c r="C12" s="28"/>
      <c r="D12" s="28"/>
      <c r="E12" s="16">
        <v>1E-3</v>
      </c>
      <c r="F12" s="5">
        <v>5.81</v>
      </c>
      <c r="H12" s="28"/>
    </row>
    <row r="13" spans="1:11" x14ac:dyDescent="0.35">
      <c r="A13" s="14">
        <v>44635.6875</v>
      </c>
      <c r="B13" s="15">
        <f>(A13-$A$10)*24+1</f>
        <v>9.0000000000582077</v>
      </c>
      <c r="C13" s="28"/>
      <c r="D13" s="28"/>
      <c r="E13" s="16">
        <v>-3.0000000000000001E-3</v>
      </c>
      <c r="F13" s="5">
        <v>5.76</v>
      </c>
      <c r="H13" s="28"/>
    </row>
    <row r="14" spans="1:11" x14ac:dyDescent="0.35">
      <c r="A14" s="14">
        <v>44635.8125</v>
      </c>
      <c r="B14" s="15">
        <f t="shared" ref="B14:B21" si="0">(A14-$A$10)*24+1</f>
        <v>12.000000000058208</v>
      </c>
      <c r="C14" s="21">
        <f>40*20*10^4</f>
        <v>8000000</v>
      </c>
      <c r="D14" s="28"/>
      <c r="E14" s="16">
        <v>6.0000000000000001E-3</v>
      </c>
      <c r="F14" s="15">
        <v>5.7</v>
      </c>
      <c r="H14" s="15">
        <f>LOG(C14)</f>
        <v>6.9030899869919438</v>
      </c>
    </row>
    <row r="15" spans="1:11" x14ac:dyDescent="0.35">
      <c r="A15" s="14">
        <v>44636.329861111109</v>
      </c>
      <c r="B15" s="15">
        <f t="shared" si="0"/>
        <v>24.416666666686069</v>
      </c>
      <c r="C15" s="21">
        <f>91*20*100000</f>
        <v>182000000</v>
      </c>
      <c r="D15" s="28"/>
      <c r="E15" s="16">
        <v>0.66700000000000004</v>
      </c>
      <c r="F15" s="5">
        <v>4.16</v>
      </c>
      <c r="H15" s="15">
        <f>LOG(C15)</f>
        <v>8.2600713879850751</v>
      </c>
    </row>
    <row r="16" spans="1:11" x14ac:dyDescent="0.35">
      <c r="A16" s="14">
        <v>44636.447916666664</v>
      </c>
      <c r="B16" s="15">
        <f t="shared" si="0"/>
        <v>27.25</v>
      </c>
      <c r="C16" s="28"/>
      <c r="D16" s="28"/>
      <c r="E16" s="16">
        <v>0.72499999999999998</v>
      </c>
      <c r="F16" s="5">
        <v>4.07</v>
      </c>
      <c r="H16" s="28"/>
    </row>
    <row r="17" spans="1:11" x14ac:dyDescent="0.35">
      <c r="A17" s="14">
        <v>44636.5625</v>
      </c>
      <c r="B17" s="15">
        <f t="shared" si="0"/>
        <v>30.000000000058208</v>
      </c>
      <c r="C17" s="28"/>
      <c r="D17" s="28"/>
      <c r="E17" s="16">
        <v>0.81399999999999995</v>
      </c>
      <c r="F17" s="5">
        <v>3.99</v>
      </c>
      <c r="H17" s="28"/>
    </row>
    <row r="18" spans="1:11" x14ac:dyDescent="0.35">
      <c r="A18" s="14">
        <v>44636.6875</v>
      </c>
      <c r="B18" s="15">
        <f t="shared" si="0"/>
        <v>33.000000000058208</v>
      </c>
      <c r="C18" s="28"/>
      <c r="D18" s="28"/>
      <c r="E18" s="5">
        <v>0.92600000000000005</v>
      </c>
      <c r="F18" s="5">
        <v>3.95</v>
      </c>
      <c r="H18" s="28"/>
    </row>
    <row r="19" spans="1:11" x14ac:dyDescent="0.35">
      <c r="A19" s="14">
        <v>44636.805555555555</v>
      </c>
      <c r="B19" s="15">
        <f t="shared" si="0"/>
        <v>35.833333333372138</v>
      </c>
      <c r="C19" s="21">
        <f>100*20*100000</f>
        <v>200000000</v>
      </c>
      <c r="D19" s="28"/>
      <c r="E19" s="5">
        <v>1.004</v>
      </c>
      <c r="F19" s="5">
        <v>3.91</v>
      </c>
      <c r="H19" s="15">
        <f>LOG(C19)</f>
        <v>8.3010299956639813</v>
      </c>
    </row>
    <row r="20" spans="1:11" x14ac:dyDescent="0.35">
      <c r="A20" s="14">
        <v>44637.333333333336</v>
      </c>
      <c r="B20" s="15">
        <f t="shared" si="0"/>
        <v>48.500000000116415</v>
      </c>
      <c r="C20" s="21">
        <f>71*20*100000</f>
        <v>142000000</v>
      </c>
      <c r="D20" s="28"/>
      <c r="E20" s="16">
        <v>1.17</v>
      </c>
      <c r="F20" s="5">
        <v>3.67</v>
      </c>
      <c r="H20" s="15">
        <f t="shared" ref="H20:H21" si="1">LOG(C20)</f>
        <v>8.1522883443830558</v>
      </c>
    </row>
    <row r="21" spans="1:11" x14ac:dyDescent="0.35">
      <c r="A21" s="14">
        <v>44637.5625</v>
      </c>
      <c r="B21" s="15">
        <f t="shared" si="0"/>
        <v>54.000000000058208</v>
      </c>
      <c r="C21" s="21">
        <f>82*20*100000</f>
        <v>164000000</v>
      </c>
      <c r="D21" s="28"/>
      <c r="E21" s="5">
        <v>1.323</v>
      </c>
      <c r="F21" s="5">
        <v>3.66</v>
      </c>
      <c r="H21" s="15">
        <f t="shared" si="1"/>
        <v>8.214843848047698</v>
      </c>
    </row>
    <row r="22" spans="1:11" x14ac:dyDescent="0.35">
      <c r="B22" s="5"/>
      <c r="C22" s="5"/>
    </row>
    <row r="23" spans="1:11" x14ac:dyDescent="0.35">
      <c r="B23" s="5"/>
      <c r="C23" s="5"/>
      <c r="E23" t="s">
        <v>31</v>
      </c>
      <c r="F23">
        <f>MIN(F10:F21)</f>
        <v>3.66</v>
      </c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44635.354166666664</v>
      </c>
      <c r="B32" s="15">
        <f>0*(24)+1</f>
        <v>1</v>
      </c>
      <c r="C32" s="21">
        <f>5*20*100</f>
        <v>10000</v>
      </c>
      <c r="D32" s="28"/>
      <c r="E32" s="5">
        <v>2.1000000000000001E-2</v>
      </c>
      <c r="F32" s="5">
        <v>5.81</v>
      </c>
      <c r="H32" s="15">
        <f>LOG(C32)</f>
        <v>4</v>
      </c>
      <c r="I32" s="5"/>
      <c r="J32" s="5"/>
      <c r="K32" s="5"/>
    </row>
    <row r="33" spans="1:11" x14ac:dyDescent="0.35">
      <c r="A33" s="14">
        <v>44635.447916666664</v>
      </c>
      <c r="B33" s="15">
        <f>(A33-$A$10)*(24)+1</f>
        <v>3.25</v>
      </c>
      <c r="C33" s="28"/>
      <c r="D33" s="28"/>
      <c r="E33" s="5">
        <v>1.7000000000000001E-2</v>
      </c>
      <c r="F33" s="5">
        <v>5.85</v>
      </c>
      <c r="H33" s="28"/>
      <c r="I33" s="5"/>
      <c r="J33" s="5"/>
      <c r="K33" s="5"/>
    </row>
    <row r="34" spans="1:11" x14ac:dyDescent="0.35">
      <c r="A34" s="14">
        <v>44635.5625</v>
      </c>
      <c r="B34" s="15">
        <f>(A34-$A$10)*(24)+1</f>
        <v>6.0000000000582077</v>
      </c>
      <c r="C34" s="28"/>
      <c r="D34" s="28"/>
      <c r="E34" s="5">
        <v>-7.0000000000000001E-3</v>
      </c>
      <c r="F34" s="5">
        <v>5.83</v>
      </c>
      <c r="H34" s="28"/>
      <c r="I34" s="5"/>
      <c r="J34" s="5"/>
      <c r="K34" s="5"/>
    </row>
    <row r="35" spans="1:11" x14ac:dyDescent="0.35">
      <c r="A35" s="14">
        <v>44635.6875</v>
      </c>
      <c r="B35" s="15">
        <f>(A35-$A$10)*(24)+1</f>
        <v>9.0000000000582077</v>
      </c>
      <c r="C35" s="28"/>
      <c r="D35" s="28"/>
      <c r="E35" s="5">
        <v>1E-3</v>
      </c>
      <c r="F35" s="5">
        <v>5.81</v>
      </c>
      <c r="H35" s="28"/>
      <c r="I35" s="5"/>
      <c r="J35" s="5"/>
      <c r="K35" s="5"/>
    </row>
    <row r="36" spans="1:11" x14ac:dyDescent="0.35">
      <c r="A36" s="14">
        <v>44635.8125</v>
      </c>
      <c r="B36" s="15">
        <f t="shared" ref="B36:B43" si="2">(A36-$A$10)*(24)+1</f>
        <v>12.000000000058208</v>
      </c>
      <c r="C36" s="21">
        <f>2*20*10^4</f>
        <v>400000</v>
      </c>
      <c r="D36" s="28"/>
      <c r="E36" s="5">
        <v>4.0000000000000001E-3</v>
      </c>
      <c r="F36" s="5">
        <v>5.52</v>
      </c>
      <c r="H36" s="15">
        <f>LOG(C36)</f>
        <v>5.6020599913279625</v>
      </c>
      <c r="I36" s="5"/>
      <c r="J36" s="5"/>
      <c r="K36" s="5"/>
    </row>
    <row r="37" spans="1:11" x14ac:dyDescent="0.35">
      <c r="A37" s="14">
        <v>44636.329861111109</v>
      </c>
      <c r="B37" s="15">
        <f t="shared" si="2"/>
        <v>24.416666666686069</v>
      </c>
      <c r="C37" s="21">
        <v>38000000</v>
      </c>
      <c r="D37" s="28"/>
      <c r="E37" s="5">
        <v>3.5999999999999997E-2</v>
      </c>
      <c r="F37" s="5">
        <v>5.57</v>
      </c>
      <c r="H37" s="15">
        <f>LOG(C37)</f>
        <v>7.5797835966168101</v>
      </c>
      <c r="I37" s="5"/>
      <c r="J37" s="5"/>
      <c r="K37" s="5"/>
    </row>
    <row r="38" spans="1:11" x14ac:dyDescent="0.35">
      <c r="A38" s="14">
        <v>44636.447916666664</v>
      </c>
      <c r="B38" s="15">
        <f t="shared" si="2"/>
        <v>27.25</v>
      </c>
      <c r="C38" s="28"/>
      <c r="D38" s="28"/>
      <c r="E38" s="5">
        <v>0.188</v>
      </c>
      <c r="F38" s="15">
        <v>5.2</v>
      </c>
      <c r="H38" s="28"/>
      <c r="I38" s="5"/>
      <c r="J38" s="5"/>
      <c r="K38" s="5"/>
    </row>
    <row r="39" spans="1:11" x14ac:dyDescent="0.35">
      <c r="A39" s="14">
        <v>44636.5625</v>
      </c>
      <c r="B39" s="15">
        <f t="shared" si="2"/>
        <v>30.000000000058208</v>
      </c>
      <c r="C39" s="28"/>
      <c r="D39" s="28"/>
      <c r="E39" s="5">
        <v>0.17399999999999999</v>
      </c>
      <c r="F39" s="5">
        <v>4.7300000000000004</v>
      </c>
      <c r="H39" s="28"/>
      <c r="I39" s="5"/>
      <c r="J39" s="5"/>
      <c r="K39" s="5"/>
    </row>
    <row r="40" spans="1:11" x14ac:dyDescent="0.35">
      <c r="A40" s="14">
        <v>44636.6875</v>
      </c>
      <c r="B40" s="15">
        <f t="shared" si="2"/>
        <v>33.000000000058208</v>
      </c>
      <c r="C40" s="28"/>
      <c r="D40" s="28"/>
      <c r="E40" s="5">
        <v>0.40500000000000003</v>
      </c>
      <c r="F40" s="5">
        <v>4.29</v>
      </c>
      <c r="H40" s="28"/>
      <c r="I40" s="5"/>
      <c r="J40" s="5"/>
      <c r="K40" s="5"/>
    </row>
    <row r="41" spans="1:11" x14ac:dyDescent="0.35">
      <c r="A41" s="14">
        <v>44636.805555555555</v>
      </c>
      <c r="B41" s="15">
        <f t="shared" si="2"/>
        <v>35.833333333372138</v>
      </c>
      <c r="C41" s="21">
        <f>100*20*100000</f>
        <v>200000000</v>
      </c>
      <c r="D41" s="28"/>
      <c r="E41" s="5">
        <v>0.67400000000000004</v>
      </c>
      <c r="F41" s="5">
        <v>4.05</v>
      </c>
      <c r="H41" s="15">
        <f>LOG(C41)</f>
        <v>8.3010299956639813</v>
      </c>
      <c r="I41" s="5"/>
      <c r="J41" s="5"/>
      <c r="K41" s="5"/>
    </row>
    <row r="42" spans="1:11" x14ac:dyDescent="0.35">
      <c r="A42" s="14">
        <v>44637.333333333336</v>
      </c>
      <c r="B42" s="15">
        <f t="shared" si="2"/>
        <v>48.500000000116415</v>
      </c>
      <c r="C42" s="21">
        <f>70*20*100000</f>
        <v>140000000</v>
      </c>
      <c r="D42" s="28"/>
      <c r="E42" s="5">
        <v>1.077</v>
      </c>
      <c r="F42" s="5">
        <v>3.67</v>
      </c>
      <c r="H42" s="15">
        <f>LOG(C42)</f>
        <v>8.1461280356782382</v>
      </c>
      <c r="I42" s="5"/>
      <c r="J42" s="5"/>
      <c r="K42" s="5"/>
    </row>
    <row r="43" spans="1:11" x14ac:dyDescent="0.35">
      <c r="A43" s="14">
        <v>44637.5625</v>
      </c>
      <c r="B43" s="15">
        <f t="shared" si="2"/>
        <v>54.000000000058208</v>
      </c>
      <c r="C43" s="21">
        <f>92*20*100000</f>
        <v>184000000</v>
      </c>
      <c r="D43" s="28"/>
      <c r="E43" s="5">
        <v>1.2989999999999999</v>
      </c>
      <c r="F43" s="5">
        <v>3.61</v>
      </c>
      <c r="H43" s="15">
        <f>LOG(C43)</f>
        <v>8.2648178230095368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E45" t="s">
        <v>31</v>
      </c>
      <c r="F45">
        <f>MIN(F32:F43)</f>
        <v>3.61</v>
      </c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44635.354166666664</v>
      </c>
      <c r="B52" s="15">
        <f>0*(24)+1</f>
        <v>1</v>
      </c>
      <c r="C52" s="29"/>
      <c r="D52" s="21">
        <f>29*20*10</f>
        <v>5800</v>
      </c>
      <c r="E52" s="5">
        <v>1.4E-2</v>
      </c>
      <c r="F52" s="5">
        <v>5.82</v>
      </c>
      <c r="H52" s="15">
        <f>LOG(D52)</f>
        <v>3.7634279935629373</v>
      </c>
    </row>
    <row r="53" spans="1:11" x14ac:dyDescent="0.35">
      <c r="A53" s="14">
        <v>44635.447916666664</v>
      </c>
      <c r="B53" s="15">
        <f>(A53-$A$10)*(24)+1</f>
        <v>3.25</v>
      </c>
      <c r="C53" s="29"/>
      <c r="D53" s="29"/>
      <c r="E53" s="5">
        <v>6.0000000000000001E-3</v>
      </c>
      <c r="F53" s="5">
        <v>5.82</v>
      </c>
      <c r="H53" s="29"/>
    </row>
    <row r="54" spans="1:11" x14ac:dyDescent="0.35">
      <c r="A54" s="14">
        <v>44635.5625</v>
      </c>
      <c r="B54" s="15">
        <f>(A54-$A$10)*(24)+1</f>
        <v>6.0000000000582077</v>
      </c>
      <c r="C54" s="29"/>
      <c r="D54" s="29"/>
      <c r="E54" s="5">
        <v>-2.8000000000000001E-2</v>
      </c>
      <c r="F54" s="5">
        <v>5.83</v>
      </c>
      <c r="H54" s="29"/>
    </row>
    <row r="55" spans="1:11" x14ac:dyDescent="0.35">
      <c r="A55" s="14">
        <v>44635.6875</v>
      </c>
      <c r="B55" s="15">
        <f>(A55-$A$10)*(24)+1</f>
        <v>9.0000000000582077</v>
      </c>
      <c r="C55" s="29"/>
      <c r="D55" s="29"/>
      <c r="E55" s="5">
        <v>-1E-3</v>
      </c>
      <c r="F55" s="5">
        <v>5.84</v>
      </c>
      <c r="H55" s="29"/>
    </row>
    <row r="56" spans="1:11" x14ac:dyDescent="0.35">
      <c r="A56" s="14">
        <v>44635.8125</v>
      </c>
      <c r="B56" s="15">
        <f t="shared" ref="B56:B63" si="3">(A56-$A$10)*(24)+1</f>
        <v>12.000000000058208</v>
      </c>
      <c r="C56" s="29"/>
      <c r="D56" s="21">
        <f>2.4*10^5</f>
        <v>240000</v>
      </c>
      <c r="E56" s="5">
        <v>-1.7000000000000001E-2</v>
      </c>
      <c r="F56" s="5">
        <v>5.84</v>
      </c>
      <c r="H56" s="15">
        <f>LOG(D56)</f>
        <v>5.3802112417116064</v>
      </c>
    </row>
    <row r="57" spans="1:11" x14ac:dyDescent="0.35">
      <c r="A57" s="14">
        <v>44636.329861111109</v>
      </c>
      <c r="B57" s="15">
        <f t="shared" si="3"/>
        <v>24.416666666686069</v>
      </c>
      <c r="C57" s="29"/>
      <c r="D57" s="21">
        <f>75*20*10000</f>
        <v>15000000</v>
      </c>
      <c r="E57" s="5">
        <v>0</v>
      </c>
      <c r="F57" s="5">
        <v>5.78</v>
      </c>
      <c r="H57" s="15">
        <f>LOG(D57)</f>
        <v>7.1760912590556813</v>
      </c>
    </row>
    <row r="58" spans="1:11" x14ac:dyDescent="0.35">
      <c r="A58" s="14">
        <v>44636.447916666664</v>
      </c>
      <c r="B58" s="15">
        <f t="shared" si="3"/>
        <v>27.25</v>
      </c>
      <c r="C58" s="29"/>
      <c r="D58" s="29"/>
      <c r="E58" s="5">
        <v>5.8999999999999997E-2</v>
      </c>
      <c r="F58" s="5">
        <v>5.77</v>
      </c>
      <c r="H58" s="29"/>
    </row>
    <row r="59" spans="1:11" x14ac:dyDescent="0.35">
      <c r="A59" s="14">
        <v>44636.5625</v>
      </c>
      <c r="B59" s="15">
        <f t="shared" si="3"/>
        <v>30.000000000058208</v>
      </c>
      <c r="C59" s="29"/>
      <c r="D59" s="29"/>
      <c r="E59" s="5">
        <v>-8.0000000000000002E-3</v>
      </c>
      <c r="F59" s="5">
        <v>5.67</v>
      </c>
      <c r="H59" s="29"/>
    </row>
    <row r="60" spans="1:11" x14ac:dyDescent="0.35">
      <c r="A60" s="14">
        <v>44636.6875</v>
      </c>
      <c r="B60" s="15">
        <f t="shared" si="3"/>
        <v>33.000000000058208</v>
      </c>
      <c r="C60" s="29"/>
      <c r="D60" s="29"/>
      <c r="E60" s="5">
        <v>2.9000000000000001E-2</v>
      </c>
      <c r="F60" s="5">
        <v>5.41</v>
      </c>
      <c r="H60" s="29"/>
    </row>
    <row r="61" spans="1:11" x14ac:dyDescent="0.35">
      <c r="A61" s="14">
        <v>44636.805555555555</v>
      </c>
      <c r="B61" s="15">
        <f t="shared" si="3"/>
        <v>35.833333333372138</v>
      </c>
      <c r="C61" s="29"/>
      <c r="D61" s="21">
        <f>AVERAGE(239000000,226000000,216000000)</f>
        <v>227000000</v>
      </c>
      <c r="E61" s="16">
        <v>0.04</v>
      </c>
      <c r="F61" s="15">
        <v>5.0999999999999996</v>
      </c>
      <c r="H61" s="15">
        <f>LOG(D61)</f>
        <v>8.3560258571931225</v>
      </c>
    </row>
    <row r="62" spans="1:11" x14ac:dyDescent="0.35">
      <c r="A62" s="14">
        <v>44637.333333333336</v>
      </c>
      <c r="B62" s="15">
        <f t="shared" si="3"/>
        <v>48.500000000116415</v>
      </c>
      <c r="C62" s="29"/>
      <c r="D62" s="21">
        <f>287*20*100000</f>
        <v>574000000</v>
      </c>
      <c r="E62" s="5">
        <v>0.23799999999999999</v>
      </c>
      <c r="F62" s="5">
        <v>4.38</v>
      </c>
      <c r="H62" s="15">
        <f>LOG(D62)</f>
        <v>8.7589118923979736</v>
      </c>
    </row>
    <row r="63" spans="1:11" x14ac:dyDescent="0.35">
      <c r="A63" s="14">
        <v>44637.5625</v>
      </c>
      <c r="B63" s="15">
        <f t="shared" si="3"/>
        <v>54.000000000058208</v>
      </c>
      <c r="C63" s="28"/>
      <c r="D63" s="21">
        <f>255*20*100000</f>
        <v>510000000</v>
      </c>
      <c r="E63" s="5">
        <v>0.38</v>
      </c>
      <c r="F63" s="5">
        <v>4.24</v>
      </c>
      <c r="H63" s="15">
        <f>LOG(D63)</f>
        <v>8.7075701760979367</v>
      </c>
    </row>
    <row r="65" spans="1:11" x14ac:dyDescent="0.35">
      <c r="E65" t="s">
        <v>31</v>
      </c>
      <c r="F65">
        <f>MIN(F52:F63)</f>
        <v>4.24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44635.354166666664</v>
      </c>
      <c r="B73" s="15">
        <f>0*24+1</f>
        <v>1</v>
      </c>
      <c r="C73" s="21">
        <f>115*20*100</f>
        <v>230000</v>
      </c>
      <c r="D73" s="21">
        <f>24*20*10</f>
        <v>4800</v>
      </c>
      <c r="E73" s="5">
        <v>7.4999999999999997E-2</v>
      </c>
      <c r="F73" s="5">
        <v>5.81</v>
      </c>
      <c r="H73" s="15">
        <f>LOG(C73)</f>
        <v>5.3617278360175931</v>
      </c>
      <c r="I73" s="15">
        <f>LOG(D73)</f>
        <v>3.6812412373755872</v>
      </c>
    </row>
    <row r="74" spans="1:11" x14ac:dyDescent="0.35">
      <c r="A74" s="14">
        <v>44635.447916666664</v>
      </c>
      <c r="B74" s="15">
        <f>(A74-$A$10)*24+1</f>
        <v>3.25</v>
      </c>
      <c r="C74" s="21">
        <f>225*20*100</f>
        <v>450000</v>
      </c>
      <c r="D74" s="21">
        <f>32*20*10</f>
        <v>6400</v>
      </c>
      <c r="E74" s="5">
        <v>1.2999999999999999E-2</v>
      </c>
      <c r="F74" s="5">
        <v>5.83</v>
      </c>
      <c r="H74" s="15">
        <f t="shared" ref="H74:H84" si="4">LOG(C74)</f>
        <v>5.653212513775344</v>
      </c>
      <c r="I74" s="15">
        <f t="shared" ref="I74:I84" si="5">LOG(D74)</f>
        <v>3.8061799739838871</v>
      </c>
    </row>
    <row r="75" spans="1:11" x14ac:dyDescent="0.35">
      <c r="A75" s="14">
        <v>44635.5625</v>
      </c>
      <c r="B75" s="15">
        <f>(A75-$A$10)*24+1</f>
        <v>6.0000000000582077</v>
      </c>
      <c r="C75" s="21">
        <f>72*20*10^3</f>
        <v>1440000</v>
      </c>
      <c r="D75" s="21">
        <f>99*20*10</f>
        <v>19800</v>
      </c>
      <c r="E75" s="5">
        <v>-8.0000000000000002E-3</v>
      </c>
      <c r="F75" s="15">
        <v>5.8</v>
      </c>
      <c r="H75" s="15">
        <f t="shared" si="4"/>
        <v>6.1583624920952493</v>
      </c>
      <c r="I75" s="15">
        <f t="shared" si="5"/>
        <v>4.2966651902615309</v>
      </c>
    </row>
    <row r="76" spans="1:11" x14ac:dyDescent="0.35">
      <c r="A76" s="14">
        <v>44635.6875</v>
      </c>
      <c r="B76" s="15">
        <f>(A76-$A$10)*24+1</f>
        <v>9.0000000000582077</v>
      </c>
      <c r="C76" s="21">
        <f>154*20*10^3</f>
        <v>3080000</v>
      </c>
      <c r="D76" s="21">
        <f>225*20*10</f>
        <v>45000</v>
      </c>
      <c r="E76" s="5">
        <v>-8.9999999999999993E-3</v>
      </c>
      <c r="F76" s="5">
        <v>5.75</v>
      </c>
      <c r="H76" s="15">
        <f t="shared" si="4"/>
        <v>6.4885507165004439</v>
      </c>
      <c r="I76" s="15">
        <f t="shared" si="5"/>
        <v>4.653212513775344</v>
      </c>
    </row>
    <row r="77" spans="1:11" x14ac:dyDescent="0.35">
      <c r="A77" s="14">
        <v>44635.8125</v>
      </c>
      <c r="B77" s="15">
        <f t="shared" ref="B77:B84" si="6">(A77-$A$10)*24+1</f>
        <v>12.000000000058208</v>
      </c>
      <c r="C77" s="21">
        <f>35*20*10000</f>
        <v>7000000</v>
      </c>
      <c r="D77" s="21">
        <f>508*10*10</f>
        <v>50800</v>
      </c>
      <c r="E77" s="5">
        <v>3.9E-2</v>
      </c>
      <c r="F77" s="5">
        <v>5.64</v>
      </c>
      <c r="H77" s="15">
        <f t="shared" si="4"/>
        <v>6.8450980400142569</v>
      </c>
      <c r="I77" s="15">
        <f t="shared" si="5"/>
        <v>4.7058637122839189</v>
      </c>
    </row>
    <row r="78" spans="1:11" x14ac:dyDescent="0.35">
      <c r="A78" s="14">
        <v>44636.329861111109</v>
      </c>
      <c r="B78" s="15">
        <f t="shared" si="6"/>
        <v>24.416666666686069</v>
      </c>
      <c r="C78" s="21">
        <f>97*20*100000</f>
        <v>194000000</v>
      </c>
      <c r="D78" s="22">
        <f>18*2*10</f>
        <v>360</v>
      </c>
      <c r="E78" s="5">
        <v>0.65800000000000003</v>
      </c>
      <c r="F78" s="5">
        <v>4.16</v>
      </c>
      <c r="H78" s="15">
        <f t="shared" si="4"/>
        <v>8.2878017299302265</v>
      </c>
      <c r="I78" s="15">
        <f t="shared" si="5"/>
        <v>2.5563025007672873</v>
      </c>
    </row>
    <row r="79" spans="1:11" x14ac:dyDescent="0.35">
      <c r="A79" s="14">
        <v>44636.447916666664</v>
      </c>
      <c r="B79" s="15">
        <f t="shared" si="6"/>
        <v>27.25</v>
      </c>
      <c r="C79" s="21">
        <f>68*20*100000</f>
        <v>136000000</v>
      </c>
      <c r="D79" s="22">
        <f>1*2*10</f>
        <v>20</v>
      </c>
      <c r="E79" s="5">
        <v>0.752</v>
      </c>
      <c r="F79" s="5">
        <v>4.09</v>
      </c>
      <c r="H79" s="15">
        <f t="shared" si="4"/>
        <v>8.1335389083702179</v>
      </c>
      <c r="I79" s="15">
        <f t="shared" si="5"/>
        <v>1.3010299956639813</v>
      </c>
    </row>
    <row r="80" spans="1:11" x14ac:dyDescent="0.35">
      <c r="A80" s="14">
        <v>44636.5625</v>
      </c>
      <c r="B80" s="15">
        <f t="shared" si="6"/>
        <v>30.000000000058208</v>
      </c>
      <c r="C80" s="21">
        <f>84*20*100000</f>
        <v>168000000</v>
      </c>
      <c r="D80" s="22">
        <f>7/5</f>
        <v>1.4</v>
      </c>
      <c r="E80" s="5">
        <v>0.82399999999999995</v>
      </c>
      <c r="F80" s="5">
        <v>3.98</v>
      </c>
      <c r="H80" s="15">
        <f t="shared" si="4"/>
        <v>8.2253092817258633</v>
      </c>
      <c r="I80" s="15">
        <f t="shared" si="5"/>
        <v>0.14612803567823801</v>
      </c>
    </row>
    <row r="81" spans="1:11" x14ac:dyDescent="0.35">
      <c r="A81" s="14">
        <v>44636.6875</v>
      </c>
      <c r="B81" s="15">
        <f t="shared" si="6"/>
        <v>33.000000000058208</v>
      </c>
      <c r="C81" s="21">
        <f>89*20*100000</f>
        <v>178000000</v>
      </c>
      <c r="D81" s="22">
        <f>14/5</f>
        <v>2.8</v>
      </c>
      <c r="E81" s="5">
        <v>1.0549999999999999</v>
      </c>
      <c r="F81" s="5">
        <v>3.94</v>
      </c>
      <c r="H81" s="15">
        <f t="shared" si="4"/>
        <v>8.2504200023088945</v>
      </c>
      <c r="I81" s="15">
        <f t="shared" si="5"/>
        <v>0.44715803134221921</v>
      </c>
    </row>
    <row r="82" spans="1:11" x14ac:dyDescent="0.35">
      <c r="A82" s="14">
        <v>44636.805555555555</v>
      </c>
      <c r="B82" s="15">
        <f t="shared" si="6"/>
        <v>35.833333333372138</v>
      </c>
      <c r="C82" s="21">
        <f>89*20*100000</f>
        <v>178000000</v>
      </c>
      <c r="D82" s="22">
        <f>AVERAGE(1*2,22/5)</f>
        <v>3.2</v>
      </c>
      <c r="E82" s="5">
        <v>1.054</v>
      </c>
      <c r="F82" s="5">
        <v>3.89</v>
      </c>
      <c r="H82" s="15">
        <f t="shared" si="4"/>
        <v>8.2504200023088945</v>
      </c>
      <c r="I82" s="15">
        <f t="shared" si="5"/>
        <v>0.50514997831990605</v>
      </c>
    </row>
    <row r="83" spans="1:11" x14ac:dyDescent="0.35">
      <c r="A83" s="14">
        <v>44637.333333333336</v>
      </c>
      <c r="B83" s="15">
        <f t="shared" si="6"/>
        <v>48.500000000116415</v>
      </c>
      <c r="C83" s="21">
        <f>83*20*100000</f>
        <v>166000000</v>
      </c>
      <c r="D83" s="22">
        <f>0.9*2</f>
        <v>1.8</v>
      </c>
      <c r="E83" s="5">
        <v>1.232</v>
      </c>
      <c r="F83" s="5">
        <v>3.66</v>
      </c>
      <c r="H83" s="15">
        <f t="shared" si="4"/>
        <v>8.220108088040055</v>
      </c>
      <c r="I83" s="15">
        <f t="shared" si="5"/>
        <v>0.25527250510330607</v>
      </c>
    </row>
    <row r="84" spans="1:11" x14ac:dyDescent="0.35">
      <c r="A84" s="14">
        <v>44637.5625</v>
      </c>
      <c r="B84" s="15">
        <f t="shared" si="6"/>
        <v>54.000000000058208</v>
      </c>
      <c r="C84" s="21" t="s">
        <v>33</v>
      </c>
      <c r="D84" s="22">
        <v>2</v>
      </c>
      <c r="E84" s="5">
        <v>1.321</v>
      </c>
      <c r="F84" s="5">
        <v>3.61</v>
      </c>
      <c r="H84" s="15" t="e">
        <f t="shared" si="4"/>
        <v>#VALUE!</v>
      </c>
      <c r="I84" s="15">
        <f t="shared" si="5"/>
        <v>0.3010299956639812</v>
      </c>
    </row>
    <row r="85" spans="1:11" x14ac:dyDescent="0.35">
      <c r="C85" s="5"/>
    </row>
    <row r="86" spans="1:11" x14ac:dyDescent="0.35">
      <c r="C86" s="5"/>
      <c r="E86" t="s">
        <v>31</v>
      </c>
      <c r="F86">
        <f>MIN(F73:F84)</f>
        <v>3.61</v>
      </c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44635.354166666664</v>
      </c>
      <c r="B95" s="15">
        <f>0*24+1</f>
        <v>1</v>
      </c>
      <c r="C95" s="22">
        <f>0.9*20*100</f>
        <v>1800</v>
      </c>
      <c r="D95" s="21">
        <f>29*20*10</f>
        <v>5800</v>
      </c>
      <c r="E95" s="5">
        <v>7.0999999999999994E-2</v>
      </c>
      <c r="F95" s="5">
        <v>5.82</v>
      </c>
      <c r="H95" s="17">
        <f>LOG(C95)</f>
        <v>3.255272505103306</v>
      </c>
      <c r="I95" s="15">
        <f>LOG(D95)</f>
        <v>3.7634279935629373</v>
      </c>
      <c r="J95" s="5"/>
      <c r="K95" s="5"/>
    </row>
    <row r="96" spans="1:11" x14ac:dyDescent="0.35">
      <c r="A96" s="14">
        <v>44635.447916666664</v>
      </c>
      <c r="B96" s="15">
        <f>(A96-$A$10)*24+1</f>
        <v>3.25</v>
      </c>
      <c r="C96" s="21">
        <f>4*20*100</f>
        <v>8000</v>
      </c>
      <c r="D96" s="21">
        <f>38*20*10</f>
        <v>7600</v>
      </c>
      <c r="E96" s="5">
        <v>1.7000000000000001E-2</v>
      </c>
      <c r="F96" s="15">
        <v>5.8</v>
      </c>
      <c r="H96" s="17">
        <f t="shared" ref="H96:H106" si="7">LOG(C96)</f>
        <v>3.9030899869919438</v>
      </c>
      <c r="I96" s="15">
        <f t="shared" ref="I96:I106" si="8">LOG(D96)</f>
        <v>3.8808135922807914</v>
      </c>
      <c r="J96" s="5"/>
      <c r="K96" s="5"/>
    </row>
    <row r="97" spans="1:11" x14ac:dyDescent="0.35">
      <c r="A97" s="14">
        <v>44635.5625</v>
      </c>
      <c r="B97" s="15">
        <f>(A97-$A$10)*24+1</f>
        <v>6.0000000000582077</v>
      </c>
      <c r="C97" s="21">
        <f>2*20*10^3</f>
        <v>40000</v>
      </c>
      <c r="D97" s="21">
        <f>77*20*10</f>
        <v>15400</v>
      </c>
      <c r="E97" s="5">
        <v>-2.1000000000000001E-2</v>
      </c>
      <c r="F97" s="5">
        <v>5.82</v>
      </c>
      <c r="H97" s="17">
        <f t="shared" si="7"/>
        <v>4.6020599913279625</v>
      </c>
      <c r="I97" s="15">
        <f t="shared" si="8"/>
        <v>4.1875207208364627</v>
      </c>
      <c r="J97" s="5"/>
      <c r="K97" s="5"/>
    </row>
    <row r="98" spans="1:11" x14ac:dyDescent="0.35">
      <c r="A98" s="14">
        <v>44635.6875</v>
      </c>
      <c r="B98" s="15">
        <f>(A98-$A$10)*24+1</f>
        <v>9.0000000000582077</v>
      </c>
      <c r="C98" s="21">
        <f>4*20*10^3</f>
        <v>80000</v>
      </c>
      <c r="D98" s="21">
        <f>294*20*10</f>
        <v>58800</v>
      </c>
      <c r="E98" s="5">
        <v>-2.5000000000000001E-2</v>
      </c>
      <c r="F98" s="5">
        <v>5.82</v>
      </c>
      <c r="H98" s="17">
        <f t="shared" si="7"/>
        <v>4.9030899869919438</v>
      </c>
      <c r="I98" s="15">
        <f t="shared" si="8"/>
        <v>4.7693773260761381</v>
      </c>
      <c r="J98" s="5"/>
      <c r="K98" s="5"/>
    </row>
    <row r="99" spans="1:11" x14ac:dyDescent="0.35">
      <c r="A99" s="14">
        <v>44635.8125</v>
      </c>
      <c r="B99" s="15">
        <f t="shared" ref="B99:B106" si="9">(A99-$A$10)*24+1</f>
        <v>12.000000000058208</v>
      </c>
      <c r="C99" s="21" t="s">
        <v>33</v>
      </c>
      <c r="D99" s="21">
        <f>120000</f>
        <v>120000</v>
      </c>
      <c r="E99" s="5">
        <v>-0.03</v>
      </c>
      <c r="F99" s="5">
        <v>5.81</v>
      </c>
      <c r="H99" s="17" t="e">
        <f t="shared" si="7"/>
        <v>#VALUE!</v>
      </c>
      <c r="I99" s="15">
        <f t="shared" si="8"/>
        <v>5.0791812460476251</v>
      </c>
      <c r="J99" s="5"/>
      <c r="K99" s="5"/>
    </row>
    <row r="100" spans="1:11" x14ac:dyDescent="0.35">
      <c r="A100" s="14">
        <v>44636.329861111109</v>
      </c>
      <c r="B100" s="15">
        <f t="shared" si="9"/>
        <v>24.416666666686069</v>
      </c>
      <c r="C100" s="21">
        <f>13*20*100000</f>
        <v>26000000</v>
      </c>
      <c r="D100" s="21">
        <f>AVERAGE(12400000,14100000,13500000)</f>
        <v>13333333.333333334</v>
      </c>
      <c r="E100" s="5">
        <v>7.0999999999999994E-2</v>
      </c>
      <c r="F100" s="5">
        <v>5.52</v>
      </c>
      <c r="H100" s="17">
        <f t="shared" si="7"/>
        <v>7.4149733479708182</v>
      </c>
      <c r="I100" s="15">
        <f t="shared" si="8"/>
        <v>7.1249387366082999</v>
      </c>
      <c r="J100" s="5"/>
      <c r="K100" s="5"/>
    </row>
    <row r="101" spans="1:11" x14ac:dyDescent="0.35">
      <c r="A101" s="14">
        <v>44636.447916666664</v>
      </c>
      <c r="B101" s="15">
        <f t="shared" si="9"/>
        <v>27.25</v>
      </c>
      <c r="C101" s="23">
        <f>27*20*100000</f>
        <v>54000000</v>
      </c>
      <c r="D101" s="21">
        <f>AVERAGE(17800000,18000000,18900000)</f>
        <v>18233333.333333332</v>
      </c>
      <c r="E101" s="5">
        <v>0.122</v>
      </c>
      <c r="F101" s="5">
        <v>5.09</v>
      </c>
      <c r="H101" s="17">
        <f t="shared" si="7"/>
        <v>7.7323937598229682</v>
      </c>
      <c r="I101" s="15">
        <f t="shared" si="8"/>
        <v>7.2608660716137683</v>
      </c>
      <c r="J101" s="5"/>
      <c r="K101" s="5"/>
    </row>
    <row r="102" spans="1:11" x14ac:dyDescent="0.35">
      <c r="A102" s="14">
        <v>44636.5625</v>
      </c>
      <c r="B102" s="15">
        <f t="shared" si="9"/>
        <v>30.000000000058208</v>
      </c>
      <c r="C102" s="21">
        <f>36*20*100000</f>
        <v>72000000</v>
      </c>
      <c r="D102" s="21">
        <f>AVERAGE(25600000,17200000,22600000,24300000)</f>
        <v>22425000</v>
      </c>
      <c r="E102" s="5">
        <v>0.223</v>
      </c>
      <c r="F102" s="5">
        <v>4.5999999999999996</v>
      </c>
      <c r="H102" s="17">
        <f t="shared" si="7"/>
        <v>7.8573324964312681</v>
      </c>
      <c r="I102" s="15">
        <f t="shared" si="8"/>
        <v>7.3507324517161301</v>
      </c>
      <c r="J102" s="5"/>
      <c r="K102" s="5"/>
    </row>
    <row r="103" spans="1:11" x14ac:dyDescent="0.35">
      <c r="A103" s="14">
        <v>44636.6875</v>
      </c>
      <c r="B103" s="15">
        <f t="shared" si="9"/>
        <v>33.000000000058208</v>
      </c>
      <c r="C103" s="21">
        <f>85*20*100000</f>
        <v>170000000</v>
      </c>
      <c r="D103" s="21">
        <f>AVERAGE(26700000,18700000,22800000)</f>
        <v>22733333.333333332</v>
      </c>
      <c r="E103" s="5">
        <v>0.52300000000000002</v>
      </c>
      <c r="F103" s="5">
        <v>4.1500000000000004</v>
      </c>
      <c r="H103" s="17">
        <f t="shared" si="7"/>
        <v>8.2304489213782741</v>
      </c>
      <c r="I103" s="15">
        <f t="shared" si="8"/>
        <v>7.3566631199368162</v>
      </c>
      <c r="J103" s="5"/>
      <c r="K103" s="5"/>
    </row>
    <row r="104" spans="1:11" x14ac:dyDescent="0.35">
      <c r="A104" s="14">
        <v>44636.805555555555</v>
      </c>
      <c r="B104" s="15">
        <f t="shared" si="9"/>
        <v>35.833333333372138</v>
      </c>
      <c r="C104" s="21">
        <f>104*20*100000</f>
        <v>208000000</v>
      </c>
      <c r="D104" s="21">
        <f>AVERAGE(22400000,24800000,23000000)</f>
        <v>23400000</v>
      </c>
      <c r="E104" s="5">
        <v>0.79200000000000004</v>
      </c>
      <c r="F104" s="5">
        <v>3.98</v>
      </c>
      <c r="H104" s="17">
        <f t="shared" si="7"/>
        <v>8.318063334962762</v>
      </c>
      <c r="I104" s="15">
        <f t="shared" si="8"/>
        <v>7.3692158574101425</v>
      </c>
      <c r="J104" s="5"/>
      <c r="K104" s="5"/>
    </row>
    <row r="105" spans="1:11" x14ac:dyDescent="0.35">
      <c r="A105" s="14">
        <v>44637.333333333336</v>
      </c>
      <c r="B105" s="15">
        <f t="shared" si="9"/>
        <v>48.500000000116415</v>
      </c>
      <c r="C105" s="22">
        <f>145*20*100000</f>
        <v>290000000</v>
      </c>
      <c r="D105" s="21">
        <f>AVERAGE(23900000,19300000,23700000)</f>
        <v>22300000</v>
      </c>
      <c r="E105" s="5">
        <v>1.2190000000000001</v>
      </c>
      <c r="F105" s="15">
        <v>3.64</v>
      </c>
      <c r="H105" s="17">
        <f t="shared" si="7"/>
        <v>8.4623979978989556</v>
      </c>
      <c r="I105" s="15">
        <f t="shared" si="8"/>
        <v>7.3483048630481607</v>
      </c>
      <c r="J105" s="5"/>
      <c r="K105" s="5"/>
    </row>
    <row r="106" spans="1:11" x14ac:dyDescent="0.35">
      <c r="A106" s="14">
        <v>44637.5625</v>
      </c>
      <c r="B106" s="15">
        <f t="shared" si="9"/>
        <v>54.000000000058208</v>
      </c>
      <c r="C106" s="21" t="s">
        <v>33</v>
      </c>
      <c r="D106" s="21" t="s">
        <v>33</v>
      </c>
      <c r="E106" s="5">
        <v>1.3260000000000001</v>
      </c>
      <c r="F106" s="5">
        <v>3.59</v>
      </c>
      <c r="H106" s="17" t="e">
        <f t="shared" si="7"/>
        <v>#VALUE!</v>
      </c>
      <c r="I106" s="15" t="e">
        <f t="shared" si="8"/>
        <v>#VALUE!</v>
      </c>
      <c r="J106" s="5"/>
      <c r="K106" s="5"/>
    </row>
    <row r="107" spans="1:11" x14ac:dyDescent="0.35">
      <c r="H107" s="5"/>
      <c r="I107" s="5"/>
      <c r="J107" s="5"/>
      <c r="K107" s="5"/>
    </row>
    <row r="114" spans="1:11" x14ac:dyDescent="0.35">
      <c r="A114" t="s">
        <v>23</v>
      </c>
      <c r="B114" s="5" t="s">
        <v>24</v>
      </c>
      <c r="C114" s="5" t="s">
        <v>25</v>
      </c>
      <c r="D114" s="5" t="s">
        <v>26</v>
      </c>
      <c r="E114" s="5" t="s">
        <v>27</v>
      </c>
      <c r="F114" s="5" t="s">
        <v>28</v>
      </c>
      <c r="G114" s="5"/>
      <c r="H114" s="5" t="s">
        <v>29</v>
      </c>
      <c r="I114" s="5" t="s">
        <v>30</v>
      </c>
      <c r="J114" s="5" t="s">
        <v>13</v>
      </c>
      <c r="K114" s="5" t="s">
        <v>28</v>
      </c>
    </row>
    <row r="115" spans="1:11" x14ac:dyDescent="0.35">
      <c r="A115" s="14">
        <v>44635.354166666664</v>
      </c>
      <c r="B115" s="15">
        <f>0*24+1</f>
        <v>1</v>
      </c>
      <c r="C115" s="23">
        <f>145*20*100</f>
        <v>290000</v>
      </c>
      <c r="D115" s="21">
        <f>28*100</f>
        <v>2800</v>
      </c>
      <c r="E115" s="5">
        <v>-1.2E-2</v>
      </c>
      <c r="F115" s="5">
        <v>6.05</v>
      </c>
      <c r="H115" s="17">
        <f>LOG(C115)</f>
        <v>5.4623979978989565</v>
      </c>
      <c r="I115" s="15">
        <f>LOG(D115)</f>
        <v>3.4471580313422194</v>
      </c>
      <c r="J115" s="5"/>
      <c r="K115" s="5"/>
    </row>
    <row r="116" spans="1:11" x14ac:dyDescent="0.35">
      <c r="A116" s="14">
        <v>44635.447916666664</v>
      </c>
      <c r="B116" s="15">
        <f>(A116-$A$10)*24+1</f>
        <v>3.25</v>
      </c>
      <c r="C116" s="21">
        <f>232*20*100</f>
        <v>464000</v>
      </c>
      <c r="D116" s="21">
        <f>51*100</f>
        <v>5100</v>
      </c>
      <c r="E116" s="5">
        <v>-0.107</v>
      </c>
      <c r="F116" s="15">
        <v>6.01</v>
      </c>
      <c r="H116" s="17">
        <f t="shared" ref="H116:H126" si="10">LOG(C116)</f>
        <v>5.6665179805548807</v>
      </c>
      <c r="I116" s="15">
        <f t="shared" ref="I116:I126" si="11">LOG(D116)</f>
        <v>3.7075701760979363</v>
      </c>
      <c r="J116" s="5"/>
      <c r="K116" s="5"/>
    </row>
    <row r="117" spans="1:11" x14ac:dyDescent="0.35">
      <c r="A117" s="14">
        <v>44635.5625</v>
      </c>
      <c r="B117" s="15">
        <f>(A117-$A$10)*24+1</f>
        <v>6.0000000000582077</v>
      </c>
      <c r="C117" s="21">
        <f>201*20*1000</f>
        <v>4020000</v>
      </c>
      <c r="D117" s="21">
        <f>175*100</f>
        <v>17500</v>
      </c>
      <c r="E117" s="5">
        <v>2E-3</v>
      </c>
      <c r="F117" s="5">
        <v>5.99</v>
      </c>
      <c r="H117" s="17">
        <f t="shared" si="10"/>
        <v>6.6042260530844699</v>
      </c>
      <c r="I117" s="15">
        <f t="shared" si="11"/>
        <v>4.2430380486862944</v>
      </c>
      <c r="J117" s="5"/>
      <c r="K117" s="5"/>
    </row>
    <row r="118" spans="1:11" x14ac:dyDescent="0.35">
      <c r="A118" s="14">
        <v>44635.6875</v>
      </c>
      <c r="B118" s="15">
        <f>(A118-$A$10)*24+1</f>
        <v>9.0000000000582077</v>
      </c>
      <c r="C118" s="23">
        <f>50*20*10000</f>
        <v>10000000</v>
      </c>
      <c r="D118" s="21">
        <f>17*20*100</f>
        <v>34000</v>
      </c>
      <c r="E118" s="5">
        <v>4.7E-2</v>
      </c>
      <c r="F118" s="5">
        <v>5.88</v>
      </c>
      <c r="H118" s="17">
        <f t="shared" si="10"/>
        <v>7</v>
      </c>
      <c r="I118" s="15">
        <f t="shared" si="11"/>
        <v>4.5314789170422554</v>
      </c>
      <c r="J118" s="5"/>
      <c r="K118" s="5"/>
    </row>
    <row r="119" spans="1:11" x14ac:dyDescent="0.35">
      <c r="A119" s="14">
        <v>44635.8125</v>
      </c>
      <c r="B119" s="15">
        <f t="shared" ref="B119:B126" si="12">(A119-$A$10)*24+1</f>
        <v>12.000000000058208</v>
      </c>
      <c r="C119" s="21">
        <f>27000000</f>
        <v>27000000</v>
      </c>
      <c r="D119" s="21">
        <f>68*20*100</f>
        <v>136000</v>
      </c>
      <c r="E119" s="5">
        <v>1.7000000000000001E-2</v>
      </c>
      <c r="F119" s="5">
        <v>5.41</v>
      </c>
      <c r="H119" s="17">
        <f t="shared" si="10"/>
        <v>7.4313637641589869</v>
      </c>
      <c r="I119" s="15">
        <f t="shared" si="11"/>
        <v>5.1335389083702179</v>
      </c>
      <c r="J119" s="5"/>
      <c r="K119" s="5"/>
    </row>
    <row r="120" spans="1:11" x14ac:dyDescent="0.35">
      <c r="A120" s="14">
        <v>44636.329861111109</v>
      </c>
      <c r="B120" s="15">
        <f t="shared" si="12"/>
        <v>24.416666666686069</v>
      </c>
      <c r="C120" s="21">
        <f>87*20*100000</f>
        <v>174000000</v>
      </c>
      <c r="D120" s="21">
        <f>24*20*1000</f>
        <v>480000</v>
      </c>
      <c r="E120" s="5">
        <v>0.95099999999999996</v>
      </c>
      <c r="F120" s="5">
        <v>3.97</v>
      </c>
      <c r="H120" s="17">
        <f t="shared" si="10"/>
        <v>8.2405492482825995</v>
      </c>
      <c r="I120" s="15">
        <f t="shared" si="11"/>
        <v>5.6812412373755876</v>
      </c>
      <c r="J120" s="5"/>
      <c r="K120" s="5"/>
    </row>
    <row r="121" spans="1:11" x14ac:dyDescent="0.35">
      <c r="A121" s="14">
        <v>44636.447916666664</v>
      </c>
      <c r="B121" s="15">
        <f t="shared" si="12"/>
        <v>27.25</v>
      </c>
      <c r="C121" s="23">
        <f>84*20*100000</f>
        <v>168000000</v>
      </c>
      <c r="D121" s="21">
        <f>12*20*1000</f>
        <v>240000</v>
      </c>
      <c r="E121" s="5">
        <v>1.048</v>
      </c>
      <c r="F121" s="5">
        <v>3.89</v>
      </c>
      <c r="H121" s="17">
        <f t="shared" si="10"/>
        <v>8.2253092817258633</v>
      </c>
      <c r="I121" s="15">
        <f t="shared" si="11"/>
        <v>5.3802112417116064</v>
      </c>
      <c r="J121" s="5"/>
      <c r="K121" s="5"/>
    </row>
    <row r="122" spans="1:11" x14ac:dyDescent="0.35">
      <c r="A122" s="14">
        <v>44636.5625</v>
      </c>
      <c r="B122" s="15">
        <f t="shared" si="12"/>
        <v>30.000000000058208</v>
      </c>
      <c r="C122" s="21">
        <f>104*20*100000</f>
        <v>208000000</v>
      </c>
      <c r="D122" s="21">
        <f>27*20*1000</f>
        <v>540000</v>
      </c>
      <c r="E122" s="5">
        <v>1.1220000000000001</v>
      </c>
      <c r="F122" s="5">
        <v>3.81</v>
      </c>
      <c r="H122" s="17">
        <f t="shared" si="10"/>
        <v>8.318063334962762</v>
      </c>
      <c r="I122" s="15">
        <f t="shared" si="11"/>
        <v>5.7323937598229682</v>
      </c>
      <c r="J122" s="5"/>
      <c r="K122" s="5"/>
    </row>
    <row r="123" spans="1:11" x14ac:dyDescent="0.35">
      <c r="A123" s="14">
        <v>44636.6875</v>
      </c>
      <c r="B123" s="15">
        <f t="shared" si="12"/>
        <v>33.000000000058208</v>
      </c>
      <c r="C123" s="21">
        <f>119*20*100000</f>
        <v>238000000</v>
      </c>
      <c r="D123" s="21">
        <f>18*20*1000</f>
        <v>360000</v>
      </c>
      <c r="E123" s="5">
        <v>1.2090000000000001</v>
      </c>
      <c r="F123" s="5">
        <v>3.73</v>
      </c>
      <c r="H123" s="17">
        <f t="shared" si="10"/>
        <v>8.3765769570565123</v>
      </c>
      <c r="I123" s="15">
        <f t="shared" si="11"/>
        <v>5.5563025007672868</v>
      </c>
      <c r="J123" s="5"/>
      <c r="K123" s="5"/>
    </row>
    <row r="124" spans="1:11" x14ac:dyDescent="0.35">
      <c r="A124" s="14">
        <v>44636.805555555555</v>
      </c>
      <c r="B124" s="15">
        <f t="shared" si="12"/>
        <v>35.833333333372138</v>
      </c>
      <c r="C124" s="21">
        <f>134*20*100000</f>
        <v>268000000</v>
      </c>
      <c r="D124" s="21">
        <f>22*20*1000</f>
        <v>440000</v>
      </c>
      <c r="E124" s="5">
        <v>1.2829999999999999</v>
      </c>
      <c r="F124" s="5">
        <v>3.71</v>
      </c>
      <c r="H124" s="17">
        <f t="shared" si="10"/>
        <v>8.4281347940287894</v>
      </c>
      <c r="I124" s="15">
        <f t="shared" si="11"/>
        <v>5.6434526764861879</v>
      </c>
      <c r="J124" s="5"/>
      <c r="K124" s="5"/>
    </row>
    <row r="125" spans="1:11" x14ac:dyDescent="0.35">
      <c r="A125" s="14">
        <v>44637.333333333336</v>
      </c>
      <c r="B125" s="15">
        <f t="shared" si="12"/>
        <v>48.500000000116415</v>
      </c>
      <c r="C125" s="23">
        <f>200000000</f>
        <v>200000000</v>
      </c>
      <c r="D125" s="23">
        <f>121*20*100</f>
        <v>242000</v>
      </c>
      <c r="E125" s="5">
        <v>1.498</v>
      </c>
      <c r="F125" s="15">
        <v>3.67</v>
      </c>
      <c r="H125" s="17">
        <f t="shared" si="10"/>
        <v>8.3010299956639813</v>
      </c>
      <c r="I125" s="15">
        <f t="shared" si="11"/>
        <v>5.3838153659804311</v>
      </c>
      <c r="J125" s="5"/>
      <c r="K125" s="5"/>
    </row>
    <row r="126" spans="1:11" x14ac:dyDescent="0.35">
      <c r="A126" s="14">
        <v>44637.5625</v>
      </c>
      <c r="B126" s="15">
        <f t="shared" si="12"/>
        <v>54.000000000058208</v>
      </c>
      <c r="C126" s="21">
        <f>93*20*100000</f>
        <v>186000000</v>
      </c>
      <c r="D126" s="21">
        <f>13*20*1000</f>
        <v>260000</v>
      </c>
      <c r="E126" s="5">
        <v>1.4430000000000001</v>
      </c>
      <c r="F126" s="5">
        <v>3.64</v>
      </c>
      <c r="H126" s="17">
        <f t="shared" si="10"/>
        <v>8.2695129442179169</v>
      </c>
      <c r="I126" s="15">
        <f t="shared" si="11"/>
        <v>5.4149733479708182</v>
      </c>
      <c r="J126" s="5"/>
      <c r="K126" s="5"/>
    </row>
    <row r="128" spans="1:11" x14ac:dyDescent="0.35">
      <c r="E128" t="s">
        <v>31</v>
      </c>
      <c r="F128">
        <f>MIN(F115:F126)</f>
        <v>3.64</v>
      </c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6FED-A90C-4CD9-B1D6-2400194A32A9}">
  <dimension ref="A1:K108"/>
  <sheetViews>
    <sheetView topLeftCell="A89" zoomScale="110" zoomScaleNormal="110" workbookViewId="0">
      <selection activeCell="U50" sqref="U50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39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44649.354166666664</v>
      </c>
      <c r="B10" s="15">
        <f>0*24+1</f>
        <v>1</v>
      </c>
      <c r="C10" s="21">
        <f>61*20*100</f>
        <v>122000</v>
      </c>
      <c r="D10" s="28"/>
      <c r="E10" s="16">
        <v>-5.7000000000000002E-2</v>
      </c>
      <c r="F10" s="5">
        <v>5.82</v>
      </c>
      <c r="H10" s="15">
        <f>LOG(C10)</f>
        <v>5.0863598306747484</v>
      </c>
    </row>
    <row r="11" spans="1:11" x14ac:dyDescent="0.35">
      <c r="A11" s="14">
        <v>44649.4375</v>
      </c>
      <c r="B11" s="15">
        <f t="shared" ref="B11:B21" si="0">(A11-$A$10)*24+1</f>
        <v>3.0000000000582077</v>
      </c>
      <c r="C11" s="29"/>
      <c r="D11" s="28"/>
      <c r="E11" s="5">
        <v>2.1000000000000001E-2</v>
      </c>
      <c r="F11" s="5">
        <v>5.84</v>
      </c>
      <c r="H11" s="28"/>
    </row>
    <row r="12" spans="1:11" x14ac:dyDescent="0.35">
      <c r="A12" s="14">
        <v>44649.5625</v>
      </c>
      <c r="B12" s="15">
        <f t="shared" si="0"/>
        <v>6.0000000000582077</v>
      </c>
      <c r="C12" s="29"/>
      <c r="D12" s="28"/>
      <c r="E12" s="5">
        <v>2.5999999999999999E-2</v>
      </c>
      <c r="F12" s="5">
        <v>5.84</v>
      </c>
      <c r="H12" s="28"/>
    </row>
    <row r="13" spans="1:11" x14ac:dyDescent="0.35">
      <c r="A13" s="14">
        <v>44649.6875</v>
      </c>
      <c r="B13" s="15">
        <f t="shared" si="0"/>
        <v>9.0000000000582077</v>
      </c>
      <c r="C13" s="29"/>
      <c r="D13" s="28"/>
      <c r="E13" s="5">
        <v>-0.02</v>
      </c>
      <c r="F13" s="5">
        <v>5.78</v>
      </c>
      <c r="H13" s="28"/>
    </row>
    <row r="14" spans="1:11" x14ac:dyDescent="0.35">
      <c r="A14" s="14">
        <v>44649.819444444445</v>
      </c>
      <c r="B14" s="15">
        <f t="shared" si="0"/>
        <v>12.166666666744277</v>
      </c>
      <c r="C14" s="21">
        <f>30*20*10000</f>
        <v>6000000</v>
      </c>
      <c r="D14" s="28"/>
      <c r="E14" s="5">
        <v>-1.7000000000000001E-2</v>
      </c>
      <c r="F14" s="5">
        <v>5.66</v>
      </c>
      <c r="H14" s="15">
        <f>LOG(C14)</f>
        <v>6.7781512503836439</v>
      </c>
    </row>
    <row r="15" spans="1:11" x14ac:dyDescent="0.35">
      <c r="A15" s="14">
        <v>44650.319444444445</v>
      </c>
      <c r="B15" s="15">
        <f t="shared" si="0"/>
        <v>24.166666666744277</v>
      </c>
      <c r="C15" s="21">
        <f>89*20*100000</f>
        <v>178000000</v>
      </c>
      <c r="D15" s="28"/>
      <c r="E15" s="5">
        <v>0.58899999999999997</v>
      </c>
      <c r="F15" s="5">
        <v>4.26</v>
      </c>
      <c r="H15" s="15">
        <f>LOG(C15)</f>
        <v>8.2504200023088945</v>
      </c>
    </row>
    <row r="16" spans="1:11" x14ac:dyDescent="0.35">
      <c r="A16" s="14">
        <v>44650.440972222219</v>
      </c>
      <c r="B16" s="15">
        <f t="shared" si="0"/>
        <v>27.083333333313931</v>
      </c>
      <c r="C16" s="29"/>
      <c r="D16" s="28"/>
      <c r="E16" s="5">
        <v>0.72899999999999998</v>
      </c>
      <c r="F16" s="5">
        <v>4.17</v>
      </c>
      <c r="H16" s="28"/>
    </row>
    <row r="17" spans="1:11" x14ac:dyDescent="0.35">
      <c r="A17" s="14">
        <v>44650.565972222219</v>
      </c>
      <c r="B17" s="15">
        <f t="shared" si="0"/>
        <v>30.083333333313931</v>
      </c>
      <c r="C17" s="29"/>
      <c r="D17" s="28"/>
      <c r="E17" s="5">
        <v>0.81899999999999995</v>
      </c>
      <c r="F17" s="5">
        <v>4.1399999999999997</v>
      </c>
      <c r="H17" s="28"/>
    </row>
    <row r="18" spans="1:11" x14ac:dyDescent="0.35">
      <c r="A18" s="14">
        <v>44650.690972222219</v>
      </c>
      <c r="B18" s="15">
        <f t="shared" si="0"/>
        <v>33.083333333313931</v>
      </c>
      <c r="C18" s="29"/>
      <c r="D18" s="28"/>
      <c r="E18" s="5">
        <v>0.995</v>
      </c>
      <c r="F18" s="5">
        <v>4.0199999999999996</v>
      </c>
      <c r="H18" s="28"/>
    </row>
    <row r="19" spans="1:11" x14ac:dyDescent="0.35">
      <c r="A19" s="14">
        <v>44650.805555555555</v>
      </c>
      <c r="B19" s="15">
        <f t="shared" si="0"/>
        <v>35.833333333372138</v>
      </c>
      <c r="C19" s="21">
        <f>110*20*100000</f>
        <v>220000000</v>
      </c>
      <c r="D19" s="28"/>
      <c r="E19" s="5">
        <v>1.1100000000000001</v>
      </c>
      <c r="F19" s="5">
        <v>4.0599999999999996</v>
      </c>
      <c r="H19" s="15">
        <f>LOG(C19)</f>
        <v>8.3424226808222066</v>
      </c>
    </row>
    <row r="20" spans="1:11" x14ac:dyDescent="0.35">
      <c r="A20" s="14">
        <v>44651.322916666664</v>
      </c>
      <c r="B20" s="15">
        <f t="shared" si="0"/>
        <v>48.25</v>
      </c>
      <c r="C20" s="21">
        <f>107*20*100000</f>
        <v>214000000</v>
      </c>
      <c r="D20" s="28"/>
      <c r="E20" s="5">
        <v>1.2290000000000001</v>
      </c>
      <c r="F20" s="5">
        <v>3.92</v>
      </c>
      <c r="H20" s="15">
        <f>LOG(C20)</f>
        <v>8.330413773349191</v>
      </c>
    </row>
    <row r="21" spans="1:11" x14ac:dyDescent="0.35">
      <c r="A21" s="14">
        <v>44651.565972222219</v>
      </c>
      <c r="B21" s="15">
        <f t="shared" si="0"/>
        <v>54.083333333313931</v>
      </c>
      <c r="C21" s="21">
        <f>88*20*100000</f>
        <v>176000000</v>
      </c>
      <c r="D21" s="28"/>
      <c r="E21" s="5">
        <v>1.3460000000000001</v>
      </c>
      <c r="F21" s="5">
        <v>3.83</v>
      </c>
      <c r="H21" s="15">
        <f>LOG(C21)</f>
        <v>8.2455126678141504</v>
      </c>
    </row>
    <row r="22" spans="1:11" x14ac:dyDescent="0.35">
      <c r="B22" s="5"/>
      <c r="C22" s="5"/>
    </row>
    <row r="23" spans="1:11" x14ac:dyDescent="0.35">
      <c r="B23" s="5"/>
      <c r="C23" s="5"/>
      <c r="E23" t="s">
        <v>31</v>
      </c>
      <c r="F23">
        <f>MIN(F10:F21)</f>
        <v>3.83</v>
      </c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44649.354166666664</v>
      </c>
      <c r="B32" s="15">
        <f>0*24+1</f>
        <v>1</v>
      </c>
      <c r="C32" s="21">
        <f>380000</f>
        <v>380000</v>
      </c>
      <c r="D32" s="28"/>
      <c r="E32" s="16">
        <v>-4.2999999999999997E-2</v>
      </c>
      <c r="F32" s="5">
        <v>5.81</v>
      </c>
      <c r="H32" s="15">
        <f>LOG(C32)</f>
        <v>5.5797835966168101</v>
      </c>
      <c r="I32" s="5"/>
      <c r="J32" s="5"/>
      <c r="K32" s="5"/>
    </row>
    <row r="33" spans="1:11" x14ac:dyDescent="0.35">
      <c r="A33" s="14">
        <v>44649.4375</v>
      </c>
      <c r="B33" s="15">
        <f t="shared" ref="B33:B43" si="1">(A33-$A$32)*24+1</f>
        <v>3.0000000000582077</v>
      </c>
      <c r="C33" s="29"/>
      <c r="D33" s="28"/>
      <c r="E33" s="16">
        <v>2.4E-2</v>
      </c>
      <c r="F33" s="5">
        <v>5.78</v>
      </c>
      <c r="H33" s="29"/>
      <c r="I33" s="5"/>
      <c r="J33" s="5"/>
      <c r="K33" s="5"/>
    </row>
    <row r="34" spans="1:11" x14ac:dyDescent="0.35">
      <c r="A34" s="14">
        <v>44649.5625</v>
      </c>
      <c r="B34" s="15">
        <f t="shared" si="1"/>
        <v>6.0000000000582077</v>
      </c>
      <c r="C34" s="29"/>
      <c r="D34" s="28"/>
      <c r="E34" s="5">
        <v>0.03</v>
      </c>
      <c r="F34" s="5">
        <v>5.8</v>
      </c>
      <c r="H34" s="29"/>
      <c r="I34" s="5"/>
      <c r="J34" s="5"/>
      <c r="K34" s="5"/>
    </row>
    <row r="35" spans="1:11" x14ac:dyDescent="0.35">
      <c r="A35" s="14">
        <v>44649.6875</v>
      </c>
      <c r="B35" s="15">
        <f t="shared" si="1"/>
        <v>9.0000000000582077</v>
      </c>
      <c r="C35" s="29"/>
      <c r="D35" s="28"/>
      <c r="E35" s="5">
        <v>1.2999999999999999E-2</v>
      </c>
      <c r="F35" s="5">
        <v>5.74</v>
      </c>
      <c r="H35" s="29"/>
      <c r="I35" s="5"/>
      <c r="J35" s="5"/>
      <c r="K35" s="5"/>
    </row>
    <row r="36" spans="1:11" x14ac:dyDescent="0.35">
      <c r="A36" s="14">
        <v>44649.819444444445</v>
      </c>
      <c r="B36" s="15">
        <f t="shared" si="1"/>
        <v>12.166666666744277</v>
      </c>
      <c r="C36" s="23">
        <f>189*20*10000</f>
        <v>37800000</v>
      </c>
      <c r="D36" s="28"/>
      <c r="E36" s="5">
        <v>1.2999999999999999E-2</v>
      </c>
      <c r="F36" s="5">
        <v>5.66</v>
      </c>
      <c r="H36" s="18">
        <f>LOG(C36)</f>
        <v>7.5774917998372251</v>
      </c>
      <c r="I36" s="5"/>
      <c r="J36" s="5"/>
      <c r="K36" s="5"/>
    </row>
    <row r="37" spans="1:11" x14ac:dyDescent="0.35">
      <c r="A37" s="14">
        <v>44650.319444444445</v>
      </c>
      <c r="B37" s="15">
        <f t="shared" si="1"/>
        <v>24.166666666744277</v>
      </c>
      <c r="C37" s="21">
        <f>121*20*100000</f>
        <v>242000000</v>
      </c>
      <c r="D37" s="28"/>
      <c r="E37" s="5">
        <v>0.77</v>
      </c>
      <c r="F37" s="5">
        <v>4.17</v>
      </c>
      <c r="H37" s="15">
        <f>LOG(C37)</f>
        <v>8.383815365980432</v>
      </c>
      <c r="I37" s="5"/>
      <c r="J37" s="5"/>
      <c r="K37" s="5"/>
    </row>
    <row r="38" spans="1:11" x14ac:dyDescent="0.35">
      <c r="A38" s="14">
        <v>44650.440972222219</v>
      </c>
      <c r="B38" s="15">
        <f t="shared" si="1"/>
        <v>27.083333333313931</v>
      </c>
      <c r="C38" s="29"/>
      <c r="D38" s="28"/>
      <c r="E38" s="5">
        <v>0.92400000000000004</v>
      </c>
      <c r="F38" s="5">
        <v>4.0199999999999996</v>
      </c>
      <c r="H38" s="29"/>
      <c r="I38" s="5"/>
      <c r="J38" s="5"/>
      <c r="K38" s="5"/>
    </row>
    <row r="39" spans="1:11" x14ac:dyDescent="0.35">
      <c r="A39" s="14">
        <v>44650.565972222219</v>
      </c>
      <c r="B39" s="15">
        <f t="shared" si="1"/>
        <v>30.083333333313931</v>
      </c>
      <c r="C39" s="29"/>
      <c r="D39" s="28"/>
      <c r="E39" s="5">
        <v>1.052</v>
      </c>
      <c r="F39" s="5">
        <v>3.98</v>
      </c>
      <c r="H39" s="29"/>
      <c r="I39" s="5"/>
      <c r="J39" s="5"/>
      <c r="K39" s="5"/>
    </row>
    <row r="40" spans="1:11" x14ac:dyDescent="0.35">
      <c r="A40" s="14">
        <v>44650.690972222219</v>
      </c>
      <c r="B40" s="15">
        <f t="shared" si="1"/>
        <v>33.083333333313931</v>
      </c>
      <c r="C40" s="29"/>
      <c r="D40" s="28"/>
      <c r="E40" s="16">
        <v>1.1439999999999999</v>
      </c>
      <c r="F40" s="15">
        <v>4.1900000000000004</v>
      </c>
      <c r="H40" s="29"/>
      <c r="I40" s="5"/>
      <c r="J40" s="5"/>
      <c r="K40" s="5"/>
    </row>
    <row r="41" spans="1:11" x14ac:dyDescent="0.35">
      <c r="A41" s="14">
        <v>44650.805555555555</v>
      </c>
      <c r="B41" s="15">
        <f t="shared" si="1"/>
        <v>35.833333333372138</v>
      </c>
      <c r="C41" s="21">
        <f>124*20*100000</f>
        <v>248000000</v>
      </c>
      <c r="D41" s="28"/>
      <c r="E41" s="5">
        <v>1.298</v>
      </c>
      <c r="F41" s="5">
        <v>4.1100000000000003</v>
      </c>
      <c r="H41" s="15">
        <f>LOG(C41)</f>
        <v>8.3944516808262168</v>
      </c>
      <c r="I41" s="5"/>
      <c r="J41" s="5"/>
      <c r="K41" s="5"/>
    </row>
    <row r="42" spans="1:11" x14ac:dyDescent="0.35">
      <c r="A42" s="14">
        <v>44651.322916666664</v>
      </c>
      <c r="B42" s="15">
        <f t="shared" si="1"/>
        <v>48.25</v>
      </c>
      <c r="C42" s="21">
        <f>121*20*100000</f>
        <v>242000000</v>
      </c>
      <c r="D42" s="28"/>
      <c r="E42" s="5">
        <v>1.3959999999999999</v>
      </c>
      <c r="F42" s="15">
        <v>3.84</v>
      </c>
      <c r="H42" s="15">
        <f>LOG(C42)</f>
        <v>8.383815365980432</v>
      </c>
      <c r="I42" s="5"/>
      <c r="J42" s="5"/>
      <c r="K42" s="5"/>
    </row>
    <row r="43" spans="1:11" x14ac:dyDescent="0.35">
      <c r="A43" s="14">
        <v>44651.565972222219</v>
      </c>
      <c r="B43" s="15">
        <f t="shared" si="1"/>
        <v>54.083333333313931</v>
      </c>
      <c r="C43" s="21">
        <f>97*20*100000</f>
        <v>194000000</v>
      </c>
      <c r="D43" s="28"/>
      <c r="E43" s="5">
        <v>1.446</v>
      </c>
      <c r="F43" s="5">
        <v>3.77</v>
      </c>
      <c r="H43" s="15">
        <f>LOG(C43)</f>
        <v>8.2878017299302265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E45" t="s">
        <v>31</v>
      </c>
      <c r="F45">
        <f>MIN(F32:F43)</f>
        <v>3.77</v>
      </c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44649.354166666664</v>
      </c>
      <c r="B52" s="15">
        <f>0*24+1</f>
        <v>1</v>
      </c>
      <c r="C52" s="29"/>
      <c r="D52" s="21">
        <f>15*10*10</f>
        <v>1500</v>
      </c>
      <c r="E52" s="5">
        <v>-0.04</v>
      </c>
      <c r="F52" s="5">
        <v>5.83</v>
      </c>
      <c r="H52" s="15">
        <f>LOG(D52)</f>
        <v>3.1760912590556813</v>
      </c>
    </row>
    <row r="53" spans="1:11" x14ac:dyDescent="0.35">
      <c r="A53" s="14">
        <v>44649.4375</v>
      </c>
      <c r="B53" s="15">
        <f t="shared" ref="B53:B63" si="2">(A53-$A$32)*24+1</f>
        <v>3.0000000000582077</v>
      </c>
      <c r="C53" s="29"/>
      <c r="D53" s="29"/>
      <c r="E53" s="16">
        <v>4.3999999999999997E-2</v>
      </c>
      <c r="F53" s="5">
        <v>5.8</v>
      </c>
      <c r="H53" s="29"/>
    </row>
    <row r="54" spans="1:11" x14ac:dyDescent="0.35">
      <c r="A54" s="14">
        <v>44649.5625</v>
      </c>
      <c r="B54" s="15">
        <f t="shared" si="2"/>
        <v>6.0000000000582077</v>
      </c>
      <c r="C54" s="29"/>
      <c r="D54" s="29"/>
      <c r="E54" s="5">
        <v>5.0999999999999997E-2</v>
      </c>
      <c r="F54" s="5">
        <v>5.82</v>
      </c>
      <c r="H54" s="29"/>
    </row>
    <row r="55" spans="1:11" x14ac:dyDescent="0.35">
      <c r="A55" s="14">
        <v>44649.6875</v>
      </c>
      <c r="B55" s="15">
        <f t="shared" si="2"/>
        <v>9.0000000000582077</v>
      </c>
      <c r="C55" s="29"/>
      <c r="D55" s="29"/>
      <c r="E55" s="5">
        <v>2.1999999999999999E-2</v>
      </c>
      <c r="F55" s="5">
        <v>5.86</v>
      </c>
      <c r="H55" s="29"/>
    </row>
    <row r="56" spans="1:11" x14ac:dyDescent="0.35">
      <c r="A56" s="14">
        <v>44649.819444444445</v>
      </c>
      <c r="B56" s="15">
        <f t="shared" si="2"/>
        <v>12.166666666744277</v>
      </c>
      <c r="C56" s="29"/>
      <c r="D56" s="21">
        <f>54*20*100</f>
        <v>108000</v>
      </c>
      <c r="E56" s="5">
        <v>-4.5999999999999999E-2</v>
      </c>
      <c r="F56" s="5">
        <v>5.81</v>
      </c>
      <c r="H56" s="15">
        <f>LOG(D56)</f>
        <v>5.0334237554869494</v>
      </c>
    </row>
    <row r="57" spans="1:11" x14ac:dyDescent="0.35">
      <c r="A57" s="14">
        <v>44650.319444444445</v>
      </c>
      <c r="B57" s="15">
        <f t="shared" si="2"/>
        <v>24.166666666744277</v>
      </c>
      <c r="C57" s="29"/>
      <c r="D57" s="21">
        <f>56*20*10000</f>
        <v>11200000</v>
      </c>
      <c r="E57" s="5">
        <v>-1.7999999999999999E-2</v>
      </c>
      <c r="F57" s="5">
        <v>5.85</v>
      </c>
      <c r="H57" s="15">
        <f>LOG(D57)</f>
        <v>7.0492180226701819</v>
      </c>
    </row>
    <row r="58" spans="1:11" x14ac:dyDescent="0.35">
      <c r="A58" s="14">
        <v>44650.440972222219</v>
      </c>
      <c r="B58" s="15">
        <f t="shared" si="2"/>
        <v>27.083333333313931</v>
      </c>
      <c r="C58" s="29"/>
      <c r="D58" s="29"/>
      <c r="E58" s="5">
        <v>-2.7E-2</v>
      </c>
      <c r="F58" s="5">
        <v>5.83</v>
      </c>
      <c r="H58" s="29"/>
    </row>
    <row r="59" spans="1:11" x14ac:dyDescent="0.35">
      <c r="A59" s="14">
        <v>44650.565972222219</v>
      </c>
      <c r="B59" s="15">
        <f t="shared" si="2"/>
        <v>30.083333333313931</v>
      </c>
      <c r="C59" s="29"/>
      <c r="D59" s="29"/>
      <c r="E59" s="5">
        <v>-6.5000000000000002E-2</v>
      </c>
      <c r="F59" s="5">
        <v>5.82</v>
      </c>
      <c r="H59" s="29"/>
    </row>
    <row r="60" spans="1:11" x14ac:dyDescent="0.35">
      <c r="A60" s="14">
        <v>44650.690972222219</v>
      </c>
      <c r="B60" s="15">
        <f t="shared" si="2"/>
        <v>33.083333333313931</v>
      </c>
      <c r="C60" s="29"/>
      <c r="D60" s="29"/>
      <c r="E60" s="5">
        <v>6.0000000000000001E-3</v>
      </c>
      <c r="F60" s="5">
        <v>5.82</v>
      </c>
      <c r="H60" s="29"/>
    </row>
    <row r="61" spans="1:11" x14ac:dyDescent="0.35">
      <c r="A61" s="14">
        <v>44650.805555555555</v>
      </c>
      <c r="B61" s="15">
        <f t="shared" si="2"/>
        <v>35.833333333372138</v>
      </c>
      <c r="C61" s="29"/>
      <c r="D61" s="21">
        <f>148*20*100000</f>
        <v>296000000</v>
      </c>
      <c r="E61" s="5">
        <v>4.9000000000000002E-2</v>
      </c>
      <c r="F61" s="15">
        <v>5.8</v>
      </c>
      <c r="H61" s="15">
        <f>LOG(D61)</f>
        <v>8.4712917110589387</v>
      </c>
    </row>
    <row r="62" spans="1:11" x14ac:dyDescent="0.35">
      <c r="A62" s="14">
        <v>44651.322916666664</v>
      </c>
      <c r="B62" s="15">
        <f t="shared" si="2"/>
        <v>48.25</v>
      </c>
      <c r="C62" s="29"/>
      <c r="D62" s="21">
        <f>AVERAGE(832000000,733000000,1070000000)</f>
        <v>878333333.33333337</v>
      </c>
      <c r="E62" s="5">
        <v>0.35899999999999999</v>
      </c>
      <c r="F62" s="15">
        <v>4.8099999999999996</v>
      </c>
      <c r="H62" s="15">
        <f>LOG(D62)</f>
        <v>8.9436593648289033</v>
      </c>
    </row>
    <row r="63" spans="1:11" x14ac:dyDescent="0.35">
      <c r="A63" s="14">
        <v>44651.565972222219</v>
      </c>
      <c r="B63" s="15">
        <f t="shared" si="2"/>
        <v>54.083333333313931</v>
      </c>
      <c r="C63" s="28"/>
      <c r="D63" s="21">
        <f>203*20*100000</f>
        <v>406000000</v>
      </c>
      <c r="E63" s="5">
        <v>0.39700000000000002</v>
      </c>
      <c r="F63" s="5">
        <v>4.5</v>
      </c>
      <c r="H63" s="15">
        <f>LOG(D63)</f>
        <v>8.6085260335771938</v>
      </c>
    </row>
    <row r="65" spans="1:11" x14ac:dyDescent="0.35">
      <c r="E65" t="s">
        <v>31</v>
      </c>
      <c r="F65">
        <f>MIN(F52:F63)</f>
        <v>4.5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44649.354166666664</v>
      </c>
      <c r="B73" s="15">
        <f>0*24+1</f>
        <v>1</v>
      </c>
      <c r="C73" s="21">
        <f>72*20*100</f>
        <v>144000</v>
      </c>
      <c r="D73" s="21">
        <f>24*10*10</f>
        <v>2400</v>
      </c>
      <c r="E73" s="5">
        <v>-0.05</v>
      </c>
      <c r="F73" s="5">
        <v>5.83</v>
      </c>
      <c r="H73" s="15">
        <f t="shared" ref="H73:H84" si="3">LOG(C73)</f>
        <v>5.1583624920952493</v>
      </c>
      <c r="I73" s="15">
        <f t="shared" ref="I73:I84" si="4">LOG(D73)</f>
        <v>3.3802112417116059</v>
      </c>
    </row>
    <row r="74" spans="1:11" x14ac:dyDescent="0.35">
      <c r="A74" s="14">
        <v>44649.4375</v>
      </c>
      <c r="B74" s="15">
        <f t="shared" ref="B74:B84" si="5">(A74-$A$32)*24+1</f>
        <v>3.0000000000582077</v>
      </c>
      <c r="C74" s="21">
        <f>183*20*100</f>
        <v>366000</v>
      </c>
      <c r="D74" s="21">
        <f>39*10*10</f>
        <v>3900</v>
      </c>
      <c r="E74" s="5">
        <v>1E-3</v>
      </c>
      <c r="F74" s="5">
        <v>5.84</v>
      </c>
      <c r="H74" s="15">
        <f t="shared" si="3"/>
        <v>5.563481085394411</v>
      </c>
      <c r="I74" s="15">
        <f t="shared" si="4"/>
        <v>3.5910646070264991</v>
      </c>
    </row>
    <row r="75" spans="1:11" x14ac:dyDescent="0.35">
      <c r="A75" s="14">
        <v>44649.5625</v>
      </c>
      <c r="B75" s="15">
        <f t="shared" si="5"/>
        <v>6.0000000000582077</v>
      </c>
      <c r="C75" s="21">
        <f>58*20*1000</f>
        <v>1160000</v>
      </c>
      <c r="D75" s="21">
        <f>113*10*10</f>
        <v>11300</v>
      </c>
      <c r="E75" s="5">
        <v>0.02</v>
      </c>
      <c r="F75" s="5">
        <v>5.84</v>
      </c>
      <c r="H75" s="15">
        <f t="shared" si="3"/>
        <v>6.0644579892269181</v>
      </c>
      <c r="I75" s="15">
        <f t="shared" si="4"/>
        <v>4.0530784434834199</v>
      </c>
    </row>
    <row r="76" spans="1:11" x14ac:dyDescent="0.35">
      <c r="A76" s="14">
        <v>44649.6875</v>
      </c>
      <c r="B76" s="15">
        <f t="shared" si="5"/>
        <v>9.0000000000582077</v>
      </c>
      <c r="C76" s="21">
        <f>133*20*1000</f>
        <v>2660000</v>
      </c>
      <c r="D76" s="21">
        <f>337*10*10</f>
        <v>33700</v>
      </c>
      <c r="E76" s="5">
        <v>-2E-3</v>
      </c>
      <c r="F76" s="15">
        <v>5.81</v>
      </c>
      <c r="H76" s="15">
        <f t="shared" si="3"/>
        <v>6.424881636631067</v>
      </c>
      <c r="I76" s="15">
        <f t="shared" si="4"/>
        <v>4.5276299008713385</v>
      </c>
    </row>
    <row r="77" spans="1:11" x14ac:dyDescent="0.35">
      <c r="A77" s="14">
        <v>44649.819444444445</v>
      </c>
      <c r="B77" s="15">
        <f t="shared" si="5"/>
        <v>12.166666666744277</v>
      </c>
      <c r="C77" s="21">
        <f>42*20*10000</f>
        <v>8400000</v>
      </c>
      <c r="D77" s="21">
        <f>778*10*10</f>
        <v>77800</v>
      </c>
      <c r="E77" s="5">
        <v>-4.7E-2</v>
      </c>
      <c r="F77" s="5">
        <v>5.65</v>
      </c>
      <c r="H77" s="15">
        <f t="shared" si="3"/>
        <v>6.924279286061882</v>
      </c>
      <c r="I77" s="15">
        <f t="shared" si="4"/>
        <v>4.8909795969896885</v>
      </c>
    </row>
    <row r="78" spans="1:11" x14ac:dyDescent="0.35">
      <c r="A78" s="14">
        <v>44650.319444444445</v>
      </c>
      <c r="B78" s="15">
        <f t="shared" si="5"/>
        <v>24.166666666744277</v>
      </c>
      <c r="C78" s="21">
        <f>85*20*100000</f>
        <v>170000000</v>
      </c>
      <c r="D78" s="23">
        <f>AVERAGE(127*2,33*2*10)</f>
        <v>457</v>
      </c>
      <c r="E78" s="5">
        <v>0.56799999999999995</v>
      </c>
      <c r="F78" s="5">
        <v>4.6100000000000003</v>
      </c>
      <c r="H78" s="15">
        <f t="shared" si="3"/>
        <v>8.2304489213782741</v>
      </c>
      <c r="I78" s="15">
        <f t="shared" si="4"/>
        <v>2.6599162000698504</v>
      </c>
    </row>
    <row r="79" spans="1:11" x14ac:dyDescent="0.35">
      <c r="A79" s="14">
        <v>44650.440972222219</v>
      </c>
      <c r="B79" s="15">
        <f t="shared" si="5"/>
        <v>27.083333333313931</v>
      </c>
      <c r="C79" s="21">
        <f>83*20*100000</f>
        <v>166000000</v>
      </c>
      <c r="D79" s="23">
        <f>AVERAGE(32*2,3*2*10)</f>
        <v>62</v>
      </c>
      <c r="E79" s="5">
        <v>0.71799999999999997</v>
      </c>
      <c r="F79" s="5">
        <v>4.1399999999999997</v>
      </c>
      <c r="H79" s="15">
        <f t="shared" si="3"/>
        <v>8.220108088040055</v>
      </c>
      <c r="I79" s="18">
        <f t="shared" si="4"/>
        <v>1.7923916894982539</v>
      </c>
    </row>
    <row r="80" spans="1:11" x14ac:dyDescent="0.35">
      <c r="A80" s="14">
        <v>44650.565972222219</v>
      </c>
      <c r="B80" s="15">
        <f t="shared" si="5"/>
        <v>30.083333333313931</v>
      </c>
      <c r="C80" s="21">
        <f>101*20*100000</f>
        <v>202000000</v>
      </c>
      <c r="D80" s="22">
        <f>AVERAGE(10*2,3*2*10)</f>
        <v>40</v>
      </c>
      <c r="E80" s="5">
        <v>0.81699999999999995</v>
      </c>
      <c r="F80" s="5">
        <v>4.1100000000000003</v>
      </c>
      <c r="H80" s="15">
        <f t="shared" si="3"/>
        <v>8.3053513694466243</v>
      </c>
      <c r="I80" s="15">
        <f t="shared" si="4"/>
        <v>1.6020599913279623</v>
      </c>
    </row>
    <row r="81" spans="1:11" x14ac:dyDescent="0.35">
      <c r="A81" s="14">
        <v>44650.690972222219</v>
      </c>
      <c r="B81" s="15">
        <f t="shared" si="5"/>
        <v>33.083333333313931</v>
      </c>
      <c r="C81" s="21">
        <f>96*20*100000</f>
        <v>192000000</v>
      </c>
      <c r="D81" s="22">
        <f>AVERAGE(21*2,4*2*10)</f>
        <v>61</v>
      </c>
      <c r="E81" s="5">
        <v>1.0049999999999999</v>
      </c>
      <c r="F81" s="5">
        <v>4.03</v>
      </c>
      <c r="H81" s="15">
        <f t="shared" si="3"/>
        <v>8.2833012287035501</v>
      </c>
      <c r="I81" s="15">
        <f t="shared" si="4"/>
        <v>1.7853298350107671</v>
      </c>
    </row>
    <row r="82" spans="1:11" x14ac:dyDescent="0.35">
      <c r="A82" s="14">
        <v>44650.805555555555</v>
      </c>
      <c r="B82" s="15">
        <f t="shared" si="5"/>
        <v>35.833333333372138</v>
      </c>
      <c r="C82" s="21">
        <f>100*20*100000</f>
        <v>200000000</v>
      </c>
      <c r="D82" s="23">
        <f>AVERAGE(8*2,1*2*10)</f>
        <v>18</v>
      </c>
      <c r="E82" s="5">
        <v>1.095</v>
      </c>
      <c r="F82" s="5">
        <v>4.04</v>
      </c>
      <c r="H82" s="15">
        <f t="shared" si="3"/>
        <v>8.3010299956639813</v>
      </c>
      <c r="I82" s="15">
        <f t="shared" si="4"/>
        <v>1.255272505103306</v>
      </c>
    </row>
    <row r="83" spans="1:11" x14ac:dyDescent="0.35">
      <c r="A83" s="14">
        <v>44651.322916666664</v>
      </c>
      <c r="B83" s="15">
        <f t="shared" si="5"/>
        <v>48.25</v>
      </c>
      <c r="C83" s="21">
        <f>76*20*100000</f>
        <v>152000000</v>
      </c>
      <c r="D83" s="22">
        <f>10*2</f>
        <v>20</v>
      </c>
      <c r="E83" s="5">
        <v>1.361</v>
      </c>
      <c r="F83" s="5">
        <v>3.91</v>
      </c>
      <c r="H83" s="15">
        <f t="shared" si="3"/>
        <v>8.1818435879447726</v>
      </c>
      <c r="I83" s="15">
        <f t="shared" si="4"/>
        <v>1.3010299956639813</v>
      </c>
    </row>
    <row r="84" spans="1:11" x14ac:dyDescent="0.35">
      <c r="A84" s="14">
        <v>44651.565972222219</v>
      </c>
      <c r="B84" s="15">
        <f t="shared" si="5"/>
        <v>54.083333333313931</v>
      </c>
      <c r="C84" s="21">
        <f>93*20*100000</f>
        <v>186000000</v>
      </c>
      <c r="D84" s="22">
        <f>1*2</f>
        <v>2</v>
      </c>
      <c r="E84" s="16">
        <v>1.3740000000000001</v>
      </c>
      <c r="F84" s="5">
        <v>3.84</v>
      </c>
      <c r="H84" s="15">
        <f t="shared" si="3"/>
        <v>8.2695129442179169</v>
      </c>
      <c r="I84" s="15">
        <f t="shared" si="4"/>
        <v>0.3010299956639812</v>
      </c>
    </row>
    <row r="86" spans="1:11" x14ac:dyDescent="0.35">
      <c r="E86" t="s">
        <v>31</v>
      </c>
      <c r="F86">
        <f>MIN(F73:F84)</f>
        <v>3.84</v>
      </c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44649.354166666664</v>
      </c>
      <c r="B95" s="15">
        <f>0*24+1</f>
        <v>1</v>
      </c>
      <c r="C95" s="21">
        <f>106*2000</f>
        <v>212000</v>
      </c>
      <c r="D95" s="21">
        <f>36*10*10</f>
        <v>3600</v>
      </c>
      <c r="E95" s="5">
        <v>-2.5000000000000001E-2</v>
      </c>
      <c r="F95" s="5">
        <v>5.83</v>
      </c>
      <c r="H95" s="15">
        <f t="shared" ref="H95:H106" si="6">LOG(C95)</f>
        <v>5.3263358609287517</v>
      </c>
      <c r="I95" s="15">
        <f t="shared" ref="I95:I106" si="7">LOG(D95)</f>
        <v>3.5563025007672873</v>
      </c>
      <c r="J95" s="5"/>
      <c r="K95" s="5"/>
    </row>
    <row r="96" spans="1:11" x14ac:dyDescent="0.35">
      <c r="A96" s="14">
        <v>44649.4375</v>
      </c>
      <c r="B96" s="15">
        <f t="shared" ref="B96:B106" si="8">(A96-$A$32)*24+1</f>
        <v>3.0000000000582077</v>
      </c>
      <c r="C96" s="22">
        <f>580*20*100</f>
        <v>1160000</v>
      </c>
      <c r="D96" s="21">
        <f>30*100</f>
        <v>3000</v>
      </c>
      <c r="E96" s="5">
        <v>0.02</v>
      </c>
      <c r="F96" s="5">
        <v>5.78</v>
      </c>
      <c r="H96" s="17">
        <f t="shared" si="6"/>
        <v>6.0644579892269181</v>
      </c>
      <c r="I96" s="15">
        <f t="shared" si="7"/>
        <v>3.4771212547196626</v>
      </c>
      <c r="J96" s="5"/>
      <c r="K96" s="5"/>
    </row>
    <row r="97" spans="1:11" x14ac:dyDescent="0.35">
      <c r="A97" s="14">
        <v>44649.5625</v>
      </c>
      <c r="B97" s="15">
        <f t="shared" si="8"/>
        <v>6.0000000000582077</v>
      </c>
      <c r="C97" s="21">
        <f>163*20000</f>
        <v>3260000</v>
      </c>
      <c r="D97" s="21">
        <f>132*100</f>
        <v>13200</v>
      </c>
      <c r="E97" s="5">
        <v>3.9E-2</v>
      </c>
      <c r="F97" s="5">
        <v>5.8</v>
      </c>
      <c r="H97" s="15">
        <f t="shared" si="6"/>
        <v>6.5132176000679394</v>
      </c>
      <c r="I97" s="15">
        <f t="shared" si="7"/>
        <v>4.1205739312058496</v>
      </c>
      <c r="J97" s="5"/>
      <c r="K97" s="5"/>
    </row>
    <row r="98" spans="1:11" x14ac:dyDescent="0.35">
      <c r="A98" s="14">
        <v>44649.6875</v>
      </c>
      <c r="B98" s="15">
        <f t="shared" si="8"/>
        <v>9.0000000000582077</v>
      </c>
      <c r="C98" s="21">
        <f>9850000</f>
        <v>9850000</v>
      </c>
      <c r="D98" s="21">
        <f>328*100</f>
        <v>32800</v>
      </c>
      <c r="E98" s="5">
        <v>3.9E-2</v>
      </c>
      <c r="F98" s="5">
        <v>5.76</v>
      </c>
      <c r="H98" s="15">
        <f t="shared" si="6"/>
        <v>6.9934362304976121</v>
      </c>
      <c r="I98" s="15">
        <f t="shared" si="7"/>
        <v>4.5158738437116792</v>
      </c>
      <c r="J98" s="5"/>
      <c r="K98" s="5"/>
    </row>
    <row r="99" spans="1:11" x14ac:dyDescent="0.35">
      <c r="A99" s="14">
        <v>44649.819444444445</v>
      </c>
      <c r="B99" s="15">
        <f t="shared" si="8"/>
        <v>12.166666666744277</v>
      </c>
      <c r="C99" s="23">
        <f>235*200000</f>
        <v>47000000</v>
      </c>
      <c r="D99" s="21">
        <f>55*2000</f>
        <v>110000</v>
      </c>
      <c r="E99" s="5">
        <v>3.5999999999999997E-2</v>
      </c>
      <c r="F99" s="5">
        <v>5.64</v>
      </c>
      <c r="H99" s="18">
        <f t="shared" si="6"/>
        <v>7.6720978579357171</v>
      </c>
      <c r="I99" s="15">
        <f t="shared" si="7"/>
        <v>5.0413926851582254</v>
      </c>
      <c r="J99" s="5"/>
      <c r="K99" s="5"/>
    </row>
    <row r="100" spans="1:11" x14ac:dyDescent="0.35">
      <c r="A100" s="14">
        <v>44650.319444444445</v>
      </c>
      <c r="B100" s="15">
        <f t="shared" si="8"/>
        <v>24.166666666744277</v>
      </c>
      <c r="C100" s="21">
        <f>123*2000000</f>
        <v>246000000</v>
      </c>
      <c r="D100" s="21">
        <f>21*20000</f>
        <v>420000</v>
      </c>
      <c r="E100" s="5">
        <v>0.79200000000000004</v>
      </c>
      <c r="F100" s="5">
        <v>4.1500000000000004</v>
      </c>
      <c r="H100" s="15">
        <f t="shared" si="6"/>
        <v>8.3909351071033793</v>
      </c>
      <c r="I100" s="15">
        <f t="shared" si="7"/>
        <v>5.6232492903979008</v>
      </c>
      <c r="J100" s="5"/>
      <c r="K100" s="5"/>
    </row>
    <row r="101" spans="1:11" x14ac:dyDescent="0.35">
      <c r="A101" s="14">
        <v>44650.440972222219</v>
      </c>
      <c r="B101" s="15">
        <f t="shared" si="8"/>
        <v>27.083333333313931</v>
      </c>
      <c r="C101" s="21">
        <f>119*2000000</f>
        <v>238000000</v>
      </c>
      <c r="D101" s="21">
        <f>15*20000</f>
        <v>300000</v>
      </c>
      <c r="E101" s="5">
        <v>1.0409999999999999</v>
      </c>
      <c r="F101" s="15">
        <v>3.99</v>
      </c>
      <c r="H101" s="15">
        <f t="shared" si="6"/>
        <v>8.3765769570565123</v>
      </c>
      <c r="I101" s="15">
        <f t="shared" si="7"/>
        <v>5.4771212547196626</v>
      </c>
      <c r="J101" s="5"/>
      <c r="K101" s="5"/>
    </row>
    <row r="102" spans="1:11" x14ac:dyDescent="0.35">
      <c r="A102" s="14">
        <v>44650.565972222219</v>
      </c>
      <c r="B102" s="15">
        <f t="shared" si="8"/>
        <v>30.083333333313931</v>
      </c>
      <c r="C102" s="21">
        <f>114*2000000</f>
        <v>228000000</v>
      </c>
      <c r="D102" s="21">
        <f>27*20000</f>
        <v>540000</v>
      </c>
      <c r="E102" s="5">
        <v>1.046</v>
      </c>
      <c r="F102" s="15">
        <v>3.67</v>
      </c>
      <c r="H102" s="15">
        <f t="shared" si="6"/>
        <v>8.357934847000454</v>
      </c>
      <c r="I102" s="15">
        <f t="shared" si="7"/>
        <v>5.7323937598229682</v>
      </c>
      <c r="J102" s="5"/>
      <c r="K102" s="5"/>
    </row>
    <row r="103" spans="1:11" x14ac:dyDescent="0.35">
      <c r="A103" s="14">
        <v>44650.690972222219</v>
      </c>
      <c r="B103" s="15">
        <f t="shared" si="8"/>
        <v>33.083333333313931</v>
      </c>
      <c r="C103" s="21">
        <f>129*2000000</f>
        <v>258000000</v>
      </c>
      <c r="D103" s="21">
        <f>25*20000</f>
        <v>500000</v>
      </c>
      <c r="E103" s="16">
        <v>1.169</v>
      </c>
      <c r="F103" s="15">
        <v>3.91</v>
      </c>
      <c r="H103" s="15">
        <f t="shared" si="6"/>
        <v>8.4116197059632309</v>
      </c>
      <c r="I103" s="15">
        <f t="shared" si="7"/>
        <v>5.6989700043360187</v>
      </c>
      <c r="J103" s="5"/>
      <c r="K103" s="5"/>
    </row>
    <row r="104" spans="1:11" x14ac:dyDescent="0.35">
      <c r="A104" s="14">
        <v>44650.805555555555</v>
      </c>
      <c r="B104" s="15">
        <f t="shared" si="8"/>
        <v>35.833333333372138</v>
      </c>
      <c r="C104" s="21">
        <f>122*2000000</f>
        <v>244000000</v>
      </c>
      <c r="D104" s="21">
        <f>15*20000</f>
        <v>300000</v>
      </c>
      <c r="E104" s="5">
        <v>1.2350000000000001</v>
      </c>
      <c r="F104" s="5">
        <v>4.1500000000000004</v>
      </c>
      <c r="H104" s="15">
        <f t="shared" si="6"/>
        <v>8.3873898263387296</v>
      </c>
      <c r="I104" s="15">
        <f t="shared" si="7"/>
        <v>5.4771212547196626</v>
      </c>
      <c r="J104" s="5"/>
      <c r="K104" s="5"/>
    </row>
    <row r="105" spans="1:11" x14ac:dyDescent="0.35">
      <c r="A105" s="14">
        <v>44651.322916666664</v>
      </c>
      <c r="B105" s="15">
        <f t="shared" si="8"/>
        <v>48.25</v>
      </c>
      <c r="C105" s="21">
        <f>117*20*100000</f>
        <v>234000000</v>
      </c>
      <c r="D105" s="21">
        <f>12*20000</f>
        <v>240000</v>
      </c>
      <c r="E105" s="16">
        <v>1.5780000000000001</v>
      </c>
      <c r="F105" s="5">
        <v>3.83</v>
      </c>
      <c r="H105" s="15">
        <f t="shared" si="6"/>
        <v>8.3692158574101434</v>
      </c>
      <c r="I105" s="15">
        <f t="shared" si="7"/>
        <v>5.3802112417116064</v>
      </c>
      <c r="J105" s="5"/>
      <c r="K105" s="5"/>
    </row>
    <row r="106" spans="1:11" x14ac:dyDescent="0.35">
      <c r="A106" s="14">
        <v>44651.565972222219</v>
      </c>
      <c r="B106" s="15">
        <f t="shared" si="8"/>
        <v>54.083333333313931</v>
      </c>
      <c r="C106" s="22">
        <f>93*20*10000</f>
        <v>18600000</v>
      </c>
      <c r="D106" s="21">
        <f>7*20*1000</f>
        <v>140000</v>
      </c>
      <c r="E106" s="16">
        <v>1.512</v>
      </c>
      <c r="F106" s="5">
        <v>3.79</v>
      </c>
      <c r="H106" s="17">
        <f t="shared" si="6"/>
        <v>7.2695129442179161</v>
      </c>
      <c r="I106" s="15">
        <f t="shared" si="7"/>
        <v>5.1461280356782382</v>
      </c>
      <c r="J106" s="5"/>
      <c r="K106" s="5"/>
    </row>
    <row r="107" spans="1:11" x14ac:dyDescent="0.35">
      <c r="H107" s="5"/>
      <c r="I107" s="5"/>
      <c r="J107" s="5"/>
      <c r="K107" s="5"/>
    </row>
    <row r="108" spans="1:11" x14ac:dyDescent="0.35">
      <c r="E108" t="s">
        <v>31</v>
      </c>
      <c r="F108">
        <f>MIN(F95:F106)</f>
        <v>3.67</v>
      </c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1B16-895E-4DBA-AE60-68CA4911A143}">
  <dimension ref="A1:K108"/>
  <sheetViews>
    <sheetView topLeftCell="A37" zoomScale="80" zoomScaleNormal="80" workbookViewId="0">
      <selection activeCell="Q28" sqref="Q28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3" width="12.26953125" bestFit="1" customWidth="1"/>
    <col min="4" max="4" width="11.5429687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44649.354166666664</v>
      </c>
      <c r="B10" s="15">
        <f>0*(24)+1</f>
        <v>1</v>
      </c>
      <c r="C10" s="21">
        <f>65*20*100</f>
        <v>130000</v>
      </c>
      <c r="D10" s="28"/>
      <c r="E10" s="5">
        <v>-1.2E-2</v>
      </c>
      <c r="F10" s="5">
        <v>5.86</v>
      </c>
      <c r="H10" s="15">
        <f>LOG(C10)</f>
        <v>5.1139433523068369</v>
      </c>
    </row>
    <row r="11" spans="1:11" x14ac:dyDescent="0.35">
      <c r="A11" s="14">
        <v>44649.4375</v>
      </c>
      <c r="B11" s="15">
        <f t="shared" ref="B11:B21" si="0">(A11-$A$10)*(24)+1</f>
        <v>3.0000000000582077</v>
      </c>
      <c r="C11" s="28"/>
      <c r="D11" s="28"/>
      <c r="E11" s="5">
        <v>1.2E-2</v>
      </c>
      <c r="F11" s="5">
        <v>5.86</v>
      </c>
      <c r="H11" s="28"/>
    </row>
    <row r="12" spans="1:11" x14ac:dyDescent="0.35">
      <c r="A12" s="14">
        <v>44649.5625</v>
      </c>
      <c r="B12" s="15">
        <f t="shared" si="0"/>
        <v>6.0000000000582077</v>
      </c>
      <c r="C12" s="28"/>
      <c r="D12" s="28"/>
      <c r="E12" s="5">
        <v>-1.2E-2</v>
      </c>
      <c r="F12" s="5">
        <v>5.85</v>
      </c>
      <c r="H12" s="28"/>
    </row>
    <row r="13" spans="1:11" x14ac:dyDescent="0.35">
      <c r="A13" s="14">
        <v>44649.6875</v>
      </c>
      <c r="B13" s="15">
        <f t="shared" si="0"/>
        <v>9.0000000000582077</v>
      </c>
      <c r="C13" s="28"/>
      <c r="D13" s="28"/>
      <c r="E13" s="5">
        <v>2.1999999999999999E-2</v>
      </c>
      <c r="F13" s="5">
        <v>5.79</v>
      </c>
      <c r="H13" s="28"/>
    </row>
    <row r="14" spans="1:11" x14ac:dyDescent="0.35">
      <c r="A14" s="14">
        <v>44649.819444444445</v>
      </c>
      <c r="B14" s="15">
        <f t="shared" si="0"/>
        <v>12.166666666744277</v>
      </c>
      <c r="C14" s="23">
        <f>30*20*10000</f>
        <v>6000000</v>
      </c>
      <c r="D14" s="28"/>
      <c r="E14" s="5">
        <v>-2.8000000000000001E-2</v>
      </c>
      <c r="F14" s="5">
        <v>5.76</v>
      </c>
      <c r="H14" s="18">
        <f>LOG(C14)</f>
        <v>6.7781512503836439</v>
      </c>
    </row>
    <row r="15" spans="1:11" x14ac:dyDescent="0.35">
      <c r="A15" s="14">
        <v>44650.319444444445</v>
      </c>
      <c r="B15" s="15">
        <f t="shared" si="0"/>
        <v>24.166666666744277</v>
      </c>
      <c r="C15" s="21">
        <f>89*20*100000</f>
        <v>178000000</v>
      </c>
      <c r="D15" s="28"/>
      <c r="E15" s="5">
        <v>0.33300000000000002</v>
      </c>
      <c r="F15" s="5">
        <v>4.43</v>
      </c>
      <c r="H15" s="15">
        <f>LOG(C15)</f>
        <v>8.2504200023088945</v>
      </c>
    </row>
    <row r="16" spans="1:11" x14ac:dyDescent="0.35">
      <c r="A16" s="14">
        <v>44650.440972222219</v>
      </c>
      <c r="B16" s="15">
        <f t="shared" si="0"/>
        <v>27.083333333313931</v>
      </c>
      <c r="C16" s="28"/>
      <c r="D16" s="28"/>
      <c r="E16" s="5">
        <v>0.496</v>
      </c>
      <c r="F16" s="5">
        <v>4.29</v>
      </c>
      <c r="H16" s="28"/>
    </row>
    <row r="17" spans="1:11" x14ac:dyDescent="0.35">
      <c r="A17" s="14">
        <v>44650.565972222219</v>
      </c>
      <c r="B17" s="15">
        <f t="shared" si="0"/>
        <v>30.083333333313931</v>
      </c>
      <c r="C17" s="28"/>
      <c r="D17" s="28"/>
      <c r="E17" s="5">
        <v>0.65900000000000003</v>
      </c>
      <c r="F17" s="5">
        <v>4.21</v>
      </c>
      <c r="H17" s="28"/>
    </row>
    <row r="18" spans="1:11" x14ac:dyDescent="0.35">
      <c r="A18" s="14">
        <v>44650.690972222219</v>
      </c>
      <c r="B18" s="15">
        <f t="shared" si="0"/>
        <v>33.083333333313931</v>
      </c>
      <c r="C18" s="28"/>
      <c r="D18" s="28"/>
      <c r="E18" s="5">
        <v>0.7</v>
      </c>
      <c r="F18" s="5">
        <v>4.1399999999999997</v>
      </c>
      <c r="H18" s="28"/>
    </row>
    <row r="19" spans="1:11" x14ac:dyDescent="0.35">
      <c r="A19" s="14">
        <v>44650.805555555555</v>
      </c>
      <c r="B19" s="15">
        <f t="shared" si="0"/>
        <v>35.833333333372138</v>
      </c>
      <c r="C19" s="21">
        <f>110*20*100000</f>
        <v>220000000</v>
      </c>
      <c r="D19" s="28"/>
      <c r="E19" s="5">
        <v>0.81499999999999995</v>
      </c>
      <c r="F19" s="5">
        <v>4.08</v>
      </c>
      <c r="H19" s="15">
        <f>LOG(C19)</f>
        <v>8.3424226808222066</v>
      </c>
    </row>
    <row r="20" spans="1:11" x14ac:dyDescent="0.35">
      <c r="A20" s="14">
        <v>44651.322916666664</v>
      </c>
      <c r="B20" s="15">
        <f t="shared" si="0"/>
        <v>48.25</v>
      </c>
      <c r="C20" s="21">
        <f>107*20*100000</f>
        <v>214000000</v>
      </c>
      <c r="D20" s="28"/>
      <c r="E20" s="5">
        <v>0.95699999999999996</v>
      </c>
      <c r="F20" s="5">
        <v>4.03</v>
      </c>
      <c r="H20" s="15">
        <f>LOG(C20)</f>
        <v>8.330413773349191</v>
      </c>
    </row>
    <row r="21" spans="1:11" x14ac:dyDescent="0.35">
      <c r="A21" s="14">
        <v>44651.565972222219</v>
      </c>
      <c r="B21" s="15">
        <f t="shared" si="0"/>
        <v>54.083333333313931</v>
      </c>
      <c r="C21" s="21">
        <f>88*20*100000</f>
        <v>176000000</v>
      </c>
      <c r="D21" s="28"/>
      <c r="E21" s="5">
        <v>0.96599999999999997</v>
      </c>
      <c r="F21" s="5">
        <v>4.01</v>
      </c>
      <c r="H21" s="15">
        <f>LOG(C21)</f>
        <v>8.2455126678141504</v>
      </c>
    </row>
    <row r="22" spans="1:11" x14ac:dyDescent="0.35">
      <c r="B22" s="5"/>
      <c r="C22" s="5"/>
    </row>
    <row r="23" spans="1:11" x14ac:dyDescent="0.35">
      <c r="B23" s="5"/>
      <c r="C23" s="5"/>
      <c r="E23" t="s">
        <v>31</v>
      </c>
      <c r="F23">
        <f>MIN(F10:F21)</f>
        <v>4.01</v>
      </c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44649.354166666664</v>
      </c>
      <c r="B32" s="15">
        <f>0*(24)+1</f>
        <v>1</v>
      </c>
      <c r="C32" s="21">
        <f>101*20*100</f>
        <v>202000</v>
      </c>
      <c r="D32" s="28"/>
      <c r="E32" s="5">
        <v>-4.0000000000000001E-3</v>
      </c>
      <c r="F32" s="5">
        <v>5.86</v>
      </c>
      <c r="H32" s="15">
        <f>LOG(C32)</f>
        <v>5.3053513694466234</v>
      </c>
      <c r="I32" s="5"/>
      <c r="J32" s="5"/>
      <c r="K32" s="5"/>
    </row>
    <row r="33" spans="1:11" x14ac:dyDescent="0.35">
      <c r="A33" s="14">
        <v>44649.4375</v>
      </c>
      <c r="B33" s="15">
        <f t="shared" ref="B33:B43" si="1">(A33-$A$10)*(24)+1</f>
        <v>3.0000000000582077</v>
      </c>
      <c r="C33" s="28"/>
      <c r="D33" s="28"/>
      <c r="E33" s="16">
        <v>6.0000000000000001E-3</v>
      </c>
      <c r="F33" s="5">
        <v>5.85</v>
      </c>
      <c r="H33" s="28"/>
      <c r="I33" s="5"/>
      <c r="J33" s="5"/>
      <c r="K33" s="5"/>
    </row>
    <row r="34" spans="1:11" x14ac:dyDescent="0.35">
      <c r="A34" s="14">
        <v>44649.5625</v>
      </c>
      <c r="B34" s="15">
        <f t="shared" si="1"/>
        <v>6.0000000000582077</v>
      </c>
      <c r="C34" s="28"/>
      <c r="D34" s="28"/>
      <c r="E34" s="5">
        <v>-5.0000000000000001E-3</v>
      </c>
      <c r="F34" s="5">
        <v>5.84</v>
      </c>
      <c r="H34" s="28"/>
      <c r="I34" s="5"/>
      <c r="J34" s="5"/>
      <c r="K34" s="5"/>
    </row>
    <row r="35" spans="1:11" x14ac:dyDescent="0.35">
      <c r="A35" s="14">
        <v>44649.6875</v>
      </c>
      <c r="B35" s="15">
        <f t="shared" si="1"/>
        <v>9.0000000000582077</v>
      </c>
      <c r="C35" s="28"/>
      <c r="D35" s="28"/>
      <c r="E35" s="5">
        <v>1.7999999999999999E-2</v>
      </c>
      <c r="F35" s="5">
        <v>5.74</v>
      </c>
      <c r="H35" s="28"/>
      <c r="I35" s="5"/>
      <c r="J35" s="5"/>
      <c r="K35" s="5"/>
    </row>
    <row r="36" spans="1:11" x14ac:dyDescent="0.35">
      <c r="A36" s="14">
        <v>44649.819444444445</v>
      </c>
      <c r="B36" s="15">
        <f t="shared" si="1"/>
        <v>12.166666666744277</v>
      </c>
      <c r="C36" s="21" t="s">
        <v>33</v>
      </c>
      <c r="D36" s="28"/>
      <c r="E36" s="5">
        <v>-1E-3</v>
      </c>
      <c r="F36" s="5">
        <v>5.68</v>
      </c>
      <c r="H36" s="15" t="e">
        <f>LOG(C36)</f>
        <v>#VALUE!</v>
      </c>
      <c r="I36" s="5"/>
      <c r="J36" s="5"/>
      <c r="K36" s="5"/>
    </row>
    <row r="37" spans="1:11" x14ac:dyDescent="0.35">
      <c r="A37" s="14">
        <v>44650.319444444445</v>
      </c>
      <c r="B37" s="15">
        <f t="shared" si="1"/>
        <v>24.166666666744277</v>
      </c>
      <c r="C37" s="21">
        <f>34*20*100000</f>
        <v>68000000</v>
      </c>
      <c r="D37" s="28"/>
      <c r="E37" s="5">
        <v>0.312</v>
      </c>
      <c r="F37" s="5">
        <v>4.49</v>
      </c>
      <c r="H37" s="15">
        <f>LOG(C37)</f>
        <v>7.8325089127062366</v>
      </c>
      <c r="I37" s="5"/>
      <c r="J37" s="5"/>
      <c r="K37" s="5"/>
    </row>
    <row r="38" spans="1:11" x14ac:dyDescent="0.35">
      <c r="A38" s="14">
        <v>44650.440972222219</v>
      </c>
      <c r="B38" s="15">
        <f t="shared" si="1"/>
        <v>27.083333333313931</v>
      </c>
      <c r="C38" s="28"/>
      <c r="D38" s="28"/>
      <c r="E38" s="5">
        <v>0.46100000000000002</v>
      </c>
      <c r="F38" s="5">
        <v>4.34</v>
      </c>
      <c r="H38" s="28"/>
      <c r="I38" s="5"/>
      <c r="J38" s="5"/>
      <c r="K38" s="5"/>
    </row>
    <row r="39" spans="1:11" x14ac:dyDescent="0.35">
      <c r="A39" s="14">
        <v>44650.565972222219</v>
      </c>
      <c r="B39" s="15">
        <f t="shared" si="1"/>
        <v>30.083333333313931</v>
      </c>
      <c r="C39" s="28"/>
      <c r="D39" s="28"/>
      <c r="E39" s="5">
        <v>0.53200000000000003</v>
      </c>
      <c r="F39" s="15">
        <v>4.3099999999999996</v>
      </c>
      <c r="H39" s="28"/>
      <c r="I39" s="5"/>
      <c r="J39" s="5"/>
      <c r="K39" s="5"/>
    </row>
    <row r="40" spans="1:11" x14ac:dyDescent="0.35">
      <c r="A40" s="14">
        <v>44650.690972222219</v>
      </c>
      <c r="B40" s="15">
        <f t="shared" si="1"/>
        <v>33.083333333313931</v>
      </c>
      <c r="C40" s="28"/>
      <c r="D40" s="28"/>
      <c r="E40" s="16">
        <v>0.66100000000000003</v>
      </c>
      <c r="F40" s="5">
        <v>4.1500000000000004</v>
      </c>
      <c r="H40" s="28"/>
      <c r="I40" s="5"/>
      <c r="J40" s="5"/>
      <c r="K40" s="5"/>
    </row>
    <row r="41" spans="1:11" x14ac:dyDescent="0.35">
      <c r="A41" s="14">
        <v>44650.805555555555</v>
      </c>
      <c r="B41" s="15">
        <f t="shared" si="1"/>
        <v>35.833333333372138</v>
      </c>
      <c r="C41" s="21">
        <f>34*20*100000</f>
        <v>68000000</v>
      </c>
      <c r="D41" s="28"/>
      <c r="E41" s="16">
        <v>0.76300000000000001</v>
      </c>
      <c r="F41" s="5">
        <v>4.08</v>
      </c>
      <c r="H41" s="15" t="s">
        <v>42</v>
      </c>
      <c r="I41" s="5"/>
      <c r="J41" s="5"/>
      <c r="K41" s="5"/>
    </row>
    <row r="42" spans="1:11" x14ac:dyDescent="0.35">
      <c r="A42" s="14">
        <v>44651.322916666664</v>
      </c>
      <c r="B42" s="15">
        <f t="shared" si="1"/>
        <v>48.25</v>
      </c>
      <c r="C42" s="21">
        <f>37*20*100000</f>
        <v>74000000</v>
      </c>
      <c r="D42" s="28"/>
      <c r="E42" s="5">
        <v>0.90500000000000003</v>
      </c>
      <c r="F42" s="15">
        <v>4.0199999999999996</v>
      </c>
      <c r="H42" s="15">
        <f>LOG(C42)</f>
        <v>7.8692317197309762</v>
      </c>
      <c r="I42" s="5"/>
      <c r="J42" s="5"/>
      <c r="K42" s="5"/>
    </row>
    <row r="43" spans="1:11" x14ac:dyDescent="0.35">
      <c r="A43" s="14">
        <v>44651.565972222219</v>
      </c>
      <c r="B43" s="15">
        <f t="shared" si="1"/>
        <v>54.083333333313931</v>
      </c>
      <c r="C43" s="21">
        <f>30*20*100000</f>
        <v>60000000</v>
      </c>
      <c r="D43" s="28"/>
      <c r="E43" s="5">
        <v>0.97799999999999998</v>
      </c>
      <c r="F43" s="15">
        <v>3.93</v>
      </c>
      <c r="H43" s="15">
        <f>LOG(C43)</f>
        <v>7.7781512503836439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E45" t="s">
        <v>31</v>
      </c>
      <c r="F45">
        <f>MIN(F32:F43)</f>
        <v>3.93</v>
      </c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44649.354166666664</v>
      </c>
      <c r="B52" s="15">
        <f>0*(24)+1</f>
        <v>1</v>
      </c>
      <c r="C52" s="29"/>
      <c r="D52" s="22">
        <f>133*100</f>
        <v>13300</v>
      </c>
      <c r="E52" s="5">
        <v>6.0000000000000001E-3</v>
      </c>
      <c r="F52" s="5">
        <v>5.87</v>
      </c>
      <c r="H52" s="15">
        <f>LOG(D52)</f>
        <v>4.1238516409670858</v>
      </c>
    </row>
    <row r="53" spans="1:11" x14ac:dyDescent="0.35">
      <c r="A53" s="14">
        <v>44649.4375</v>
      </c>
      <c r="B53" s="15">
        <f t="shared" ref="B53:B63" si="2">(A53-$A$10)*(24)+1</f>
        <v>3.0000000000582077</v>
      </c>
      <c r="C53" s="29"/>
      <c r="D53" s="29"/>
      <c r="E53" s="5">
        <v>-1.0999999999999999E-2</v>
      </c>
      <c r="F53" s="5">
        <v>5.86</v>
      </c>
      <c r="H53" s="29"/>
    </row>
    <row r="54" spans="1:11" x14ac:dyDescent="0.35">
      <c r="A54" s="14">
        <v>44649.5625</v>
      </c>
      <c r="B54" s="15">
        <f t="shared" si="2"/>
        <v>6.0000000000582077</v>
      </c>
      <c r="C54" s="29"/>
      <c r="D54" s="29"/>
      <c r="E54" s="5">
        <v>0</v>
      </c>
      <c r="F54" s="5">
        <v>5.83</v>
      </c>
      <c r="H54" s="29"/>
    </row>
    <row r="55" spans="1:11" x14ac:dyDescent="0.35">
      <c r="A55" s="14">
        <v>44649.6875</v>
      </c>
      <c r="B55" s="15">
        <f t="shared" si="2"/>
        <v>9.0000000000582077</v>
      </c>
      <c r="C55" s="29"/>
      <c r="D55" s="29"/>
      <c r="E55" s="5">
        <v>7.0000000000000001E-3</v>
      </c>
      <c r="F55" s="5">
        <v>5.86</v>
      </c>
      <c r="H55" s="29"/>
    </row>
    <row r="56" spans="1:11" x14ac:dyDescent="0.35">
      <c r="A56" s="14">
        <v>44649.819444444445</v>
      </c>
      <c r="B56" s="15">
        <f t="shared" si="2"/>
        <v>12.166666666744277</v>
      </c>
      <c r="C56" s="29"/>
      <c r="D56" s="21">
        <f>29*20*100</f>
        <v>58000</v>
      </c>
      <c r="E56" s="5">
        <v>-5.7000000000000002E-2</v>
      </c>
      <c r="F56" s="5">
        <v>5.8</v>
      </c>
      <c r="H56" s="15">
        <f>LOG(D56)</f>
        <v>4.7634279935629369</v>
      </c>
    </row>
    <row r="57" spans="1:11" x14ac:dyDescent="0.35">
      <c r="A57" s="14">
        <v>44650.319444444445</v>
      </c>
      <c r="B57" s="15">
        <f t="shared" si="2"/>
        <v>24.166666666744277</v>
      </c>
      <c r="C57" s="29"/>
      <c r="D57" s="21" t="s">
        <v>33</v>
      </c>
      <c r="E57" s="5">
        <v>-5.0999999999999997E-2</v>
      </c>
      <c r="F57" s="5">
        <v>5.91</v>
      </c>
      <c r="H57" s="15" t="e">
        <f>LOG(D57)</f>
        <v>#VALUE!</v>
      </c>
    </row>
    <row r="58" spans="1:11" x14ac:dyDescent="0.35">
      <c r="A58" s="14">
        <v>44650.440972222219</v>
      </c>
      <c r="B58" s="15">
        <f t="shared" si="2"/>
        <v>27.083333333313931</v>
      </c>
      <c r="C58" s="29"/>
      <c r="D58" s="29"/>
      <c r="E58" s="16">
        <v>-1.6E-2</v>
      </c>
      <c r="F58" s="15">
        <v>5.93</v>
      </c>
      <c r="H58" s="29"/>
    </row>
    <row r="59" spans="1:11" x14ac:dyDescent="0.35">
      <c r="A59" s="14">
        <v>44650.565972222219</v>
      </c>
      <c r="B59" s="15">
        <f t="shared" si="2"/>
        <v>30.083333333313931</v>
      </c>
      <c r="C59" s="29"/>
      <c r="D59" s="29"/>
      <c r="E59" s="5">
        <v>-8.9999999999999993E-3</v>
      </c>
      <c r="F59" s="5">
        <v>5.89</v>
      </c>
      <c r="H59" s="29"/>
    </row>
    <row r="60" spans="1:11" x14ac:dyDescent="0.35">
      <c r="A60" s="14">
        <v>44650.690972222219</v>
      </c>
      <c r="B60" s="15">
        <f t="shared" si="2"/>
        <v>33.083333333313931</v>
      </c>
      <c r="C60" s="29"/>
      <c r="D60" s="29"/>
      <c r="E60" s="5">
        <v>-1.6E-2</v>
      </c>
      <c r="F60" s="15">
        <v>5.86</v>
      </c>
      <c r="H60" s="29"/>
    </row>
    <row r="61" spans="1:11" x14ac:dyDescent="0.35">
      <c r="A61" s="14">
        <v>44650.805555555555</v>
      </c>
      <c r="B61" s="15">
        <f t="shared" si="2"/>
        <v>35.833333333372138</v>
      </c>
      <c r="C61" s="29"/>
      <c r="D61" s="21">
        <f>60*20*100000</f>
        <v>120000000</v>
      </c>
      <c r="E61" s="5">
        <v>2.3E-2</v>
      </c>
      <c r="F61" s="15">
        <v>5.79</v>
      </c>
      <c r="H61" s="15">
        <f>LOG(D61)</f>
        <v>8.0791812460476251</v>
      </c>
    </row>
    <row r="62" spans="1:11" x14ac:dyDescent="0.35">
      <c r="A62" s="14">
        <v>44651.322916666664</v>
      </c>
      <c r="B62" s="15">
        <f t="shared" si="2"/>
        <v>48.25</v>
      </c>
      <c r="C62" s="29"/>
      <c r="D62" s="21">
        <f>AVERAGE(520000000,507000000,640000)</f>
        <v>342546666.66666669</v>
      </c>
      <c r="E62" s="16">
        <v>0.20300000000000001</v>
      </c>
      <c r="F62" s="5">
        <v>4.8</v>
      </c>
      <c r="H62" s="15">
        <f>LOG(D62)</f>
        <v>8.5347197457415014</v>
      </c>
    </row>
    <row r="63" spans="1:11" x14ac:dyDescent="0.35">
      <c r="A63" s="14">
        <v>44651.565972222219</v>
      </c>
      <c r="B63" s="15">
        <f t="shared" si="2"/>
        <v>54.083333333313931</v>
      </c>
      <c r="C63" s="28"/>
      <c r="D63" s="23">
        <f>199*20*100000</f>
        <v>398000000</v>
      </c>
      <c r="E63" s="5">
        <v>0.24199999999999999</v>
      </c>
      <c r="F63" s="15">
        <v>4.66</v>
      </c>
      <c r="H63" s="18">
        <f>LOG(D63)</f>
        <v>8.5998830720736876</v>
      </c>
    </row>
    <row r="65" spans="1:11" x14ac:dyDescent="0.35">
      <c r="E65" t="s">
        <v>31</v>
      </c>
      <c r="F65">
        <f>MIN(F52:F63)</f>
        <v>4.66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44649.354166666664</v>
      </c>
      <c r="B73" s="15">
        <f>0*24+1</f>
        <v>1</v>
      </c>
      <c r="C73" s="21">
        <f>84*20*100</f>
        <v>168000</v>
      </c>
      <c r="D73" s="21">
        <f>22*100</f>
        <v>2200</v>
      </c>
      <c r="E73" s="5">
        <v>4.0000000000000001E-3</v>
      </c>
      <c r="F73" s="5">
        <v>5.83</v>
      </c>
      <c r="H73" s="15">
        <f t="shared" ref="H73:H84" si="3">LOG(C73)</f>
        <v>5.2253092817258633</v>
      </c>
      <c r="I73" s="15">
        <f t="shared" ref="I73:I84" si="4">LOG(D73)</f>
        <v>3.3424226808222062</v>
      </c>
    </row>
    <row r="74" spans="1:11" x14ac:dyDescent="0.35">
      <c r="A74" s="14">
        <v>44649.4375</v>
      </c>
      <c r="B74" s="15">
        <f t="shared" ref="B74:B84" si="5">(A74-$A$32)*24+1</f>
        <v>3.0000000000582077</v>
      </c>
      <c r="C74" s="21">
        <f>108*20*100</f>
        <v>216000</v>
      </c>
      <c r="D74" s="21">
        <f>27*100</f>
        <v>2700</v>
      </c>
      <c r="E74" s="5">
        <v>-0.04</v>
      </c>
      <c r="F74" s="5">
        <v>5.87</v>
      </c>
      <c r="H74" s="15">
        <f t="shared" si="3"/>
        <v>5.3344537511509307</v>
      </c>
      <c r="I74" s="15">
        <f t="shared" si="4"/>
        <v>3.4313637641589874</v>
      </c>
    </row>
    <row r="75" spans="1:11" x14ac:dyDescent="0.35">
      <c r="A75" s="14">
        <v>44649.5625</v>
      </c>
      <c r="B75" s="15">
        <f t="shared" si="5"/>
        <v>6.0000000000582077</v>
      </c>
      <c r="C75" s="21">
        <f>45*20*1000</f>
        <v>900000</v>
      </c>
      <c r="D75" s="21">
        <f>76*100</f>
        <v>7600</v>
      </c>
      <c r="E75" s="16">
        <v>2.1000000000000001E-2</v>
      </c>
      <c r="F75" s="15">
        <v>5.84</v>
      </c>
      <c r="H75" s="15">
        <f t="shared" si="3"/>
        <v>5.9542425094393252</v>
      </c>
      <c r="I75" s="15">
        <f t="shared" si="4"/>
        <v>3.8808135922807914</v>
      </c>
    </row>
    <row r="76" spans="1:11" x14ac:dyDescent="0.35">
      <c r="A76" s="14">
        <v>44649.6875</v>
      </c>
      <c r="B76" s="15">
        <f t="shared" si="5"/>
        <v>9.0000000000582077</v>
      </c>
      <c r="C76" s="21">
        <f>93*20*1000</f>
        <v>1860000</v>
      </c>
      <c r="D76" s="21">
        <f>102*100</f>
        <v>10200</v>
      </c>
      <c r="E76" s="5">
        <v>-4.0000000000000001E-3</v>
      </c>
      <c r="F76" s="5">
        <v>5.79</v>
      </c>
      <c r="H76" s="15">
        <f t="shared" si="3"/>
        <v>6.2695129442179161</v>
      </c>
      <c r="I76" s="15">
        <f t="shared" si="4"/>
        <v>4.008600171761918</v>
      </c>
    </row>
    <row r="77" spans="1:11" x14ac:dyDescent="0.35">
      <c r="A77" s="14">
        <v>44649.819444444445</v>
      </c>
      <c r="B77" s="15">
        <f t="shared" si="5"/>
        <v>12.166666666744277</v>
      </c>
      <c r="C77" s="21">
        <f>35*20*10000</f>
        <v>7000000</v>
      </c>
      <c r="D77" s="21">
        <f>790*100</f>
        <v>79000</v>
      </c>
      <c r="E77" s="5">
        <v>-4.4999999999999998E-2</v>
      </c>
      <c r="F77" s="5">
        <v>5.67</v>
      </c>
      <c r="H77" s="15">
        <f t="shared" si="3"/>
        <v>6.8450980400142569</v>
      </c>
      <c r="I77" s="15">
        <f t="shared" si="4"/>
        <v>4.8976270912904418</v>
      </c>
    </row>
    <row r="78" spans="1:11" x14ac:dyDescent="0.35">
      <c r="A78" s="14">
        <v>44650.319444444445</v>
      </c>
      <c r="B78" s="15">
        <f t="shared" si="5"/>
        <v>24.166666666744277</v>
      </c>
      <c r="C78" s="21">
        <f>34*20*100000</f>
        <v>68000000</v>
      </c>
      <c r="D78" s="21">
        <f>273*2*10</f>
        <v>5460</v>
      </c>
      <c r="E78" s="5">
        <v>0.39400000000000002</v>
      </c>
      <c r="F78" s="5">
        <v>4.43</v>
      </c>
      <c r="H78" s="15">
        <f t="shared" si="3"/>
        <v>7.8325089127062366</v>
      </c>
      <c r="I78" s="15">
        <f t="shared" si="4"/>
        <v>3.7371926427047373</v>
      </c>
    </row>
    <row r="79" spans="1:11" x14ac:dyDescent="0.35">
      <c r="A79" s="14">
        <v>44650.440972222219</v>
      </c>
      <c r="B79" s="15">
        <f t="shared" si="5"/>
        <v>27.083333333313931</v>
      </c>
      <c r="C79" s="21">
        <f>77*20*100000</f>
        <v>154000000</v>
      </c>
      <c r="D79" s="23">
        <f>169*2*10</f>
        <v>3380</v>
      </c>
      <c r="E79" s="5">
        <v>0.53600000000000003</v>
      </c>
      <c r="F79" s="5">
        <v>4.2699999999999996</v>
      </c>
      <c r="H79" s="15">
        <f t="shared" si="3"/>
        <v>8.1875207208364635</v>
      </c>
      <c r="I79" s="15">
        <f t="shared" si="4"/>
        <v>3.5289167002776547</v>
      </c>
    </row>
    <row r="80" spans="1:11" x14ac:dyDescent="0.35">
      <c r="A80" s="14">
        <v>44650.565972222219</v>
      </c>
      <c r="B80" s="15">
        <f t="shared" si="5"/>
        <v>30.083333333313931</v>
      </c>
      <c r="C80" s="21">
        <f>76*20*100000</f>
        <v>152000000</v>
      </c>
      <c r="D80" s="23">
        <f>161*2*10</f>
        <v>3220</v>
      </c>
      <c r="E80" s="5">
        <v>0.61799999999999999</v>
      </c>
      <c r="F80" s="5">
        <v>4.2</v>
      </c>
      <c r="H80" s="15">
        <f t="shared" si="3"/>
        <v>8.1818435879447726</v>
      </c>
      <c r="I80" s="15">
        <f t="shared" si="4"/>
        <v>3.5078558716958308</v>
      </c>
    </row>
    <row r="81" spans="1:11" x14ac:dyDescent="0.35">
      <c r="A81" s="14">
        <v>44650.690972222219</v>
      </c>
      <c r="B81" s="15">
        <f t="shared" si="5"/>
        <v>33.083333333313931</v>
      </c>
      <c r="C81" s="21">
        <f>78*20*100000</f>
        <v>156000000</v>
      </c>
      <c r="D81" s="23">
        <f>AVERAGE(1108*2,128*2*10)</f>
        <v>2388</v>
      </c>
      <c r="E81" s="5">
        <v>0.71299999999999997</v>
      </c>
      <c r="F81" s="5">
        <v>4.13</v>
      </c>
      <c r="H81" s="15">
        <f t="shared" si="3"/>
        <v>8.1931245983544621</v>
      </c>
      <c r="I81" s="15">
        <f t="shared" si="4"/>
        <v>3.3780343224573315</v>
      </c>
    </row>
    <row r="82" spans="1:11" x14ac:dyDescent="0.35">
      <c r="A82" s="14">
        <v>44650.805555555555</v>
      </c>
      <c r="B82" s="15">
        <f t="shared" si="5"/>
        <v>35.833333333372138</v>
      </c>
      <c r="C82" s="21">
        <f>66*20*100000</f>
        <v>132000000</v>
      </c>
      <c r="D82" s="23">
        <f>AVERAGE(953*2,42*2*10)</f>
        <v>1373</v>
      </c>
      <c r="E82" s="5">
        <v>0.84199999999999997</v>
      </c>
      <c r="F82" s="5">
        <v>4.08</v>
      </c>
      <c r="H82" s="15">
        <f t="shared" si="3"/>
        <v>8.1205739312058505</v>
      </c>
      <c r="I82" s="15">
        <f t="shared" si="4"/>
        <v>3.137670537236755</v>
      </c>
    </row>
    <row r="83" spans="1:11" x14ac:dyDescent="0.35">
      <c r="A83" s="14">
        <v>44651.322916666664</v>
      </c>
      <c r="B83" s="15">
        <f t="shared" si="5"/>
        <v>48.25</v>
      </c>
      <c r="C83" s="21">
        <f>63*20*100000</f>
        <v>126000000</v>
      </c>
      <c r="D83" s="23">
        <f>AVERAGE(281*2,4*2*10,1056/5)</f>
        <v>284.40000000000003</v>
      </c>
      <c r="E83" s="5">
        <v>0.96199999999999997</v>
      </c>
      <c r="F83" s="5">
        <v>4.0199999999999996</v>
      </c>
      <c r="H83" s="15">
        <f t="shared" si="3"/>
        <v>8.1003705451175634</v>
      </c>
      <c r="I83" s="15">
        <f t="shared" si="4"/>
        <v>2.4539295920577286</v>
      </c>
    </row>
    <row r="84" spans="1:11" x14ac:dyDescent="0.35">
      <c r="A84" s="14">
        <v>44651.565972222219</v>
      </c>
      <c r="B84" s="15">
        <f t="shared" si="5"/>
        <v>54.083333333313931</v>
      </c>
      <c r="C84" s="21">
        <f>28*20*10000</f>
        <v>5600000</v>
      </c>
      <c r="D84" s="23">
        <f>AVERAGE(161*2,4*2*10)</f>
        <v>201</v>
      </c>
      <c r="E84" s="5">
        <v>0.94</v>
      </c>
      <c r="F84" s="5">
        <v>4</v>
      </c>
      <c r="H84" s="15">
        <f t="shared" si="3"/>
        <v>6.7481880270062007</v>
      </c>
      <c r="I84" s="15">
        <f t="shared" si="4"/>
        <v>2.3031960574204891</v>
      </c>
    </row>
    <row r="85" spans="1:11" x14ac:dyDescent="0.35">
      <c r="C85" s="5"/>
    </row>
    <row r="86" spans="1:11" x14ac:dyDescent="0.35">
      <c r="C86" s="5"/>
      <c r="E86" t="s">
        <v>31</v>
      </c>
      <c r="F86">
        <f>MIN(F73:F84)</f>
        <v>4</v>
      </c>
    </row>
    <row r="87" spans="1:11" x14ac:dyDescent="0.35">
      <c r="C87" s="5"/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44649.354166666664</v>
      </c>
      <c r="B95" s="15">
        <f>0*24+1</f>
        <v>1</v>
      </c>
      <c r="C95" s="23">
        <f>63*20*100</f>
        <v>126000</v>
      </c>
      <c r="D95" s="21">
        <f>24*100</f>
        <v>2400</v>
      </c>
      <c r="E95" s="5">
        <v>-5.0000000000000001E-3</v>
      </c>
      <c r="F95" s="15">
        <v>5.85</v>
      </c>
      <c r="H95" s="17">
        <f t="shared" ref="H95:H106" si="6">LOG(C95)</f>
        <v>5.1003705451175625</v>
      </c>
      <c r="I95" s="15">
        <f t="shared" ref="I95:I106" si="7">LOG(D95)</f>
        <v>3.3802112417116059</v>
      </c>
      <c r="J95" s="5"/>
      <c r="K95" s="5"/>
    </row>
    <row r="96" spans="1:11" x14ac:dyDescent="0.35">
      <c r="A96" s="14">
        <v>44649.4375</v>
      </c>
      <c r="B96" s="15">
        <f t="shared" ref="B96:B106" si="8">(A96-$A$32)*24+1</f>
        <v>3.0000000000582077</v>
      </c>
      <c r="C96" s="22">
        <f>575*20*100</f>
        <v>1150000</v>
      </c>
      <c r="D96" s="21">
        <f>26*100</f>
        <v>2600</v>
      </c>
      <c r="E96" s="5">
        <v>5.0000000000000001E-3</v>
      </c>
      <c r="F96" s="5">
        <v>5.87</v>
      </c>
      <c r="H96" s="17">
        <f t="shared" si="6"/>
        <v>6.0606978403536118</v>
      </c>
      <c r="I96" s="15">
        <f t="shared" si="7"/>
        <v>3.4149733479708178</v>
      </c>
      <c r="J96" s="5"/>
      <c r="K96" s="5"/>
    </row>
    <row r="97" spans="1:11" x14ac:dyDescent="0.35">
      <c r="A97" s="14">
        <v>44649.5625</v>
      </c>
      <c r="B97" s="15">
        <f t="shared" si="8"/>
        <v>6.0000000000582077</v>
      </c>
      <c r="C97" s="21">
        <f>283*20*1000</f>
        <v>5660000</v>
      </c>
      <c r="D97" s="21">
        <f>93*100</f>
        <v>9300</v>
      </c>
      <c r="E97" s="5">
        <v>-3.0000000000000001E-3</v>
      </c>
      <c r="F97" s="15">
        <v>5.8</v>
      </c>
      <c r="H97" s="17">
        <f t="shared" si="6"/>
        <v>6.752816431188271</v>
      </c>
      <c r="I97" s="15">
        <f t="shared" si="7"/>
        <v>3.9684829485539352</v>
      </c>
      <c r="J97" s="5"/>
      <c r="K97" s="5"/>
    </row>
    <row r="98" spans="1:11" x14ac:dyDescent="0.35">
      <c r="A98" s="14">
        <v>44649.6875</v>
      </c>
      <c r="B98" s="15">
        <f t="shared" si="8"/>
        <v>9.0000000000582077</v>
      </c>
      <c r="C98" s="21">
        <f>286*20*1000</f>
        <v>5720000</v>
      </c>
      <c r="D98" s="21">
        <f>236*100</f>
        <v>23600</v>
      </c>
      <c r="E98" s="5">
        <v>2.8000000000000001E-2</v>
      </c>
      <c r="F98" s="5">
        <v>5.74</v>
      </c>
      <c r="H98" s="17">
        <f t="shared" si="6"/>
        <v>6.7573960287930239</v>
      </c>
      <c r="I98" s="15">
        <f t="shared" si="7"/>
        <v>4.3729120029701063</v>
      </c>
      <c r="J98" s="5"/>
      <c r="K98" s="5"/>
    </row>
    <row r="99" spans="1:11" x14ac:dyDescent="0.35">
      <c r="A99" s="14">
        <v>44649.819444444445</v>
      </c>
      <c r="B99" s="15">
        <f t="shared" si="8"/>
        <v>12.166666666744277</v>
      </c>
      <c r="C99" s="21">
        <f>84*20*10000</f>
        <v>16800000</v>
      </c>
      <c r="D99" s="21">
        <f>36*20*100</f>
        <v>72000</v>
      </c>
      <c r="E99" s="5">
        <v>-2E-3</v>
      </c>
      <c r="F99" s="5">
        <v>5.6</v>
      </c>
      <c r="H99" s="17">
        <f t="shared" si="6"/>
        <v>7.2253092817258633</v>
      </c>
      <c r="I99" s="15">
        <f t="shared" si="7"/>
        <v>4.8573324964312681</v>
      </c>
      <c r="J99" s="5"/>
      <c r="K99" s="5"/>
    </row>
    <row r="100" spans="1:11" x14ac:dyDescent="0.35">
      <c r="A100" s="14">
        <v>44650.319444444445</v>
      </c>
      <c r="B100" s="15">
        <f t="shared" si="8"/>
        <v>24.166666666744277</v>
      </c>
      <c r="C100" s="21">
        <f>37*20*100000</f>
        <v>74000000</v>
      </c>
      <c r="D100" s="21">
        <f>37*20*1000</f>
        <v>740000</v>
      </c>
      <c r="E100" s="5">
        <v>0.35199999999999998</v>
      </c>
      <c r="F100" s="5">
        <v>4.47</v>
      </c>
      <c r="H100" s="17">
        <f t="shared" si="6"/>
        <v>7.8692317197309762</v>
      </c>
      <c r="I100" s="15">
        <f t="shared" si="7"/>
        <v>5.8692317197309762</v>
      </c>
      <c r="J100" s="5"/>
      <c r="K100" s="5"/>
    </row>
    <row r="101" spans="1:11" x14ac:dyDescent="0.35">
      <c r="A101" s="14">
        <v>44650.440972222219</v>
      </c>
      <c r="B101" s="15">
        <f t="shared" si="8"/>
        <v>27.083333333313931</v>
      </c>
      <c r="C101" s="23">
        <f>26*20*100000</f>
        <v>52000000</v>
      </c>
      <c r="D101" s="21">
        <f>19*20*1000</f>
        <v>380000</v>
      </c>
      <c r="E101" s="5">
        <v>0.48699999999999999</v>
      </c>
      <c r="F101" s="5">
        <v>4.4000000000000004</v>
      </c>
      <c r="H101" s="17">
        <f t="shared" si="6"/>
        <v>7.7160033436347994</v>
      </c>
      <c r="I101" s="15">
        <f t="shared" si="7"/>
        <v>5.5797835966168101</v>
      </c>
      <c r="J101" s="5"/>
      <c r="K101" s="5"/>
    </row>
    <row r="102" spans="1:11" x14ac:dyDescent="0.35">
      <c r="A102" s="14">
        <v>44650.565972222219</v>
      </c>
      <c r="B102" s="15">
        <f t="shared" si="8"/>
        <v>30.083333333313931</v>
      </c>
      <c r="C102" s="21">
        <f>38*20*100000</f>
        <v>76000000</v>
      </c>
      <c r="D102" s="21">
        <f>14*20*1000</f>
        <v>280000</v>
      </c>
      <c r="E102" s="5">
        <v>0.56499999999999995</v>
      </c>
      <c r="F102" s="5">
        <v>4.24</v>
      </c>
      <c r="H102" s="17">
        <f t="shared" si="6"/>
        <v>7.8808135922807914</v>
      </c>
      <c r="I102" s="15">
        <f t="shared" si="7"/>
        <v>5.4471580313422194</v>
      </c>
      <c r="J102" s="5"/>
      <c r="K102" s="5"/>
    </row>
    <row r="103" spans="1:11" x14ac:dyDescent="0.35">
      <c r="A103" s="14">
        <v>44650.690972222219</v>
      </c>
      <c r="B103" s="15">
        <f t="shared" si="8"/>
        <v>33.083333333313931</v>
      </c>
      <c r="C103" s="21" t="s">
        <v>33</v>
      </c>
      <c r="D103" s="21" t="s">
        <v>33</v>
      </c>
      <c r="E103" s="5">
        <v>0.69199999999999995</v>
      </c>
      <c r="F103" s="15">
        <v>4.1500000000000004</v>
      </c>
      <c r="H103" s="17" t="e">
        <f t="shared" si="6"/>
        <v>#VALUE!</v>
      </c>
      <c r="I103" s="15" t="e">
        <f t="shared" si="7"/>
        <v>#VALUE!</v>
      </c>
      <c r="J103" s="5"/>
      <c r="K103" s="5"/>
    </row>
    <row r="104" spans="1:11" x14ac:dyDescent="0.35">
      <c r="A104" s="14">
        <v>44650.805555555555</v>
      </c>
      <c r="B104" s="15">
        <f t="shared" si="8"/>
        <v>35.833333333372138</v>
      </c>
      <c r="C104" s="21">
        <f>31*20*100000</f>
        <v>62000000</v>
      </c>
      <c r="D104" s="21">
        <f>33*20*1000</f>
        <v>660000</v>
      </c>
      <c r="E104" s="5">
        <v>0.873</v>
      </c>
      <c r="F104" s="5">
        <v>4.0999999999999996</v>
      </c>
      <c r="H104" s="17">
        <f t="shared" si="6"/>
        <v>7.7923916894982534</v>
      </c>
      <c r="I104" s="15">
        <f t="shared" si="7"/>
        <v>5.8195439355418683</v>
      </c>
      <c r="J104" s="5"/>
      <c r="K104" s="5"/>
    </row>
    <row r="105" spans="1:11" x14ac:dyDescent="0.35">
      <c r="A105" s="14">
        <v>44651.322916666664</v>
      </c>
      <c r="B105" s="15">
        <f t="shared" si="8"/>
        <v>48.25</v>
      </c>
      <c r="C105" s="21">
        <f>31*20*100000</f>
        <v>62000000</v>
      </c>
      <c r="D105" s="21">
        <f>23*20*1000</f>
        <v>460000</v>
      </c>
      <c r="E105" s="5">
        <v>0.94</v>
      </c>
      <c r="F105" s="5">
        <v>4.0199999999999996</v>
      </c>
      <c r="H105" s="17">
        <f t="shared" si="6"/>
        <v>7.7923916894982534</v>
      </c>
      <c r="I105" s="15">
        <f t="shared" si="7"/>
        <v>5.6627578316815743</v>
      </c>
      <c r="J105" s="5"/>
      <c r="K105" s="5"/>
    </row>
    <row r="106" spans="1:11" x14ac:dyDescent="0.35">
      <c r="A106" s="14">
        <v>44651.565972222219</v>
      </c>
      <c r="B106" s="15">
        <f t="shared" si="8"/>
        <v>54.083333333313931</v>
      </c>
      <c r="C106" s="22">
        <f>21*20*10000</f>
        <v>4200000</v>
      </c>
      <c r="D106" s="21">
        <f>30*20*1000</f>
        <v>600000</v>
      </c>
      <c r="E106" s="5">
        <v>0.98799999999999999</v>
      </c>
      <c r="F106" s="5">
        <v>4.01</v>
      </c>
      <c r="H106" s="17">
        <f t="shared" si="6"/>
        <v>6.6232492903979008</v>
      </c>
      <c r="I106" s="15">
        <f t="shared" si="7"/>
        <v>5.7781512503836439</v>
      </c>
      <c r="J106" s="5"/>
      <c r="K106" s="5"/>
    </row>
    <row r="107" spans="1:11" x14ac:dyDescent="0.35">
      <c r="H107" s="5"/>
      <c r="I107" s="5"/>
      <c r="J107" s="5"/>
      <c r="K107" s="5"/>
    </row>
    <row r="108" spans="1:11" x14ac:dyDescent="0.35">
      <c r="E108" t="s">
        <v>31</v>
      </c>
      <c r="F108">
        <f>MIN(F95:F106)</f>
        <v>4.01</v>
      </c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6C70-D017-4DF2-AEA4-6B3C2AB39460}">
  <dimension ref="A1:K108"/>
  <sheetViews>
    <sheetView topLeftCell="A68" zoomScale="110" zoomScaleNormal="110" workbookViewId="0">
      <selection activeCell="O90" sqref="O90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44649.354166666664</v>
      </c>
      <c r="B10" s="15">
        <f>0*24+1</f>
        <v>1</v>
      </c>
      <c r="C10" s="21">
        <f>64*20*100</f>
        <v>128000</v>
      </c>
      <c r="D10" s="28"/>
      <c r="E10" s="16">
        <v>2.5000000000000001E-2</v>
      </c>
      <c r="F10" s="5">
        <v>5.86</v>
      </c>
      <c r="H10" s="15">
        <f>LOG(C10)</f>
        <v>5.1072099696478688</v>
      </c>
    </row>
    <row r="11" spans="1:11" x14ac:dyDescent="0.35">
      <c r="A11" s="14">
        <v>44649.4375</v>
      </c>
      <c r="B11" s="15">
        <f t="shared" ref="B11:B21" si="0">(A11-$A$10)*24+1</f>
        <v>3.0000000000582077</v>
      </c>
      <c r="C11" s="28"/>
      <c r="D11" s="28"/>
      <c r="E11" s="16">
        <v>0.02</v>
      </c>
      <c r="F11" s="5">
        <v>5.86</v>
      </c>
      <c r="H11" s="28"/>
    </row>
    <row r="12" spans="1:11" x14ac:dyDescent="0.35">
      <c r="A12" s="14">
        <v>44649.5625</v>
      </c>
      <c r="B12" s="15">
        <f t="shared" si="0"/>
        <v>6.0000000000582077</v>
      </c>
      <c r="C12" s="28"/>
      <c r="D12" s="28"/>
      <c r="E12" s="16">
        <v>-0.03</v>
      </c>
      <c r="F12" s="5">
        <v>5.86</v>
      </c>
      <c r="H12" s="28"/>
    </row>
    <row r="13" spans="1:11" x14ac:dyDescent="0.35">
      <c r="A13" s="14">
        <v>44649.6875</v>
      </c>
      <c r="B13" s="15">
        <f t="shared" si="0"/>
        <v>9.0000000000582077</v>
      </c>
      <c r="C13" s="28"/>
      <c r="D13" s="28"/>
      <c r="E13" s="16">
        <v>5.0000000000000001E-3</v>
      </c>
      <c r="F13" s="5">
        <v>5.8</v>
      </c>
      <c r="H13" s="28"/>
    </row>
    <row r="14" spans="1:11" x14ac:dyDescent="0.35">
      <c r="A14" s="14">
        <v>44649.819444444445</v>
      </c>
      <c r="B14" s="15">
        <f t="shared" si="0"/>
        <v>12.166666666744277</v>
      </c>
      <c r="C14" s="21">
        <f>29*20*10000</f>
        <v>5800000</v>
      </c>
      <c r="D14" s="28"/>
      <c r="E14" s="16">
        <v>-3.0000000000000001E-3</v>
      </c>
      <c r="F14" s="15">
        <v>5.74</v>
      </c>
      <c r="H14" s="15">
        <f>LOG(C14)</f>
        <v>6.7634279935629369</v>
      </c>
    </row>
    <row r="15" spans="1:11" x14ac:dyDescent="0.35">
      <c r="A15" s="14">
        <v>44650.319444444445</v>
      </c>
      <c r="B15" s="15">
        <f t="shared" si="0"/>
        <v>24.166666666744277</v>
      </c>
      <c r="C15" s="21">
        <f>32*20*100000</f>
        <v>64000000</v>
      </c>
      <c r="D15" s="28"/>
      <c r="E15" s="16">
        <v>0.42199999999999999</v>
      </c>
      <c r="F15" s="5">
        <v>4.41</v>
      </c>
      <c r="H15" s="15">
        <f>LOG(C15)</f>
        <v>7.8061799739838875</v>
      </c>
    </row>
    <row r="16" spans="1:11" x14ac:dyDescent="0.35">
      <c r="A16" s="14">
        <v>44650.440972222219</v>
      </c>
      <c r="B16" s="15">
        <f t="shared" si="0"/>
        <v>27.083333333313931</v>
      </c>
      <c r="C16" s="28"/>
      <c r="D16" s="28"/>
      <c r="E16" s="16">
        <v>0.52600000000000002</v>
      </c>
      <c r="F16" s="5">
        <v>4.3099999999999996</v>
      </c>
      <c r="H16" s="28"/>
    </row>
    <row r="17" spans="1:11" x14ac:dyDescent="0.35">
      <c r="A17" s="14">
        <v>44650.565972222219</v>
      </c>
      <c r="B17" s="15">
        <f t="shared" si="0"/>
        <v>30.083333333313931</v>
      </c>
      <c r="C17" s="28"/>
      <c r="D17" s="28"/>
      <c r="E17" s="16">
        <v>0.60799999999999998</v>
      </c>
      <c r="F17" s="5">
        <v>4.24</v>
      </c>
      <c r="H17" s="28"/>
    </row>
    <row r="18" spans="1:11" x14ac:dyDescent="0.35">
      <c r="A18" s="14">
        <v>44650.690972222219</v>
      </c>
      <c r="B18" s="15">
        <f t="shared" si="0"/>
        <v>33.083333333313931</v>
      </c>
      <c r="C18" s="28"/>
      <c r="D18" s="28"/>
      <c r="E18" s="5">
        <v>0.69899999999999995</v>
      </c>
      <c r="F18" s="5">
        <v>4.12</v>
      </c>
      <c r="H18" s="28"/>
    </row>
    <row r="19" spans="1:11" x14ac:dyDescent="0.35">
      <c r="A19" s="14">
        <v>44650.805555555555</v>
      </c>
      <c r="B19" s="15">
        <f t="shared" si="0"/>
        <v>35.833333333372138</v>
      </c>
      <c r="C19" s="21">
        <f>89*20*100000</f>
        <v>178000000</v>
      </c>
      <c r="D19" s="28"/>
      <c r="E19" s="5">
        <v>0.82299999999999995</v>
      </c>
      <c r="F19" s="5">
        <v>3.97</v>
      </c>
      <c r="H19" s="15">
        <f>LOG(C19)</f>
        <v>8.2504200023088945</v>
      </c>
    </row>
    <row r="20" spans="1:11" x14ac:dyDescent="0.35">
      <c r="A20" s="14">
        <v>44651.322916666664</v>
      </c>
      <c r="B20" s="15">
        <f t="shared" si="0"/>
        <v>48.25</v>
      </c>
      <c r="C20" s="21">
        <f>67*20*100000</f>
        <v>134000000</v>
      </c>
      <c r="D20" s="28"/>
      <c r="E20" s="16">
        <v>0.92900000000000005</v>
      </c>
      <c r="F20" s="5">
        <v>4.01</v>
      </c>
      <c r="H20" s="15">
        <f>LOG(C20)</f>
        <v>8.1271047983648081</v>
      </c>
    </row>
    <row r="21" spans="1:11" x14ac:dyDescent="0.35">
      <c r="A21" s="14">
        <v>44651.565972222219</v>
      </c>
      <c r="B21" s="15">
        <f t="shared" si="0"/>
        <v>54.083333333313931</v>
      </c>
      <c r="C21" s="21">
        <f>47*20*100000</f>
        <v>94000000</v>
      </c>
      <c r="D21" s="28"/>
      <c r="E21" s="5">
        <v>0.99</v>
      </c>
      <c r="F21" s="5">
        <v>3.98</v>
      </c>
      <c r="H21" s="15">
        <f>LOG(C21)</f>
        <v>7.9731278535996983</v>
      </c>
    </row>
    <row r="22" spans="1:11" x14ac:dyDescent="0.35">
      <c r="B22" s="5"/>
      <c r="C22" s="5"/>
    </row>
    <row r="23" spans="1:11" x14ac:dyDescent="0.35">
      <c r="B23" s="5"/>
      <c r="C23" s="5"/>
      <c r="E23" t="s">
        <v>31</v>
      </c>
      <c r="F23">
        <f>MIN(F10:F21)</f>
        <v>3.97</v>
      </c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44649.354166666664</v>
      </c>
      <c r="B32" s="15">
        <f>0*(24)+1</f>
        <v>1</v>
      </c>
      <c r="C32" s="21">
        <f>180*20*100</f>
        <v>360000</v>
      </c>
      <c r="D32" s="28"/>
      <c r="E32" s="5">
        <v>2.9000000000000001E-2</v>
      </c>
      <c r="F32" s="5">
        <v>5.87</v>
      </c>
      <c r="H32" s="15">
        <f>LOG(C32)</f>
        <v>5.5563025007672868</v>
      </c>
      <c r="I32" s="5"/>
      <c r="J32" s="5"/>
      <c r="K32" s="5"/>
    </row>
    <row r="33" spans="1:11" x14ac:dyDescent="0.35">
      <c r="A33" s="14">
        <v>44649.4375</v>
      </c>
      <c r="B33" s="15">
        <f t="shared" ref="B33:B43" si="1">(A33-$A$10)*(24)+1</f>
        <v>3.0000000000582077</v>
      </c>
      <c r="C33" s="28"/>
      <c r="D33" s="28"/>
      <c r="E33" s="5">
        <v>3.4000000000000002E-2</v>
      </c>
      <c r="F33" s="5">
        <v>5.84</v>
      </c>
      <c r="H33" s="28"/>
      <c r="I33" s="5"/>
      <c r="J33" s="5"/>
      <c r="K33" s="5"/>
    </row>
    <row r="34" spans="1:11" x14ac:dyDescent="0.35">
      <c r="A34" s="14">
        <v>44649.5625</v>
      </c>
      <c r="B34" s="15">
        <f t="shared" si="1"/>
        <v>6.0000000000582077</v>
      </c>
      <c r="C34" s="28"/>
      <c r="D34" s="28"/>
      <c r="E34" s="5">
        <v>-4.4999999999999998E-2</v>
      </c>
      <c r="F34" s="5">
        <v>5.84</v>
      </c>
      <c r="H34" s="28"/>
      <c r="I34" s="5"/>
      <c r="J34" s="5"/>
      <c r="K34" s="5"/>
    </row>
    <row r="35" spans="1:11" x14ac:dyDescent="0.35">
      <c r="A35" s="14">
        <v>44649.6875</v>
      </c>
      <c r="B35" s="15">
        <f t="shared" si="1"/>
        <v>9.0000000000582077</v>
      </c>
      <c r="C35" s="28"/>
      <c r="D35" s="28"/>
      <c r="E35" s="5">
        <v>3.2000000000000001E-2</v>
      </c>
      <c r="F35" s="5">
        <v>5.77</v>
      </c>
      <c r="H35" s="28"/>
      <c r="I35" s="5"/>
      <c r="J35" s="5"/>
      <c r="K35" s="5"/>
    </row>
    <row r="36" spans="1:11" x14ac:dyDescent="0.35">
      <c r="A36" s="14">
        <v>44649.819444444445</v>
      </c>
      <c r="B36" s="15">
        <f t="shared" si="1"/>
        <v>12.166666666744277</v>
      </c>
      <c r="C36" s="21">
        <f>85*20*10000</f>
        <v>17000000</v>
      </c>
      <c r="D36" s="28"/>
      <c r="E36" s="5">
        <v>0.01</v>
      </c>
      <c r="F36" s="5">
        <v>5.64</v>
      </c>
      <c r="H36" s="15">
        <f>LOG(C36)</f>
        <v>7.2304489213782741</v>
      </c>
      <c r="I36" s="5"/>
      <c r="J36" s="5"/>
      <c r="K36" s="5"/>
    </row>
    <row r="37" spans="1:11" x14ac:dyDescent="0.35">
      <c r="A37" s="14">
        <v>44650.319444444445</v>
      </c>
      <c r="B37" s="15">
        <f t="shared" si="1"/>
        <v>24.166666666744277</v>
      </c>
      <c r="C37" s="21">
        <f>32*20*100000</f>
        <v>64000000</v>
      </c>
      <c r="D37" s="28"/>
      <c r="E37" s="5">
        <v>0.32800000000000001</v>
      </c>
      <c r="F37" s="5">
        <v>4.57</v>
      </c>
      <c r="H37" s="15">
        <f>LOG(C37)</f>
        <v>7.8061799739838875</v>
      </c>
      <c r="I37" s="5"/>
      <c r="J37" s="5"/>
      <c r="K37" s="5"/>
    </row>
    <row r="38" spans="1:11" x14ac:dyDescent="0.35">
      <c r="A38" s="14">
        <v>44650.440972222219</v>
      </c>
      <c r="B38" s="15">
        <f t="shared" si="1"/>
        <v>27.083333333313931</v>
      </c>
      <c r="C38" s="28"/>
      <c r="D38" s="28"/>
      <c r="E38" s="5">
        <v>0.41299999999999998</v>
      </c>
      <c r="F38" s="15">
        <v>4.4000000000000004</v>
      </c>
      <c r="H38" s="28"/>
      <c r="I38" s="5"/>
      <c r="J38" s="5"/>
      <c r="K38" s="5"/>
    </row>
    <row r="39" spans="1:11" x14ac:dyDescent="0.35">
      <c r="A39" s="14">
        <v>44650.565972222219</v>
      </c>
      <c r="B39" s="15">
        <f t="shared" si="1"/>
        <v>30.083333333313931</v>
      </c>
      <c r="C39" s="28"/>
      <c r="D39" s="28"/>
      <c r="E39" s="5">
        <v>0.55300000000000005</v>
      </c>
      <c r="F39" s="5">
        <v>4.28</v>
      </c>
      <c r="H39" s="28"/>
      <c r="I39" s="5"/>
      <c r="J39" s="5"/>
      <c r="K39" s="5"/>
    </row>
    <row r="40" spans="1:11" x14ac:dyDescent="0.35">
      <c r="A40" s="14">
        <v>44650.690972222219</v>
      </c>
      <c r="B40" s="15">
        <f t="shared" si="1"/>
        <v>33.083333333313931</v>
      </c>
      <c r="C40" s="28"/>
      <c r="D40" s="28"/>
      <c r="E40" s="5">
        <v>0.59099999999999997</v>
      </c>
      <c r="F40" s="5">
        <v>4.18</v>
      </c>
      <c r="H40" s="28"/>
      <c r="I40" s="5"/>
      <c r="J40" s="5"/>
      <c r="K40" s="5"/>
    </row>
    <row r="41" spans="1:11" x14ac:dyDescent="0.35">
      <c r="A41" s="14">
        <v>44650.805555555555</v>
      </c>
      <c r="B41" s="15">
        <f t="shared" si="1"/>
        <v>35.833333333372138</v>
      </c>
      <c r="C41" s="21">
        <f>27*20*100000</f>
        <v>54000000</v>
      </c>
      <c r="D41" s="28"/>
      <c r="E41" s="5">
        <v>0.70799999999999996</v>
      </c>
      <c r="F41" s="5">
        <v>4.05</v>
      </c>
      <c r="H41" s="15">
        <f>LOG(C41)</f>
        <v>7.7323937598229682</v>
      </c>
      <c r="I41" s="5"/>
      <c r="J41" s="5"/>
      <c r="K41" s="5"/>
    </row>
    <row r="42" spans="1:11" x14ac:dyDescent="0.35">
      <c r="A42" s="14">
        <v>44651.322916666664</v>
      </c>
      <c r="B42" s="15">
        <f t="shared" si="1"/>
        <v>48.25</v>
      </c>
      <c r="C42" s="21">
        <f>38*20*100000</f>
        <v>76000000</v>
      </c>
      <c r="D42" s="28"/>
      <c r="E42" s="5">
        <v>0.83599999999999997</v>
      </c>
      <c r="F42" s="5">
        <v>4.03</v>
      </c>
      <c r="H42" s="15">
        <f>LOG(C42)</f>
        <v>7.8808135922807914</v>
      </c>
      <c r="I42" s="5"/>
      <c r="J42" s="5"/>
      <c r="K42" s="5"/>
    </row>
    <row r="43" spans="1:11" x14ac:dyDescent="0.35">
      <c r="A43" s="14">
        <v>44651.565972222219</v>
      </c>
      <c r="B43" s="15">
        <f t="shared" si="1"/>
        <v>54.083333333313931</v>
      </c>
      <c r="C43" s="21">
        <f>29*20*100000</f>
        <v>58000000</v>
      </c>
      <c r="D43" s="28"/>
      <c r="E43" s="5">
        <v>0.876</v>
      </c>
      <c r="F43" s="5">
        <v>4.03</v>
      </c>
      <c r="H43" s="15">
        <f>LOG(C43)</f>
        <v>7.7634279935629369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E45" t="s">
        <v>31</v>
      </c>
      <c r="F45">
        <f>MIN(F32:F43)</f>
        <v>4.03</v>
      </c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44649.354166666664</v>
      </c>
      <c r="B52" s="15">
        <f>0*(24)+1</f>
        <v>1</v>
      </c>
      <c r="C52" s="29"/>
      <c r="D52" s="21">
        <f>11*100</f>
        <v>1100</v>
      </c>
      <c r="E52" s="5">
        <v>-4.0000000000000001E-3</v>
      </c>
      <c r="F52" s="5">
        <v>5.86</v>
      </c>
      <c r="H52" s="15">
        <f>LOG(D52)</f>
        <v>3.0413926851582249</v>
      </c>
    </row>
    <row r="53" spans="1:11" x14ac:dyDescent="0.35">
      <c r="A53" s="14">
        <v>44649.4375</v>
      </c>
      <c r="B53" s="15">
        <f t="shared" ref="B53:B63" si="2">(A53-$A$10)*(24)+1</f>
        <v>3.0000000000582077</v>
      </c>
      <c r="C53" s="29"/>
      <c r="D53" s="29"/>
      <c r="E53" s="5">
        <v>-1.6E-2</v>
      </c>
      <c r="F53" s="5">
        <v>5.85</v>
      </c>
      <c r="H53" s="29"/>
    </row>
    <row r="54" spans="1:11" x14ac:dyDescent="0.35">
      <c r="A54" s="14">
        <v>44649.5625</v>
      </c>
      <c r="B54" s="15">
        <f t="shared" si="2"/>
        <v>6.0000000000582077</v>
      </c>
      <c r="C54" s="29"/>
      <c r="D54" s="29"/>
      <c r="E54" s="5">
        <v>-2.9000000000000001E-2</v>
      </c>
      <c r="F54" s="5">
        <v>5.81</v>
      </c>
      <c r="H54" s="29"/>
    </row>
    <row r="55" spans="1:11" x14ac:dyDescent="0.35">
      <c r="A55" s="14">
        <v>44649.6875</v>
      </c>
      <c r="B55" s="15">
        <f t="shared" si="2"/>
        <v>9.0000000000582077</v>
      </c>
      <c r="C55" s="29"/>
      <c r="D55" s="29"/>
      <c r="E55" s="5">
        <v>0</v>
      </c>
      <c r="F55" s="5">
        <v>5.84</v>
      </c>
      <c r="H55" s="29"/>
    </row>
    <row r="56" spans="1:11" x14ac:dyDescent="0.35">
      <c r="A56" s="14">
        <v>44649.819444444445</v>
      </c>
      <c r="B56" s="15">
        <f t="shared" si="2"/>
        <v>12.166666666744277</v>
      </c>
      <c r="C56" s="29"/>
      <c r="D56" s="21">
        <f>36*20*100</f>
        <v>72000</v>
      </c>
      <c r="E56" s="5">
        <v>-4.7E-2</v>
      </c>
      <c r="F56" s="5">
        <v>5.81</v>
      </c>
      <c r="H56" s="15">
        <f>LOG(D56)</f>
        <v>4.8573324964312681</v>
      </c>
    </row>
    <row r="57" spans="1:11" x14ac:dyDescent="0.35">
      <c r="A57" s="14">
        <v>44650.319444444445</v>
      </c>
      <c r="B57" s="15">
        <f t="shared" si="2"/>
        <v>24.166666666744277</v>
      </c>
      <c r="C57" s="29"/>
      <c r="D57" s="21">
        <f>30*20*10000</f>
        <v>6000000</v>
      </c>
      <c r="E57" s="5">
        <v>2.3E-2</v>
      </c>
      <c r="F57" s="5">
        <v>5.92</v>
      </c>
      <c r="H57" s="15">
        <f>LOG(D57)</f>
        <v>6.7781512503836439</v>
      </c>
    </row>
    <row r="58" spans="1:11" x14ac:dyDescent="0.35">
      <c r="A58" s="14">
        <v>44650.440972222219</v>
      </c>
      <c r="B58" s="15">
        <f t="shared" si="2"/>
        <v>27.083333333313931</v>
      </c>
      <c r="C58" s="29"/>
      <c r="D58" s="29"/>
      <c r="E58" s="5">
        <v>2.1000000000000001E-2</v>
      </c>
      <c r="F58" s="5">
        <v>5.89</v>
      </c>
      <c r="H58" s="29"/>
    </row>
    <row r="59" spans="1:11" x14ac:dyDescent="0.35">
      <c r="A59" s="14">
        <v>44650.565972222219</v>
      </c>
      <c r="B59" s="15">
        <f t="shared" si="2"/>
        <v>30.083333333313931</v>
      </c>
      <c r="C59" s="29"/>
      <c r="D59" s="29"/>
      <c r="E59" s="5">
        <v>8.0000000000000002E-3</v>
      </c>
      <c r="F59" s="5">
        <v>5.88</v>
      </c>
      <c r="H59" s="29"/>
    </row>
    <row r="60" spans="1:11" x14ac:dyDescent="0.35">
      <c r="A60" s="14">
        <v>44650.690972222219</v>
      </c>
      <c r="B60" s="15">
        <f t="shared" si="2"/>
        <v>33.083333333313931</v>
      </c>
      <c r="C60" s="29"/>
      <c r="D60" s="29"/>
      <c r="E60" s="5">
        <v>-3.6999999999999998E-2</v>
      </c>
      <c r="F60" s="5">
        <v>5.77</v>
      </c>
      <c r="H60" s="29"/>
    </row>
    <row r="61" spans="1:11" x14ac:dyDescent="0.35">
      <c r="A61" s="14">
        <v>44650.805555555555</v>
      </c>
      <c r="B61" s="15">
        <f t="shared" si="2"/>
        <v>35.833333333372138</v>
      </c>
      <c r="C61" s="29"/>
      <c r="D61" s="21">
        <f>78*20*100000</f>
        <v>156000000</v>
      </c>
      <c r="E61" s="16">
        <v>-1.2E-2</v>
      </c>
      <c r="F61" s="15">
        <v>5.6</v>
      </c>
      <c r="H61" s="15">
        <f>LOG(D61)</f>
        <v>8.1931245983544621</v>
      </c>
    </row>
    <row r="62" spans="1:11" x14ac:dyDescent="0.35">
      <c r="A62" s="14">
        <v>44651.322916666664</v>
      </c>
      <c r="B62" s="15">
        <f t="shared" si="2"/>
        <v>48.25</v>
      </c>
      <c r="C62" s="29"/>
      <c r="D62" s="21">
        <f>AVERAGE(627000000,773000000,446000000)</f>
        <v>615333333.33333337</v>
      </c>
      <c r="E62" s="5">
        <v>0.13600000000000001</v>
      </c>
      <c r="F62" s="5">
        <v>4.8499999999999996</v>
      </c>
      <c r="H62" s="15">
        <f>LOG(D62)</f>
        <v>8.7891104419702302</v>
      </c>
    </row>
    <row r="63" spans="1:11" x14ac:dyDescent="0.35">
      <c r="A63" s="14">
        <v>44651.565972222219</v>
      </c>
      <c r="B63" s="15">
        <f t="shared" si="2"/>
        <v>54.083333333313931</v>
      </c>
      <c r="C63" s="28"/>
      <c r="D63" s="21">
        <f>228*20*100000</f>
        <v>456000000</v>
      </c>
      <c r="E63" s="5">
        <v>0.22700000000000001</v>
      </c>
      <c r="F63" s="5">
        <v>4.6500000000000004</v>
      </c>
      <c r="H63" s="15">
        <f>LOG(D63)</f>
        <v>8.6589648426644352</v>
      </c>
    </row>
    <row r="65" spans="1:11" x14ac:dyDescent="0.35">
      <c r="E65" t="s">
        <v>31</v>
      </c>
      <c r="F65">
        <f>MIN(F52:F63)</f>
        <v>4.6500000000000004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44649.354166666664</v>
      </c>
      <c r="B73" s="15">
        <f>0*24+1</f>
        <v>1</v>
      </c>
      <c r="C73" s="21">
        <f>75*20*100</f>
        <v>150000</v>
      </c>
      <c r="D73" s="21">
        <f>15*100</f>
        <v>1500</v>
      </c>
      <c r="E73" s="5">
        <v>2.1000000000000001E-2</v>
      </c>
      <c r="F73" s="5">
        <v>5.85</v>
      </c>
      <c r="H73" s="15">
        <f t="shared" ref="H73:H84" si="3">LOG(C73)</f>
        <v>5.1760912590556813</v>
      </c>
      <c r="I73" s="15">
        <f t="shared" ref="I73:I84" si="4">LOG(D73)</f>
        <v>3.1760912590556813</v>
      </c>
    </row>
    <row r="74" spans="1:11" x14ac:dyDescent="0.35">
      <c r="A74" s="14">
        <v>44649.4375</v>
      </c>
      <c r="B74" s="15">
        <f t="shared" ref="B74:B84" si="5">(A74-$A$10)*24+1</f>
        <v>3.0000000000582077</v>
      </c>
      <c r="C74" s="21">
        <f>121*20*100</f>
        <v>242000</v>
      </c>
      <c r="D74" s="21">
        <f>23*100</f>
        <v>2300</v>
      </c>
      <c r="E74" s="5">
        <v>5.0000000000000001E-3</v>
      </c>
      <c r="F74" s="5">
        <v>5.85</v>
      </c>
      <c r="H74" s="15">
        <f t="shared" si="3"/>
        <v>5.3838153659804311</v>
      </c>
      <c r="I74" s="15">
        <f t="shared" si="4"/>
        <v>3.3617278360175931</v>
      </c>
    </row>
    <row r="75" spans="1:11" x14ac:dyDescent="0.35">
      <c r="A75" s="14">
        <v>44649.5625</v>
      </c>
      <c r="B75" s="15">
        <f t="shared" si="5"/>
        <v>6.0000000000582077</v>
      </c>
      <c r="C75" s="21">
        <f>24*20*1000</f>
        <v>480000</v>
      </c>
      <c r="D75" s="21">
        <f>63*100</f>
        <v>6300</v>
      </c>
      <c r="E75" s="5">
        <v>-7.3999999999999996E-2</v>
      </c>
      <c r="F75" s="15">
        <v>5.84</v>
      </c>
      <c r="H75" s="15">
        <f t="shared" si="3"/>
        <v>5.6812412373755876</v>
      </c>
      <c r="I75" s="15">
        <f t="shared" si="4"/>
        <v>3.7993405494535817</v>
      </c>
    </row>
    <row r="76" spans="1:11" x14ac:dyDescent="0.35">
      <c r="A76" s="14">
        <v>44649.6875</v>
      </c>
      <c r="B76" s="15">
        <f t="shared" si="5"/>
        <v>9.0000000000582077</v>
      </c>
      <c r="C76" s="21">
        <f>82*20*1000</f>
        <v>1640000</v>
      </c>
      <c r="D76" s="21">
        <f>181*100</f>
        <v>18100</v>
      </c>
      <c r="E76" s="5">
        <v>0.02</v>
      </c>
      <c r="F76" s="5">
        <v>5.81</v>
      </c>
      <c r="H76" s="15">
        <f t="shared" si="3"/>
        <v>6.214843848047698</v>
      </c>
      <c r="I76" s="15">
        <f t="shared" si="4"/>
        <v>4.2576785748691846</v>
      </c>
    </row>
    <row r="77" spans="1:11" x14ac:dyDescent="0.35">
      <c r="A77" s="14">
        <v>44649.819444444445</v>
      </c>
      <c r="B77" s="15">
        <f t="shared" si="5"/>
        <v>12.166666666744277</v>
      </c>
      <c r="C77" s="21">
        <f>21*20*10000</f>
        <v>4200000</v>
      </c>
      <c r="D77" s="21">
        <f>543*100</f>
        <v>54300</v>
      </c>
      <c r="E77" s="5">
        <v>1.7999999999999999E-2</v>
      </c>
      <c r="F77" s="5">
        <v>5.74</v>
      </c>
      <c r="H77" s="15">
        <f t="shared" si="3"/>
        <v>6.6232492903979008</v>
      </c>
      <c r="I77" s="15">
        <f t="shared" si="4"/>
        <v>4.7347998295888472</v>
      </c>
    </row>
    <row r="78" spans="1:11" x14ac:dyDescent="0.35">
      <c r="A78" s="14">
        <v>44650.319444444445</v>
      </c>
      <c r="B78" s="15">
        <f t="shared" si="5"/>
        <v>24.166666666744277</v>
      </c>
      <c r="C78" s="21">
        <f>68*20*100000</f>
        <v>136000000</v>
      </c>
      <c r="D78" s="23">
        <f>282*2*10</f>
        <v>5640</v>
      </c>
      <c r="E78" s="5">
        <v>0.432</v>
      </c>
      <c r="F78" s="5">
        <v>4.4000000000000004</v>
      </c>
      <c r="H78" s="15">
        <f t="shared" si="3"/>
        <v>8.1335389083702179</v>
      </c>
      <c r="I78" s="15">
        <f t="shared" si="4"/>
        <v>3.7512791039833422</v>
      </c>
    </row>
    <row r="79" spans="1:11" x14ac:dyDescent="0.35">
      <c r="A79" s="14">
        <v>44650.440972222219</v>
      </c>
      <c r="B79" s="15">
        <f t="shared" si="5"/>
        <v>27.083333333313931</v>
      </c>
      <c r="C79" s="21">
        <f>72*20*100000</f>
        <v>144000000</v>
      </c>
      <c r="D79" s="23">
        <f>236*2*10</f>
        <v>4720</v>
      </c>
      <c r="E79" s="5">
        <v>0.51600000000000001</v>
      </c>
      <c r="F79" s="5">
        <v>4.24</v>
      </c>
      <c r="H79" s="15">
        <f t="shared" si="3"/>
        <v>8.1583624920952502</v>
      </c>
      <c r="I79" s="15">
        <f t="shared" si="4"/>
        <v>3.673941998634088</v>
      </c>
    </row>
    <row r="80" spans="1:11" x14ac:dyDescent="0.35">
      <c r="A80" s="14">
        <v>44650.565972222219</v>
      </c>
      <c r="B80" s="15">
        <f t="shared" si="5"/>
        <v>30.083333333313931</v>
      </c>
      <c r="C80" s="21">
        <f>71*20*100000</f>
        <v>142000000</v>
      </c>
      <c r="D80" s="23">
        <f>AVERAGE(186*2*10,1317*2)</f>
        <v>3177</v>
      </c>
      <c r="E80" s="5">
        <v>0.63400000000000001</v>
      </c>
      <c r="F80" s="5">
        <v>4.17</v>
      </c>
      <c r="H80" s="15">
        <f t="shared" si="3"/>
        <v>8.1522883443830558</v>
      </c>
      <c r="I80" s="15">
        <f t="shared" si="4"/>
        <v>3.5020172148271476</v>
      </c>
    </row>
    <row r="81" spans="1:11" x14ac:dyDescent="0.35">
      <c r="A81" s="14">
        <v>44650.690972222219</v>
      </c>
      <c r="B81" s="15">
        <f t="shared" si="5"/>
        <v>33.083333333313931</v>
      </c>
      <c r="C81" s="21">
        <f>77*20*100000</f>
        <v>154000000</v>
      </c>
      <c r="D81" s="23">
        <f>AVERAGE(1232*2,100*2*10)</f>
        <v>2232</v>
      </c>
      <c r="E81" s="5">
        <v>0.70799999999999996</v>
      </c>
      <c r="F81" s="5">
        <v>4.1100000000000003</v>
      </c>
      <c r="H81" s="15">
        <f t="shared" si="3"/>
        <v>8.1875207208364635</v>
      </c>
      <c r="I81" s="15">
        <f t="shared" si="4"/>
        <v>3.3486941902655412</v>
      </c>
    </row>
    <row r="82" spans="1:11" x14ac:dyDescent="0.35">
      <c r="A82" s="14">
        <v>44650.805555555555</v>
      </c>
      <c r="B82" s="15">
        <f t="shared" si="5"/>
        <v>35.833333333372138</v>
      </c>
      <c r="C82" s="21">
        <f>89*20*100000</f>
        <v>178000000</v>
      </c>
      <c r="D82" s="23">
        <f>AVERAGE(1062*2,45*2*10)</f>
        <v>1512</v>
      </c>
      <c r="E82" s="5">
        <v>0.84399999999999997</v>
      </c>
      <c r="F82" s="5">
        <v>4.05</v>
      </c>
      <c r="H82" s="15">
        <f t="shared" si="3"/>
        <v>8.2504200023088945</v>
      </c>
      <c r="I82" s="15">
        <f t="shared" si="4"/>
        <v>3.1795517911651876</v>
      </c>
    </row>
    <row r="83" spans="1:11" x14ac:dyDescent="0.35">
      <c r="A83" s="14">
        <v>44651.322916666664</v>
      </c>
      <c r="B83" s="15">
        <f t="shared" si="5"/>
        <v>48.25</v>
      </c>
      <c r="C83" s="21">
        <f>57*20*100000</f>
        <v>114000000</v>
      </c>
      <c r="D83" s="23">
        <f>AVERAGE(877/5,146*2)</f>
        <v>233.7</v>
      </c>
      <c r="E83" s="5">
        <v>0.93300000000000005</v>
      </c>
      <c r="F83" s="5">
        <v>4.01</v>
      </c>
      <c r="H83" s="15">
        <f t="shared" si="3"/>
        <v>8.0569048513364727</v>
      </c>
      <c r="I83" s="15">
        <f t="shared" si="4"/>
        <v>2.3686587123922269</v>
      </c>
    </row>
    <row r="84" spans="1:11" x14ac:dyDescent="0.35">
      <c r="A84" s="14">
        <v>44651.565972222219</v>
      </c>
      <c r="B84" s="15">
        <f t="shared" si="5"/>
        <v>54.083333333313931</v>
      </c>
      <c r="C84" s="21">
        <f>50*20*10000</f>
        <v>10000000</v>
      </c>
      <c r="D84" s="23">
        <f>122*2</f>
        <v>244</v>
      </c>
      <c r="E84" s="5">
        <v>1.012</v>
      </c>
      <c r="F84" s="5">
        <v>3.99</v>
      </c>
      <c r="H84" s="15">
        <f t="shared" si="3"/>
        <v>7</v>
      </c>
      <c r="I84" s="15">
        <f t="shared" si="4"/>
        <v>2.3873898263387292</v>
      </c>
    </row>
    <row r="85" spans="1:11" x14ac:dyDescent="0.35">
      <c r="C85" s="5"/>
    </row>
    <row r="86" spans="1:11" x14ac:dyDescent="0.35">
      <c r="C86" s="5"/>
      <c r="E86" t="s">
        <v>31</v>
      </c>
      <c r="F86">
        <f>MIN(F73:F84)</f>
        <v>3.99</v>
      </c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44649.354166666664</v>
      </c>
      <c r="B95" s="15">
        <f>0*24+1</f>
        <v>1</v>
      </c>
      <c r="C95" s="23">
        <f>109*20*100</f>
        <v>218000</v>
      </c>
      <c r="D95" s="21">
        <f>19*100</f>
        <v>1900</v>
      </c>
      <c r="E95" s="5">
        <v>3.0000000000000001E-3</v>
      </c>
      <c r="F95" s="5">
        <v>5.85</v>
      </c>
      <c r="H95" s="18">
        <f t="shared" ref="H95:H106" si="6">LOG(C95)</f>
        <v>5.3384564936046051</v>
      </c>
      <c r="I95" s="15">
        <f t="shared" ref="I95:I106" si="7">LOG(D95)</f>
        <v>3.2787536009528289</v>
      </c>
      <c r="J95" s="5"/>
      <c r="K95" s="5"/>
    </row>
    <row r="96" spans="1:11" x14ac:dyDescent="0.35">
      <c r="A96" s="14">
        <v>44649.4375</v>
      </c>
      <c r="B96" s="15">
        <f t="shared" ref="B96:B106" si="8">(A96-$A$10)*24+1</f>
        <v>3.0000000000582077</v>
      </c>
      <c r="C96" s="21">
        <f>150*20*100</f>
        <v>300000</v>
      </c>
      <c r="D96" s="21">
        <f>34*100</f>
        <v>3400</v>
      </c>
      <c r="E96" s="5">
        <v>-8.0000000000000002E-3</v>
      </c>
      <c r="F96" s="15">
        <v>5.84</v>
      </c>
      <c r="H96" s="18">
        <f t="shared" si="6"/>
        <v>5.4771212547196626</v>
      </c>
      <c r="I96" s="15">
        <f t="shared" si="7"/>
        <v>3.5314789170422549</v>
      </c>
      <c r="J96" s="5"/>
      <c r="K96" s="5"/>
    </row>
    <row r="97" spans="1:11" x14ac:dyDescent="0.35">
      <c r="A97" s="14">
        <v>44649.5625</v>
      </c>
      <c r="B97" s="15">
        <f t="shared" si="8"/>
        <v>6.0000000000582077</v>
      </c>
      <c r="C97" s="21">
        <f>160*20*1000</f>
        <v>3200000</v>
      </c>
      <c r="D97" s="21">
        <f>85*100</f>
        <v>8500</v>
      </c>
      <c r="E97" s="5">
        <v>-6.4000000000000001E-2</v>
      </c>
      <c r="F97" s="5">
        <v>5.81</v>
      </c>
      <c r="H97" s="18">
        <f t="shared" si="6"/>
        <v>6.5051499783199063</v>
      </c>
      <c r="I97" s="15">
        <f t="shared" si="7"/>
        <v>3.9294189257142929</v>
      </c>
      <c r="J97" s="5"/>
      <c r="K97" s="5"/>
    </row>
    <row r="98" spans="1:11" x14ac:dyDescent="0.35">
      <c r="A98" s="14">
        <v>44649.6875</v>
      </c>
      <c r="B98" s="15">
        <f t="shared" si="8"/>
        <v>9.0000000000582077</v>
      </c>
      <c r="C98" s="21">
        <f>232*20*1000</f>
        <v>4640000</v>
      </c>
      <c r="D98" s="21">
        <f>242*100</f>
        <v>24200</v>
      </c>
      <c r="E98" s="5">
        <v>6.0000000000000001E-3</v>
      </c>
      <c r="F98" s="5">
        <v>5.75</v>
      </c>
      <c r="H98" s="18">
        <f t="shared" si="6"/>
        <v>6.6665179805548807</v>
      </c>
      <c r="I98" s="15">
        <f t="shared" si="7"/>
        <v>4.3838153659804311</v>
      </c>
      <c r="J98" s="5"/>
      <c r="K98" s="5"/>
    </row>
    <row r="99" spans="1:11" x14ac:dyDescent="0.35">
      <c r="A99" s="14">
        <v>44649.819444444445</v>
      </c>
      <c r="B99" s="15">
        <f t="shared" si="8"/>
        <v>12.166666666744277</v>
      </c>
      <c r="C99" s="21">
        <f>61*20*10000</f>
        <v>12200000</v>
      </c>
      <c r="D99" s="21">
        <f>34*20*100</f>
        <v>68000</v>
      </c>
      <c r="E99" s="5">
        <v>1.4999999999999999E-2</v>
      </c>
      <c r="F99" s="5">
        <v>5.63</v>
      </c>
      <c r="H99" s="18">
        <f t="shared" si="6"/>
        <v>7.0863598306747484</v>
      </c>
      <c r="I99" s="15">
        <f t="shared" si="7"/>
        <v>4.8325089127062366</v>
      </c>
      <c r="J99" s="5"/>
      <c r="K99" s="5"/>
    </row>
    <row r="100" spans="1:11" x14ac:dyDescent="0.35">
      <c r="A100" s="14">
        <v>44650.319444444445</v>
      </c>
      <c r="B100" s="15">
        <f t="shared" si="8"/>
        <v>24.166666666744277</v>
      </c>
      <c r="C100" s="21">
        <f>41*20*100000</f>
        <v>82000000</v>
      </c>
      <c r="D100" s="21">
        <f>35*20*1000</f>
        <v>700000</v>
      </c>
      <c r="E100" s="5">
        <v>0.36599999999999999</v>
      </c>
      <c r="F100" s="5">
        <v>5.54</v>
      </c>
      <c r="H100" s="18">
        <f t="shared" si="6"/>
        <v>7.9138138523837167</v>
      </c>
      <c r="I100" s="15">
        <f t="shared" si="7"/>
        <v>5.8450980400142569</v>
      </c>
      <c r="J100" s="5"/>
      <c r="K100" s="5"/>
    </row>
    <row r="101" spans="1:11" x14ac:dyDescent="0.35">
      <c r="A101" s="14">
        <v>44650.440972222219</v>
      </c>
      <c r="B101" s="15">
        <f t="shared" si="8"/>
        <v>27.083333333313931</v>
      </c>
      <c r="C101" s="23">
        <f>72*20*100000</f>
        <v>144000000</v>
      </c>
      <c r="D101" s="21">
        <f>32*20*1000</f>
        <v>640000</v>
      </c>
      <c r="E101" s="5">
        <v>0.48199999999999998</v>
      </c>
      <c r="F101" s="5">
        <v>4.3600000000000003</v>
      </c>
      <c r="H101" s="18">
        <f t="shared" si="6"/>
        <v>8.1583624920952502</v>
      </c>
      <c r="I101" s="15">
        <f t="shared" si="7"/>
        <v>5.8061799739838875</v>
      </c>
      <c r="J101" s="5"/>
      <c r="K101" s="5"/>
    </row>
    <row r="102" spans="1:11" x14ac:dyDescent="0.35">
      <c r="A102" s="14">
        <v>44650.565972222219</v>
      </c>
      <c r="B102" s="15">
        <f t="shared" si="8"/>
        <v>30.083333333313931</v>
      </c>
      <c r="C102" s="21">
        <f>28*20*100000</f>
        <v>56000000</v>
      </c>
      <c r="D102" s="21">
        <f>24*20*1000</f>
        <v>480000</v>
      </c>
      <c r="E102" s="5">
        <v>0.56899999999999995</v>
      </c>
      <c r="F102" s="5">
        <v>4.2699999999999996</v>
      </c>
      <c r="H102" s="18">
        <f t="shared" si="6"/>
        <v>7.7481880270062007</v>
      </c>
      <c r="I102" s="15">
        <f t="shared" si="7"/>
        <v>5.6812412373755876</v>
      </c>
      <c r="J102" s="5"/>
      <c r="K102" s="5"/>
    </row>
    <row r="103" spans="1:11" x14ac:dyDescent="0.35">
      <c r="A103" s="14">
        <v>44650.690972222219</v>
      </c>
      <c r="B103" s="15">
        <f t="shared" si="8"/>
        <v>33.083333333313931</v>
      </c>
      <c r="C103" s="21">
        <f>31*20*100000</f>
        <v>62000000</v>
      </c>
      <c r="D103" s="21">
        <f>26*20*1000</f>
        <v>520000</v>
      </c>
      <c r="E103" s="5">
        <v>0.63900000000000001</v>
      </c>
      <c r="F103" s="5">
        <v>4.1100000000000003</v>
      </c>
      <c r="H103" s="18">
        <f t="shared" si="6"/>
        <v>7.7923916894982534</v>
      </c>
      <c r="I103" s="15">
        <f t="shared" si="7"/>
        <v>5.7160033436347994</v>
      </c>
      <c r="J103" s="5"/>
      <c r="K103" s="5"/>
    </row>
    <row r="104" spans="1:11" x14ac:dyDescent="0.35">
      <c r="A104" s="14">
        <v>44650.805555555555</v>
      </c>
      <c r="B104" s="15">
        <f t="shared" si="8"/>
        <v>35.833333333372138</v>
      </c>
      <c r="C104" s="21">
        <f>34*20*100000</f>
        <v>68000000</v>
      </c>
      <c r="D104" s="21">
        <f>30*20*1000</f>
        <v>600000</v>
      </c>
      <c r="E104" s="5">
        <v>0.78900000000000003</v>
      </c>
      <c r="F104" s="5">
        <v>4.08</v>
      </c>
      <c r="H104" s="18">
        <f t="shared" si="6"/>
        <v>7.8325089127062366</v>
      </c>
      <c r="I104" s="15">
        <f t="shared" si="7"/>
        <v>5.7781512503836439</v>
      </c>
      <c r="J104" s="5"/>
      <c r="K104" s="5"/>
    </row>
    <row r="105" spans="1:11" x14ac:dyDescent="0.35">
      <c r="A105" s="14">
        <v>44651.322916666664</v>
      </c>
      <c r="B105" s="15">
        <f t="shared" si="8"/>
        <v>48.25</v>
      </c>
      <c r="C105" s="23">
        <f>32*20*100000</f>
        <v>64000000</v>
      </c>
      <c r="D105" s="21">
        <f>30*20*1000</f>
        <v>600000</v>
      </c>
      <c r="E105" s="5">
        <v>0.876</v>
      </c>
      <c r="F105" s="15">
        <v>4.0199999999999996</v>
      </c>
      <c r="H105" s="18">
        <f t="shared" si="6"/>
        <v>7.8061799739838875</v>
      </c>
      <c r="I105" s="15">
        <f t="shared" si="7"/>
        <v>5.7781512503836439</v>
      </c>
      <c r="J105" s="5"/>
      <c r="K105" s="5"/>
    </row>
    <row r="106" spans="1:11" x14ac:dyDescent="0.35">
      <c r="A106" s="14">
        <v>44651.565972222219</v>
      </c>
      <c r="B106" s="15">
        <f t="shared" si="8"/>
        <v>54.083333333313931</v>
      </c>
      <c r="C106" s="21">
        <f>26*20*10000</f>
        <v>5200000</v>
      </c>
      <c r="D106" s="21">
        <f>15*20*1000</f>
        <v>300000</v>
      </c>
      <c r="E106" s="5">
        <v>0.97</v>
      </c>
      <c r="F106" s="5">
        <v>4.01</v>
      </c>
      <c r="H106" s="18">
        <f t="shared" si="6"/>
        <v>6.7160033436347994</v>
      </c>
      <c r="I106" s="15">
        <f t="shared" si="7"/>
        <v>5.4771212547196626</v>
      </c>
      <c r="J106" s="5"/>
      <c r="K106" s="5"/>
    </row>
    <row r="107" spans="1:11" x14ac:dyDescent="0.35">
      <c r="H107" s="5"/>
      <c r="I107" s="5"/>
      <c r="J107" s="5"/>
      <c r="K107" s="5"/>
    </row>
    <row r="108" spans="1:11" x14ac:dyDescent="0.35">
      <c r="E108" t="s">
        <v>31</v>
      </c>
      <c r="F108">
        <f>MIN(F95:F106)</f>
        <v>4.01</v>
      </c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177A-5E3E-413A-8F79-1F85897C864F}">
  <dimension ref="A1:K107"/>
  <sheetViews>
    <sheetView topLeftCell="A80" zoomScale="110" zoomScaleNormal="110" workbookViewId="0">
      <selection activeCell="Q91" sqref="Q91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44649.354166666664</v>
      </c>
      <c r="B10" s="15">
        <f>0*24+1</f>
        <v>1</v>
      </c>
      <c r="C10" s="21">
        <f>76*20*100</f>
        <v>152000</v>
      </c>
      <c r="D10" s="20"/>
      <c r="E10" s="16"/>
      <c r="F10" s="5"/>
      <c r="H10" s="15">
        <f>LOG(C10)</f>
        <v>5.1818435879447726</v>
      </c>
    </row>
    <row r="11" spans="1:11" x14ac:dyDescent="0.35">
      <c r="A11" s="14">
        <v>44649.4375</v>
      </c>
      <c r="B11" s="15">
        <f t="shared" ref="B11:B21" si="0">(A11-$A$10)*24+1</f>
        <v>3.0000000000582077</v>
      </c>
      <c r="C11" s="20"/>
      <c r="D11" s="20"/>
      <c r="E11" s="5"/>
      <c r="F11" s="5"/>
      <c r="H11" s="20"/>
    </row>
    <row r="12" spans="1:11" x14ac:dyDescent="0.35">
      <c r="A12" s="14">
        <v>44649.5625</v>
      </c>
      <c r="B12" s="15">
        <f t="shared" si="0"/>
        <v>6.0000000000582077</v>
      </c>
      <c r="C12" s="20"/>
      <c r="D12" s="20"/>
      <c r="E12" s="5"/>
      <c r="F12" s="5"/>
      <c r="H12" s="20"/>
    </row>
    <row r="13" spans="1:11" x14ac:dyDescent="0.35">
      <c r="A13" s="14">
        <v>44649.6875</v>
      </c>
      <c r="B13" s="15">
        <f t="shared" si="0"/>
        <v>9.0000000000582077</v>
      </c>
      <c r="C13" s="20"/>
      <c r="D13" s="20"/>
      <c r="E13" s="5"/>
      <c r="F13" s="5"/>
      <c r="H13" s="20"/>
    </row>
    <row r="14" spans="1:11" x14ac:dyDescent="0.35">
      <c r="A14" s="14">
        <v>44649.819444444445</v>
      </c>
      <c r="B14" s="15">
        <f t="shared" si="0"/>
        <v>12.166666666744277</v>
      </c>
      <c r="C14" s="21">
        <f>36*20*10000</f>
        <v>7200000</v>
      </c>
      <c r="D14" s="20"/>
      <c r="E14" s="5"/>
      <c r="F14" s="5"/>
      <c r="H14" s="15">
        <f>LOG(C14)</f>
        <v>6.8573324964312681</v>
      </c>
    </row>
    <row r="15" spans="1:11" x14ac:dyDescent="0.35">
      <c r="A15" s="14">
        <v>44650.319444444445</v>
      </c>
      <c r="B15" s="15">
        <f t="shared" si="0"/>
        <v>24.166666666744277</v>
      </c>
      <c r="C15" s="21">
        <f>98*20*100000</f>
        <v>196000000</v>
      </c>
      <c r="D15" s="20"/>
      <c r="E15" s="16"/>
      <c r="F15" s="5"/>
      <c r="H15" s="15">
        <f>LOG(C15)</f>
        <v>8.2922560713564764</v>
      </c>
    </row>
    <row r="16" spans="1:11" x14ac:dyDescent="0.35">
      <c r="A16" s="14">
        <v>44650.440972222219</v>
      </c>
      <c r="B16" s="15">
        <f t="shared" si="0"/>
        <v>27.083333333313931</v>
      </c>
      <c r="C16" s="20"/>
      <c r="D16" s="20"/>
      <c r="E16" s="5"/>
      <c r="F16" s="15"/>
      <c r="H16" s="20"/>
    </row>
    <row r="17" spans="1:11" x14ac:dyDescent="0.35">
      <c r="A17" s="14">
        <v>44650.565972222219</v>
      </c>
      <c r="B17" s="15">
        <f t="shared" si="0"/>
        <v>30.083333333313931</v>
      </c>
      <c r="C17" s="20"/>
      <c r="D17" s="20"/>
      <c r="E17" s="5"/>
      <c r="F17" s="5"/>
      <c r="H17" s="20"/>
    </row>
    <row r="18" spans="1:11" x14ac:dyDescent="0.35">
      <c r="A18" s="14">
        <v>44650.690972222219</v>
      </c>
      <c r="B18" s="15">
        <f t="shared" si="0"/>
        <v>33.083333333313931</v>
      </c>
      <c r="C18" s="20"/>
      <c r="D18" s="20"/>
      <c r="E18" s="5"/>
      <c r="F18" s="15"/>
      <c r="H18" s="20"/>
    </row>
    <row r="19" spans="1:11" x14ac:dyDescent="0.35">
      <c r="A19" s="14">
        <v>44650.805555555555</v>
      </c>
      <c r="B19" s="15">
        <f t="shared" si="0"/>
        <v>35.833333333372138</v>
      </c>
      <c r="C19" s="21">
        <f>107*20*100000</f>
        <v>214000000</v>
      </c>
      <c r="D19" s="20"/>
      <c r="E19" s="5"/>
      <c r="F19" s="5"/>
      <c r="H19" s="15">
        <f>LOG(C19)</f>
        <v>8.330413773349191</v>
      </c>
    </row>
    <row r="20" spans="1:11" x14ac:dyDescent="0.35">
      <c r="A20" s="14">
        <v>44651.322916666664</v>
      </c>
      <c r="B20" s="15">
        <f t="shared" si="0"/>
        <v>48.25</v>
      </c>
      <c r="C20" s="21">
        <f>100*20*100000</f>
        <v>200000000</v>
      </c>
      <c r="D20" s="20"/>
      <c r="E20" s="5"/>
      <c r="F20" s="5"/>
      <c r="H20" s="15">
        <f>LOG(C20)</f>
        <v>8.3010299956639813</v>
      </c>
    </row>
    <row r="21" spans="1:11" x14ac:dyDescent="0.35">
      <c r="A21" s="14">
        <v>44651.565972222219</v>
      </c>
      <c r="B21" s="15">
        <f t="shared" si="0"/>
        <v>54.083333333313931</v>
      </c>
      <c r="C21" s="21">
        <f>74*20*100000</f>
        <v>148000000</v>
      </c>
      <c r="D21" s="20"/>
      <c r="E21" s="5"/>
      <c r="F21" s="15"/>
      <c r="H21" s="15">
        <f>LOG(C21)</f>
        <v>8.1702617153949575</v>
      </c>
    </row>
    <row r="22" spans="1:11" x14ac:dyDescent="0.35">
      <c r="B22" s="5"/>
      <c r="C22" s="5"/>
    </row>
    <row r="23" spans="1:11" x14ac:dyDescent="0.35">
      <c r="B23" s="5"/>
      <c r="C23" s="5"/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44649.354166666664</v>
      </c>
      <c r="B32" s="15">
        <f>0*24+1</f>
        <v>1</v>
      </c>
      <c r="C32" s="21">
        <f>129*20*100</f>
        <v>258000</v>
      </c>
      <c r="D32" s="20"/>
      <c r="E32" s="16"/>
      <c r="F32" s="5"/>
      <c r="H32" s="15">
        <f>LOG(C32)</f>
        <v>5.4116197059632301</v>
      </c>
      <c r="I32" s="5"/>
      <c r="J32" s="5"/>
      <c r="K32" s="5"/>
    </row>
    <row r="33" spans="1:11" x14ac:dyDescent="0.35">
      <c r="A33" s="14">
        <v>44649.4375</v>
      </c>
      <c r="B33" s="15">
        <f t="shared" ref="B33:B43" si="1">(A33-$A$32)*24+1</f>
        <v>3.0000000000582077</v>
      </c>
      <c r="C33" s="20"/>
      <c r="D33" s="20"/>
      <c r="E33" s="16"/>
      <c r="F33" s="5"/>
      <c r="H33" s="20"/>
      <c r="I33" s="5"/>
      <c r="J33" s="5"/>
      <c r="K33" s="5"/>
    </row>
    <row r="34" spans="1:11" x14ac:dyDescent="0.35">
      <c r="A34" s="14">
        <v>44649.5625</v>
      </c>
      <c r="B34" s="15">
        <f t="shared" si="1"/>
        <v>6.0000000000582077</v>
      </c>
      <c r="C34" s="20"/>
      <c r="D34" s="20"/>
      <c r="E34" s="5"/>
      <c r="F34" s="5"/>
      <c r="H34" s="20"/>
      <c r="I34" s="5"/>
      <c r="J34" s="5"/>
      <c r="K34" s="5"/>
    </row>
    <row r="35" spans="1:11" x14ac:dyDescent="0.35">
      <c r="A35" s="14">
        <v>44649.6875</v>
      </c>
      <c r="B35" s="15">
        <f t="shared" si="1"/>
        <v>9.0000000000582077</v>
      </c>
      <c r="C35" s="20"/>
      <c r="D35" s="20"/>
      <c r="E35" s="5"/>
      <c r="F35" s="5"/>
      <c r="H35" s="20"/>
      <c r="I35" s="5"/>
      <c r="J35" s="5"/>
      <c r="K35" s="5"/>
    </row>
    <row r="36" spans="1:11" x14ac:dyDescent="0.35">
      <c r="A36" s="14">
        <v>44649.819444444445</v>
      </c>
      <c r="B36" s="15">
        <f t="shared" si="1"/>
        <v>12.166666666744277</v>
      </c>
      <c r="C36" s="21">
        <f>75*20*10000</f>
        <v>15000000</v>
      </c>
      <c r="D36" s="20"/>
      <c r="E36" s="5"/>
      <c r="F36" s="15"/>
      <c r="H36" s="15">
        <f>LOG(C36)</f>
        <v>7.1760912590556813</v>
      </c>
      <c r="I36" s="5"/>
      <c r="J36" s="5"/>
      <c r="K36" s="5"/>
    </row>
    <row r="37" spans="1:11" x14ac:dyDescent="0.35">
      <c r="A37" s="14">
        <v>44650.319444444445</v>
      </c>
      <c r="B37" s="15">
        <f t="shared" si="1"/>
        <v>24.166666666744277</v>
      </c>
      <c r="C37" s="21">
        <f>57*20*100000</f>
        <v>114000000</v>
      </c>
      <c r="D37" s="20"/>
      <c r="E37" s="5"/>
      <c r="F37" s="5"/>
      <c r="H37" s="15">
        <f>LOG(C37)</f>
        <v>8.0569048513364727</v>
      </c>
      <c r="I37" s="5"/>
      <c r="J37" s="5"/>
      <c r="K37" s="5"/>
    </row>
    <row r="38" spans="1:11" x14ac:dyDescent="0.35">
      <c r="A38" s="14">
        <v>44650.440972222219</v>
      </c>
      <c r="B38" s="15">
        <f t="shared" si="1"/>
        <v>27.083333333313931</v>
      </c>
      <c r="C38" s="20"/>
      <c r="D38" s="20"/>
      <c r="E38" s="5"/>
      <c r="F38" s="5"/>
      <c r="H38" s="20"/>
      <c r="I38" s="5"/>
      <c r="J38" s="5"/>
      <c r="K38" s="5"/>
    </row>
    <row r="39" spans="1:11" x14ac:dyDescent="0.35">
      <c r="A39" s="14">
        <v>44650.565972222219</v>
      </c>
      <c r="B39" s="15">
        <f t="shared" si="1"/>
        <v>30.083333333313931</v>
      </c>
      <c r="C39" s="20"/>
      <c r="D39" s="20"/>
      <c r="E39" s="5"/>
      <c r="F39" s="5"/>
      <c r="H39" s="20"/>
      <c r="I39" s="5"/>
      <c r="J39" s="5"/>
      <c r="K39" s="5"/>
    </row>
    <row r="40" spans="1:11" x14ac:dyDescent="0.35">
      <c r="A40" s="14">
        <v>44650.690972222219</v>
      </c>
      <c r="B40" s="15">
        <f t="shared" si="1"/>
        <v>33.083333333313931</v>
      </c>
      <c r="C40" s="20"/>
      <c r="D40" s="20"/>
      <c r="E40" s="16"/>
      <c r="F40" s="15"/>
      <c r="H40" s="20"/>
      <c r="I40" s="5"/>
      <c r="J40" s="5"/>
      <c r="K40" s="5"/>
    </row>
    <row r="41" spans="1:11" x14ac:dyDescent="0.35">
      <c r="A41" s="14">
        <v>44650.805555555555</v>
      </c>
      <c r="B41" s="15">
        <f t="shared" si="1"/>
        <v>35.833333333372138</v>
      </c>
      <c r="C41" s="21">
        <f>206*20*100000</f>
        <v>412000000</v>
      </c>
      <c r="D41" s="20"/>
      <c r="E41" s="5"/>
      <c r="F41" s="5"/>
      <c r="H41" s="15">
        <f>LOG(C41)</f>
        <v>8.6148972160331354</v>
      </c>
      <c r="I41" s="5"/>
      <c r="J41" s="5"/>
      <c r="K41" s="5"/>
    </row>
    <row r="42" spans="1:11" x14ac:dyDescent="0.35">
      <c r="A42" s="14">
        <v>44651.322916666664</v>
      </c>
      <c r="B42" s="15">
        <f t="shared" si="1"/>
        <v>48.25</v>
      </c>
      <c r="C42" s="21">
        <f>95*20*100000</f>
        <v>190000000</v>
      </c>
      <c r="D42" s="20"/>
      <c r="E42" s="5"/>
      <c r="F42" s="15"/>
      <c r="H42" s="15">
        <f>LOG(C42)</f>
        <v>8.2787536009528289</v>
      </c>
      <c r="I42" s="5"/>
      <c r="J42" s="5"/>
      <c r="K42" s="5"/>
    </row>
    <row r="43" spans="1:11" x14ac:dyDescent="0.35">
      <c r="A43" s="14">
        <v>44651.565972222219</v>
      </c>
      <c r="B43" s="15">
        <f t="shared" si="1"/>
        <v>54.083333333313931</v>
      </c>
      <c r="C43" s="21">
        <f>79*20*100000</f>
        <v>158000000</v>
      </c>
      <c r="D43" s="20"/>
      <c r="E43" s="5"/>
      <c r="F43" s="5"/>
      <c r="H43" s="15">
        <f>LOG(C43)</f>
        <v>8.1986570869544231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44649.354166666664</v>
      </c>
      <c r="B52" s="15">
        <f>0*24+1</f>
        <v>1</v>
      </c>
      <c r="C52" s="19"/>
      <c r="D52" s="21">
        <f>31*100</f>
        <v>3100</v>
      </c>
      <c r="E52" s="5"/>
      <c r="F52" s="5"/>
      <c r="H52" s="15">
        <f>LOG(D52)</f>
        <v>3.4913616938342726</v>
      </c>
    </row>
    <row r="53" spans="1:11" x14ac:dyDescent="0.35">
      <c r="A53" s="14">
        <v>44649.4375</v>
      </c>
      <c r="B53" s="15">
        <f t="shared" ref="B53:B63" si="2">(A53-$A$52)*24+1</f>
        <v>3.0000000000582077</v>
      </c>
      <c r="C53" s="19"/>
      <c r="D53" s="19"/>
      <c r="E53" s="16"/>
      <c r="F53" s="5"/>
      <c r="H53" s="19"/>
    </row>
    <row r="54" spans="1:11" x14ac:dyDescent="0.35">
      <c r="A54" s="14">
        <v>44649.5625</v>
      </c>
      <c r="B54" s="15">
        <f t="shared" si="2"/>
        <v>6.0000000000582077</v>
      </c>
      <c r="C54" s="19"/>
      <c r="D54" s="19"/>
      <c r="E54" s="5"/>
      <c r="F54" s="5"/>
      <c r="H54" s="19"/>
    </row>
    <row r="55" spans="1:11" x14ac:dyDescent="0.35">
      <c r="A55" s="14">
        <v>44649.6875</v>
      </c>
      <c r="B55" s="15">
        <f t="shared" si="2"/>
        <v>9.0000000000582077</v>
      </c>
      <c r="C55" s="19"/>
      <c r="D55" s="19"/>
      <c r="E55" s="5"/>
      <c r="F55" s="5"/>
      <c r="H55" s="19"/>
    </row>
    <row r="56" spans="1:11" x14ac:dyDescent="0.35">
      <c r="A56" s="14">
        <v>44649.819444444445</v>
      </c>
      <c r="B56" s="15">
        <f t="shared" si="2"/>
        <v>12.166666666744277</v>
      </c>
      <c r="C56" s="19"/>
      <c r="D56" s="21">
        <f>35*20*100</f>
        <v>70000</v>
      </c>
      <c r="E56" s="5"/>
      <c r="F56" s="15"/>
      <c r="H56" s="15">
        <f>LOG(D56)</f>
        <v>4.8450980400142569</v>
      </c>
    </row>
    <row r="57" spans="1:11" x14ac:dyDescent="0.35">
      <c r="A57" s="14">
        <v>44650.319444444445</v>
      </c>
      <c r="B57" s="15">
        <f t="shared" si="2"/>
        <v>24.166666666744277</v>
      </c>
      <c r="C57" s="19"/>
      <c r="D57" s="21">
        <f>13*20*10000</f>
        <v>2600000</v>
      </c>
      <c r="E57" s="5"/>
      <c r="F57" s="15"/>
      <c r="H57" s="15">
        <f>LOG(D57)</f>
        <v>6.4149733479708182</v>
      </c>
    </row>
    <row r="58" spans="1:11" x14ac:dyDescent="0.35">
      <c r="A58" s="14">
        <v>44650.440972222219</v>
      </c>
      <c r="B58" s="15">
        <f t="shared" si="2"/>
        <v>27.083333333313931</v>
      </c>
      <c r="C58" s="19"/>
      <c r="D58" s="19"/>
      <c r="E58" s="5"/>
      <c r="F58" s="5"/>
      <c r="H58" s="19"/>
    </row>
    <row r="59" spans="1:11" x14ac:dyDescent="0.35">
      <c r="A59" s="14">
        <v>44650.565972222219</v>
      </c>
      <c r="B59" s="15">
        <f t="shared" si="2"/>
        <v>30.083333333313931</v>
      </c>
      <c r="C59" s="19"/>
      <c r="D59" s="19"/>
      <c r="E59" s="5"/>
      <c r="F59" s="5"/>
      <c r="H59" s="19"/>
    </row>
    <row r="60" spans="1:11" x14ac:dyDescent="0.35">
      <c r="A60" s="14">
        <v>44650.690972222219</v>
      </c>
      <c r="B60" s="15">
        <f t="shared" si="2"/>
        <v>33.083333333313931</v>
      </c>
      <c r="C60" s="19"/>
      <c r="D60" s="19"/>
      <c r="E60" s="5"/>
      <c r="F60" s="5"/>
      <c r="H60" s="19"/>
    </row>
    <row r="61" spans="1:11" x14ac:dyDescent="0.35">
      <c r="A61" s="14">
        <v>44650.805555555555</v>
      </c>
      <c r="B61" s="15">
        <f t="shared" si="2"/>
        <v>35.833333333372138</v>
      </c>
      <c r="C61" s="19"/>
      <c r="D61" s="21">
        <f>42*20*100000</f>
        <v>84000000</v>
      </c>
      <c r="E61" s="5"/>
      <c r="F61" s="15"/>
      <c r="H61" s="15">
        <f>LOG(D61)</f>
        <v>7.924279286061882</v>
      </c>
    </row>
    <row r="62" spans="1:11" x14ac:dyDescent="0.35">
      <c r="A62" s="14">
        <v>44651.322916666664</v>
      </c>
      <c r="B62" s="15">
        <f t="shared" si="2"/>
        <v>48.25</v>
      </c>
      <c r="C62" s="19"/>
      <c r="D62" s="21">
        <f>AVERAGE(360000000,368000000,427000000)</f>
        <v>385000000</v>
      </c>
      <c r="E62" s="5"/>
      <c r="F62" s="15"/>
      <c r="H62" s="15">
        <f>LOG(D62)</f>
        <v>8.585460729508501</v>
      </c>
    </row>
    <row r="63" spans="1:11" x14ac:dyDescent="0.35">
      <c r="A63" s="14">
        <v>44651.565972222219</v>
      </c>
      <c r="B63" s="15">
        <f t="shared" si="2"/>
        <v>54.083333333313931</v>
      </c>
      <c r="C63" s="20"/>
      <c r="D63" s="21">
        <f>223*20*100000</f>
        <v>446000000</v>
      </c>
      <c r="E63" s="5"/>
      <c r="F63" s="5"/>
      <c r="H63" s="15">
        <f>LOG(D63)</f>
        <v>8.649334858712141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44649.354166666664</v>
      </c>
      <c r="B73" s="15">
        <f>0*24+1</f>
        <v>1</v>
      </c>
      <c r="C73" s="21">
        <f>67*20*100</f>
        <v>134000</v>
      </c>
      <c r="D73" s="21">
        <f>20*100</f>
        <v>2000</v>
      </c>
      <c r="E73" s="5"/>
      <c r="F73" s="5"/>
      <c r="H73" s="15">
        <f t="shared" ref="H73:H84" si="3">LOG(C73)</f>
        <v>5.1271047983648073</v>
      </c>
      <c r="I73" s="15">
        <f t="shared" ref="I73:I84" si="4">LOG(D73)</f>
        <v>3.3010299956639813</v>
      </c>
    </row>
    <row r="74" spans="1:11" x14ac:dyDescent="0.35">
      <c r="A74" s="14">
        <v>44649.4375</v>
      </c>
      <c r="B74" s="15">
        <f t="shared" ref="B74:B84" si="5">(A74-$A$73)*24+1</f>
        <v>3.0000000000582077</v>
      </c>
      <c r="C74" s="21">
        <f>138*20*100</f>
        <v>276000</v>
      </c>
      <c r="D74" s="21">
        <f>24*100</f>
        <v>2400</v>
      </c>
      <c r="E74" s="5"/>
      <c r="F74" s="5"/>
      <c r="H74" s="15">
        <f t="shared" si="3"/>
        <v>5.4409090820652173</v>
      </c>
      <c r="I74" s="15">
        <f t="shared" si="4"/>
        <v>3.3802112417116059</v>
      </c>
    </row>
    <row r="75" spans="1:11" x14ac:dyDescent="0.35">
      <c r="A75" s="14">
        <v>44649.5625</v>
      </c>
      <c r="B75" s="15">
        <f t="shared" si="5"/>
        <v>6.0000000000582077</v>
      </c>
      <c r="C75" s="21">
        <f>45*20*1000</f>
        <v>900000</v>
      </c>
      <c r="D75" s="21">
        <f>101*100</f>
        <v>10100</v>
      </c>
      <c r="E75" s="5"/>
      <c r="F75" s="5"/>
      <c r="H75" s="15">
        <f t="shared" si="3"/>
        <v>5.9542425094393252</v>
      </c>
      <c r="I75" s="15">
        <f t="shared" si="4"/>
        <v>4.0043213737826422</v>
      </c>
    </row>
    <row r="76" spans="1:11" x14ac:dyDescent="0.35">
      <c r="A76" s="14">
        <v>44649.6875</v>
      </c>
      <c r="B76" s="15">
        <f t="shared" si="5"/>
        <v>9.0000000000582077</v>
      </c>
      <c r="C76" s="21">
        <f>107*20000</f>
        <v>2140000</v>
      </c>
      <c r="D76" s="21">
        <f>214*100</f>
        <v>21400</v>
      </c>
      <c r="E76" s="16"/>
      <c r="F76" s="15"/>
      <c r="H76" s="15">
        <f t="shared" si="3"/>
        <v>6.330413773349191</v>
      </c>
      <c r="I76" s="15">
        <f t="shared" si="4"/>
        <v>4.330413773349191</v>
      </c>
    </row>
    <row r="77" spans="1:11" x14ac:dyDescent="0.35">
      <c r="A77" s="14">
        <v>44649.819444444445</v>
      </c>
      <c r="B77" s="15">
        <f t="shared" si="5"/>
        <v>12.166666666744277</v>
      </c>
      <c r="C77" s="21">
        <f>346*20000</f>
        <v>6920000</v>
      </c>
      <c r="D77" s="21">
        <f>642*100</f>
        <v>64200</v>
      </c>
      <c r="E77" s="5"/>
      <c r="F77" s="5"/>
      <c r="H77" s="15">
        <f t="shared" si="3"/>
        <v>6.8401060944567575</v>
      </c>
      <c r="I77" s="15">
        <f t="shared" si="4"/>
        <v>4.8075350280688536</v>
      </c>
    </row>
    <row r="78" spans="1:11" x14ac:dyDescent="0.35">
      <c r="A78" s="14">
        <v>44650.319444444445</v>
      </c>
      <c r="B78" s="15">
        <f t="shared" si="5"/>
        <v>24.166666666744277</v>
      </c>
      <c r="C78" s="21">
        <f>97*2000000</f>
        <v>194000000</v>
      </c>
      <c r="D78" s="23">
        <f>260*2*10</f>
        <v>5200</v>
      </c>
      <c r="E78" s="5"/>
      <c r="F78" s="5"/>
      <c r="H78" s="15">
        <f t="shared" si="3"/>
        <v>8.2878017299302265</v>
      </c>
      <c r="I78" s="15">
        <f t="shared" si="4"/>
        <v>3.716003343634799</v>
      </c>
    </row>
    <row r="79" spans="1:11" x14ac:dyDescent="0.35">
      <c r="A79" s="14">
        <v>44650.440972222219</v>
      </c>
      <c r="B79" s="15">
        <f t="shared" si="5"/>
        <v>27.083333333313931</v>
      </c>
      <c r="C79" s="21">
        <f>133*2000000</f>
        <v>266000000</v>
      </c>
      <c r="D79" s="23">
        <f>156*2*10</f>
        <v>3120</v>
      </c>
      <c r="E79" s="5"/>
      <c r="F79" s="5"/>
      <c r="H79" s="15">
        <f t="shared" si="3"/>
        <v>8.424881636631067</v>
      </c>
      <c r="I79" s="15">
        <f t="shared" si="4"/>
        <v>3.4941545940184429</v>
      </c>
    </row>
    <row r="80" spans="1:11" x14ac:dyDescent="0.35">
      <c r="A80" s="14">
        <v>44650.565972222219</v>
      </c>
      <c r="B80" s="15">
        <f t="shared" si="5"/>
        <v>30.083333333313931</v>
      </c>
      <c r="C80" s="21">
        <f>147*20*100000</f>
        <v>294000000</v>
      </c>
      <c r="D80" s="23">
        <f>AVERAGE(135*2*10,1468*2)</f>
        <v>2818</v>
      </c>
      <c r="E80" s="5"/>
      <c r="F80" s="5"/>
      <c r="H80" s="15">
        <f t="shared" si="3"/>
        <v>8.4683473304121577</v>
      </c>
      <c r="I80" s="15">
        <f t="shared" si="4"/>
        <v>3.4499409887733377</v>
      </c>
    </row>
    <row r="81" spans="1:11" x14ac:dyDescent="0.35">
      <c r="A81" s="14">
        <v>44650.690972222219</v>
      </c>
      <c r="B81" s="15">
        <f t="shared" si="5"/>
        <v>33.083333333313931</v>
      </c>
      <c r="C81" s="21">
        <f>133*2000000</f>
        <v>266000000</v>
      </c>
      <c r="D81" s="23">
        <f>AVERAGE(940*2,66*2*10)</f>
        <v>1600</v>
      </c>
      <c r="E81" s="5"/>
      <c r="F81" s="15"/>
      <c r="H81" s="15">
        <f t="shared" si="3"/>
        <v>8.424881636631067</v>
      </c>
      <c r="I81" s="15">
        <f t="shared" si="4"/>
        <v>3.2041199826559246</v>
      </c>
    </row>
    <row r="82" spans="1:11" x14ac:dyDescent="0.35">
      <c r="A82" s="14">
        <v>44650.805555555555</v>
      </c>
      <c r="B82" s="15">
        <f t="shared" si="5"/>
        <v>35.833333333372138</v>
      </c>
      <c r="C82" s="21">
        <f>155*2000000</f>
        <v>310000000</v>
      </c>
      <c r="D82" s="23">
        <f>AVERAGE(767*2,16*2*10)</f>
        <v>927</v>
      </c>
      <c r="E82" s="5"/>
      <c r="F82" s="5"/>
      <c r="H82" s="15">
        <f t="shared" si="3"/>
        <v>8.4913616938342731</v>
      </c>
      <c r="I82" s="15">
        <f t="shared" si="4"/>
        <v>2.9670797341444972</v>
      </c>
    </row>
    <row r="83" spans="1:11" x14ac:dyDescent="0.35">
      <c r="A83" s="14">
        <v>44651.322916666664</v>
      </c>
      <c r="B83" s="15">
        <f t="shared" si="5"/>
        <v>48.25</v>
      </c>
      <c r="C83" s="21">
        <f>71*2000000</f>
        <v>142000000</v>
      </c>
      <c r="D83" s="23">
        <f>68*2</f>
        <v>136</v>
      </c>
      <c r="E83" s="5"/>
      <c r="F83" s="5"/>
      <c r="H83" s="15">
        <f t="shared" si="3"/>
        <v>8.1522883443830558</v>
      </c>
      <c r="I83" s="15">
        <f t="shared" si="4"/>
        <v>2.1335389083702174</v>
      </c>
    </row>
    <row r="84" spans="1:11" x14ac:dyDescent="0.35">
      <c r="A84" s="14">
        <v>44651.565972222219</v>
      </c>
      <c r="B84" s="15">
        <f t="shared" si="5"/>
        <v>54.083333333313931</v>
      </c>
      <c r="C84" s="21">
        <f>82*2000000</f>
        <v>164000000</v>
      </c>
      <c r="D84" s="23">
        <f>AVERAGE(132/5,16*2)</f>
        <v>29.2</v>
      </c>
      <c r="E84" s="16"/>
      <c r="F84" s="5"/>
      <c r="H84" s="15">
        <f t="shared" si="3"/>
        <v>8.214843848047698</v>
      </c>
      <c r="I84" s="15">
        <f t="shared" si="4"/>
        <v>1.4653828514484182</v>
      </c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44649.354166666664</v>
      </c>
      <c r="B95" s="15">
        <f>0*24+1</f>
        <v>1</v>
      </c>
      <c r="C95" s="21">
        <f>125*20*100</f>
        <v>250000</v>
      </c>
      <c r="D95" s="21">
        <f>25*100</f>
        <v>2500</v>
      </c>
      <c r="E95" s="5"/>
      <c r="F95" s="5"/>
      <c r="H95" s="15">
        <f t="shared" ref="H95:H106" si="6">LOG(C95)</f>
        <v>5.3979400086720375</v>
      </c>
      <c r="I95" s="15">
        <f t="shared" ref="I95:I106" si="7">LOG(D95)</f>
        <v>3.3979400086720375</v>
      </c>
      <c r="J95" s="5"/>
      <c r="K95" s="5"/>
    </row>
    <row r="96" spans="1:11" x14ac:dyDescent="0.35">
      <c r="A96" s="14">
        <v>44649.4375</v>
      </c>
      <c r="B96" s="15">
        <f t="shared" ref="B96:B106" si="8">(A96-$A$95)*24+1</f>
        <v>3.0000000000582077</v>
      </c>
      <c r="C96" s="21">
        <f>155*2000</f>
        <v>310000</v>
      </c>
      <c r="D96" s="21">
        <f>41*100</f>
        <v>4100</v>
      </c>
      <c r="E96" s="5"/>
      <c r="F96" s="5"/>
      <c r="H96" s="15">
        <f t="shared" si="6"/>
        <v>5.4913616938342731</v>
      </c>
      <c r="I96" s="15">
        <f t="shared" si="7"/>
        <v>3.6127838567197355</v>
      </c>
      <c r="J96" s="5"/>
      <c r="K96" s="5"/>
    </row>
    <row r="97" spans="1:11" x14ac:dyDescent="0.35">
      <c r="A97" s="14">
        <v>44649.5625</v>
      </c>
      <c r="B97" s="15">
        <f t="shared" si="8"/>
        <v>6.0000000000582077</v>
      </c>
      <c r="C97" s="21">
        <f>57*20000</f>
        <v>1140000</v>
      </c>
      <c r="D97" s="21">
        <f>87*100</f>
        <v>8700</v>
      </c>
      <c r="E97" s="5"/>
      <c r="F97" s="5"/>
      <c r="H97" s="15">
        <f t="shared" si="6"/>
        <v>6.0569048513364727</v>
      </c>
      <c r="I97" s="15">
        <f t="shared" si="7"/>
        <v>3.9395192526186187</v>
      </c>
      <c r="J97" s="5"/>
      <c r="K97" s="5"/>
    </row>
    <row r="98" spans="1:11" x14ac:dyDescent="0.35">
      <c r="A98" s="14">
        <v>44649.6875</v>
      </c>
      <c r="B98" s="15">
        <f t="shared" si="8"/>
        <v>9.0000000000582077</v>
      </c>
      <c r="C98" s="21">
        <f>5000000</f>
        <v>5000000</v>
      </c>
      <c r="D98" s="21">
        <f>256*100</f>
        <v>25600</v>
      </c>
      <c r="E98" s="5"/>
      <c r="F98" s="5"/>
      <c r="H98" s="15">
        <f t="shared" si="6"/>
        <v>6.6989700043360187</v>
      </c>
      <c r="I98" s="15">
        <f t="shared" si="7"/>
        <v>4.4082399653118491</v>
      </c>
      <c r="J98" s="5"/>
      <c r="K98" s="5"/>
    </row>
    <row r="99" spans="1:11" x14ac:dyDescent="0.35">
      <c r="A99" s="14">
        <v>44649.819444444445</v>
      </c>
      <c r="B99" s="15">
        <f t="shared" si="8"/>
        <v>12.166666666744277</v>
      </c>
      <c r="C99" s="21">
        <f>620*20000</f>
        <v>12400000</v>
      </c>
      <c r="D99" s="21">
        <f>27*2000</f>
        <v>54000</v>
      </c>
      <c r="E99" s="5"/>
      <c r="F99" s="5"/>
      <c r="H99" s="15">
        <f t="shared" si="6"/>
        <v>7.0934216851622347</v>
      </c>
      <c r="I99" s="15">
        <f t="shared" si="7"/>
        <v>4.7323937598229682</v>
      </c>
      <c r="J99" s="5"/>
      <c r="K99" s="5"/>
    </row>
    <row r="100" spans="1:11" x14ac:dyDescent="0.35">
      <c r="A100" s="14">
        <v>44650.319444444445</v>
      </c>
      <c r="B100" s="15">
        <f t="shared" si="8"/>
        <v>24.166666666744277</v>
      </c>
      <c r="C100" s="21">
        <f>58*2000000</f>
        <v>116000000</v>
      </c>
      <c r="D100" s="21">
        <f>35*20000</f>
        <v>700000</v>
      </c>
      <c r="E100" s="5"/>
      <c r="F100" s="5"/>
      <c r="H100" s="15">
        <f t="shared" si="6"/>
        <v>8.0644579892269181</v>
      </c>
      <c r="I100" s="15">
        <f t="shared" si="7"/>
        <v>5.8450980400142569</v>
      </c>
      <c r="J100" s="5"/>
      <c r="K100" s="5"/>
    </row>
    <row r="101" spans="1:11" x14ac:dyDescent="0.35">
      <c r="A101" s="14">
        <v>44650.440972222219</v>
      </c>
      <c r="B101" s="15">
        <f t="shared" si="8"/>
        <v>27.083333333313931</v>
      </c>
      <c r="C101" s="23">
        <f>112*2000000</f>
        <v>224000000</v>
      </c>
      <c r="D101" s="21">
        <f>30*20000</f>
        <v>600000</v>
      </c>
      <c r="E101" s="5"/>
      <c r="F101" s="5"/>
      <c r="H101" s="15">
        <f t="shared" si="6"/>
        <v>8.3502480183341632</v>
      </c>
      <c r="I101" s="15">
        <f t="shared" si="7"/>
        <v>5.7781512503836439</v>
      </c>
      <c r="J101" s="5"/>
      <c r="K101" s="5"/>
    </row>
    <row r="102" spans="1:11" x14ac:dyDescent="0.35">
      <c r="A102" s="14">
        <v>44650.565972222219</v>
      </c>
      <c r="B102" s="15">
        <f t="shared" si="8"/>
        <v>30.083333333313931</v>
      </c>
      <c r="C102" s="21">
        <f>89*2000000</f>
        <v>178000000</v>
      </c>
      <c r="D102" s="21">
        <f>22*20000</f>
        <v>440000</v>
      </c>
      <c r="E102" s="5"/>
      <c r="F102" s="15"/>
      <c r="H102" s="15">
        <f t="shared" si="6"/>
        <v>8.2504200023088945</v>
      </c>
      <c r="I102" s="15">
        <f t="shared" si="7"/>
        <v>5.6434526764861879</v>
      </c>
      <c r="J102" s="5"/>
      <c r="K102" s="5"/>
    </row>
    <row r="103" spans="1:11" x14ac:dyDescent="0.35">
      <c r="A103" s="14">
        <v>44650.690972222219</v>
      </c>
      <c r="B103" s="15">
        <f t="shared" si="8"/>
        <v>33.083333333313931</v>
      </c>
      <c r="C103" s="21">
        <f>92*2000000</f>
        <v>184000000</v>
      </c>
      <c r="D103" s="21">
        <f>25*20000</f>
        <v>500000</v>
      </c>
      <c r="E103" s="16"/>
      <c r="F103" s="15"/>
      <c r="H103" s="15">
        <f t="shared" si="6"/>
        <v>8.2648178230095368</v>
      </c>
      <c r="I103" s="15">
        <f t="shared" si="7"/>
        <v>5.6989700043360187</v>
      </c>
      <c r="J103" s="5"/>
      <c r="K103" s="5"/>
    </row>
    <row r="104" spans="1:11" x14ac:dyDescent="0.35">
      <c r="A104" s="14">
        <v>44650.805555555555</v>
      </c>
      <c r="B104" s="15">
        <f t="shared" si="8"/>
        <v>35.833333333372138</v>
      </c>
      <c r="C104" s="21">
        <f>145*2000000</f>
        <v>290000000</v>
      </c>
      <c r="D104" s="21" t="s">
        <v>33</v>
      </c>
      <c r="E104" s="5"/>
      <c r="F104" s="5"/>
      <c r="H104" s="15">
        <f t="shared" si="6"/>
        <v>8.4623979978989556</v>
      </c>
      <c r="I104" s="15" t="e">
        <f t="shared" si="7"/>
        <v>#VALUE!</v>
      </c>
      <c r="J104" s="5"/>
      <c r="K104" s="5"/>
    </row>
    <row r="105" spans="1:11" x14ac:dyDescent="0.35">
      <c r="A105" s="14">
        <v>44651.322916666664</v>
      </c>
      <c r="B105" s="15">
        <f t="shared" si="8"/>
        <v>48.25</v>
      </c>
      <c r="C105" s="21">
        <f>71*2000000</f>
        <v>142000000</v>
      </c>
      <c r="D105" s="21">
        <f>19*20000</f>
        <v>380000</v>
      </c>
      <c r="E105" s="16"/>
      <c r="F105" s="5"/>
      <c r="H105" s="15">
        <f t="shared" si="6"/>
        <v>8.1522883443830558</v>
      </c>
      <c r="I105" s="15">
        <f t="shared" si="7"/>
        <v>5.5797835966168101</v>
      </c>
      <c r="J105" s="5"/>
      <c r="K105" s="5"/>
    </row>
    <row r="106" spans="1:11" x14ac:dyDescent="0.35">
      <c r="A106" s="14">
        <v>44651.565972222219</v>
      </c>
      <c r="B106" s="15">
        <f t="shared" si="8"/>
        <v>54.083333333313931</v>
      </c>
      <c r="C106" s="21">
        <f>82*2000000</f>
        <v>164000000</v>
      </c>
      <c r="D106" s="21">
        <f>13*20000</f>
        <v>260000</v>
      </c>
      <c r="E106" s="16"/>
      <c r="F106" s="5"/>
      <c r="H106" s="15">
        <f t="shared" si="6"/>
        <v>8.214843848047698</v>
      </c>
      <c r="I106" s="15">
        <f t="shared" si="7"/>
        <v>5.4149733479708182</v>
      </c>
      <c r="J106" s="5"/>
      <c r="K106" s="5"/>
    </row>
    <row r="107" spans="1:11" x14ac:dyDescent="0.35">
      <c r="H107" s="5"/>
      <c r="I107" s="5"/>
      <c r="J107" s="5"/>
      <c r="K107" s="5"/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301B-1E45-4CFF-98A2-188E8C16E5C1}">
  <dimension ref="A1:K107"/>
  <sheetViews>
    <sheetView topLeftCell="A71" zoomScale="110" zoomScaleNormal="110" workbookViewId="0">
      <selection activeCell="R48" sqref="R48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3" width="12.26953125" bestFit="1" customWidth="1"/>
    <col min="4" max="4" width="11.54296875" bestFit="1" customWidth="1"/>
    <col min="5" max="5" width="16.7265625" bestFit="1" customWidth="1"/>
    <col min="7" max="7" width="4.453125" customWidth="1"/>
    <col min="8" max="8" width="8.453125" bestFit="1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44649.354166666664</v>
      </c>
      <c r="B10" s="15">
        <f>0*(24)+1</f>
        <v>1</v>
      </c>
      <c r="C10" s="21">
        <f>64*20*100</f>
        <v>128000</v>
      </c>
      <c r="D10" s="20"/>
      <c r="E10" s="5"/>
      <c r="F10" s="5"/>
      <c r="H10" s="15">
        <f>LOG(C10)</f>
        <v>5.1072099696478688</v>
      </c>
    </row>
    <row r="11" spans="1:11" x14ac:dyDescent="0.35">
      <c r="A11" s="14">
        <v>44649.4375</v>
      </c>
      <c r="B11" s="15">
        <f t="shared" ref="B11:B21" si="0">(A11-$A$10)*(24)+1</f>
        <v>3.0000000000582077</v>
      </c>
      <c r="C11" s="20"/>
      <c r="D11" s="20"/>
      <c r="E11" s="5"/>
      <c r="F11" s="5"/>
      <c r="H11" s="20"/>
    </row>
    <row r="12" spans="1:11" x14ac:dyDescent="0.35">
      <c r="A12" s="14">
        <v>44649.5625</v>
      </c>
      <c r="B12" s="15">
        <f t="shared" si="0"/>
        <v>6.0000000000582077</v>
      </c>
      <c r="C12" s="20"/>
      <c r="D12" s="20"/>
      <c r="E12" s="5"/>
      <c r="F12" s="5"/>
      <c r="H12" s="20"/>
    </row>
    <row r="13" spans="1:11" x14ac:dyDescent="0.35">
      <c r="A13" s="14">
        <v>44649.6875</v>
      </c>
      <c r="B13" s="15">
        <f t="shared" si="0"/>
        <v>9.0000000000582077</v>
      </c>
      <c r="C13" s="20"/>
      <c r="D13" s="20"/>
      <c r="E13" s="5"/>
      <c r="F13" s="5"/>
      <c r="H13" s="20"/>
    </row>
    <row r="14" spans="1:11" x14ac:dyDescent="0.35">
      <c r="A14" s="14">
        <v>44649.819444444445</v>
      </c>
      <c r="B14" s="15">
        <f t="shared" si="0"/>
        <v>12.166666666744277</v>
      </c>
      <c r="C14" s="23">
        <f>26*20*10000</f>
        <v>5200000</v>
      </c>
      <c r="D14" s="20"/>
      <c r="E14" s="5"/>
      <c r="F14" s="5"/>
      <c r="H14" s="15">
        <f>LOG(C14)</f>
        <v>6.7160033436347994</v>
      </c>
    </row>
    <row r="15" spans="1:11" x14ac:dyDescent="0.35">
      <c r="A15" s="14">
        <v>44650.319444444445</v>
      </c>
      <c r="B15" s="15">
        <f t="shared" si="0"/>
        <v>24.166666666744277</v>
      </c>
      <c r="C15" s="21">
        <f>87*20*100000</f>
        <v>174000000</v>
      </c>
      <c r="D15" s="20"/>
      <c r="E15" s="5"/>
      <c r="F15" s="5"/>
      <c r="H15" s="15">
        <f>LOG(C15)</f>
        <v>8.2405492482825995</v>
      </c>
    </row>
    <row r="16" spans="1:11" x14ac:dyDescent="0.35">
      <c r="A16" s="14">
        <v>44650.440972222219</v>
      </c>
      <c r="B16" s="15">
        <f t="shared" si="0"/>
        <v>27.083333333313931</v>
      </c>
      <c r="C16" s="20"/>
      <c r="D16" s="20"/>
      <c r="E16" s="5"/>
      <c r="F16" s="5"/>
      <c r="H16" s="20"/>
    </row>
    <row r="17" spans="1:11" x14ac:dyDescent="0.35">
      <c r="A17" s="14">
        <v>44650.565972222219</v>
      </c>
      <c r="B17" s="15">
        <f t="shared" si="0"/>
        <v>30.083333333313931</v>
      </c>
      <c r="C17" s="20"/>
      <c r="D17" s="20"/>
      <c r="E17" s="5"/>
      <c r="F17" s="5"/>
      <c r="H17" s="20"/>
    </row>
    <row r="18" spans="1:11" x14ac:dyDescent="0.35">
      <c r="A18" s="14">
        <v>44650.690972222219</v>
      </c>
      <c r="B18" s="15">
        <f t="shared" si="0"/>
        <v>33.083333333313931</v>
      </c>
      <c r="C18" s="20"/>
      <c r="D18" s="20"/>
      <c r="E18" s="16"/>
      <c r="F18" s="5"/>
      <c r="H18" s="20"/>
    </row>
    <row r="19" spans="1:11" x14ac:dyDescent="0.35">
      <c r="A19" s="14">
        <v>44650.805555555555</v>
      </c>
      <c r="B19" s="15">
        <f t="shared" si="0"/>
        <v>35.833333333372138</v>
      </c>
      <c r="C19" s="21">
        <f>82*20*100000</f>
        <v>164000000</v>
      </c>
      <c r="D19" s="20"/>
      <c r="E19" s="5"/>
      <c r="F19" s="5"/>
      <c r="H19" s="15">
        <f>LOG(C19)</f>
        <v>8.214843848047698</v>
      </c>
    </row>
    <row r="20" spans="1:11" x14ac:dyDescent="0.35">
      <c r="A20" s="14">
        <v>44651.322916666664</v>
      </c>
      <c r="B20" s="15">
        <f t="shared" si="0"/>
        <v>48.25</v>
      </c>
      <c r="C20" s="21">
        <f>144*20*100000</f>
        <v>288000000</v>
      </c>
      <c r="D20" s="20"/>
      <c r="E20" s="5"/>
      <c r="F20" s="5"/>
      <c r="H20" s="15">
        <f>LOG(C20)</f>
        <v>8.4593924877592315</v>
      </c>
    </row>
    <row r="21" spans="1:11" x14ac:dyDescent="0.35">
      <c r="A21" s="14">
        <v>44651.565972222219</v>
      </c>
      <c r="B21" s="15">
        <f t="shared" si="0"/>
        <v>54.083333333313931</v>
      </c>
      <c r="C21" s="21">
        <f>78*20*100000</f>
        <v>156000000</v>
      </c>
      <c r="D21" s="20"/>
      <c r="E21" s="5"/>
      <c r="F21" s="15"/>
      <c r="H21" s="15">
        <f>LOG(C21)</f>
        <v>8.1931245983544621</v>
      </c>
    </row>
    <row r="22" spans="1:11" x14ac:dyDescent="0.35">
      <c r="B22" s="5"/>
      <c r="C22" s="5"/>
    </row>
    <row r="23" spans="1:11" x14ac:dyDescent="0.35">
      <c r="B23" s="5"/>
      <c r="C23" s="5"/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44649.354166666664</v>
      </c>
      <c r="B32" s="15">
        <f>0*(24)+1</f>
        <v>1</v>
      </c>
      <c r="C32" s="21">
        <f>112*20*100</f>
        <v>224000</v>
      </c>
      <c r="D32" s="20"/>
      <c r="E32" s="5"/>
      <c r="F32" s="5"/>
      <c r="H32" s="15">
        <f>LOG(C32)</f>
        <v>5.3502480183341632</v>
      </c>
      <c r="I32" s="5"/>
      <c r="J32" s="5"/>
      <c r="K32" s="5"/>
    </row>
    <row r="33" spans="1:11" x14ac:dyDescent="0.35">
      <c r="A33" s="14">
        <v>44649.4375</v>
      </c>
      <c r="B33" s="15">
        <f t="shared" ref="B33:B43" si="1">(A33-$A$10)*(24)+1</f>
        <v>3.0000000000582077</v>
      </c>
      <c r="C33" s="20"/>
      <c r="D33" s="20"/>
      <c r="E33" s="16"/>
      <c r="F33" s="5"/>
      <c r="H33" s="20"/>
      <c r="I33" s="5"/>
      <c r="J33" s="5"/>
      <c r="K33" s="5"/>
    </row>
    <row r="34" spans="1:11" x14ac:dyDescent="0.35">
      <c r="A34" s="14">
        <v>44649.5625</v>
      </c>
      <c r="B34" s="15">
        <f t="shared" si="1"/>
        <v>6.0000000000582077</v>
      </c>
      <c r="C34" s="20"/>
      <c r="D34" s="20"/>
      <c r="E34" s="5"/>
      <c r="F34" s="5"/>
      <c r="H34" s="20"/>
      <c r="I34" s="5"/>
      <c r="J34" s="5"/>
      <c r="K34" s="5"/>
    </row>
    <row r="35" spans="1:11" x14ac:dyDescent="0.35">
      <c r="A35" s="14">
        <v>44649.6875</v>
      </c>
      <c r="B35" s="15">
        <f t="shared" si="1"/>
        <v>9.0000000000582077</v>
      </c>
      <c r="C35" s="20"/>
      <c r="D35" s="20"/>
      <c r="E35" s="5"/>
      <c r="F35" s="5"/>
      <c r="H35" s="20"/>
      <c r="I35" s="5"/>
      <c r="J35" s="5"/>
      <c r="K35" s="5"/>
    </row>
    <row r="36" spans="1:11" x14ac:dyDescent="0.35">
      <c r="A36" s="14">
        <v>44649.819444444445</v>
      </c>
      <c r="B36" s="15">
        <f t="shared" si="1"/>
        <v>12.166666666744277</v>
      </c>
      <c r="C36" s="23">
        <f>46*20*10000</f>
        <v>9200000</v>
      </c>
      <c r="D36" s="20"/>
      <c r="E36" s="5"/>
      <c r="F36" s="5"/>
      <c r="H36" s="18">
        <f>LOG(C36)</f>
        <v>6.9637878273455556</v>
      </c>
      <c r="I36" s="5"/>
      <c r="J36" s="5"/>
      <c r="K36" s="5"/>
    </row>
    <row r="37" spans="1:11" x14ac:dyDescent="0.35">
      <c r="A37" s="14">
        <v>44650.319444444445</v>
      </c>
      <c r="B37" s="15">
        <f t="shared" si="1"/>
        <v>24.166666666744277</v>
      </c>
      <c r="C37" s="21">
        <f>58*20*100000</f>
        <v>116000000</v>
      </c>
      <c r="D37" s="20"/>
      <c r="E37" s="5"/>
      <c r="F37" s="5"/>
      <c r="H37" s="15">
        <f>LOG(C37)</f>
        <v>8.0644579892269181</v>
      </c>
      <c r="I37" s="5"/>
      <c r="J37" s="5"/>
      <c r="K37" s="5"/>
    </row>
    <row r="38" spans="1:11" x14ac:dyDescent="0.35">
      <c r="A38" s="14">
        <v>44650.440972222219</v>
      </c>
      <c r="B38" s="15">
        <f t="shared" si="1"/>
        <v>27.083333333313931</v>
      </c>
      <c r="C38" s="20"/>
      <c r="D38" s="20"/>
      <c r="E38" s="16"/>
      <c r="F38" s="5"/>
      <c r="H38" s="20"/>
      <c r="I38" s="5"/>
      <c r="J38" s="5"/>
      <c r="K38" s="5"/>
    </row>
    <row r="39" spans="1:11" x14ac:dyDescent="0.35">
      <c r="A39" s="14">
        <v>44650.565972222219</v>
      </c>
      <c r="B39" s="15">
        <f t="shared" si="1"/>
        <v>30.083333333313931</v>
      </c>
      <c r="C39" s="20"/>
      <c r="D39" s="20"/>
      <c r="E39" s="16"/>
      <c r="F39" s="5"/>
      <c r="H39" s="20"/>
      <c r="I39" s="5"/>
      <c r="J39" s="5"/>
      <c r="K39" s="5"/>
    </row>
    <row r="40" spans="1:11" x14ac:dyDescent="0.35">
      <c r="A40" s="14">
        <v>44650.690972222219</v>
      </c>
      <c r="B40" s="15">
        <f t="shared" si="1"/>
        <v>33.083333333313931</v>
      </c>
      <c r="C40" s="20"/>
      <c r="D40" s="20"/>
      <c r="E40" s="16"/>
      <c r="F40" s="5"/>
      <c r="H40" s="20"/>
      <c r="I40" s="5"/>
      <c r="J40" s="5"/>
      <c r="K40" s="5"/>
    </row>
    <row r="41" spans="1:11" x14ac:dyDescent="0.35">
      <c r="A41" s="14">
        <v>44650.805555555555</v>
      </c>
      <c r="B41" s="15">
        <f t="shared" si="1"/>
        <v>35.833333333372138</v>
      </c>
      <c r="C41" s="21">
        <f>123*20*100000</f>
        <v>246000000</v>
      </c>
      <c r="D41" s="20"/>
      <c r="E41" s="5"/>
      <c r="F41" s="15"/>
      <c r="H41" s="15">
        <f>LOG(C41)</f>
        <v>8.3909351071033793</v>
      </c>
      <c r="I41" s="5"/>
      <c r="J41" s="5"/>
      <c r="K41" s="5"/>
    </row>
    <row r="42" spans="1:11" x14ac:dyDescent="0.35">
      <c r="A42" s="14">
        <v>44651.322916666664</v>
      </c>
      <c r="B42" s="15">
        <f t="shared" si="1"/>
        <v>48.25</v>
      </c>
      <c r="C42" s="21">
        <f>95*20*100000</f>
        <v>190000000</v>
      </c>
      <c r="D42" s="20"/>
      <c r="E42" s="5"/>
      <c r="F42" s="5"/>
      <c r="H42" s="15">
        <f>LOG(C42)</f>
        <v>8.2787536009528289</v>
      </c>
      <c r="I42" s="5"/>
      <c r="J42" s="5"/>
      <c r="K42" s="5"/>
    </row>
    <row r="43" spans="1:11" x14ac:dyDescent="0.35">
      <c r="A43" s="14">
        <v>44651.565972222219</v>
      </c>
      <c r="B43" s="15">
        <f t="shared" si="1"/>
        <v>54.083333333313931</v>
      </c>
      <c r="C43" s="21">
        <f>67*20*100000</f>
        <v>134000000</v>
      </c>
      <c r="D43" s="20"/>
      <c r="E43" s="5"/>
      <c r="F43" s="15"/>
      <c r="H43" s="15">
        <f>LOG(C43)</f>
        <v>8.1271047983648081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44649.354166666664</v>
      </c>
      <c r="B52" s="15">
        <f>0*(24)+1</f>
        <v>1</v>
      </c>
      <c r="C52" s="19"/>
      <c r="D52" s="21">
        <f>21*100</f>
        <v>2100</v>
      </c>
      <c r="E52" s="5"/>
      <c r="F52" s="5"/>
      <c r="H52" s="15">
        <f>LOG(D52)</f>
        <v>3.3222192947339191</v>
      </c>
    </row>
    <row r="53" spans="1:11" x14ac:dyDescent="0.35">
      <c r="A53" s="14">
        <v>44649.4375</v>
      </c>
      <c r="B53" s="15">
        <f t="shared" ref="B53:B63" si="2">(A53-$A$10)*(24)+1</f>
        <v>3.0000000000582077</v>
      </c>
      <c r="C53" s="19"/>
      <c r="D53" s="19"/>
      <c r="E53" s="5"/>
      <c r="F53" s="5"/>
      <c r="H53" s="19"/>
    </row>
    <row r="54" spans="1:11" x14ac:dyDescent="0.35">
      <c r="A54" s="14">
        <v>44649.5625</v>
      </c>
      <c r="B54" s="15">
        <f t="shared" si="2"/>
        <v>6.0000000000582077</v>
      </c>
      <c r="C54" s="19"/>
      <c r="D54" s="19"/>
      <c r="E54" s="5"/>
      <c r="F54" s="5"/>
      <c r="H54" s="19"/>
    </row>
    <row r="55" spans="1:11" x14ac:dyDescent="0.35">
      <c r="A55" s="14">
        <v>44649.6875</v>
      </c>
      <c r="B55" s="15">
        <f t="shared" si="2"/>
        <v>9.0000000000582077</v>
      </c>
      <c r="C55" s="19"/>
      <c r="D55" s="19"/>
      <c r="E55" s="5"/>
      <c r="F55" s="5"/>
      <c r="H55" s="19"/>
    </row>
    <row r="56" spans="1:11" x14ac:dyDescent="0.35">
      <c r="A56" s="14">
        <v>44649.819444444445</v>
      </c>
      <c r="B56" s="15">
        <f t="shared" si="2"/>
        <v>12.166666666744277</v>
      </c>
      <c r="C56" s="19"/>
      <c r="D56" s="21">
        <f>33*20*100</f>
        <v>66000</v>
      </c>
      <c r="E56" s="5"/>
      <c r="F56" s="5"/>
      <c r="H56" s="15">
        <f>LOG(D56)</f>
        <v>4.8195439355418683</v>
      </c>
    </row>
    <row r="57" spans="1:11" x14ac:dyDescent="0.35">
      <c r="A57" s="14">
        <v>44650.319444444445</v>
      </c>
      <c r="B57" s="15">
        <f t="shared" si="2"/>
        <v>24.166666666744277</v>
      </c>
      <c r="C57" s="19"/>
      <c r="D57" s="21">
        <f>14*20*10000</f>
        <v>2800000</v>
      </c>
      <c r="E57" s="5"/>
      <c r="F57" s="5"/>
      <c r="H57" s="15">
        <f>LOG(D57)</f>
        <v>6.4471580313422194</v>
      </c>
    </row>
    <row r="58" spans="1:11" x14ac:dyDescent="0.35">
      <c r="A58" s="14">
        <v>44650.440972222219</v>
      </c>
      <c r="B58" s="15">
        <f t="shared" si="2"/>
        <v>27.083333333313931</v>
      </c>
      <c r="C58" s="19"/>
      <c r="D58" s="19"/>
      <c r="E58" s="16"/>
      <c r="F58" s="5"/>
      <c r="H58" s="19"/>
    </row>
    <row r="59" spans="1:11" x14ac:dyDescent="0.35">
      <c r="A59" s="14">
        <v>44650.565972222219</v>
      </c>
      <c r="B59" s="15">
        <f t="shared" si="2"/>
        <v>30.083333333313931</v>
      </c>
      <c r="C59" s="19"/>
      <c r="D59" s="19"/>
      <c r="E59" s="5"/>
      <c r="F59" s="5"/>
      <c r="H59" s="19"/>
    </row>
    <row r="60" spans="1:11" x14ac:dyDescent="0.35">
      <c r="A60" s="14">
        <v>44650.690972222219</v>
      </c>
      <c r="B60" s="15">
        <f t="shared" si="2"/>
        <v>33.083333333313931</v>
      </c>
      <c r="C60" s="19"/>
      <c r="D60" s="19"/>
      <c r="E60" s="5"/>
      <c r="F60" s="15"/>
      <c r="H60" s="19"/>
    </row>
    <row r="61" spans="1:11" x14ac:dyDescent="0.35">
      <c r="A61" s="14">
        <v>44650.805555555555</v>
      </c>
      <c r="B61" s="15">
        <f t="shared" si="2"/>
        <v>35.833333333372138</v>
      </c>
      <c r="C61" s="19"/>
      <c r="D61" s="23">
        <f>34*20*100000</f>
        <v>68000000</v>
      </c>
      <c r="E61" s="5"/>
      <c r="F61" s="15"/>
      <c r="H61" s="18">
        <f>LOG(D61)</f>
        <v>7.8325089127062366</v>
      </c>
    </row>
    <row r="62" spans="1:11" x14ac:dyDescent="0.35">
      <c r="A62" s="14">
        <v>44651.322916666664</v>
      </c>
      <c r="B62" s="15">
        <f t="shared" si="2"/>
        <v>48.25</v>
      </c>
      <c r="C62" s="19"/>
      <c r="D62" s="21">
        <f>AVERAGE(693000000,640000000,587000000)</f>
        <v>640000000</v>
      </c>
      <c r="E62" s="16"/>
      <c r="F62" s="5"/>
      <c r="H62" s="15">
        <f>LOG(D62)</f>
        <v>8.8061799739838875</v>
      </c>
    </row>
    <row r="63" spans="1:11" x14ac:dyDescent="0.35">
      <c r="A63" s="14">
        <v>44651.565972222219</v>
      </c>
      <c r="B63" s="15">
        <f t="shared" si="2"/>
        <v>54.083333333313931</v>
      </c>
      <c r="C63" s="20"/>
      <c r="D63" s="23">
        <f>255*20*100000</f>
        <v>510000000</v>
      </c>
      <c r="E63" s="5"/>
      <c r="F63" s="15"/>
      <c r="H63" s="27">
        <f>LOG(D63)</f>
        <v>8.7075701760979367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44649.354166666664</v>
      </c>
      <c r="B73" s="15">
        <f>0*(24)+1</f>
        <v>1</v>
      </c>
      <c r="C73" s="21">
        <f>67*20*100</f>
        <v>134000</v>
      </c>
      <c r="D73" s="21">
        <f>20*100</f>
        <v>2000</v>
      </c>
      <c r="E73" s="5"/>
      <c r="F73" s="15"/>
      <c r="H73" s="15">
        <f t="shared" ref="H73:H84" si="3">LOG(C73)</f>
        <v>5.1271047983648073</v>
      </c>
      <c r="I73" s="15">
        <f t="shared" ref="I73:I84" si="4">LOG(D73)</f>
        <v>3.3010299956639813</v>
      </c>
    </row>
    <row r="74" spans="1:11" x14ac:dyDescent="0.35">
      <c r="A74" s="14">
        <v>44649.4375</v>
      </c>
      <c r="B74" s="15">
        <f t="shared" ref="B74:B84" si="5">(A74-$A$10)*(24)+1</f>
        <v>3.0000000000582077</v>
      </c>
      <c r="C74" s="21">
        <f>54*20*100</f>
        <v>108000</v>
      </c>
      <c r="D74" s="21">
        <f>37*100</f>
        <v>3700</v>
      </c>
      <c r="E74" s="5"/>
      <c r="F74" s="5"/>
      <c r="H74" s="15">
        <f t="shared" si="3"/>
        <v>5.0334237554869494</v>
      </c>
      <c r="I74" s="15">
        <f t="shared" si="4"/>
        <v>3.568201724066995</v>
      </c>
    </row>
    <row r="75" spans="1:11" x14ac:dyDescent="0.35">
      <c r="A75" s="14">
        <v>44649.5625</v>
      </c>
      <c r="B75" s="15">
        <f t="shared" si="5"/>
        <v>6.0000000000582077</v>
      </c>
      <c r="C75" s="21">
        <f>29*20*1000</f>
        <v>580000</v>
      </c>
      <c r="D75" s="21">
        <f>67*100</f>
        <v>6700</v>
      </c>
      <c r="E75" s="16"/>
      <c r="F75" s="15"/>
      <c r="H75" s="15">
        <f t="shared" si="3"/>
        <v>5.7634279935629369</v>
      </c>
      <c r="I75" s="15">
        <f t="shared" si="4"/>
        <v>3.8260748027008264</v>
      </c>
    </row>
    <row r="76" spans="1:11" x14ac:dyDescent="0.35">
      <c r="A76" s="14">
        <v>44649.6875</v>
      </c>
      <c r="B76" s="15">
        <f t="shared" si="5"/>
        <v>9.0000000000582077</v>
      </c>
      <c r="C76" s="21">
        <f>103*20*1000</f>
        <v>2060000</v>
      </c>
      <c r="D76" s="21">
        <f>219*100</f>
        <v>21900</v>
      </c>
      <c r="E76" s="5"/>
      <c r="F76" s="5"/>
      <c r="H76" s="15">
        <f t="shared" si="3"/>
        <v>6.3138672203691533</v>
      </c>
      <c r="I76" s="15">
        <f t="shared" si="4"/>
        <v>4.3404441148401185</v>
      </c>
    </row>
    <row r="77" spans="1:11" x14ac:dyDescent="0.35">
      <c r="A77" s="14">
        <v>44649.819444444445</v>
      </c>
      <c r="B77" s="15">
        <f t="shared" si="5"/>
        <v>12.166666666744277</v>
      </c>
      <c r="C77" s="21">
        <f>292*20*1000</f>
        <v>5840000</v>
      </c>
      <c r="D77" s="21">
        <f>458*100</f>
        <v>45800</v>
      </c>
      <c r="E77" s="5"/>
      <c r="F77" s="5"/>
      <c r="H77" s="15">
        <f t="shared" si="3"/>
        <v>6.7664128471123997</v>
      </c>
      <c r="I77" s="15">
        <f t="shared" si="4"/>
        <v>4.6608654780038696</v>
      </c>
    </row>
    <row r="78" spans="1:11" x14ac:dyDescent="0.35">
      <c r="A78" s="14">
        <v>44650.319444444445</v>
      </c>
      <c r="B78" s="15">
        <f t="shared" si="5"/>
        <v>24.166666666744277</v>
      </c>
      <c r="C78" s="21">
        <f>79*20*100000</f>
        <v>158000000</v>
      </c>
      <c r="D78" s="23">
        <f>394*2*10</f>
        <v>7880</v>
      </c>
      <c r="E78" s="5"/>
      <c r="F78" s="5"/>
      <c r="H78" s="15">
        <f t="shared" si="3"/>
        <v>8.1986570869544231</v>
      </c>
      <c r="I78" s="15">
        <f t="shared" si="4"/>
        <v>3.8965262174895554</v>
      </c>
    </row>
    <row r="79" spans="1:11" x14ac:dyDescent="0.35">
      <c r="A79" s="14">
        <v>44650.440972222219</v>
      </c>
      <c r="B79" s="15">
        <f t="shared" si="5"/>
        <v>27.083333333313931</v>
      </c>
      <c r="C79" s="21">
        <f>129*20*100000</f>
        <v>258000000</v>
      </c>
      <c r="D79" s="23">
        <f>165*2*10</f>
        <v>3300</v>
      </c>
      <c r="E79" s="16"/>
      <c r="F79" s="5"/>
      <c r="H79" s="15">
        <f t="shared" si="3"/>
        <v>8.4116197059632309</v>
      </c>
      <c r="I79" s="15">
        <f t="shared" si="4"/>
        <v>3.5185139398778875</v>
      </c>
    </row>
    <row r="80" spans="1:11" x14ac:dyDescent="0.35">
      <c r="A80" s="14">
        <v>44650.565972222219</v>
      </c>
      <c r="B80" s="15">
        <f t="shared" si="5"/>
        <v>30.083333333313931</v>
      </c>
      <c r="C80" s="21">
        <f>128*20*100000</f>
        <v>256000000</v>
      </c>
      <c r="D80" s="23">
        <f>AVERAGE(1692*2,163*2*10)</f>
        <v>3322</v>
      </c>
      <c r="E80" s="5"/>
      <c r="F80" s="5"/>
      <c r="H80" s="15">
        <f t="shared" si="3"/>
        <v>8.40823996531185</v>
      </c>
      <c r="I80" s="15">
        <f t="shared" si="4"/>
        <v>3.5213996281153759</v>
      </c>
    </row>
    <row r="81" spans="1:11" x14ac:dyDescent="0.35">
      <c r="A81" s="14">
        <v>44650.690972222219</v>
      </c>
      <c r="B81" s="15">
        <f t="shared" si="5"/>
        <v>33.083333333313931</v>
      </c>
      <c r="C81" s="21">
        <f>125*20*100000</f>
        <v>250000000</v>
      </c>
      <c r="D81" s="23">
        <f>AVERAGE(1297*2,80*2*10)</f>
        <v>2097</v>
      </c>
      <c r="E81" s="5"/>
      <c r="F81" s="5"/>
      <c r="H81" s="15">
        <f t="shared" si="3"/>
        <v>8.3979400086720375</v>
      </c>
      <c r="I81" s="15">
        <f t="shared" si="4"/>
        <v>3.3215984304653436</v>
      </c>
    </row>
    <row r="82" spans="1:11" x14ac:dyDescent="0.35">
      <c r="A82" s="14">
        <v>44650.805555555555</v>
      </c>
      <c r="B82" s="15">
        <f t="shared" si="5"/>
        <v>35.833333333372138</v>
      </c>
      <c r="C82" s="21">
        <f>141*20*100000</f>
        <v>282000000</v>
      </c>
      <c r="D82" s="23">
        <f>AVERAGE(919*2,20*2*10)</f>
        <v>1119</v>
      </c>
      <c r="E82" s="5"/>
      <c r="F82" s="5"/>
      <c r="H82" s="15">
        <f t="shared" si="3"/>
        <v>8.4502491083193618</v>
      </c>
      <c r="I82" s="15">
        <f t="shared" si="4"/>
        <v>3.04883008652835</v>
      </c>
    </row>
    <row r="83" spans="1:11" x14ac:dyDescent="0.35">
      <c r="A83" s="14">
        <v>44651.322916666664</v>
      </c>
      <c r="B83" s="15">
        <f t="shared" si="5"/>
        <v>48.25</v>
      </c>
      <c r="C83" s="21">
        <f>116*20*100000</f>
        <v>232000000</v>
      </c>
      <c r="D83" s="23">
        <f>141*2</f>
        <v>282</v>
      </c>
      <c r="E83" s="5"/>
      <c r="F83" s="5"/>
      <c r="H83" s="15">
        <f t="shared" si="3"/>
        <v>8.3654879848908994</v>
      </c>
      <c r="I83" s="18">
        <f t="shared" si="4"/>
        <v>2.4502491083193609</v>
      </c>
    </row>
    <row r="84" spans="1:11" x14ac:dyDescent="0.35">
      <c r="A84" s="14">
        <v>44651.565972222219</v>
      </c>
      <c r="B84" s="15">
        <f t="shared" si="5"/>
        <v>54.083333333313931</v>
      </c>
      <c r="C84" s="21">
        <f>76*20*100000</f>
        <v>152000000</v>
      </c>
      <c r="D84" s="23">
        <f>53*2</f>
        <v>106</v>
      </c>
      <c r="E84" s="5"/>
      <c r="F84" s="5"/>
      <c r="H84" s="15">
        <f t="shared" si="3"/>
        <v>8.1818435879447726</v>
      </c>
      <c r="I84" s="18">
        <f t="shared" si="4"/>
        <v>2.0253058652647704</v>
      </c>
    </row>
    <row r="85" spans="1:11" x14ac:dyDescent="0.35">
      <c r="C85" s="5"/>
    </row>
    <row r="86" spans="1:11" x14ac:dyDescent="0.35">
      <c r="C86" s="5"/>
    </row>
    <row r="87" spans="1:11" x14ac:dyDescent="0.35">
      <c r="C87" s="5"/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44649.354166666664</v>
      </c>
      <c r="B95" s="15">
        <f>0*(24)+1</f>
        <v>1</v>
      </c>
      <c r="C95" s="23">
        <f>90*20*100</f>
        <v>180000</v>
      </c>
      <c r="D95" s="21">
        <f>27*100</f>
        <v>2700</v>
      </c>
      <c r="E95" s="5"/>
      <c r="F95" s="15"/>
      <c r="H95" s="18">
        <f t="shared" ref="H95:H106" si="6">LOG(C95)</f>
        <v>5.2552725051033065</v>
      </c>
      <c r="I95" s="15">
        <f t="shared" ref="I95:I106" si="7">LOG(D95)</f>
        <v>3.4313637641589874</v>
      </c>
      <c r="J95" s="5"/>
      <c r="K95" s="5"/>
    </row>
    <row r="96" spans="1:11" x14ac:dyDescent="0.35">
      <c r="A96" s="14">
        <v>44649.4375</v>
      </c>
      <c r="B96" s="15">
        <f t="shared" ref="B96:B106" si="8">(A96-$A$10)*(24)+1</f>
        <v>3.0000000000582077</v>
      </c>
      <c r="C96" s="21">
        <f>124*20*100</f>
        <v>248000</v>
      </c>
      <c r="D96" s="21">
        <f>34*100</f>
        <v>3400</v>
      </c>
      <c r="E96" s="5"/>
      <c r="F96" s="15"/>
      <c r="H96" s="15">
        <f t="shared" si="6"/>
        <v>5.394451680826216</v>
      </c>
      <c r="I96" s="15">
        <f t="shared" si="7"/>
        <v>3.5314789170422549</v>
      </c>
      <c r="J96" s="5"/>
      <c r="K96" s="5"/>
    </row>
    <row r="97" spans="1:11" x14ac:dyDescent="0.35">
      <c r="A97" s="14">
        <v>44649.5625</v>
      </c>
      <c r="B97" s="15">
        <f t="shared" si="8"/>
        <v>6.0000000000582077</v>
      </c>
      <c r="C97" s="21">
        <f>52*20*1000</f>
        <v>1040000</v>
      </c>
      <c r="D97" s="21">
        <f>88*100</f>
        <v>8800</v>
      </c>
      <c r="E97" s="16"/>
      <c r="F97" s="5"/>
      <c r="H97" s="15">
        <f t="shared" si="6"/>
        <v>6.0170333392987807</v>
      </c>
      <c r="I97" s="15">
        <f t="shared" si="7"/>
        <v>3.9444826721501687</v>
      </c>
      <c r="J97" s="5"/>
      <c r="K97" s="5"/>
    </row>
    <row r="98" spans="1:11" x14ac:dyDescent="0.35">
      <c r="A98" s="14">
        <v>44649.6875</v>
      </c>
      <c r="B98" s="15">
        <f t="shared" si="8"/>
        <v>9.0000000000582077</v>
      </c>
      <c r="C98" s="21">
        <f>148*20*1000</f>
        <v>2960000</v>
      </c>
      <c r="D98" s="21">
        <f>211*100</f>
        <v>21100</v>
      </c>
      <c r="E98" s="5"/>
      <c r="F98" s="5"/>
      <c r="H98" s="15">
        <f t="shared" si="6"/>
        <v>6.4712917110589387</v>
      </c>
      <c r="I98" s="15">
        <f t="shared" si="7"/>
        <v>4.3242824552976931</v>
      </c>
      <c r="J98" s="5"/>
      <c r="K98" s="5"/>
    </row>
    <row r="99" spans="1:11" x14ac:dyDescent="0.35">
      <c r="A99" s="14">
        <v>44649.819444444445</v>
      </c>
      <c r="B99" s="15">
        <f t="shared" si="8"/>
        <v>12.166666666744277</v>
      </c>
      <c r="C99" s="21">
        <f>461*20*1000</f>
        <v>9220000</v>
      </c>
      <c r="D99" s="21">
        <f>17*20*100</f>
        <v>34000</v>
      </c>
      <c r="E99" s="5"/>
      <c r="F99" s="5"/>
      <c r="H99" s="15">
        <f t="shared" si="6"/>
        <v>6.9647309210536292</v>
      </c>
      <c r="I99" s="15">
        <f t="shared" si="7"/>
        <v>4.5314789170422554</v>
      </c>
      <c r="J99" s="5"/>
      <c r="K99" s="5"/>
    </row>
    <row r="100" spans="1:11" x14ac:dyDescent="0.35">
      <c r="A100" s="14">
        <v>44650.319444444445</v>
      </c>
      <c r="B100" s="15">
        <f t="shared" si="8"/>
        <v>24.166666666744277</v>
      </c>
      <c r="C100" s="21">
        <f>48*20*100000</f>
        <v>96000000</v>
      </c>
      <c r="D100" s="21">
        <f>28*20*1000</f>
        <v>560000</v>
      </c>
      <c r="E100" s="5"/>
      <c r="F100" s="5"/>
      <c r="H100" s="15">
        <f t="shared" si="6"/>
        <v>7.982271233039568</v>
      </c>
      <c r="I100" s="15">
        <f t="shared" si="7"/>
        <v>5.7481880270062007</v>
      </c>
      <c r="J100" s="5"/>
      <c r="K100" s="5"/>
    </row>
    <row r="101" spans="1:11" x14ac:dyDescent="0.35">
      <c r="A101" s="14">
        <v>44650.440972222219</v>
      </c>
      <c r="B101" s="15">
        <f t="shared" si="8"/>
        <v>27.083333333313931</v>
      </c>
      <c r="C101" s="23">
        <f>AVERAGE(167000000,84*20*100000)</f>
        <v>167500000</v>
      </c>
      <c r="D101" s="21">
        <f>19*20*1000</f>
        <v>380000</v>
      </c>
      <c r="E101" s="5"/>
      <c r="F101" s="5"/>
      <c r="H101" s="18">
        <f t="shared" si="6"/>
        <v>8.2240148113728644</v>
      </c>
      <c r="I101" s="15">
        <f t="shared" si="7"/>
        <v>5.5797835966168101</v>
      </c>
      <c r="J101" s="5"/>
      <c r="K101" s="5"/>
    </row>
    <row r="102" spans="1:11" x14ac:dyDescent="0.35">
      <c r="A102" s="14">
        <v>44650.565972222219</v>
      </c>
      <c r="B102" s="15">
        <f t="shared" si="8"/>
        <v>30.083333333313931</v>
      </c>
      <c r="C102" s="21">
        <f>83*20*100000</f>
        <v>166000000</v>
      </c>
      <c r="D102" s="21">
        <f>26*20*1000</f>
        <v>520000</v>
      </c>
      <c r="E102" s="5"/>
      <c r="F102" s="5"/>
      <c r="H102" s="15">
        <f t="shared" si="6"/>
        <v>8.220108088040055</v>
      </c>
      <c r="I102" s="15">
        <f t="shared" si="7"/>
        <v>5.7160033436347994</v>
      </c>
      <c r="J102" s="5"/>
      <c r="K102" s="5"/>
    </row>
    <row r="103" spans="1:11" x14ac:dyDescent="0.35">
      <c r="A103" s="14">
        <v>44650.690972222219</v>
      </c>
      <c r="B103" s="15">
        <f t="shared" si="8"/>
        <v>33.083333333313931</v>
      </c>
      <c r="C103" s="21">
        <f>83*20*100000</f>
        <v>166000000</v>
      </c>
      <c r="D103" s="21">
        <f>32*20*1000</f>
        <v>640000</v>
      </c>
      <c r="E103" s="5"/>
      <c r="F103" s="5"/>
      <c r="H103" s="15">
        <f t="shared" si="6"/>
        <v>8.220108088040055</v>
      </c>
      <c r="I103" s="15">
        <f t="shared" si="7"/>
        <v>5.8061799739838875</v>
      </c>
      <c r="J103" s="5"/>
      <c r="K103" s="5"/>
    </row>
    <row r="104" spans="1:11" x14ac:dyDescent="0.35">
      <c r="A104" s="14">
        <v>44650.805555555555</v>
      </c>
      <c r="B104" s="15">
        <f t="shared" si="8"/>
        <v>35.833333333372138</v>
      </c>
      <c r="C104" s="21">
        <f>84*20*100000</f>
        <v>168000000</v>
      </c>
      <c r="D104" s="21">
        <f>29*20*1000</f>
        <v>580000</v>
      </c>
      <c r="E104" s="5"/>
      <c r="F104" s="5"/>
      <c r="H104" s="15">
        <f t="shared" si="6"/>
        <v>8.2253092817258633</v>
      </c>
      <c r="I104" s="15">
        <f t="shared" si="7"/>
        <v>5.7634279935629369</v>
      </c>
      <c r="J104" s="5"/>
      <c r="K104" s="5"/>
    </row>
    <row r="105" spans="1:11" x14ac:dyDescent="0.35">
      <c r="A105" s="14">
        <v>44651.322916666664</v>
      </c>
      <c r="B105" s="15">
        <f t="shared" si="8"/>
        <v>48.25</v>
      </c>
      <c r="C105" s="21">
        <f>58*20*100000</f>
        <v>116000000</v>
      </c>
      <c r="D105" s="21">
        <f>34*20*1000</f>
        <v>680000</v>
      </c>
      <c r="E105" s="16"/>
      <c r="F105" s="5"/>
      <c r="H105" s="15">
        <f t="shared" si="6"/>
        <v>8.0644579892269181</v>
      </c>
      <c r="I105" s="15">
        <f t="shared" si="7"/>
        <v>5.8325089127062366</v>
      </c>
      <c r="J105" s="5"/>
      <c r="K105" s="5"/>
    </row>
    <row r="106" spans="1:11" x14ac:dyDescent="0.35">
      <c r="A106" s="14">
        <v>44651.565972222219</v>
      </c>
      <c r="B106" s="15">
        <f t="shared" si="8"/>
        <v>54.083333333313931</v>
      </c>
      <c r="C106" s="21">
        <f>72*20*100000</f>
        <v>144000000</v>
      </c>
      <c r="D106" s="21">
        <f>28*20*1000</f>
        <v>560000</v>
      </c>
      <c r="E106" s="5"/>
      <c r="F106" s="5"/>
      <c r="H106" s="15">
        <f t="shared" si="6"/>
        <v>8.1583624920952502</v>
      </c>
      <c r="I106" s="15">
        <f t="shared" si="7"/>
        <v>5.7481880270062007</v>
      </c>
      <c r="J106" s="5"/>
      <c r="K106" s="5"/>
    </row>
    <row r="107" spans="1:11" x14ac:dyDescent="0.35">
      <c r="H107" s="5"/>
      <c r="I107" s="5"/>
      <c r="J107" s="5"/>
      <c r="K107" s="5"/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C7D2-63B4-496D-AB56-17A64EFCBE43}">
  <dimension ref="A1:K107"/>
  <sheetViews>
    <sheetView topLeftCell="A68" zoomScale="85" zoomScaleNormal="85" workbookViewId="0">
      <selection activeCell="Q44" sqref="Q44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44649.354166666664</v>
      </c>
      <c r="B10" s="15">
        <f>0*24+1</f>
        <v>1</v>
      </c>
      <c r="C10" s="21">
        <f>95*20*100</f>
        <v>190000</v>
      </c>
      <c r="D10" s="20"/>
      <c r="E10" s="16"/>
      <c r="F10" s="5"/>
      <c r="H10" s="15">
        <f>LOG(C10)</f>
        <v>5.2787536009528289</v>
      </c>
    </row>
    <row r="11" spans="1:11" x14ac:dyDescent="0.35">
      <c r="A11" s="14">
        <v>44649.4375</v>
      </c>
      <c r="B11" s="15">
        <f t="shared" ref="B11:B21" si="0">(A11-$A$32)*24+1</f>
        <v>3.0000000000582077</v>
      </c>
      <c r="C11" s="20"/>
      <c r="D11" s="20"/>
      <c r="E11" s="16"/>
      <c r="F11" s="5"/>
      <c r="H11" s="20"/>
    </row>
    <row r="12" spans="1:11" x14ac:dyDescent="0.35">
      <c r="A12" s="14">
        <v>44649.5625</v>
      </c>
      <c r="B12" s="15">
        <f t="shared" si="0"/>
        <v>6.0000000000582077</v>
      </c>
      <c r="C12" s="20"/>
      <c r="D12" s="20"/>
      <c r="E12" s="16"/>
      <c r="F12" s="5"/>
      <c r="H12" s="20"/>
    </row>
    <row r="13" spans="1:11" x14ac:dyDescent="0.35">
      <c r="A13" s="14">
        <v>44649.6875</v>
      </c>
      <c r="B13" s="15">
        <f t="shared" si="0"/>
        <v>9.0000000000582077</v>
      </c>
      <c r="C13" s="20"/>
      <c r="D13" s="20"/>
      <c r="E13" s="16"/>
      <c r="F13" s="15"/>
      <c r="H13" s="20"/>
    </row>
    <row r="14" spans="1:11" x14ac:dyDescent="0.35">
      <c r="A14" s="14">
        <v>44649.819444444445</v>
      </c>
      <c r="B14" s="15">
        <f t="shared" si="0"/>
        <v>12.166666666744277</v>
      </c>
      <c r="C14" s="21">
        <f>44*20*10000</f>
        <v>8800000</v>
      </c>
      <c r="D14" s="20"/>
      <c r="E14" s="16"/>
      <c r="F14" s="5"/>
      <c r="H14" s="15">
        <f>LOG(C14)</f>
        <v>6.9444826721501682</v>
      </c>
    </row>
    <row r="15" spans="1:11" x14ac:dyDescent="0.35">
      <c r="A15" s="14">
        <v>44650.319444444445</v>
      </c>
      <c r="B15" s="15">
        <f t="shared" si="0"/>
        <v>24.166666666744277</v>
      </c>
      <c r="C15" s="21" t="s">
        <v>33</v>
      </c>
      <c r="D15" s="20"/>
      <c r="E15" s="16"/>
      <c r="F15" s="5"/>
      <c r="H15" s="15" t="e">
        <f>LOG(C15)</f>
        <v>#VALUE!</v>
      </c>
    </row>
    <row r="16" spans="1:11" x14ac:dyDescent="0.35">
      <c r="A16" s="14">
        <v>44650.440972222219</v>
      </c>
      <c r="B16" s="15">
        <f t="shared" si="0"/>
        <v>27.083333333313931</v>
      </c>
      <c r="C16" s="20"/>
      <c r="D16" s="20"/>
      <c r="E16" s="16"/>
      <c r="F16" s="5"/>
      <c r="H16" s="20"/>
    </row>
    <row r="17" spans="1:11" x14ac:dyDescent="0.35">
      <c r="A17" s="14">
        <v>44650.565972222219</v>
      </c>
      <c r="B17" s="15">
        <f t="shared" si="0"/>
        <v>30.083333333313931</v>
      </c>
      <c r="C17" s="20"/>
      <c r="D17" s="20"/>
      <c r="E17" s="16"/>
      <c r="F17" s="5"/>
      <c r="H17" s="20"/>
    </row>
    <row r="18" spans="1:11" x14ac:dyDescent="0.35">
      <c r="A18" s="14">
        <v>44650.690972222219</v>
      </c>
      <c r="B18" s="15">
        <f t="shared" si="0"/>
        <v>33.083333333313931</v>
      </c>
      <c r="C18" s="20"/>
      <c r="D18" s="20"/>
      <c r="E18" s="5"/>
      <c r="F18" s="5"/>
      <c r="H18" s="20"/>
    </row>
    <row r="19" spans="1:11" x14ac:dyDescent="0.35">
      <c r="A19" s="14">
        <v>44650.805555555555</v>
      </c>
      <c r="B19" s="15">
        <f t="shared" si="0"/>
        <v>35.833333333372138</v>
      </c>
      <c r="C19" s="21">
        <f>83*20*100000</f>
        <v>166000000</v>
      </c>
      <c r="D19" s="20"/>
      <c r="E19" s="5"/>
      <c r="F19" s="5"/>
      <c r="H19" s="15">
        <f>LOG(C19)</f>
        <v>8.220108088040055</v>
      </c>
    </row>
    <row r="20" spans="1:11" x14ac:dyDescent="0.35">
      <c r="A20" s="14">
        <v>44651.322916666664</v>
      </c>
      <c r="B20" s="15">
        <f t="shared" si="0"/>
        <v>48.25</v>
      </c>
      <c r="C20" s="21">
        <f>114*20*100000</f>
        <v>228000000</v>
      </c>
      <c r="D20" s="20"/>
      <c r="E20" s="5"/>
      <c r="F20" s="5"/>
      <c r="H20" s="15">
        <f>LOG(C20)</f>
        <v>8.357934847000454</v>
      </c>
    </row>
    <row r="21" spans="1:11" x14ac:dyDescent="0.35">
      <c r="A21" s="14">
        <v>44651.565972222219</v>
      </c>
      <c r="B21" s="15">
        <f t="shared" si="0"/>
        <v>54.083333333313931</v>
      </c>
      <c r="C21" s="21">
        <f>127*20*100000</f>
        <v>254000000</v>
      </c>
      <c r="D21" s="20"/>
      <c r="E21" s="5"/>
      <c r="F21" s="5"/>
      <c r="H21" s="15">
        <f>LOG(C21)</f>
        <v>8.4048337166199385</v>
      </c>
    </row>
    <row r="22" spans="1:11" x14ac:dyDescent="0.35">
      <c r="B22" s="5"/>
      <c r="C22" s="5"/>
    </row>
    <row r="23" spans="1:11" x14ac:dyDescent="0.35">
      <c r="B23" s="5"/>
      <c r="C23" s="5"/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44649.354166666664</v>
      </c>
      <c r="B32" s="15">
        <f>0*24+1</f>
        <v>1</v>
      </c>
      <c r="C32" s="21">
        <f>110*20*100</f>
        <v>220000</v>
      </c>
      <c r="D32" s="20"/>
      <c r="E32" s="5"/>
      <c r="F32" s="5"/>
      <c r="H32" s="15">
        <f>LOG(C32)</f>
        <v>5.3424226808222066</v>
      </c>
      <c r="I32" s="5"/>
      <c r="J32" s="5"/>
      <c r="K32" s="5"/>
    </row>
    <row r="33" spans="1:11" x14ac:dyDescent="0.35">
      <c r="A33" s="14">
        <v>44649.4375</v>
      </c>
      <c r="B33" s="15">
        <f t="shared" ref="B33:B43" si="1">(A33-$A$32)*24+1</f>
        <v>3.0000000000582077</v>
      </c>
      <c r="C33" s="20"/>
      <c r="D33" s="20"/>
      <c r="E33" s="5"/>
      <c r="F33" s="5"/>
      <c r="H33" s="20"/>
      <c r="I33" s="5"/>
      <c r="J33" s="5"/>
      <c r="K33" s="5"/>
    </row>
    <row r="34" spans="1:11" x14ac:dyDescent="0.35">
      <c r="A34" s="14">
        <v>44649.5625</v>
      </c>
      <c r="B34" s="15">
        <f t="shared" si="1"/>
        <v>6.0000000000582077</v>
      </c>
      <c r="C34" s="20"/>
      <c r="D34" s="20"/>
      <c r="E34" s="5"/>
      <c r="F34" s="5"/>
      <c r="H34" s="20"/>
      <c r="I34" s="5"/>
      <c r="J34" s="5"/>
      <c r="K34" s="5"/>
    </row>
    <row r="35" spans="1:11" x14ac:dyDescent="0.35">
      <c r="A35" s="14">
        <v>44649.6875</v>
      </c>
      <c r="B35" s="15">
        <f t="shared" si="1"/>
        <v>9.0000000000582077</v>
      </c>
      <c r="C35" s="20"/>
      <c r="D35" s="20"/>
      <c r="E35" s="5"/>
      <c r="F35" s="5"/>
      <c r="H35" s="20"/>
      <c r="I35" s="5"/>
      <c r="J35" s="5"/>
      <c r="K35" s="5"/>
    </row>
    <row r="36" spans="1:11" x14ac:dyDescent="0.35">
      <c r="A36" s="14">
        <v>44649.819444444445</v>
      </c>
      <c r="B36" s="15">
        <f t="shared" si="1"/>
        <v>12.166666666744277</v>
      </c>
      <c r="C36" s="23">
        <f>80*20*10000</f>
        <v>16000000</v>
      </c>
      <c r="D36" s="20"/>
      <c r="E36" s="5"/>
      <c r="F36" s="5"/>
      <c r="H36" s="18">
        <f>LOG(C36)</f>
        <v>7.204119982655925</v>
      </c>
      <c r="I36" s="5"/>
      <c r="J36" s="5"/>
      <c r="K36" s="5"/>
    </row>
    <row r="37" spans="1:11" x14ac:dyDescent="0.35">
      <c r="A37" s="14">
        <v>44650.319444444445</v>
      </c>
      <c r="B37" s="15">
        <f t="shared" si="1"/>
        <v>24.166666666744277</v>
      </c>
      <c r="C37" s="21" t="s">
        <v>33</v>
      </c>
      <c r="D37" s="20"/>
      <c r="E37" s="5"/>
      <c r="F37" s="5"/>
      <c r="H37" s="15" t="e">
        <f>LOG(C37)</f>
        <v>#VALUE!</v>
      </c>
      <c r="I37" s="5"/>
      <c r="J37" s="5"/>
      <c r="K37" s="5"/>
    </row>
    <row r="38" spans="1:11" x14ac:dyDescent="0.35">
      <c r="A38" s="14">
        <v>44650.440972222219</v>
      </c>
      <c r="B38" s="15">
        <f t="shared" si="1"/>
        <v>27.083333333313931</v>
      </c>
      <c r="C38" s="20"/>
      <c r="D38" s="20"/>
      <c r="E38" s="5"/>
      <c r="F38" s="5"/>
      <c r="H38" s="20"/>
      <c r="I38" s="5"/>
      <c r="J38" s="5"/>
      <c r="K38" s="5"/>
    </row>
    <row r="39" spans="1:11" x14ac:dyDescent="0.35">
      <c r="A39" s="14">
        <v>44650.565972222219</v>
      </c>
      <c r="B39" s="15">
        <f t="shared" si="1"/>
        <v>30.083333333313931</v>
      </c>
      <c r="C39" s="20"/>
      <c r="D39" s="20"/>
      <c r="E39" s="5"/>
      <c r="F39" s="5"/>
      <c r="H39" s="20"/>
      <c r="I39" s="5"/>
      <c r="J39" s="5"/>
      <c r="K39" s="5"/>
    </row>
    <row r="40" spans="1:11" x14ac:dyDescent="0.35">
      <c r="A40" s="14">
        <v>44650.690972222219</v>
      </c>
      <c r="B40" s="15">
        <f t="shared" si="1"/>
        <v>33.083333333313931</v>
      </c>
      <c r="C40" s="20"/>
      <c r="D40" s="20"/>
      <c r="E40" s="5"/>
      <c r="F40" s="5"/>
      <c r="H40" s="20"/>
      <c r="I40" s="5"/>
      <c r="J40" s="5"/>
      <c r="K40" s="5"/>
    </row>
    <row r="41" spans="1:11" x14ac:dyDescent="0.35">
      <c r="A41" s="14">
        <v>44650.805555555555</v>
      </c>
      <c r="B41" s="15">
        <f t="shared" si="1"/>
        <v>35.833333333372138</v>
      </c>
      <c r="C41" s="21">
        <f>108*20*100000</f>
        <v>216000000</v>
      </c>
      <c r="D41" s="20"/>
      <c r="E41" s="5"/>
      <c r="F41" s="5"/>
      <c r="H41" s="15">
        <f>LOG(C41)</f>
        <v>8.3344537511509316</v>
      </c>
      <c r="I41" s="5"/>
      <c r="J41" s="5"/>
      <c r="K41" s="5"/>
    </row>
    <row r="42" spans="1:11" x14ac:dyDescent="0.35">
      <c r="A42" s="14">
        <v>44651.322916666664</v>
      </c>
      <c r="B42" s="15">
        <f t="shared" si="1"/>
        <v>48.25</v>
      </c>
      <c r="C42" s="21">
        <f>102*20*100000</f>
        <v>204000000</v>
      </c>
      <c r="D42" s="20"/>
      <c r="E42" s="5"/>
      <c r="F42" s="5"/>
      <c r="H42" s="15">
        <f>LOG(C42)</f>
        <v>8.3096301674258992</v>
      </c>
      <c r="I42" s="5"/>
      <c r="J42" s="5"/>
      <c r="K42" s="5"/>
    </row>
    <row r="43" spans="1:11" x14ac:dyDescent="0.35">
      <c r="A43" s="14">
        <v>44651.565972222219</v>
      </c>
      <c r="B43" s="15">
        <f t="shared" si="1"/>
        <v>54.083333333313931</v>
      </c>
      <c r="C43" s="21">
        <f>98*20*100000</f>
        <v>196000000</v>
      </c>
      <c r="D43" s="20"/>
      <c r="E43" s="5"/>
      <c r="F43" s="5"/>
      <c r="H43" s="15">
        <f>LOG(C43)</f>
        <v>8.2922560713564764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44649.354166666664</v>
      </c>
      <c r="B52" s="15">
        <f>0*24+1</f>
        <v>1</v>
      </c>
      <c r="C52" s="19"/>
      <c r="D52" s="21">
        <f>23*100</f>
        <v>2300</v>
      </c>
      <c r="E52" s="5"/>
      <c r="F52" s="5"/>
      <c r="H52" s="15">
        <f>LOG(D52)</f>
        <v>3.3617278360175931</v>
      </c>
    </row>
    <row r="53" spans="1:11" x14ac:dyDescent="0.35">
      <c r="A53" s="14">
        <v>44649.4375</v>
      </c>
      <c r="B53" s="15">
        <f t="shared" ref="B53:B63" si="2">(A53-$A$32)*24+1</f>
        <v>3.0000000000582077</v>
      </c>
      <c r="C53" s="19"/>
      <c r="D53" s="19"/>
      <c r="E53" s="5"/>
      <c r="F53" s="5"/>
      <c r="H53" s="19"/>
    </row>
    <row r="54" spans="1:11" x14ac:dyDescent="0.35">
      <c r="A54" s="14">
        <v>44649.5625</v>
      </c>
      <c r="B54" s="15">
        <f t="shared" si="2"/>
        <v>6.0000000000582077</v>
      </c>
      <c r="C54" s="19"/>
      <c r="D54" s="19"/>
      <c r="E54" s="5"/>
      <c r="F54" s="5"/>
      <c r="H54" s="19"/>
    </row>
    <row r="55" spans="1:11" x14ac:dyDescent="0.35">
      <c r="A55" s="14">
        <v>44649.6875</v>
      </c>
      <c r="B55" s="15">
        <f t="shared" si="2"/>
        <v>9.0000000000582077</v>
      </c>
      <c r="C55" s="19"/>
      <c r="D55" s="19"/>
      <c r="E55" s="5"/>
      <c r="F55" s="5"/>
      <c r="H55" s="19"/>
    </row>
    <row r="56" spans="1:11" x14ac:dyDescent="0.35">
      <c r="A56" s="14">
        <v>44649.819444444445</v>
      </c>
      <c r="B56" s="15">
        <f t="shared" si="2"/>
        <v>12.166666666744277</v>
      </c>
      <c r="C56" s="19"/>
      <c r="D56" s="21">
        <f>37*20*100</f>
        <v>74000</v>
      </c>
      <c r="E56" s="5"/>
      <c r="F56" s="5"/>
      <c r="H56" s="15">
        <f>LOG(D56)</f>
        <v>4.8692317197309762</v>
      </c>
    </row>
    <row r="57" spans="1:11" x14ac:dyDescent="0.35">
      <c r="A57" s="14">
        <v>44650.319444444445</v>
      </c>
      <c r="B57" s="15">
        <f t="shared" si="2"/>
        <v>24.166666666744277</v>
      </c>
      <c r="C57" s="19"/>
      <c r="D57" s="21">
        <f>18*20*10000</f>
        <v>3600000</v>
      </c>
      <c r="E57" s="5"/>
      <c r="F57" s="5"/>
      <c r="H57" s="15">
        <f>LOG(D57)</f>
        <v>6.5563025007672868</v>
      </c>
    </row>
    <row r="58" spans="1:11" x14ac:dyDescent="0.35">
      <c r="A58" s="14">
        <v>44650.440972222219</v>
      </c>
      <c r="B58" s="15">
        <f t="shared" si="2"/>
        <v>27.083333333313931</v>
      </c>
      <c r="C58" s="19"/>
      <c r="D58" s="19"/>
      <c r="E58" s="5"/>
      <c r="F58" s="5"/>
      <c r="H58" s="19"/>
    </row>
    <row r="59" spans="1:11" x14ac:dyDescent="0.35">
      <c r="A59" s="14">
        <v>44650.565972222219</v>
      </c>
      <c r="B59" s="15">
        <f t="shared" si="2"/>
        <v>30.083333333313931</v>
      </c>
      <c r="C59" s="19"/>
      <c r="D59" s="19"/>
      <c r="E59" s="5"/>
      <c r="F59" s="5"/>
      <c r="H59" s="19"/>
    </row>
    <row r="60" spans="1:11" x14ac:dyDescent="0.35">
      <c r="A60" s="14">
        <v>44650.690972222219</v>
      </c>
      <c r="B60" s="15">
        <f t="shared" si="2"/>
        <v>33.083333333313931</v>
      </c>
      <c r="C60" s="19"/>
      <c r="D60" s="19"/>
      <c r="E60" s="5"/>
      <c r="F60" s="5"/>
      <c r="H60" s="19"/>
    </row>
    <row r="61" spans="1:11" x14ac:dyDescent="0.35">
      <c r="A61" s="14">
        <v>44650.805555555555</v>
      </c>
      <c r="B61" s="15">
        <f t="shared" si="2"/>
        <v>35.833333333372138</v>
      </c>
      <c r="C61" s="19"/>
      <c r="D61" s="21">
        <f>71*20*100000</f>
        <v>142000000</v>
      </c>
      <c r="E61" s="16"/>
      <c r="F61" s="5"/>
      <c r="H61" s="15">
        <f>LOG(D61)</f>
        <v>8.1522883443830558</v>
      </c>
    </row>
    <row r="62" spans="1:11" x14ac:dyDescent="0.35">
      <c r="A62" s="14">
        <v>44651.322916666664</v>
      </c>
      <c r="B62" s="15">
        <f t="shared" si="2"/>
        <v>48.25</v>
      </c>
      <c r="C62" s="19"/>
      <c r="D62" s="21">
        <f>AVERAGE(920000000,493000000,920000000)</f>
        <v>777666666.66666663</v>
      </c>
      <c r="E62" s="5"/>
      <c r="F62" s="5"/>
      <c r="H62" s="15">
        <f>LOG(D62)</f>
        <v>8.8907934840740896</v>
      </c>
    </row>
    <row r="63" spans="1:11" x14ac:dyDescent="0.35">
      <c r="A63" s="14">
        <v>44651.565972222219</v>
      </c>
      <c r="B63" s="15">
        <f t="shared" si="2"/>
        <v>54.083333333313931</v>
      </c>
      <c r="C63" s="20"/>
      <c r="D63" s="21">
        <f>280*20*100000</f>
        <v>560000000</v>
      </c>
      <c r="E63" s="5"/>
      <c r="F63" s="5"/>
      <c r="H63" s="15">
        <f>LOG(D63)</f>
        <v>8.7481880270062007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44649.354166666664</v>
      </c>
      <c r="B73" s="15">
        <f>0*24+1</f>
        <v>1</v>
      </c>
      <c r="C73" s="21">
        <f>76*20*100</f>
        <v>152000</v>
      </c>
      <c r="D73" s="21">
        <f>21*100</f>
        <v>2100</v>
      </c>
      <c r="E73" s="5"/>
      <c r="F73" s="5"/>
      <c r="H73" s="15">
        <f t="shared" ref="H73:H84" si="3">LOG(C73)</f>
        <v>5.1818435879447726</v>
      </c>
      <c r="I73" s="15">
        <f t="shared" ref="I73:I84" si="4">LOG(D73)</f>
        <v>3.3222192947339191</v>
      </c>
    </row>
    <row r="74" spans="1:11" x14ac:dyDescent="0.35">
      <c r="A74" s="14">
        <v>44649.4375</v>
      </c>
      <c r="B74" s="15">
        <f t="shared" ref="B74:B84" si="5">(A74-$A$32)*24+1</f>
        <v>3.0000000000582077</v>
      </c>
      <c r="C74" s="21">
        <f>203*20*100</f>
        <v>406000</v>
      </c>
      <c r="D74" s="21">
        <f>59*100</f>
        <v>5900</v>
      </c>
      <c r="E74" s="5"/>
      <c r="F74" s="5"/>
      <c r="H74" s="15">
        <f t="shared" si="3"/>
        <v>5.6085260335771938</v>
      </c>
      <c r="I74" s="15">
        <f t="shared" si="4"/>
        <v>3.7708520116421442</v>
      </c>
    </row>
    <row r="75" spans="1:11" x14ac:dyDescent="0.35">
      <c r="A75" s="14">
        <v>44649.5625</v>
      </c>
      <c r="B75" s="15">
        <f t="shared" si="5"/>
        <v>6.0000000000582077</v>
      </c>
      <c r="C75" s="21">
        <f>58*20*1000</f>
        <v>1160000</v>
      </c>
      <c r="D75" s="21">
        <f>99*100</f>
        <v>9900</v>
      </c>
      <c r="E75" s="5"/>
      <c r="F75" s="15"/>
      <c r="H75" s="15">
        <f t="shared" si="3"/>
        <v>6.0644579892269181</v>
      </c>
      <c r="I75" s="15">
        <f t="shared" si="4"/>
        <v>3.9956351945975501</v>
      </c>
    </row>
    <row r="76" spans="1:11" x14ac:dyDescent="0.35">
      <c r="A76" s="14">
        <v>44649.6875</v>
      </c>
      <c r="B76" s="15">
        <f t="shared" si="5"/>
        <v>9.0000000000582077</v>
      </c>
      <c r="C76" s="21">
        <f>151*20*1000</f>
        <v>3020000</v>
      </c>
      <c r="D76" s="21">
        <f>298*100</f>
        <v>29800</v>
      </c>
      <c r="E76" s="5"/>
      <c r="F76" s="5"/>
      <c r="H76" s="15">
        <f t="shared" si="3"/>
        <v>6.480006942957151</v>
      </c>
      <c r="I76" s="15">
        <f t="shared" si="4"/>
        <v>4.4742162640762553</v>
      </c>
    </row>
    <row r="77" spans="1:11" x14ac:dyDescent="0.35">
      <c r="A77" s="14">
        <v>44649.819444444445</v>
      </c>
      <c r="B77" s="15">
        <f t="shared" si="5"/>
        <v>12.166666666744277</v>
      </c>
      <c r="C77" s="21">
        <f>421*20*1000</f>
        <v>8420000</v>
      </c>
      <c r="D77" s="21">
        <f>708*100</f>
        <v>70800</v>
      </c>
      <c r="E77" s="5"/>
      <c r="F77" s="5"/>
      <c r="H77" s="15">
        <f t="shared" si="3"/>
        <v>6.9253120914996495</v>
      </c>
      <c r="I77" s="15">
        <f t="shared" si="4"/>
        <v>4.8500332576897689</v>
      </c>
    </row>
    <row r="78" spans="1:11" x14ac:dyDescent="0.35">
      <c r="A78" s="14">
        <v>44650.319444444445</v>
      </c>
      <c r="B78" s="15">
        <f t="shared" si="5"/>
        <v>24.166666666744277</v>
      </c>
      <c r="C78" s="21">
        <f>92*20*100000</f>
        <v>184000000</v>
      </c>
      <c r="D78" s="23">
        <f>147*2*10</f>
        <v>2940</v>
      </c>
      <c r="E78" s="16"/>
      <c r="F78" s="5"/>
      <c r="H78" s="15">
        <f t="shared" si="3"/>
        <v>8.2648178230095368</v>
      </c>
      <c r="I78" s="15">
        <f t="shared" si="4"/>
        <v>3.4683473304121573</v>
      </c>
    </row>
    <row r="79" spans="1:11" x14ac:dyDescent="0.35">
      <c r="A79" s="14">
        <v>44650.440972222219</v>
      </c>
      <c r="B79" s="15">
        <f t="shared" si="5"/>
        <v>27.083333333313931</v>
      </c>
      <c r="C79" s="21">
        <f>125*20*100000</f>
        <v>250000000</v>
      </c>
      <c r="D79" s="23">
        <f>AVERAGE(700*2,58*2*10)</f>
        <v>1280</v>
      </c>
      <c r="E79" s="5"/>
      <c r="F79" s="5"/>
      <c r="H79" s="15">
        <f t="shared" si="3"/>
        <v>8.3979400086720375</v>
      </c>
      <c r="I79" s="15">
        <f t="shared" si="4"/>
        <v>3.1072099696478683</v>
      </c>
    </row>
    <row r="80" spans="1:11" x14ac:dyDescent="0.35">
      <c r="A80" s="14">
        <v>44650.565972222219</v>
      </c>
      <c r="B80" s="15">
        <f t="shared" si="5"/>
        <v>30.083333333313931</v>
      </c>
      <c r="C80" s="21">
        <f>116*20*100000</f>
        <v>232000000</v>
      </c>
      <c r="D80" s="23">
        <f>147*2</f>
        <v>294</v>
      </c>
      <c r="E80" s="5"/>
      <c r="F80" s="5"/>
      <c r="H80" s="15">
        <f t="shared" si="3"/>
        <v>8.3654879848908994</v>
      </c>
      <c r="I80" s="15">
        <f t="shared" si="4"/>
        <v>2.4683473304121573</v>
      </c>
    </row>
    <row r="81" spans="1:11" x14ac:dyDescent="0.35">
      <c r="A81" s="14">
        <v>44650.690972222219</v>
      </c>
      <c r="B81" s="15">
        <f t="shared" si="5"/>
        <v>33.083333333313931</v>
      </c>
      <c r="C81" s="23">
        <f>151*20*100000</f>
        <v>302000000</v>
      </c>
      <c r="D81" s="23">
        <f>30*2</f>
        <v>60</v>
      </c>
      <c r="E81" s="5"/>
      <c r="F81" s="15"/>
      <c r="H81" s="18">
        <f t="shared" si="3"/>
        <v>8.4800069429571501</v>
      </c>
      <c r="I81" s="15">
        <f t="shared" si="4"/>
        <v>1.7781512503836436</v>
      </c>
    </row>
    <row r="82" spans="1:11" x14ac:dyDescent="0.35">
      <c r="A82" s="14">
        <v>44650.805555555555</v>
      </c>
      <c r="B82" s="15">
        <f t="shared" si="5"/>
        <v>35.833333333372138</v>
      </c>
      <c r="C82" s="21">
        <f>110*20*100000</f>
        <v>220000000</v>
      </c>
      <c r="D82" s="23">
        <f>13*2</f>
        <v>26</v>
      </c>
      <c r="E82" s="16"/>
      <c r="F82" s="5"/>
      <c r="H82" s="15">
        <f t="shared" si="3"/>
        <v>8.3424226808222066</v>
      </c>
      <c r="I82" s="15">
        <f t="shared" si="4"/>
        <v>1.414973347970818</v>
      </c>
    </row>
    <row r="83" spans="1:11" x14ac:dyDescent="0.35">
      <c r="A83" s="14">
        <v>44651.322916666664</v>
      </c>
      <c r="B83" s="15">
        <f t="shared" si="5"/>
        <v>48.25</v>
      </c>
      <c r="C83" s="21">
        <f>82*20*100000</f>
        <v>164000000</v>
      </c>
      <c r="D83" s="26"/>
      <c r="E83" s="5"/>
      <c r="F83" s="5"/>
      <c r="H83" s="15">
        <f t="shared" si="3"/>
        <v>8.214843848047698</v>
      </c>
      <c r="I83" s="15" t="e">
        <f t="shared" si="4"/>
        <v>#NUM!</v>
      </c>
    </row>
    <row r="84" spans="1:11" x14ac:dyDescent="0.35">
      <c r="A84" s="14">
        <v>44651.565972222219</v>
      </c>
      <c r="B84" s="15">
        <f t="shared" si="5"/>
        <v>54.083333333313931</v>
      </c>
      <c r="C84" s="21">
        <f>122*20*100000</f>
        <v>244000000</v>
      </c>
      <c r="D84" s="26"/>
      <c r="E84" s="5"/>
      <c r="F84" s="5"/>
      <c r="H84" s="15">
        <f t="shared" si="3"/>
        <v>8.3873898263387296</v>
      </c>
      <c r="I84" s="15" t="e">
        <f t="shared" si="4"/>
        <v>#NUM!</v>
      </c>
    </row>
    <row r="85" spans="1:11" x14ac:dyDescent="0.35">
      <c r="C85" s="5"/>
    </row>
    <row r="86" spans="1:11" x14ac:dyDescent="0.35">
      <c r="C86" s="5"/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44649.354166666664</v>
      </c>
      <c r="B95" s="15">
        <f>0*24+1</f>
        <v>1</v>
      </c>
      <c r="C95" s="23">
        <f>121*20*100</f>
        <v>242000</v>
      </c>
      <c r="D95" s="21">
        <f>21*100</f>
        <v>2100</v>
      </c>
      <c r="E95" s="5"/>
      <c r="F95" s="5"/>
      <c r="H95" s="18">
        <f t="shared" ref="H95:H106" si="6">LOG(C95)</f>
        <v>5.3838153659804311</v>
      </c>
      <c r="I95" s="15">
        <f t="shared" ref="I95:I106" si="7">LOG(D95)</f>
        <v>3.3222192947339191</v>
      </c>
      <c r="J95" s="5"/>
      <c r="K95" s="5"/>
    </row>
    <row r="96" spans="1:11" x14ac:dyDescent="0.35">
      <c r="A96" s="14">
        <v>44649.4375</v>
      </c>
      <c r="B96" s="15">
        <f t="shared" ref="B96:B106" si="8">(A96-$A$32)*24+1</f>
        <v>3.0000000000582077</v>
      </c>
      <c r="C96" s="21">
        <f>176*20*100</f>
        <v>352000</v>
      </c>
      <c r="D96" s="21">
        <f>32*100</f>
        <v>3200</v>
      </c>
      <c r="E96" s="5"/>
      <c r="F96" s="15"/>
      <c r="H96" s="15">
        <f t="shared" si="6"/>
        <v>5.5465426634781307</v>
      </c>
      <c r="I96" s="15">
        <f t="shared" si="7"/>
        <v>3.5051499783199058</v>
      </c>
      <c r="J96" s="5"/>
      <c r="K96" s="5"/>
    </row>
    <row r="97" spans="1:11" x14ac:dyDescent="0.35">
      <c r="A97" s="14">
        <v>44649.5625</v>
      </c>
      <c r="B97" s="15">
        <f t="shared" si="8"/>
        <v>6.0000000000582077</v>
      </c>
      <c r="C97" s="21">
        <f>96*20*1000</f>
        <v>1920000</v>
      </c>
      <c r="D97" s="21">
        <f>77*100</f>
        <v>7700</v>
      </c>
      <c r="E97" s="5"/>
      <c r="F97" s="5"/>
      <c r="H97" s="18">
        <f t="shared" si="6"/>
        <v>6.2833012287035492</v>
      </c>
      <c r="I97" s="15">
        <f t="shared" si="7"/>
        <v>3.8864907251724818</v>
      </c>
      <c r="J97" s="5"/>
      <c r="K97" s="5"/>
    </row>
    <row r="98" spans="1:11" x14ac:dyDescent="0.35">
      <c r="A98" s="14">
        <v>44649.6875</v>
      </c>
      <c r="B98" s="15">
        <f t="shared" si="8"/>
        <v>9.0000000000582077</v>
      </c>
      <c r="C98" s="23">
        <f>6200000</f>
        <v>6200000</v>
      </c>
      <c r="D98" s="21">
        <f>302*100</f>
        <v>30200</v>
      </c>
      <c r="E98" s="5"/>
      <c r="F98" s="5"/>
      <c r="H98" s="18">
        <f t="shared" si="6"/>
        <v>6.7923916894982534</v>
      </c>
      <c r="I98" s="15">
        <f t="shared" si="7"/>
        <v>4.480006942957151</v>
      </c>
      <c r="J98" s="5"/>
      <c r="K98" s="5"/>
    </row>
    <row r="99" spans="1:11" x14ac:dyDescent="0.35">
      <c r="A99" s="14">
        <v>44649.819444444445</v>
      </c>
      <c r="B99" s="15">
        <f t="shared" si="8"/>
        <v>12.166666666744277</v>
      </c>
      <c r="C99" s="23">
        <f>30000000</f>
        <v>30000000</v>
      </c>
      <c r="D99" s="21">
        <f>28*20*100</f>
        <v>56000</v>
      </c>
      <c r="E99" s="5"/>
      <c r="F99" s="5"/>
      <c r="H99" s="18">
        <f t="shared" si="6"/>
        <v>7.4771212547196626</v>
      </c>
      <c r="I99" s="15">
        <f t="shared" si="7"/>
        <v>4.7481880270062007</v>
      </c>
      <c r="J99" s="5"/>
      <c r="K99" s="5"/>
    </row>
    <row r="100" spans="1:11" x14ac:dyDescent="0.35">
      <c r="A100" s="14">
        <v>44650.319444444445</v>
      </c>
      <c r="B100" s="15">
        <f t="shared" si="8"/>
        <v>24.166666666744277</v>
      </c>
      <c r="C100" s="21">
        <f>110*20*100000</f>
        <v>220000000</v>
      </c>
      <c r="D100" s="21">
        <f>19*20*1000</f>
        <v>380000</v>
      </c>
      <c r="E100" s="5"/>
      <c r="F100" s="5"/>
      <c r="H100" s="18">
        <f t="shared" si="6"/>
        <v>8.3424226808222066</v>
      </c>
      <c r="I100" s="15">
        <f t="shared" si="7"/>
        <v>5.5797835966168101</v>
      </c>
      <c r="J100" s="5"/>
      <c r="K100" s="5"/>
    </row>
    <row r="101" spans="1:11" x14ac:dyDescent="0.35">
      <c r="A101" s="14">
        <v>44650.440972222219</v>
      </c>
      <c r="B101" s="15">
        <f t="shared" si="8"/>
        <v>27.083333333313931</v>
      </c>
      <c r="C101" s="23">
        <f>110*20*100000</f>
        <v>220000000</v>
      </c>
      <c r="D101" s="21">
        <f>18*20*1000</f>
        <v>360000</v>
      </c>
      <c r="E101" s="5"/>
      <c r="F101" s="5"/>
      <c r="H101" s="18">
        <f t="shared" si="6"/>
        <v>8.3424226808222066</v>
      </c>
      <c r="I101" s="15">
        <f t="shared" si="7"/>
        <v>5.5563025007672868</v>
      </c>
      <c r="J101" s="5"/>
      <c r="K101" s="5"/>
    </row>
    <row r="102" spans="1:11" x14ac:dyDescent="0.35">
      <c r="A102" s="14">
        <v>44650.565972222219</v>
      </c>
      <c r="B102" s="15">
        <f t="shared" si="8"/>
        <v>30.083333333313931</v>
      </c>
      <c r="C102" s="21">
        <f>121*20*100000</f>
        <v>242000000</v>
      </c>
      <c r="D102" s="21">
        <f>15*20*1000</f>
        <v>300000</v>
      </c>
      <c r="E102" s="5"/>
      <c r="F102" s="5"/>
      <c r="H102" s="18">
        <f t="shared" si="6"/>
        <v>8.383815365980432</v>
      </c>
      <c r="I102" s="15">
        <f t="shared" si="7"/>
        <v>5.4771212547196626</v>
      </c>
      <c r="J102" s="5"/>
      <c r="K102" s="5"/>
    </row>
    <row r="103" spans="1:11" x14ac:dyDescent="0.35">
      <c r="A103" s="14">
        <v>44650.690972222219</v>
      </c>
      <c r="B103" s="15">
        <f t="shared" si="8"/>
        <v>33.083333333313931</v>
      </c>
      <c r="C103" s="21">
        <f>114*20*100000</f>
        <v>228000000</v>
      </c>
      <c r="D103" s="21">
        <f>23*20*1000</f>
        <v>460000</v>
      </c>
      <c r="E103" s="5"/>
      <c r="F103" s="5"/>
      <c r="H103" s="18">
        <f t="shared" si="6"/>
        <v>8.357934847000454</v>
      </c>
      <c r="I103" s="15">
        <f t="shared" si="7"/>
        <v>5.6627578316815743</v>
      </c>
      <c r="J103" s="5"/>
      <c r="K103" s="5"/>
    </row>
    <row r="104" spans="1:11" x14ac:dyDescent="0.35">
      <c r="A104" s="14">
        <v>44650.805555555555</v>
      </c>
      <c r="B104" s="15">
        <f t="shared" si="8"/>
        <v>35.833333333372138</v>
      </c>
      <c r="C104" s="21">
        <f>102*20*100000</f>
        <v>204000000</v>
      </c>
      <c r="D104" s="21">
        <f>26*20*1000</f>
        <v>520000</v>
      </c>
      <c r="E104" s="5"/>
      <c r="F104" s="5"/>
      <c r="H104" s="18">
        <f t="shared" si="6"/>
        <v>8.3096301674258992</v>
      </c>
      <c r="I104" s="15">
        <f t="shared" si="7"/>
        <v>5.7160033436347994</v>
      </c>
      <c r="J104" s="5"/>
      <c r="K104" s="5"/>
    </row>
    <row r="105" spans="1:11" x14ac:dyDescent="0.35">
      <c r="A105" s="14">
        <v>44651.322916666664</v>
      </c>
      <c r="B105" s="15">
        <f t="shared" si="8"/>
        <v>48.25</v>
      </c>
      <c r="C105" s="23">
        <f>98*20*100000</f>
        <v>196000000</v>
      </c>
      <c r="D105" s="21">
        <f>17*20*1000</f>
        <v>340000</v>
      </c>
      <c r="E105" s="5"/>
      <c r="F105" s="15"/>
      <c r="H105" s="18">
        <f t="shared" si="6"/>
        <v>8.2922560713564764</v>
      </c>
      <c r="I105" s="15">
        <f t="shared" si="7"/>
        <v>5.5314789170422554</v>
      </c>
      <c r="J105" s="5"/>
      <c r="K105" s="5"/>
    </row>
    <row r="106" spans="1:11" x14ac:dyDescent="0.35">
      <c r="A106" s="14">
        <v>44651.565972222219</v>
      </c>
      <c r="B106" s="15">
        <f t="shared" si="8"/>
        <v>54.083333333313931</v>
      </c>
      <c r="C106" s="21">
        <f>105*20*100000</f>
        <v>210000000</v>
      </c>
      <c r="D106" s="21">
        <f>19*20*1000</f>
        <v>380000</v>
      </c>
      <c r="E106" s="5"/>
      <c r="F106" s="5"/>
      <c r="H106" s="18">
        <f t="shared" si="6"/>
        <v>8.3222192947339195</v>
      </c>
      <c r="I106" s="15">
        <f t="shared" si="7"/>
        <v>5.5797835966168101</v>
      </c>
      <c r="J106" s="5"/>
      <c r="K106" s="5"/>
    </row>
    <row r="107" spans="1:11" x14ac:dyDescent="0.35">
      <c r="H107" s="5"/>
      <c r="I107" s="5"/>
      <c r="J107" s="5"/>
      <c r="K107" s="5"/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8226-3A66-4834-913E-F67436FEAD19}">
  <dimension ref="A1:Q128"/>
  <sheetViews>
    <sheetView topLeftCell="A8" zoomScale="50" zoomScaleNormal="50" workbookViewId="0">
      <selection activeCell="I85" sqref="I85:I100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  <col min="8" max="8" width="9.453125" bestFit="1" customWidth="1"/>
    <col min="10" max="10" width="10" customWidth="1"/>
  </cols>
  <sheetData>
    <row r="1" spans="1:17" ht="15.5" x14ac:dyDescent="0.35">
      <c r="A1" s="4" t="s">
        <v>0</v>
      </c>
      <c r="B1" s="2" t="s">
        <v>1</v>
      </c>
    </row>
    <row r="2" spans="1:17" ht="18.5" x14ac:dyDescent="0.45">
      <c r="A2" s="4" t="s">
        <v>2</v>
      </c>
      <c r="B2" s="3" t="s">
        <v>20</v>
      </c>
      <c r="O2" t="s">
        <v>43</v>
      </c>
      <c r="P2" t="s">
        <v>42</v>
      </c>
    </row>
    <row r="3" spans="1:17" x14ac:dyDescent="0.35">
      <c r="A3" s="4" t="s">
        <v>4</v>
      </c>
      <c r="B3" t="s">
        <v>21</v>
      </c>
      <c r="M3" t="s">
        <v>44</v>
      </c>
    </row>
    <row r="4" spans="1:17" x14ac:dyDescent="0.35">
      <c r="A4" s="4" t="s">
        <v>6</v>
      </c>
      <c r="B4" t="s">
        <v>7</v>
      </c>
      <c r="I4" t="s">
        <v>16</v>
      </c>
      <c r="M4">
        <v>0</v>
      </c>
      <c r="N4">
        <v>494</v>
      </c>
      <c r="O4" s="24">
        <v>150000000</v>
      </c>
      <c r="P4" s="24">
        <f>(O4/1000)*2</f>
        <v>300000</v>
      </c>
      <c r="Q4" s="35">
        <f>LOG(P4)</f>
        <v>5.4771212547196626</v>
      </c>
    </row>
    <row r="5" spans="1:17" x14ac:dyDescent="0.35">
      <c r="I5" t="s">
        <v>17</v>
      </c>
      <c r="J5" t="s">
        <v>18</v>
      </c>
      <c r="K5" t="s">
        <v>19</v>
      </c>
      <c r="N5">
        <v>23</v>
      </c>
      <c r="O5" s="24">
        <v>280000000</v>
      </c>
      <c r="P5" s="24">
        <f>O5/1000</f>
        <v>280000</v>
      </c>
      <c r="Q5" s="35">
        <f t="shared" ref="Q5:Q6" si="0">LOG(P5)</f>
        <v>5.4471580313422194</v>
      </c>
    </row>
    <row r="6" spans="1:17" x14ac:dyDescent="0.35">
      <c r="I6">
        <v>0.26636492622740687</v>
      </c>
      <c r="J6">
        <v>1.8135538261997375E-2</v>
      </c>
      <c r="K6">
        <v>0.99977484526713334</v>
      </c>
      <c r="N6">
        <v>1034</v>
      </c>
      <c r="O6" s="24">
        <v>140000000</v>
      </c>
      <c r="P6" s="24">
        <f>O6/100000</f>
        <v>1400</v>
      </c>
      <c r="Q6" s="35">
        <f t="shared" si="0"/>
        <v>3.1461280356782382</v>
      </c>
    </row>
    <row r="8" spans="1:17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7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  <c r="L9" t="s">
        <v>45</v>
      </c>
      <c r="N9" s="5" t="s">
        <v>46</v>
      </c>
    </row>
    <row r="10" spans="1:17" x14ac:dyDescent="0.35">
      <c r="A10" s="14">
        <v>44649.354166666664</v>
      </c>
      <c r="B10" s="15">
        <f>0*24+1</f>
        <v>1</v>
      </c>
      <c r="C10" s="21">
        <f>61*20*100</f>
        <v>122000</v>
      </c>
      <c r="D10" s="20"/>
      <c r="E10" s="16">
        <v>4.1000000000000002E-2</v>
      </c>
      <c r="F10" s="5">
        <v>5.77</v>
      </c>
      <c r="H10" s="15">
        <f>LOG(C10)</f>
        <v>5.0863598306747484</v>
      </c>
      <c r="I10" s="36"/>
      <c r="J10" s="35">
        <f>(E10-$J$6)/$I$6</f>
        <v>8.5838860475505249E-2</v>
      </c>
      <c r="L10">
        <v>0</v>
      </c>
      <c r="N10" s="35">
        <f t="shared" ref="N10:N25" si="1">H10-$H$10</f>
        <v>0</v>
      </c>
    </row>
    <row r="11" spans="1:17" x14ac:dyDescent="0.35">
      <c r="A11" s="14">
        <v>44649.4375</v>
      </c>
      <c r="B11" s="15">
        <f>(A11-$A$36)*24+1</f>
        <v>3.0000000000582077</v>
      </c>
      <c r="C11" s="21">
        <f>128*20*100</f>
        <v>256000</v>
      </c>
      <c r="D11" s="20"/>
      <c r="E11" s="16">
        <v>4.0000000000000001E-3</v>
      </c>
      <c r="F11" s="5">
        <v>5.76</v>
      </c>
      <c r="H11" s="15">
        <f t="shared" ref="H11:H25" si="2">LOG(C11)</f>
        <v>5.4082399653118491</v>
      </c>
      <c r="I11" s="36"/>
      <c r="J11" s="35">
        <f t="shared" ref="J11:J25" si="3">(E11-$J$6)/$I$6</f>
        <v>-5.3068316696956094E-2</v>
      </c>
      <c r="L11">
        <v>0</v>
      </c>
      <c r="N11" s="35">
        <f>H11-$H$10</f>
        <v>0.32188013463710075</v>
      </c>
    </row>
    <row r="12" spans="1:17" x14ac:dyDescent="0.35">
      <c r="A12" s="14">
        <v>44649.5625</v>
      </c>
      <c r="B12" s="15">
        <f t="shared" ref="B12:B25" si="4">(A12-$A$36)*24+1</f>
        <v>6.0000000000582077</v>
      </c>
      <c r="C12" s="21">
        <f>38*20*1000</f>
        <v>760000</v>
      </c>
      <c r="D12" s="20"/>
      <c r="E12" s="16">
        <v>1.0999999999999999E-2</v>
      </c>
      <c r="F12" s="5">
        <v>5.73</v>
      </c>
      <c r="H12" s="15">
        <f t="shared" si="2"/>
        <v>5.8808135922807914</v>
      </c>
      <c r="I12" s="36"/>
      <c r="J12" s="35">
        <f t="shared" si="3"/>
        <v>-2.6788580475139087E-2</v>
      </c>
      <c r="L12">
        <v>0</v>
      </c>
      <c r="N12" s="35">
        <f t="shared" si="1"/>
        <v>0.79445376160604297</v>
      </c>
    </row>
    <row r="13" spans="1:17" x14ac:dyDescent="0.35">
      <c r="A13" s="14">
        <v>44649.6875</v>
      </c>
      <c r="B13" s="15">
        <f t="shared" si="4"/>
        <v>9.0000000000582077</v>
      </c>
      <c r="C13" s="21">
        <f>130*20*1000</f>
        <v>2600000</v>
      </c>
      <c r="D13" s="20"/>
      <c r="E13" s="16">
        <v>7.2999999999999995E-2</v>
      </c>
      <c r="F13" s="15">
        <v>5.71</v>
      </c>
      <c r="H13" s="15">
        <f t="shared" si="2"/>
        <v>6.4149733479708182</v>
      </c>
      <c r="I13" s="36"/>
      <c r="J13" s="35">
        <f t="shared" si="3"/>
        <v>0.20597479748952585</v>
      </c>
      <c r="L13">
        <v>0</v>
      </c>
      <c r="N13" s="35">
        <f t="shared" si="1"/>
        <v>1.3286135172960698</v>
      </c>
    </row>
    <row r="14" spans="1:17" x14ac:dyDescent="0.35">
      <c r="A14" s="14">
        <v>44649.819444444445</v>
      </c>
      <c r="B14" s="15">
        <f t="shared" si="4"/>
        <v>12.166666666744277</v>
      </c>
      <c r="C14" s="21">
        <f>32*20*10000</f>
        <v>6400000</v>
      </c>
      <c r="D14" s="20"/>
      <c r="E14" s="16">
        <v>-4.0000000000000001E-3</v>
      </c>
      <c r="F14" s="5">
        <v>5.64</v>
      </c>
      <c r="H14" s="15">
        <f t="shared" si="2"/>
        <v>6.8061799739838875</v>
      </c>
      <c r="I14" s="36"/>
      <c r="J14" s="35">
        <f t="shared" si="3"/>
        <v>-8.3102300950461255E-2</v>
      </c>
      <c r="L14">
        <v>0</v>
      </c>
      <c r="N14" s="35">
        <f t="shared" si="1"/>
        <v>1.7198201433091391</v>
      </c>
    </row>
    <row r="15" spans="1:17" x14ac:dyDescent="0.35">
      <c r="A15" s="37">
        <v>44692.375</v>
      </c>
      <c r="B15" s="38">
        <v>15</v>
      </c>
      <c r="C15" s="39">
        <f>251*20*10000</f>
        <v>50200000</v>
      </c>
      <c r="D15" s="40"/>
      <c r="E15" s="41">
        <v>0.113</v>
      </c>
      <c r="F15" s="42">
        <v>4.87</v>
      </c>
      <c r="G15" s="40"/>
      <c r="H15" s="43">
        <f>LOG(C15)</f>
        <v>7.7007037171450197</v>
      </c>
      <c r="I15" s="40"/>
      <c r="J15" s="44">
        <f t="shared" si="3"/>
        <v>0.35614471875705161</v>
      </c>
      <c r="K15" s="40"/>
      <c r="L15" s="40"/>
      <c r="N15" s="35">
        <f>H15-$Q$4</f>
        <v>2.2235824624253571</v>
      </c>
    </row>
    <row r="16" spans="1:17" x14ac:dyDescent="0.35">
      <c r="A16" s="37">
        <v>44692.5</v>
      </c>
      <c r="B16" s="38">
        <v>18</v>
      </c>
      <c r="C16" s="39">
        <f>160000000</f>
        <v>160000000</v>
      </c>
      <c r="D16" s="40"/>
      <c r="E16" s="41">
        <v>0.09</v>
      </c>
      <c r="F16" s="42">
        <v>5.27</v>
      </c>
      <c r="G16" s="40"/>
      <c r="H16" s="43">
        <f t="shared" si="2"/>
        <v>8.204119982655925</v>
      </c>
      <c r="I16" s="40"/>
      <c r="J16" s="44">
        <f t="shared" si="3"/>
        <v>0.26979701402822431</v>
      </c>
      <c r="K16" s="40"/>
      <c r="L16" s="40"/>
      <c r="N16" s="35">
        <f>H16-$Q$4</f>
        <v>2.7269987279362624</v>
      </c>
    </row>
    <row r="17" spans="1:14" x14ac:dyDescent="0.35">
      <c r="A17" s="37">
        <v>44692.625</v>
      </c>
      <c r="B17" s="38">
        <v>21</v>
      </c>
      <c r="C17" s="39">
        <f>75*20*100000</f>
        <v>150000000</v>
      </c>
      <c r="D17" s="40"/>
      <c r="E17" s="41">
        <v>0.46400000000000002</v>
      </c>
      <c r="F17" s="42">
        <v>4.21</v>
      </c>
      <c r="G17" s="40"/>
      <c r="H17" s="43">
        <f t="shared" si="2"/>
        <v>8.1760912590556813</v>
      </c>
      <c r="I17" s="40"/>
      <c r="J17" s="44">
        <f t="shared" si="3"/>
        <v>1.6738857778795904</v>
      </c>
      <c r="K17" s="40"/>
      <c r="L17" s="40"/>
      <c r="N17" s="35">
        <f>H17-$Q$4</f>
        <v>2.6989700043360187</v>
      </c>
    </row>
    <row r="18" spans="1:14" x14ac:dyDescent="0.35">
      <c r="A18" s="14">
        <v>44650.319444444445</v>
      </c>
      <c r="B18" s="15">
        <f t="shared" si="4"/>
        <v>24.166666666744277</v>
      </c>
      <c r="C18" s="21">
        <f>96*20*100000</f>
        <v>192000000</v>
      </c>
      <c r="D18" s="20"/>
      <c r="E18" s="16">
        <v>0.51200000000000001</v>
      </c>
      <c r="F18" s="5">
        <v>4.17</v>
      </c>
      <c r="H18" s="15">
        <f t="shared" si="2"/>
        <v>8.2833012287035501</v>
      </c>
      <c r="I18" s="36"/>
      <c r="J18" s="35">
        <f t="shared" si="3"/>
        <v>1.8540896834006213</v>
      </c>
      <c r="L18">
        <v>3.2</v>
      </c>
      <c r="N18" s="35">
        <f t="shared" si="1"/>
        <v>3.1969413980288017</v>
      </c>
    </row>
    <row r="19" spans="1:14" x14ac:dyDescent="0.35">
      <c r="A19" s="14">
        <v>44650.440972222219</v>
      </c>
      <c r="B19" s="15">
        <f t="shared" si="4"/>
        <v>27.083333333313931</v>
      </c>
      <c r="C19" s="21">
        <f>96*20*100000</f>
        <v>192000000</v>
      </c>
      <c r="D19" s="20"/>
      <c r="E19" s="16">
        <v>0.63700000000000001</v>
      </c>
      <c r="F19" s="5">
        <v>4.07</v>
      </c>
      <c r="H19" s="15">
        <f t="shared" si="2"/>
        <v>8.2833012287035501</v>
      </c>
      <c r="I19" s="36"/>
      <c r="J19" s="35">
        <f t="shared" si="3"/>
        <v>2.3233706873616389</v>
      </c>
      <c r="L19">
        <v>3.2</v>
      </c>
      <c r="N19" s="35">
        <f t="shared" si="1"/>
        <v>3.1969413980288017</v>
      </c>
    </row>
    <row r="20" spans="1:14" x14ac:dyDescent="0.35">
      <c r="A20" s="14">
        <v>44650.565972222219</v>
      </c>
      <c r="B20" s="15">
        <f t="shared" si="4"/>
        <v>30.083333333313931</v>
      </c>
      <c r="C20" s="21">
        <f>130*20*100000</f>
        <v>260000000</v>
      </c>
      <c r="D20" s="20"/>
      <c r="E20" s="16">
        <v>0.82</v>
      </c>
      <c r="F20" s="5">
        <v>3.98</v>
      </c>
      <c r="H20" s="15">
        <f t="shared" si="2"/>
        <v>8.4149733479708182</v>
      </c>
      <c r="I20" s="36"/>
      <c r="J20" s="35">
        <f t="shared" si="3"/>
        <v>3.0103980771605698</v>
      </c>
      <c r="L20">
        <v>3.2</v>
      </c>
      <c r="N20" s="35">
        <f t="shared" si="1"/>
        <v>3.3286135172960698</v>
      </c>
    </row>
    <row r="21" spans="1:14" x14ac:dyDescent="0.35">
      <c r="A21" s="14">
        <v>44650.690972222219</v>
      </c>
      <c r="B21" s="15">
        <f t="shared" si="4"/>
        <v>33.083333333313931</v>
      </c>
      <c r="C21" s="21">
        <f>98*20*100000</f>
        <v>196000000</v>
      </c>
      <c r="D21" s="20"/>
      <c r="E21" s="5">
        <v>0.872</v>
      </c>
      <c r="F21" s="5">
        <v>3.92</v>
      </c>
      <c r="H21" s="15">
        <f t="shared" si="2"/>
        <v>8.2922560713564764</v>
      </c>
      <c r="I21" s="36"/>
      <c r="J21" s="35">
        <f t="shared" si="3"/>
        <v>3.2056189748083534</v>
      </c>
      <c r="L21">
        <v>3.2</v>
      </c>
      <c r="N21" s="35">
        <f t="shared" si="1"/>
        <v>3.205896240681728</v>
      </c>
    </row>
    <row r="22" spans="1:14" x14ac:dyDescent="0.35">
      <c r="A22" s="14">
        <v>44650.805555555555</v>
      </c>
      <c r="B22" s="15">
        <f t="shared" si="4"/>
        <v>35.833333333372138</v>
      </c>
      <c r="C22" s="21">
        <f>113*20*100000</f>
        <v>226000000</v>
      </c>
      <c r="D22" s="20"/>
      <c r="E22" s="5">
        <v>0.96199999999999997</v>
      </c>
      <c r="F22" s="5">
        <v>3.88</v>
      </c>
      <c r="H22" s="15">
        <f t="shared" si="2"/>
        <v>8.3541084391474012</v>
      </c>
      <c r="I22" s="36"/>
      <c r="J22" s="35">
        <f t="shared" si="3"/>
        <v>3.5435012976602858</v>
      </c>
      <c r="L22">
        <v>3.2</v>
      </c>
      <c r="N22" s="35">
        <f t="shared" si="1"/>
        <v>3.2677486084726528</v>
      </c>
    </row>
    <row r="23" spans="1:14" x14ac:dyDescent="0.35">
      <c r="A23" s="37">
        <v>44693.5</v>
      </c>
      <c r="B23" s="38">
        <v>42</v>
      </c>
      <c r="C23" s="45">
        <f>150*20*100000</f>
        <v>300000000</v>
      </c>
      <c r="D23" s="46"/>
      <c r="E23" s="47">
        <v>1.0569999999999999</v>
      </c>
      <c r="F23" s="47">
        <v>3.78</v>
      </c>
      <c r="G23" s="46"/>
      <c r="H23" s="38">
        <f t="shared" si="2"/>
        <v>8.4771212547196626</v>
      </c>
      <c r="I23" s="46"/>
      <c r="J23" s="48">
        <f t="shared" si="3"/>
        <v>3.9001548606706593</v>
      </c>
      <c r="K23" s="46"/>
      <c r="L23" s="46"/>
      <c r="M23" s="46"/>
      <c r="N23" s="48">
        <f>H23-Q4</f>
        <v>3</v>
      </c>
    </row>
    <row r="24" spans="1:14" x14ac:dyDescent="0.35">
      <c r="A24" s="14">
        <v>44651.322916666664</v>
      </c>
      <c r="B24" s="15">
        <f t="shared" si="4"/>
        <v>48.25</v>
      </c>
      <c r="C24" s="21">
        <f>99*20*100000</f>
        <v>198000000</v>
      </c>
      <c r="D24" s="20"/>
      <c r="E24" s="49">
        <v>1.123</v>
      </c>
      <c r="F24" s="5">
        <v>3.82</v>
      </c>
      <c r="H24" s="15">
        <f t="shared" si="2"/>
        <v>8.2966651902615318</v>
      </c>
      <c r="I24" s="36"/>
      <c r="J24" s="35">
        <f t="shared" si="3"/>
        <v>4.1479352307620774</v>
      </c>
      <c r="L24">
        <v>3.2</v>
      </c>
      <c r="N24" s="35">
        <f t="shared" si="1"/>
        <v>3.2103053595867834</v>
      </c>
    </row>
    <row r="25" spans="1:14" x14ac:dyDescent="0.35">
      <c r="A25" s="14">
        <v>44651.565972222219</v>
      </c>
      <c r="B25" s="15">
        <f t="shared" si="4"/>
        <v>54.083333333313931</v>
      </c>
      <c r="C25" s="21">
        <f>120*20*100000</f>
        <v>240000000</v>
      </c>
      <c r="D25" s="20"/>
      <c r="E25" s="49">
        <v>1.304</v>
      </c>
      <c r="F25" s="5">
        <v>3.79</v>
      </c>
      <c r="H25" s="15">
        <f t="shared" si="2"/>
        <v>8.3802112417116064</v>
      </c>
      <c r="I25" s="36"/>
      <c r="J25" s="35">
        <f t="shared" si="3"/>
        <v>4.8274541244976312</v>
      </c>
      <c r="L25">
        <v>3.2</v>
      </c>
      <c r="N25" s="35">
        <f t="shared" si="1"/>
        <v>3.293851411036858</v>
      </c>
    </row>
    <row r="26" spans="1:14" x14ac:dyDescent="0.35">
      <c r="B26" s="5"/>
      <c r="C26" s="5"/>
    </row>
    <row r="27" spans="1:14" x14ac:dyDescent="0.35">
      <c r="B27" s="5"/>
      <c r="C27" s="5"/>
      <c r="E27" t="s">
        <v>31</v>
      </c>
      <c r="F27">
        <f>MIN(F10:F14,F18:F22,F24:F25)</f>
        <v>3.79</v>
      </c>
    </row>
    <row r="28" spans="1:14" x14ac:dyDescent="0.35">
      <c r="C28" s="5"/>
    </row>
    <row r="34" spans="1:13" ht="18.5" x14ac:dyDescent="0.45">
      <c r="A34" s="12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3" x14ac:dyDescent="0.35">
      <c r="A35" t="s">
        <v>23</v>
      </c>
      <c r="B35" s="5" t="s">
        <v>24</v>
      </c>
      <c r="C35" s="5" t="s">
        <v>25</v>
      </c>
      <c r="D35" s="5" t="s">
        <v>26</v>
      </c>
      <c r="E35" s="5" t="s">
        <v>27</v>
      </c>
      <c r="F35" s="5" t="s">
        <v>28</v>
      </c>
      <c r="G35" s="5"/>
      <c r="H35" s="5" t="s">
        <v>29</v>
      </c>
      <c r="I35" s="5" t="s">
        <v>30</v>
      </c>
      <c r="J35" s="5" t="s">
        <v>13</v>
      </c>
      <c r="K35" s="5" t="s">
        <v>28</v>
      </c>
      <c r="M35" s="5" t="s">
        <v>46</v>
      </c>
    </row>
    <row r="36" spans="1:13" x14ac:dyDescent="0.35">
      <c r="A36" s="14">
        <v>44649.354166666664</v>
      </c>
      <c r="B36" s="15">
        <f>0*24+1</f>
        <v>1</v>
      </c>
      <c r="C36" s="21">
        <f>118*20*100</f>
        <v>236000</v>
      </c>
      <c r="D36" s="20"/>
      <c r="E36" s="5">
        <v>1.4999999999999999E-2</v>
      </c>
      <c r="F36" s="5">
        <v>5.77</v>
      </c>
      <c r="H36" s="15">
        <f>LOG(C36)</f>
        <v>5.3729120029701063</v>
      </c>
      <c r="I36" s="5"/>
      <c r="J36" s="35">
        <f>(E36-$J$6)/$I$6</f>
        <v>-1.1771588348386512E-2</v>
      </c>
      <c r="K36" s="5"/>
      <c r="M36" s="35">
        <f>H36-$H$36</f>
        <v>0</v>
      </c>
    </row>
    <row r="37" spans="1:13" x14ac:dyDescent="0.35">
      <c r="A37" s="14">
        <v>44649.4375</v>
      </c>
      <c r="B37" s="15">
        <f>(A37-$A$36)*24+1</f>
        <v>3.0000000000582077</v>
      </c>
      <c r="C37" s="21">
        <f>234*20*100</f>
        <v>468000</v>
      </c>
      <c r="D37" s="20"/>
      <c r="E37" s="5">
        <v>-2.4E-2</v>
      </c>
      <c r="F37" s="5">
        <v>5.73</v>
      </c>
      <c r="H37" s="15">
        <f t="shared" ref="H37:H51" si="5">LOG(C37)</f>
        <v>5.6702458530741238</v>
      </c>
      <c r="I37" s="5"/>
      <c r="J37" s="35">
        <f t="shared" ref="J37:J51" si="6">(E37-$J$6)/$I$6</f>
        <v>-0.15818726158422414</v>
      </c>
      <c r="K37" s="5"/>
      <c r="M37" s="35">
        <f t="shared" ref="M37:M51" si="7">H37-$H$36</f>
        <v>0.29733385010401747</v>
      </c>
    </row>
    <row r="38" spans="1:13" x14ac:dyDescent="0.35">
      <c r="A38" s="14">
        <v>44649.5625</v>
      </c>
      <c r="B38" s="15">
        <f t="shared" ref="B38:B51" si="8">(A38-$A$36)*24+1</f>
        <v>6.0000000000582077</v>
      </c>
      <c r="C38" s="21">
        <f>76*20*1000</f>
        <v>1520000</v>
      </c>
      <c r="D38" s="20"/>
      <c r="E38" s="5">
        <v>8.0000000000000002E-3</v>
      </c>
      <c r="F38" s="5">
        <v>5.7</v>
      </c>
      <c r="H38" s="15">
        <f t="shared" si="5"/>
        <v>6.1818435879447726</v>
      </c>
      <c r="I38" s="5"/>
      <c r="J38" s="35">
        <f t="shared" si="6"/>
        <v>-3.8051324570203521E-2</v>
      </c>
      <c r="K38" s="5"/>
      <c r="M38" s="35">
        <f t="shared" si="7"/>
        <v>0.80893158497466633</v>
      </c>
    </row>
    <row r="39" spans="1:13" x14ac:dyDescent="0.35">
      <c r="A39" s="14">
        <v>44649.6875</v>
      </c>
      <c r="B39" s="15">
        <f t="shared" si="8"/>
        <v>9.0000000000582077</v>
      </c>
      <c r="C39" s="21">
        <f>184*20*1000</f>
        <v>3680000</v>
      </c>
      <c r="D39" s="20"/>
      <c r="E39" s="5">
        <v>-7.6999999999999999E-2</v>
      </c>
      <c r="F39" s="5">
        <v>5.7</v>
      </c>
      <c r="H39" s="15">
        <f t="shared" si="5"/>
        <v>6.5658478186735181</v>
      </c>
      <c r="I39" s="5"/>
      <c r="J39" s="35">
        <f t="shared" si="6"/>
        <v>-0.3571624072636958</v>
      </c>
      <c r="K39" s="5"/>
      <c r="M39" s="35">
        <f t="shared" si="7"/>
        <v>1.1929358157034118</v>
      </c>
    </row>
    <row r="40" spans="1:13" x14ac:dyDescent="0.35">
      <c r="A40" s="14">
        <v>44649.819444444445</v>
      </c>
      <c r="B40" s="15">
        <f t="shared" si="8"/>
        <v>12.166666666744277</v>
      </c>
      <c r="C40" s="23">
        <f>32*20*10000</f>
        <v>6400000</v>
      </c>
      <c r="D40" s="20"/>
      <c r="E40" s="5">
        <v>-0.02</v>
      </c>
      <c r="F40" s="5">
        <v>5.65</v>
      </c>
      <c r="H40" s="15">
        <f t="shared" si="5"/>
        <v>6.8061799739838875</v>
      </c>
      <c r="I40" s="5"/>
      <c r="J40" s="35">
        <f t="shared" si="6"/>
        <v>-0.14317026945747158</v>
      </c>
      <c r="K40" s="5"/>
      <c r="M40" s="35">
        <f t="shared" si="7"/>
        <v>1.4332679710137812</v>
      </c>
    </row>
    <row r="41" spans="1:13" x14ac:dyDescent="0.35">
      <c r="A41" s="37">
        <v>44692.375</v>
      </c>
      <c r="B41" s="38">
        <v>15</v>
      </c>
      <c r="C41" s="50">
        <f>136*20*10000</f>
        <v>27200000</v>
      </c>
      <c r="D41" s="40"/>
      <c r="E41" s="42">
        <v>6.6000000000000003E-2</v>
      </c>
      <c r="F41" s="42">
        <v>5.29</v>
      </c>
      <c r="G41" s="40"/>
      <c r="H41" s="43">
        <f>LOG(C41)</f>
        <v>7.4345689040341991</v>
      </c>
      <c r="I41" s="42"/>
      <c r="J41" s="44">
        <f t="shared" si="6"/>
        <v>0.17969506126770887</v>
      </c>
      <c r="K41" s="42"/>
      <c r="M41" s="35">
        <f>H41-$Q$5</f>
        <v>1.9874108726919797</v>
      </c>
    </row>
    <row r="42" spans="1:13" x14ac:dyDescent="0.35">
      <c r="A42" s="37">
        <v>44692.5</v>
      </c>
      <c r="B42" s="38">
        <v>18</v>
      </c>
      <c r="C42" s="50">
        <f>300000000</f>
        <v>300000000</v>
      </c>
      <c r="D42" s="40"/>
      <c r="E42" s="42">
        <v>9.1999999999999998E-2</v>
      </c>
      <c r="F42" s="42">
        <v>5.46</v>
      </c>
      <c r="G42" s="40"/>
      <c r="H42" s="43">
        <f t="shared" si="5"/>
        <v>8.4771212547196626</v>
      </c>
      <c r="I42" s="42"/>
      <c r="J42" s="44">
        <f t="shared" si="6"/>
        <v>0.27730551009160059</v>
      </c>
      <c r="K42" s="42"/>
      <c r="M42" s="35">
        <f t="shared" ref="M42" si="9">H42-$Q$5</f>
        <v>3.0299632233774432</v>
      </c>
    </row>
    <row r="43" spans="1:13" x14ac:dyDescent="0.35">
      <c r="A43" s="37">
        <v>44692.625</v>
      </c>
      <c r="B43" s="38">
        <v>21</v>
      </c>
      <c r="C43" s="50">
        <f>47*20*100000</f>
        <v>94000000</v>
      </c>
      <c r="D43" s="40"/>
      <c r="E43" s="42">
        <v>0.23100000000000001</v>
      </c>
      <c r="F43" s="42">
        <v>4.54</v>
      </c>
      <c r="G43" s="40"/>
      <c r="H43" s="43">
        <f t="shared" si="5"/>
        <v>7.9731278535996983</v>
      </c>
      <c r="I43" s="42"/>
      <c r="J43" s="44">
        <f t="shared" si="6"/>
        <v>0.79914598649625268</v>
      </c>
      <c r="K43" s="42"/>
      <c r="M43" s="35">
        <f>H43-$Q$5</f>
        <v>2.5259698222574789</v>
      </c>
    </row>
    <row r="44" spans="1:13" x14ac:dyDescent="0.35">
      <c r="A44" s="14">
        <v>44650.319444444445</v>
      </c>
      <c r="B44" s="15">
        <f t="shared" si="8"/>
        <v>24.166666666744277</v>
      </c>
      <c r="C44" s="21">
        <f>85*20*100000</f>
        <v>170000000</v>
      </c>
      <c r="D44" s="20"/>
      <c r="E44" s="5">
        <v>0.33</v>
      </c>
      <c r="F44" s="5">
        <v>4.42</v>
      </c>
      <c r="H44" s="15">
        <f t="shared" si="5"/>
        <v>8.2304489213782741</v>
      </c>
      <c r="I44" s="5"/>
      <c r="J44" s="35">
        <f t="shared" si="6"/>
        <v>1.1708165416333789</v>
      </c>
      <c r="K44" s="5"/>
      <c r="M44" s="35">
        <f t="shared" si="7"/>
        <v>2.8575369184081678</v>
      </c>
    </row>
    <row r="45" spans="1:13" x14ac:dyDescent="0.35">
      <c r="A45" s="14">
        <v>44650.440972222219</v>
      </c>
      <c r="B45" s="15">
        <f t="shared" si="8"/>
        <v>27.083333333313931</v>
      </c>
      <c r="C45" s="21">
        <f>70*20*100000</f>
        <v>140000000</v>
      </c>
      <c r="D45" s="20"/>
      <c r="E45" s="5">
        <v>0.49</v>
      </c>
      <c r="F45" s="5">
        <v>4.2300000000000004</v>
      </c>
      <c r="H45" s="15">
        <f t="shared" si="5"/>
        <v>8.1461280356782382</v>
      </c>
      <c r="I45" s="5"/>
      <c r="J45" s="35">
        <f t="shared" si="6"/>
        <v>1.7714962267034819</v>
      </c>
      <c r="K45" s="5"/>
      <c r="M45" s="35">
        <f t="shared" si="7"/>
        <v>2.7732160327081319</v>
      </c>
    </row>
    <row r="46" spans="1:13" x14ac:dyDescent="0.35">
      <c r="A46" s="14">
        <v>44650.565972222219</v>
      </c>
      <c r="B46" s="15">
        <f t="shared" si="8"/>
        <v>30.083333333313931</v>
      </c>
      <c r="C46" s="21">
        <f>97*20*100000</f>
        <v>194000000</v>
      </c>
      <c r="D46" s="20"/>
      <c r="E46" s="5">
        <v>0.7</v>
      </c>
      <c r="F46" s="5">
        <v>4.04</v>
      </c>
      <c r="H46" s="15">
        <f t="shared" si="5"/>
        <v>8.2878017299302265</v>
      </c>
      <c r="I46" s="5"/>
      <c r="J46" s="35">
        <f t="shared" si="6"/>
        <v>2.5598883133579919</v>
      </c>
      <c r="K46" s="5"/>
      <c r="M46" s="35">
        <f t="shared" si="7"/>
        <v>2.9148897269601202</v>
      </c>
    </row>
    <row r="47" spans="1:13" x14ac:dyDescent="0.35">
      <c r="A47" s="14">
        <v>44650.690972222219</v>
      </c>
      <c r="B47" s="15">
        <f t="shared" si="8"/>
        <v>33.083333333313931</v>
      </c>
      <c r="C47" s="21">
        <f>111*20*100000</f>
        <v>222000000</v>
      </c>
      <c r="D47" s="20"/>
      <c r="E47" s="5">
        <v>0.755</v>
      </c>
      <c r="F47" s="5">
        <v>3.96</v>
      </c>
      <c r="H47" s="15">
        <f t="shared" si="5"/>
        <v>8.3463529744506388</v>
      </c>
      <c r="I47" s="5"/>
      <c r="J47" s="35">
        <f t="shared" si="6"/>
        <v>2.7663719551008406</v>
      </c>
      <c r="K47" s="5"/>
      <c r="M47" s="35">
        <f t="shared" si="7"/>
        <v>2.9734409714805325</v>
      </c>
    </row>
    <row r="48" spans="1:13" x14ac:dyDescent="0.35">
      <c r="A48" s="14">
        <v>44650.805555555555</v>
      </c>
      <c r="B48" s="15">
        <f t="shared" si="8"/>
        <v>35.833333333372138</v>
      </c>
      <c r="C48" s="21">
        <f>95*20*100000</f>
        <v>190000000</v>
      </c>
      <c r="D48" s="20"/>
      <c r="E48" s="5">
        <v>0.95</v>
      </c>
      <c r="F48" s="5">
        <v>3.89</v>
      </c>
      <c r="H48" s="15">
        <f t="shared" si="5"/>
        <v>8.2787536009528289</v>
      </c>
      <c r="I48" s="5"/>
      <c r="J48" s="35">
        <f t="shared" si="6"/>
        <v>3.498450321280028</v>
      </c>
      <c r="K48" s="5"/>
      <c r="M48" s="35">
        <f t="shared" si="7"/>
        <v>2.9058415979827226</v>
      </c>
    </row>
    <row r="49" spans="1:13" x14ac:dyDescent="0.35">
      <c r="A49" s="37">
        <v>44693.5</v>
      </c>
      <c r="B49" s="38">
        <v>42</v>
      </c>
      <c r="C49" s="45">
        <f>69*20*100000</f>
        <v>138000000</v>
      </c>
      <c r="D49" s="46"/>
      <c r="E49" s="47">
        <v>1.0189999999999999</v>
      </c>
      <c r="F49" s="47">
        <v>3.77</v>
      </c>
      <c r="G49" s="46"/>
      <c r="H49" s="38">
        <f t="shared" si="5"/>
        <v>8.1398790864012369</v>
      </c>
      <c r="I49" s="47"/>
      <c r="J49" s="48">
        <f t="shared" si="6"/>
        <v>3.7574934354665097</v>
      </c>
      <c r="K49" s="47"/>
      <c r="L49" s="46"/>
      <c r="M49" s="48">
        <f>H49-Q5</f>
        <v>2.6927210550590175</v>
      </c>
    </row>
    <row r="50" spans="1:13" x14ac:dyDescent="0.35">
      <c r="A50" s="14">
        <v>44651.322916666664</v>
      </c>
      <c r="B50" s="15">
        <f t="shared" si="8"/>
        <v>48.25</v>
      </c>
      <c r="C50" s="21">
        <f>87*20*100000</f>
        <v>174000000</v>
      </c>
      <c r="D50" s="20"/>
      <c r="E50" s="49">
        <v>1.151</v>
      </c>
      <c r="F50" s="5">
        <v>3.77</v>
      </c>
      <c r="H50" s="15">
        <f t="shared" si="5"/>
        <v>8.2405492482825995</v>
      </c>
      <c r="I50" s="5"/>
      <c r="J50" s="35">
        <f t="shared" si="6"/>
        <v>4.2530541756493454</v>
      </c>
      <c r="K50" s="5"/>
      <c r="M50" s="35">
        <f t="shared" si="7"/>
        <v>2.8676372453124932</v>
      </c>
    </row>
    <row r="51" spans="1:13" x14ac:dyDescent="0.35">
      <c r="A51" s="14">
        <v>44651.565972222219</v>
      </c>
      <c r="B51" s="15">
        <f t="shared" si="8"/>
        <v>54.083333333313931</v>
      </c>
      <c r="C51" s="21">
        <f>93*20*100000</f>
        <v>186000000</v>
      </c>
      <c r="D51" s="20"/>
      <c r="E51" s="49">
        <v>1.214</v>
      </c>
      <c r="F51" s="5">
        <v>3.71</v>
      </c>
      <c r="H51" s="15">
        <f t="shared" si="5"/>
        <v>8.2695129442179169</v>
      </c>
      <c r="I51" s="5"/>
      <c r="J51" s="35">
        <f t="shared" si="6"/>
        <v>4.489571801645698</v>
      </c>
      <c r="K51" s="5"/>
      <c r="M51" s="35">
        <f t="shared" si="7"/>
        <v>2.8966009412478106</v>
      </c>
    </row>
    <row r="52" spans="1:13" x14ac:dyDescent="0.35">
      <c r="H52" s="5"/>
      <c r="I52" s="5"/>
      <c r="J52" s="5"/>
      <c r="K52" s="5"/>
    </row>
    <row r="53" spans="1:13" x14ac:dyDescent="0.35">
      <c r="E53" t="s">
        <v>31</v>
      </c>
      <c r="F53">
        <f>MIN(F36:F40,F44:F48,F50:F51)</f>
        <v>3.71</v>
      </c>
      <c r="H53" s="5"/>
      <c r="I53" s="5"/>
      <c r="J53" s="5"/>
      <c r="K53" s="5"/>
    </row>
    <row r="58" spans="1:13" ht="18.5" x14ac:dyDescent="0.45">
      <c r="A58" s="13" t="s">
        <v>34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3" x14ac:dyDescent="0.35">
      <c r="A59" t="s">
        <v>23</v>
      </c>
      <c r="B59" s="5" t="s">
        <v>24</v>
      </c>
      <c r="C59" s="5" t="s">
        <v>25</v>
      </c>
      <c r="D59" s="5" t="s">
        <v>26</v>
      </c>
      <c r="E59" s="5" t="s">
        <v>27</v>
      </c>
      <c r="F59" s="5" t="s">
        <v>28</v>
      </c>
      <c r="G59" s="5"/>
      <c r="H59" s="5" t="s">
        <v>29</v>
      </c>
      <c r="I59" s="5" t="s">
        <v>30</v>
      </c>
      <c r="J59" s="5" t="s">
        <v>13</v>
      </c>
      <c r="K59" s="5" t="s">
        <v>28</v>
      </c>
      <c r="L59" s="5" t="s">
        <v>46</v>
      </c>
    </row>
    <row r="60" spans="1:13" x14ac:dyDescent="0.35">
      <c r="A60" s="14">
        <v>44649.354166666664</v>
      </c>
      <c r="B60" s="15">
        <f>0*24+1</f>
        <v>1</v>
      </c>
      <c r="C60" s="19"/>
      <c r="D60" s="21">
        <f>10*100</f>
        <v>1000</v>
      </c>
      <c r="E60" s="5">
        <v>1.0999999999999999E-2</v>
      </c>
      <c r="F60" s="5">
        <v>5.77</v>
      </c>
      <c r="H60" s="51"/>
      <c r="I60" s="15">
        <f>LOG(D60)</f>
        <v>3</v>
      </c>
      <c r="J60" s="35">
        <f>(E60-$J$6)/$I$6</f>
        <v>-2.6788580475139087E-2</v>
      </c>
      <c r="L60" s="35">
        <f>I60-$I$60</f>
        <v>0</v>
      </c>
    </row>
    <row r="61" spans="1:13" x14ac:dyDescent="0.35">
      <c r="A61" s="14">
        <v>44649.4375</v>
      </c>
      <c r="B61" s="15">
        <f>(A61-$A$36)*24+1</f>
        <v>3.0000000000582077</v>
      </c>
      <c r="C61" s="19"/>
      <c r="D61" s="21">
        <f>28*100</f>
        <v>2800</v>
      </c>
      <c r="E61" s="5">
        <v>-3.5999999999999997E-2</v>
      </c>
      <c r="F61" s="5">
        <v>5.74</v>
      </c>
      <c r="H61" s="29"/>
      <c r="I61" s="15">
        <f t="shared" ref="I61:I75" si="10">LOG(D61)</f>
        <v>3.4471580313422194</v>
      </c>
      <c r="J61" s="35">
        <f t="shared" ref="J61:J75" si="11">(E61-$J$6)/$I$6</f>
        <v>-0.20323823796448184</v>
      </c>
      <c r="L61" s="35">
        <f t="shared" ref="L61:L75" si="12">I61-$I$60</f>
        <v>0.44715803134221943</v>
      </c>
    </row>
    <row r="62" spans="1:13" x14ac:dyDescent="0.35">
      <c r="A62" s="14">
        <v>44649.5625</v>
      </c>
      <c r="B62" s="15">
        <f t="shared" ref="B62:B75" si="13">(A62-$A$36)*24+1</f>
        <v>6.0000000000582077</v>
      </c>
      <c r="C62" s="19"/>
      <c r="D62" s="21">
        <f>29*20*10</f>
        <v>5800</v>
      </c>
      <c r="E62" s="5">
        <v>8.0000000000000002E-3</v>
      </c>
      <c r="F62" s="5">
        <v>5.7</v>
      </c>
      <c r="H62" s="29"/>
      <c r="I62" s="15">
        <f t="shared" si="10"/>
        <v>3.7634279935629373</v>
      </c>
      <c r="J62" s="35">
        <f t="shared" si="11"/>
        <v>-3.8051324570203521E-2</v>
      </c>
      <c r="L62" s="35">
        <f t="shared" si="12"/>
        <v>0.76342799356293733</v>
      </c>
    </row>
    <row r="63" spans="1:13" x14ac:dyDescent="0.35">
      <c r="A63" s="14">
        <v>44649.6875</v>
      </c>
      <c r="B63" s="15">
        <f t="shared" si="13"/>
        <v>9.0000000000582077</v>
      </c>
      <c r="C63" s="19"/>
      <c r="D63" s="21">
        <f>101*20*10</f>
        <v>20200</v>
      </c>
      <c r="E63" s="5">
        <v>-7.6999999999999999E-2</v>
      </c>
      <c r="F63" s="5">
        <v>5.7</v>
      </c>
      <c r="H63" s="29"/>
      <c r="I63" s="15">
        <f t="shared" si="10"/>
        <v>4.3053513694466234</v>
      </c>
      <c r="J63" s="35">
        <f t="shared" si="11"/>
        <v>-0.3571624072636958</v>
      </c>
      <c r="L63" s="35">
        <f t="shared" si="12"/>
        <v>1.3053513694466234</v>
      </c>
    </row>
    <row r="64" spans="1:13" x14ac:dyDescent="0.35">
      <c r="A64" s="14">
        <v>44649.819444444445</v>
      </c>
      <c r="B64" s="15">
        <f t="shared" si="13"/>
        <v>12.166666666744277</v>
      </c>
      <c r="C64" s="19"/>
      <c r="D64" s="21">
        <f>25*20*100</f>
        <v>50000</v>
      </c>
      <c r="E64" s="5">
        <v>-0.02</v>
      </c>
      <c r="F64" s="5">
        <v>5.65</v>
      </c>
      <c r="H64" s="51"/>
      <c r="I64" s="15">
        <f t="shared" si="10"/>
        <v>4.6989700043360187</v>
      </c>
      <c r="J64" s="35">
        <f t="shared" si="11"/>
        <v>-0.14317026945747158</v>
      </c>
      <c r="L64" s="35">
        <f t="shared" si="12"/>
        <v>1.6989700043360187</v>
      </c>
    </row>
    <row r="65" spans="1:12" x14ac:dyDescent="0.35">
      <c r="A65" s="37">
        <v>44692.375</v>
      </c>
      <c r="B65" s="38">
        <v>15</v>
      </c>
      <c r="C65" s="19"/>
      <c r="D65" s="39">
        <f>68*20*100</f>
        <v>136000</v>
      </c>
      <c r="E65" s="42">
        <v>-0.01</v>
      </c>
      <c r="F65" s="42">
        <v>5.75</v>
      </c>
      <c r="G65" s="40"/>
      <c r="H65" s="43"/>
      <c r="I65" s="43">
        <f>LOG(D65)</f>
        <v>5.1335389083702179</v>
      </c>
      <c r="J65" s="44">
        <f t="shared" si="11"/>
        <v>-0.10562778914059012</v>
      </c>
      <c r="L65" s="35">
        <f>I65-$Q$6</f>
        <v>1.9874108726919797</v>
      </c>
    </row>
    <row r="66" spans="1:12" x14ac:dyDescent="0.35">
      <c r="A66" s="37">
        <v>44692.5</v>
      </c>
      <c r="B66" s="38">
        <v>18</v>
      </c>
      <c r="C66" s="19"/>
      <c r="D66" s="39">
        <f>((384000)+(600000)+(653000))/3</f>
        <v>545666.66666666663</v>
      </c>
      <c r="E66" s="42">
        <v>-2.9000000000000001E-2</v>
      </c>
      <c r="F66" s="42">
        <v>5.85</v>
      </c>
      <c r="G66" s="40"/>
      <c r="H66" s="43"/>
      <c r="I66" s="43">
        <f t="shared" si="10"/>
        <v>5.7369274246922792</v>
      </c>
      <c r="J66" s="44">
        <f t="shared" si="11"/>
        <v>-0.17695850174266484</v>
      </c>
      <c r="L66" s="35">
        <f t="shared" ref="L66:L67" si="14">I66-$Q$6</f>
        <v>2.5907993890140411</v>
      </c>
    </row>
    <row r="67" spans="1:12" x14ac:dyDescent="0.35">
      <c r="A67" s="37">
        <v>44692.625</v>
      </c>
      <c r="B67" s="38">
        <v>21</v>
      </c>
      <c r="C67" s="19"/>
      <c r="D67" s="39">
        <f>11*20*10000</f>
        <v>2200000</v>
      </c>
      <c r="E67" s="42">
        <v>-2.1999999999999999E-2</v>
      </c>
      <c r="F67" s="42">
        <v>5.75</v>
      </c>
      <c r="G67" s="40"/>
      <c r="H67" s="43"/>
      <c r="I67" s="43">
        <f t="shared" si="10"/>
        <v>6.3424226808222066</v>
      </c>
      <c r="J67" s="44">
        <f t="shared" si="11"/>
        <v>-0.15067876552084783</v>
      </c>
      <c r="L67" s="35">
        <f t="shared" si="14"/>
        <v>3.1962946451439684</v>
      </c>
    </row>
    <row r="68" spans="1:12" x14ac:dyDescent="0.35">
      <c r="A68" s="14">
        <v>44650.319444444445</v>
      </c>
      <c r="B68" s="15">
        <f t="shared" si="13"/>
        <v>24.166666666744277</v>
      </c>
      <c r="C68" s="19"/>
      <c r="D68" s="21">
        <f>26*20*10000</f>
        <v>5200000</v>
      </c>
      <c r="E68" s="5">
        <v>-2.7E-2</v>
      </c>
      <c r="F68" s="5">
        <v>5.74</v>
      </c>
      <c r="H68" s="51"/>
      <c r="I68" s="15">
        <f t="shared" si="10"/>
        <v>6.7160033436347994</v>
      </c>
      <c r="J68" s="35">
        <f t="shared" si="11"/>
        <v>-0.16945000567928856</v>
      </c>
      <c r="L68" s="35">
        <f t="shared" si="12"/>
        <v>3.7160033436347994</v>
      </c>
    </row>
    <row r="69" spans="1:12" x14ac:dyDescent="0.35">
      <c r="A69" s="14">
        <v>44650.440972222219</v>
      </c>
      <c r="B69" s="15">
        <f t="shared" si="13"/>
        <v>27.083333333313931</v>
      </c>
      <c r="C69" s="19"/>
      <c r="D69" s="21">
        <f>42*20*10000</f>
        <v>8400000</v>
      </c>
      <c r="E69" s="5">
        <v>-1.0999999999999999E-2</v>
      </c>
      <c r="F69" s="5">
        <v>5.7</v>
      </c>
      <c r="H69" s="29"/>
      <c r="I69" s="15">
        <f t="shared" si="10"/>
        <v>6.924279286061882</v>
      </c>
      <c r="J69" s="35">
        <f t="shared" si="11"/>
        <v>-0.10938203717227826</v>
      </c>
      <c r="L69" s="35">
        <f t="shared" si="12"/>
        <v>3.924279286061882</v>
      </c>
    </row>
    <row r="70" spans="1:12" x14ac:dyDescent="0.35">
      <c r="A70" s="14">
        <v>44650.565972222219</v>
      </c>
      <c r="B70" s="15">
        <f t="shared" si="13"/>
        <v>30.083333333313931</v>
      </c>
      <c r="C70" s="19"/>
      <c r="D70" s="21">
        <f>24*20*100000</f>
        <v>48000000</v>
      </c>
      <c r="E70" s="5">
        <v>-1.7000000000000001E-2</v>
      </c>
      <c r="F70" s="5">
        <v>5.64</v>
      </c>
      <c r="H70" s="29"/>
      <c r="I70" s="15">
        <f t="shared" si="10"/>
        <v>7.6812412373755876</v>
      </c>
      <c r="J70" s="35">
        <f t="shared" si="11"/>
        <v>-0.13190752536240713</v>
      </c>
      <c r="L70" s="35">
        <f t="shared" si="12"/>
        <v>4.6812412373755876</v>
      </c>
    </row>
    <row r="71" spans="1:12" x14ac:dyDescent="0.35">
      <c r="A71" s="14">
        <v>44650.690972222219</v>
      </c>
      <c r="B71" s="15">
        <f t="shared" si="13"/>
        <v>33.083333333313931</v>
      </c>
      <c r="C71" s="19"/>
      <c r="D71" s="21">
        <f>55*20*100000</f>
        <v>110000000</v>
      </c>
      <c r="E71" s="5">
        <v>-1.7000000000000001E-2</v>
      </c>
      <c r="F71" s="5">
        <v>5.55</v>
      </c>
      <c r="H71" s="29"/>
      <c r="I71" s="15">
        <f t="shared" si="10"/>
        <v>8.0413926851582254</v>
      </c>
      <c r="J71" s="35">
        <f t="shared" si="11"/>
        <v>-0.13190752536240713</v>
      </c>
      <c r="L71" s="35">
        <f t="shared" si="12"/>
        <v>5.0413926851582254</v>
      </c>
    </row>
    <row r="72" spans="1:12" x14ac:dyDescent="0.35">
      <c r="A72" s="14">
        <v>44650.805555555555</v>
      </c>
      <c r="B72" s="15">
        <f t="shared" si="13"/>
        <v>35.833333333372138</v>
      </c>
      <c r="C72" s="19"/>
      <c r="D72" s="21">
        <f>71*20*100000</f>
        <v>142000000</v>
      </c>
      <c r="E72" s="5">
        <v>2.9000000000000001E-2</v>
      </c>
      <c r="F72" s="5">
        <v>5.35</v>
      </c>
      <c r="H72" s="51"/>
      <c r="I72" s="15">
        <f t="shared" si="10"/>
        <v>8.1522883443830558</v>
      </c>
      <c r="J72" s="35">
        <f t="shared" si="11"/>
        <v>4.0787884095247515E-2</v>
      </c>
      <c r="L72" s="35">
        <f t="shared" si="12"/>
        <v>5.1522883443830558</v>
      </c>
    </row>
    <row r="73" spans="1:12" x14ac:dyDescent="0.35">
      <c r="A73" s="37">
        <v>44693.5</v>
      </c>
      <c r="B73" s="38">
        <v>42</v>
      </c>
      <c r="C73" s="19"/>
      <c r="D73" s="45">
        <f>((600000000)+(400000000)+(840000000))/3</f>
        <v>613333333.33333337</v>
      </c>
      <c r="E73" s="47">
        <v>0.13700000000000001</v>
      </c>
      <c r="F73" s="47">
        <v>4.87</v>
      </c>
      <c r="G73" s="46"/>
      <c r="H73" s="38"/>
      <c r="I73" s="38">
        <f t="shared" si="10"/>
        <v>8.7876965682898742</v>
      </c>
      <c r="J73" s="48">
        <f t="shared" si="11"/>
        <v>0.44624667151756714</v>
      </c>
      <c r="K73" s="46"/>
      <c r="L73" s="48">
        <f>I73-Q6</f>
        <v>5.641568532611636</v>
      </c>
    </row>
    <row r="74" spans="1:12" x14ac:dyDescent="0.35">
      <c r="A74" s="14">
        <v>44651.322916666664</v>
      </c>
      <c r="B74" s="15">
        <f t="shared" si="13"/>
        <v>48.25</v>
      </c>
      <c r="C74" s="19"/>
      <c r="D74" s="21">
        <f>MEDIAN(760000000,613000000,627000000)</f>
        <v>627000000</v>
      </c>
      <c r="E74" s="5">
        <v>0.217</v>
      </c>
      <c r="F74" s="5">
        <v>4.5999999999999996</v>
      </c>
      <c r="H74" s="51"/>
      <c r="I74" s="15">
        <f t="shared" si="10"/>
        <v>8.7972675408307168</v>
      </c>
      <c r="J74" s="35">
        <f t="shared" si="11"/>
        <v>0.74658651405261867</v>
      </c>
      <c r="L74" s="35">
        <f t="shared" si="12"/>
        <v>5.7972675408307168</v>
      </c>
    </row>
    <row r="75" spans="1:12" x14ac:dyDescent="0.35">
      <c r="A75" s="14">
        <v>44651.565972222219</v>
      </c>
      <c r="B75" s="15">
        <f t="shared" si="13"/>
        <v>54.083333333313931</v>
      </c>
      <c r="C75" s="20"/>
      <c r="D75" s="21">
        <f>247*20*100000</f>
        <v>494000000</v>
      </c>
      <c r="E75" s="5">
        <v>0.29899999999999999</v>
      </c>
      <c r="F75" s="5">
        <v>4.41</v>
      </c>
      <c r="H75" s="51"/>
      <c r="I75" s="15">
        <f t="shared" si="10"/>
        <v>8.6937269489236471</v>
      </c>
      <c r="J75" s="35">
        <f t="shared" si="11"/>
        <v>1.0544348526510463</v>
      </c>
      <c r="L75" s="35">
        <f t="shared" si="12"/>
        <v>5.6937269489236471</v>
      </c>
    </row>
    <row r="77" spans="1:12" x14ac:dyDescent="0.35">
      <c r="E77" t="s">
        <v>31</v>
      </c>
      <c r="F77">
        <f>MIN(F60:F64,F68:F72,F74:F75)</f>
        <v>4.41</v>
      </c>
    </row>
    <row r="83" spans="1:15" ht="18.5" x14ac:dyDescent="0.45">
      <c r="A83" s="33" t="s">
        <v>35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 spans="1:15" x14ac:dyDescent="0.35">
      <c r="A84" t="s">
        <v>23</v>
      </c>
      <c r="B84" s="5" t="s">
        <v>24</v>
      </c>
      <c r="C84" s="5" t="s">
        <v>25</v>
      </c>
      <c r="D84" s="5" t="s">
        <v>26</v>
      </c>
      <c r="E84" s="5" t="s">
        <v>27</v>
      </c>
      <c r="F84" s="5" t="s">
        <v>28</v>
      </c>
      <c r="G84" s="5"/>
      <c r="H84" s="5" t="s">
        <v>29</v>
      </c>
      <c r="I84" s="5" t="s">
        <v>30</v>
      </c>
      <c r="J84" s="5" t="s">
        <v>13</v>
      </c>
      <c r="K84" s="5" t="s">
        <v>28</v>
      </c>
      <c r="L84" t="s">
        <v>45</v>
      </c>
      <c r="N84" s="5" t="s">
        <v>46</v>
      </c>
      <c r="O84" s="5" t="s">
        <v>46</v>
      </c>
    </row>
    <row r="85" spans="1:15" x14ac:dyDescent="0.35">
      <c r="A85" s="14">
        <v>44649.354166666664</v>
      </c>
      <c r="B85" s="15">
        <f>0*24+1</f>
        <v>1</v>
      </c>
      <c r="C85" s="21">
        <f>74*20*100</f>
        <v>148000</v>
      </c>
      <c r="D85" s="21">
        <f>19*100</f>
        <v>1900</v>
      </c>
      <c r="E85" s="5">
        <v>0.03</v>
      </c>
      <c r="F85" s="5">
        <v>5.8</v>
      </c>
      <c r="H85" s="15">
        <f>LOG(C85)</f>
        <v>5.1702617153949575</v>
      </c>
      <c r="I85" s="15">
        <f>LOG(D85)</f>
        <v>3.2787536009528289</v>
      </c>
      <c r="J85" s="35">
        <f>(E85-$J$6)/$I$6</f>
        <v>4.4542132126935648E-2</v>
      </c>
      <c r="L85">
        <v>0</v>
      </c>
      <c r="N85" s="35">
        <f>H85-$H$85</f>
        <v>0</v>
      </c>
      <c r="O85" s="35">
        <f>I85-$I$85</f>
        <v>0</v>
      </c>
    </row>
    <row r="86" spans="1:15" x14ac:dyDescent="0.35">
      <c r="A86" s="14">
        <v>44649.4375</v>
      </c>
      <c r="B86" s="15">
        <f>(A86-$A$36)*24+1</f>
        <v>3.0000000000582077</v>
      </c>
      <c r="C86" s="21">
        <f>125*20*100</f>
        <v>250000</v>
      </c>
      <c r="D86" s="21">
        <f>39*100</f>
        <v>3900</v>
      </c>
      <c r="E86" s="5">
        <v>-0.02</v>
      </c>
      <c r="F86" s="5">
        <v>5.76</v>
      </c>
      <c r="H86" s="15">
        <f t="shared" ref="H86:I100" si="15">LOG(C86)</f>
        <v>5.3979400086720375</v>
      </c>
      <c r="I86" s="15">
        <f t="shared" si="15"/>
        <v>3.5910646070264991</v>
      </c>
      <c r="J86" s="35">
        <f t="shared" ref="J86:J100" si="16">(E86-$J$6)/$I$6</f>
        <v>-0.14317026945747158</v>
      </c>
      <c r="L86">
        <v>0</v>
      </c>
      <c r="N86" s="35">
        <f t="shared" ref="N86:N100" si="17">H86-$H$85</f>
        <v>0.22767829327708</v>
      </c>
      <c r="O86" s="35">
        <f t="shared" ref="O86:O100" si="18">I86-$I$85</f>
        <v>0.31231100607367024</v>
      </c>
    </row>
    <row r="87" spans="1:15" x14ac:dyDescent="0.35">
      <c r="A87" s="14">
        <v>44649.5625</v>
      </c>
      <c r="B87" s="15">
        <f t="shared" ref="B87:B100" si="19">(A87-$A$36)*24+1</f>
        <v>6.0000000000582077</v>
      </c>
      <c r="C87" s="21">
        <f>32*20*1000</f>
        <v>640000</v>
      </c>
      <c r="D87" s="21">
        <f>30*20*10</f>
        <v>6000</v>
      </c>
      <c r="E87" s="5">
        <v>8.0000000000000002E-3</v>
      </c>
      <c r="F87" s="15">
        <v>5.7</v>
      </c>
      <c r="H87" s="15">
        <f t="shared" si="15"/>
        <v>5.8061799739838875</v>
      </c>
      <c r="I87" s="15">
        <f t="shared" si="15"/>
        <v>3.7781512503836434</v>
      </c>
      <c r="J87" s="35">
        <f t="shared" si="16"/>
        <v>-3.8051324570203521E-2</v>
      </c>
      <c r="L87">
        <v>0</v>
      </c>
      <c r="N87" s="35">
        <f t="shared" si="17"/>
        <v>0.63591825858893003</v>
      </c>
      <c r="O87" s="35">
        <f t="shared" si="18"/>
        <v>0.49939764943081455</v>
      </c>
    </row>
    <row r="88" spans="1:15" x14ac:dyDescent="0.35">
      <c r="A88" s="14">
        <v>44649.6875</v>
      </c>
      <c r="B88" s="15">
        <f t="shared" si="19"/>
        <v>9.0000000000582077</v>
      </c>
      <c r="C88" s="21">
        <f>115*20*1000</f>
        <v>2300000</v>
      </c>
      <c r="D88" s="21">
        <f>92*20*10</f>
        <v>18400</v>
      </c>
      <c r="E88" s="5">
        <v>-0.113</v>
      </c>
      <c r="F88" s="5">
        <v>5.71</v>
      </c>
      <c r="H88" s="15">
        <f t="shared" si="15"/>
        <v>6.3617278360175931</v>
      </c>
      <c r="I88" s="15">
        <f t="shared" si="15"/>
        <v>4.2648178230095368</v>
      </c>
      <c r="J88" s="35">
        <f t="shared" si="16"/>
        <v>-0.49231533640446895</v>
      </c>
      <c r="L88">
        <v>0</v>
      </c>
      <c r="N88" s="35">
        <f t="shared" si="17"/>
        <v>1.1914661206226356</v>
      </c>
      <c r="O88" s="35">
        <f t="shared" si="18"/>
        <v>0.98606422205670796</v>
      </c>
    </row>
    <row r="89" spans="1:15" x14ac:dyDescent="0.35">
      <c r="A89" s="14">
        <v>44649.819444444445</v>
      </c>
      <c r="B89" s="15">
        <f t="shared" si="19"/>
        <v>12.166666666744277</v>
      </c>
      <c r="C89" s="21">
        <f>38*20*10000</f>
        <v>7600000</v>
      </c>
      <c r="D89" s="21">
        <f>20*20*100</f>
        <v>40000</v>
      </c>
      <c r="E89" s="5">
        <v>-2.3E-2</v>
      </c>
      <c r="F89" s="5">
        <v>5.66</v>
      </c>
      <c r="H89" s="15">
        <f t="shared" si="15"/>
        <v>6.8808135922807914</v>
      </c>
      <c r="I89" s="15">
        <f t="shared" si="15"/>
        <v>4.6020599913279625</v>
      </c>
      <c r="J89" s="35">
        <f t="shared" si="16"/>
        <v>-0.154433013552536</v>
      </c>
      <c r="L89">
        <v>0</v>
      </c>
      <c r="N89" s="35">
        <f t="shared" si="17"/>
        <v>1.7105518768858339</v>
      </c>
      <c r="O89" s="35">
        <f t="shared" si="18"/>
        <v>1.3233063903751336</v>
      </c>
    </row>
    <row r="90" spans="1:15" x14ac:dyDescent="0.35">
      <c r="A90" s="37">
        <v>44692.375</v>
      </c>
      <c r="B90" s="38">
        <v>15</v>
      </c>
      <c r="C90" s="39">
        <f>190*20*10000</f>
        <v>38000000</v>
      </c>
      <c r="D90" s="39">
        <f>29*20*100</f>
        <v>58000</v>
      </c>
      <c r="E90" s="42">
        <v>0.127</v>
      </c>
      <c r="F90" s="42">
        <v>4.88</v>
      </c>
      <c r="G90" s="40"/>
      <c r="H90" s="15">
        <f>LOG(C90)</f>
        <v>7.5797835966168101</v>
      </c>
      <c r="I90" s="15">
        <f>LOG(D90)</f>
        <v>4.7634279935629369</v>
      </c>
      <c r="J90" s="44">
        <f t="shared" si="16"/>
        <v>0.40870419120068563</v>
      </c>
      <c r="N90" s="35">
        <f>H90-$Q$4</f>
        <v>2.1026623418971475</v>
      </c>
      <c r="O90" s="35">
        <f>I90-$Q$6</f>
        <v>1.6172999578846987</v>
      </c>
    </row>
    <row r="91" spans="1:15" x14ac:dyDescent="0.35">
      <c r="A91" s="37">
        <v>44692.5</v>
      </c>
      <c r="B91" s="38">
        <v>18</v>
      </c>
      <c r="C91" s="39">
        <f>250000000</f>
        <v>250000000</v>
      </c>
      <c r="D91" s="39">
        <f>181*20*10</f>
        <v>36200</v>
      </c>
      <c r="E91" s="42">
        <v>0.105</v>
      </c>
      <c r="F91" s="42">
        <v>5.32</v>
      </c>
      <c r="G91" s="40"/>
      <c r="H91" s="15">
        <f t="shared" si="15"/>
        <v>8.3979400086720375</v>
      </c>
      <c r="I91" s="15">
        <f t="shared" si="15"/>
        <v>4.5587085705331658</v>
      </c>
      <c r="J91" s="44">
        <f t="shared" si="16"/>
        <v>0.32611073450354644</v>
      </c>
      <c r="N91" s="35">
        <f t="shared" ref="N91:N92" si="20">H91-$Q$4</f>
        <v>2.9208187539523749</v>
      </c>
      <c r="O91" s="35">
        <f t="shared" ref="O91:O92" si="21">I91-$Q$6</f>
        <v>1.4125805348549276</v>
      </c>
    </row>
    <row r="92" spans="1:15" x14ac:dyDescent="0.35">
      <c r="A92" s="37">
        <v>44692.625</v>
      </c>
      <c r="B92" s="38">
        <v>21</v>
      </c>
      <c r="C92" s="39">
        <f>94*20*100000</f>
        <v>188000000</v>
      </c>
      <c r="D92" s="39">
        <f>22*20*10</f>
        <v>4400</v>
      </c>
      <c r="E92" s="42">
        <v>0.49099999999999999</v>
      </c>
      <c r="F92" s="42">
        <v>4.24</v>
      </c>
      <c r="G92" s="40"/>
      <c r="H92" s="15">
        <f t="shared" si="15"/>
        <v>8.2741578492636805</v>
      </c>
      <c r="I92" s="15">
        <f t="shared" si="15"/>
        <v>3.6434526764861874</v>
      </c>
      <c r="J92" s="44">
        <f t="shared" si="16"/>
        <v>1.7752504747351701</v>
      </c>
      <c r="N92" s="35">
        <f t="shared" si="20"/>
        <v>2.7970365945440179</v>
      </c>
      <c r="O92" s="35">
        <f t="shared" si="21"/>
        <v>0.49732464080794925</v>
      </c>
    </row>
    <row r="93" spans="1:15" x14ac:dyDescent="0.35">
      <c r="A93" s="14">
        <v>44650.319444444445</v>
      </c>
      <c r="B93" s="15">
        <f t="shared" si="19"/>
        <v>24.166666666744277</v>
      </c>
      <c r="C93" s="21">
        <f>101*20*100000</f>
        <v>202000000</v>
      </c>
      <c r="D93" s="23">
        <f>30*20*10</f>
        <v>6000</v>
      </c>
      <c r="E93" s="16">
        <v>0.48699999999999999</v>
      </c>
      <c r="F93" s="5">
        <v>4.1900000000000004</v>
      </c>
      <c r="H93" s="15">
        <f t="shared" si="15"/>
        <v>8.3053513694466243</v>
      </c>
      <c r="I93" s="15">
        <f t="shared" si="15"/>
        <v>3.7781512503836434</v>
      </c>
      <c r="J93" s="35">
        <f t="shared" si="16"/>
        <v>1.7602334826084176</v>
      </c>
      <c r="L93">
        <v>3.2</v>
      </c>
      <c r="N93" s="35">
        <f t="shared" si="17"/>
        <v>3.1350896540516668</v>
      </c>
      <c r="O93" s="35">
        <f t="shared" si="18"/>
        <v>0.49939764943081455</v>
      </c>
    </row>
    <row r="94" spans="1:15" x14ac:dyDescent="0.35">
      <c r="A94" s="14">
        <v>44650.440972222219</v>
      </c>
      <c r="B94" s="15">
        <f t="shared" si="19"/>
        <v>27.083333333313931</v>
      </c>
      <c r="C94" s="21">
        <f>86*20*100000</f>
        <v>172000000</v>
      </c>
      <c r="D94" s="23">
        <f>5*20*10</f>
        <v>1000</v>
      </c>
      <c r="E94" s="5">
        <v>0.625</v>
      </c>
      <c r="F94" s="5">
        <v>4.08</v>
      </c>
      <c r="H94" s="15">
        <f t="shared" si="15"/>
        <v>8.2355284469075496</v>
      </c>
      <c r="I94" s="15">
        <f t="shared" si="15"/>
        <v>3</v>
      </c>
      <c r="J94" s="35">
        <f t="shared" si="16"/>
        <v>2.2783197109813811</v>
      </c>
      <c r="L94">
        <v>1.6</v>
      </c>
      <c r="N94" s="35">
        <f t="shared" si="17"/>
        <v>3.0652667315125921</v>
      </c>
      <c r="O94" s="35">
        <f t="shared" si="18"/>
        <v>-0.27875360095282886</v>
      </c>
    </row>
    <row r="95" spans="1:15" x14ac:dyDescent="0.35">
      <c r="A95" s="14">
        <v>44650.565972222219</v>
      </c>
      <c r="B95" s="15">
        <f t="shared" si="19"/>
        <v>30.083333333313931</v>
      </c>
      <c r="C95" s="21">
        <f>112*20*100000</f>
        <v>224000000</v>
      </c>
      <c r="D95" s="23">
        <f>AVERAGE(166*2,7*2*10)</f>
        <v>236</v>
      </c>
      <c r="E95" s="5">
        <v>0.81699999999999995</v>
      </c>
      <c r="F95" s="5">
        <v>3.96</v>
      </c>
      <c r="H95" s="15">
        <f t="shared" si="15"/>
        <v>8.3502480183341632</v>
      </c>
      <c r="I95" s="15">
        <f t="shared" si="15"/>
        <v>2.3729120029701067</v>
      </c>
      <c r="J95" s="35">
        <f t="shared" si="16"/>
        <v>2.9991353330655048</v>
      </c>
      <c r="L95">
        <v>1.6</v>
      </c>
      <c r="N95" s="35">
        <f t="shared" si="17"/>
        <v>3.1799863029392057</v>
      </c>
      <c r="O95" s="35">
        <f t="shared" si="18"/>
        <v>-0.90584159798272212</v>
      </c>
    </row>
    <row r="96" spans="1:15" x14ac:dyDescent="0.35">
      <c r="A96" s="14">
        <v>44650.690972222219</v>
      </c>
      <c r="B96" s="15">
        <f t="shared" si="19"/>
        <v>33.083333333313931</v>
      </c>
      <c r="C96" s="23">
        <f>111*20*100000</f>
        <v>222000000</v>
      </c>
      <c r="D96" s="23">
        <f>AVERAGE(64*2,9*2*10)</f>
        <v>154</v>
      </c>
      <c r="E96" s="5">
        <v>0.88700000000000001</v>
      </c>
      <c r="F96" s="15">
        <v>3.93</v>
      </c>
      <c r="H96" s="18">
        <f t="shared" si="15"/>
        <v>8.3463529744506388</v>
      </c>
      <c r="I96" s="15">
        <f t="shared" si="15"/>
        <v>2.1875207208364631</v>
      </c>
      <c r="J96" s="35">
        <f t="shared" si="16"/>
        <v>3.2619326952836749</v>
      </c>
      <c r="L96">
        <v>3.2</v>
      </c>
      <c r="N96" s="35">
        <f t="shared" si="17"/>
        <v>3.1760912590556813</v>
      </c>
      <c r="O96" s="35">
        <f t="shared" si="18"/>
        <v>-1.0912328801163658</v>
      </c>
    </row>
    <row r="97" spans="1:15" x14ac:dyDescent="0.35">
      <c r="A97" s="14">
        <v>44650.805555555555</v>
      </c>
      <c r="B97" s="15">
        <f t="shared" si="19"/>
        <v>35.833333333372138</v>
      </c>
      <c r="C97" s="21">
        <f>99*20*100000</f>
        <v>198000000</v>
      </c>
      <c r="D97" s="23">
        <f>13*2</f>
        <v>26</v>
      </c>
      <c r="E97" s="16">
        <v>0.97599999999999998</v>
      </c>
      <c r="F97" s="5">
        <v>3.89</v>
      </c>
      <c r="H97" s="15">
        <f t="shared" si="15"/>
        <v>8.2966651902615318</v>
      </c>
      <c r="I97" s="15">
        <f t="shared" si="15"/>
        <v>1.414973347970818</v>
      </c>
      <c r="J97" s="35">
        <f t="shared" si="16"/>
        <v>3.5960607701039198</v>
      </c>
      <c r="L97">
        <v>3.2</v>
      </c>
      <c r="N97" s="35">
        <f t="shared" si="17"/>
        <v>3.1264034748665743</v>
      </c>
      <c r="O97" s="35">
        <f t="shared" si="18"/>
        <v>-1.8637802529820109</v>
      </c>
    </row>
    <row r="98" spans="1:15" x14ac:dyDescent="0.35">
      <c r="A98" s="37">
        <v>44693.5</v>
      </c>
      <c r="B98" s="38">
        <v>42</v>
      </c>
      <c r="C98" s="45">
        <f>88*20*100000</f>
        <v>176000000</v>
      </c>
      <c r="D98" s="52">
        <f>2/5</f>
        <v>0.4</v>
      </c>
      <c r="E98" s="53">
        <v>1.0740000000000001</v>
      </c>
      <c r="F98" s="47">
        <v>3.78</v>
      </c>
      <c r="G98" s="46"/>
      <c r="H98" s="38">
        <f t="shared" si="15"/>
        <v>8.2455126678141504</v>
      </c>
      <c r="I98" s="38">
        <f>LOG(D98)</f>
        <v>-0.3979400086720376</v>
      </c>
      <c r="J98" s="48">
        <f t="shared" si="16"/>
        <v>3.9639770772093583</v>
      </c>
      <c r="K98" s="46"/>
      <c r="L98" s="46"/>
      <c r="M98" s="46"/>
      <c r="N98" s="48">
        <f>H98-Q4</f>
        <v>2.7683914130944878</v>
      </c>
      <c r="O98" s="48">
        <f>I98-Q6</f>
        <v>-3.5440680443502757</v>
      </c>
    </row>
    <row r="99" spans="1:15" x14ac:dyDescent="0.35">
      <c r="A99" s="14">
        <v>44651.322916666664</v>
      </c>
      <c r="B99" s="15">
        <f t="shared" si="19"/>
        <v>48.25</v>
      </c>
      <c r="C99" s="21">
        <f>99*20*100000</f>
        <v>198000000</v>
      </c>
      <c r="D99" s="22">
        <f>0.9/5</f>
        <v>0.18</v>
      </c>
      <c r="E99" s="49">
        <v>1.117</v>
      </c>
      <c r="F99" s="5">
        <v>3.8</v>
      </c>
      <c r="H99" s="15">
        <f t="shared" si="15"/>
        <v>8.2966651902615318</v>
      </c>
      <c r="I99" s="15">
        <f t="shared" si="15"/>
        <v>-0.74472749489669399</v>
      </c>
      <c r="J99" s="35">
        <f t="shared" si="16"/>
        <v>4.1254097425719483</v>
      </c>
      <c r="L99">
        <v>3.2</v>
      </c>
      <c r="N99" s="35">
        <f t="shared" si="17"/>
        <v>3.1264034748665743</v>
      </c>
      <c r="O99" s="35">
        <f t="shared" si="18"/>
        <v>-4.0234810958495224</v>
      </c>
    </row>
    <row r="100" spans="1:15" x14ac:dyDescent="0.35">
      <c r="A100" s="14">
        <v>44651.565972222219</v>
      </c>
      <c r="B100" s="15">
        <f t="shared" si="19"/>
        <v>54.083333333313931</v>
      </c>
      <c r="C100" s="21">
        <f>66*20*100000</f>
        <v>132000000</v>
      </c>
      <c r="D100" s="23">
        <f>13*2</f>
        <v>26</v>
      </c>
      <c r="E100" s="49">
        <v>1.167</v>
      </c>
      <c r="F100" s="5">
        <v>3.74</v>
      </c>
      <c r="H100" s="15">
        <f t="shared" si="15"/>
        <v>8.1205739312058505</v>
      </c>
      <c r="I100" s="15">
        <f t="shared" si="15"/>
        <v>1.414973347970818</v>
      </c>
      <c r="J100" s="35">
        <f t="shared" si="16"/>
        <v>4.3131221441563552</v>
      </c>
      <c r="L100">
        <v>3.2</v>
      </c>
      <c r="N100" s="35">
        <f t="shared" si="17"/>
        <v>2.950312215810893</v>
      </c>
      <c r="O100" s="35">
        <f t="shared" si="18"/>
        <v>-1.8637802529820109</v>
      </c>
    </row>
    <row r="101" spans="1:15" x14ac:dyDescent="0.35">
      <c r="C101" s="5"/>
    </row>
    <row r="102" spans="1:15" x14ac:dyDescent="0.35">
      <c r="C102" s="5"/>
      <c r="E102" t="s">
        <v>31</v>
      </c>
      <c r="F102">
        <f>MIN(F85:F89,F93:F97,F99:F100)</f>
        <v>3.74</v>
      </c>
    </row>
    <row r="103" spans="1:15" x14ac:dyDescent="0.35">
      <c r="I103" t="e">
        <f>SLOPE(I91:I99,B90:B99)</f>
        <v>#N/A</v>
      </c>
      <c r="J103" s="35" t="e">
        <f>I103*LN(10)</f>
        <v>#N/A</v>
      </c>
    </row>
    <row r="109" spans="1:15" ht="18.5" x14ac:dyDescent="0.45">
      <c r="A109" s="33" t="s">
        <v>37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5" x14ac:dyDescent="0.35">
      <c r="A110" t="s">
        <v>23</v>
      </c>
      <c r="B110" s="5" t="s">
        <v>24</v>
      </c>
      <c r="C110" s="5" t="s">
        <v>25</v>
      </c>
      <c r="D110" s="5" t="s">
        <v>26</v>
      </c>
      <c r="E110" s="5" t="s">
        <v>27</v>
      </c>
      <c r="F110" s="5" t="s">
        <v>28</v>
      </c>
      <c r="G110" s="5"/>
      <c r="H110" s="5" t="s">
        <v>29</v>
      </c>
      <c r="I110" s="5" t="s">
        <v>30</v>
      </c>
      <c r="J110" s="5" t="s">
        <v>13</v>
      </c>
      <c r="K110" s="5" t="s">
        <v>28</v>
      </c>
      <c r="L110" s="5" t="s">
        <v>46</v>
      </c>
      <c r="M110" s="5" t="s">
        <v>46</v>
      </c>
    </row>
    <row r="111" spans="1:15" x14ac:dyDescent="0.35">
      <c r="A111" s="14">
        <v>44649.354166666664</v>
      </c>
      <c r="B111" s="15">
        <f>0*24+1</f>
        <v>1</v>
      </c>
      <c r="C111" s="23">
        <f>121*20*100</f>
        <v>242000</v>
      </c>
      <c r="D111" s="21">
        <f>24*100</f>
        <v>2400</v>
      </c>
      <c r="E111" s="5">
        <v>1.9E-2</v>
      </c>
      <c r="F111" s="5">
        <v>5.78</v>
      </c>
      <c r="H111" s="18">
        <f>LOG(C111)</f>
        <v>5.3838153659804311</v>
      </c>
      <c r="I111" s="15">
        <f>LOG(D111)</f>
        <v>3.3802112417116059</v>
      </c>
      <c r="J111" s="35">
        <f>(E111-$J$6)/$I$6</f>
        <v>3.245403778366066E-3</v>
      </c>
      <c r="K111" s="5"/>
      <c r="L111" s="35">
        <f>H111-$H$111</f>
        <v>0</v>
      </c>
      <c r="M111" s="35">
        <f>I111-$I$111</f>
        <v>0</v>
      </c>
    </row>
    <row r="112" spans="1:15" x14ac:dyDescent="0.35">
      <c r="A112" s="14">
        <v>44649.4375</v>
      </c>
      <c r="B112" s="15">
        <f>(A112-$A$36)*24+1</f>
        <v>3.0000000000582077</v>
      </c>
      <c r="C112" s="21">
        <f>176*20*100</f>
        <v>352000</v>
      </c>
      <c r="D112" s="21">
        <f>32*100</f>
        <v>3200</v>
      </c>
      <c r="E112" s="5">
        <v>-2.5999999999999999E-2</v>
      </c>
      <c r="F112" s="15">
        <v>5.73</v>
      </c>
      <c r="H112" s="15">
        <f t="shared" ref="H112:I126" si="22">LOG(C112)</f>
        <v>5.5465426634781307</v>
      </c>
      <c r="I112" s="15">
        <f t="shared" si="22"/>
        <v>3.5051499783199058</v>
      </c>
      <c r="J112" s="35">
        <f t="shared" ref="J112:J126" si="23">(E112-$J$6)/$I$6</f>
        <v>-0.16569575764760042</v>
      </c>
      <c r="K112" s="5"/>
      <c r="L112" s="35">
        <f t="shared" ref="L112:L126" si="24">H112-$H$111</f>
        <v>0.16272729749769965</v>
      </c>
      <c r="M112" s="35">
        <f t="shared" ref="M112:M126" si="25">I112-$I$111</f>
        <v>0.12493873660829991</v>
      </c>
    </row>
    <row r="113" spans="1:13" x14ac:dyDescent="0.35">
      <c r="A113" s="14">
        <v>44649.5625</v>
      </c>
      <c r="B113" s="15">
        <f t="shared" ref="B113:B126" si="26">(A113-$A$36)*24+1</f>
        <v>6.0000000000582077</v>
      </c>
      <c r="C113" s="21">
        <f>71*20*1000</f>
        <v>1420000</v>
      </c>
      <c r="D113" s="21">
        <f>32*20*10</f>
        <v>6400</v>
      </c>
      <c r="E113" s="5">
        <v>1.2E-2</v>
      </c>
      <c r="F113" s="5">
        <v>5.69</v>
      </c>
      <c r="H113" s="18">
        <f t="shared" si="22"/>
        <v>6.1522883443830567</v>
      </c>
      <c r="I113" s="15">
        <f t="shared" si="22"/>
        <v>3.8061799739838871</v>
      </c>
      <c r="J113" s="35">
        <f t="shared" si="23"/>
        <v>-2.303433244345094E-2</v>
      </c>
      <c r="K113" s="5"/>
      <c r="L113" s="35">
        <f t="shared" si="24"/>
        <v>0.76847297840262563</v>
      </c>
      <c r="M113" s="35">
        <f t="shared" si="25"/>
        <v>0.42596873227228116</v>
      </c>
    </row>
    <row r="114" spans="1:13" x14ac:dyDescent="0.35">
      <c r="A114" s="14">
        <v>44649.6875</v>
      </c>
      <c r="B114" s="15">
        <f t="shared" si="26"/>
        <v>9.0000000000582077</v>
      </c>
      <c r="C114" s="23">
        <f>181*20*1000</f>
        <v>3620000</v>
      </c>
      <c r="D114" s="21">
        <f>104*20*10</f>
        <v>20800</v>
      </c>
      <c r="E114" s="5">
        <v>3.4000000000000002E-2</v>
      </c>
      <c r="F114" s="5">
        <v>5.71</v>
      </c>
      <c r="H114" s="18">
        <f t="shared" si="22"/>
        <v>6.5587085705331658</v>
      </c>
      <c r="I114" s="15">
        <f t="shared" si="22"/>
        <v>4.318063334962762</v>
      </c>
      <c r="J114" s="35">
        <f t="shared" si="23"/>
        <v>5.9559124253688242E-2</v>
      </c>
      <c r="K114" s="5"/>
      <c r="L114" s="35">
        <f t="shared" si="24"/>
        <v>1.1748932045527347</v>
      </c>
      <c r="M114" s="35">
        <f t="shared" si="25"/>
        <v>0.93785209325115604</v>
      </c>
    </row>
    <row r="115" spans="1:13" x14ac:dyDescent="0.35">
      <c r="A115" s="14">
        <v>44649.819444444445</v>
      </c>
      <c r="B115" s="15">
        <f t="shared" si="26"/>
        <v>12.166666666744277</v>
      </c>
      <c r="C115" s="23">
        <f>52*20*10000</f>
        <v>10400000</v>
      </c>
      <c r="D115" s="21">
        <f>29*20*100</f>
        <v>58000</v>
      </c>
      <c r="E115" s="5">
        <v>-0.01</v>
      </c>
      <c r="F115" s="5">
        <v>5.64</v>
      </c>
      <c r="H115" s="18">
        <f t="shared" si="22"/>
        <v>7.0170333392987807</v>
      </c>
      <c r="I115" s="15">
        <f t="shared" si="22"/>
        <v>4.7634279935629369</v>
      </c>
      <c r="J115" s="35">
        <f t="shared" si="23"/>
        <v>-0.10562778914059012</v>
      </c>
      <c r="K115" s="5"/>
      <c r="L115" s="35">
        <f t="shared" si="24"/>
        <v>1.6332179733183496</v>
      </c>
      <c r="M115" s="35">
        <f t="shared" si="25"/>
        <v>1.383216751851331</v>
      </c>
    </row>
    <row r="116" spans="1:13" x14ac:dyDescent="0.35">
      <c r="A116" s="37">
        <v>44692.375</v>
      </c>
      <c r="B116" s="38">
        <v>15</v>
      </c>
      <c r="C116" s="50">
        <f>117*20*10000</f>
        <v>23400000</v>
      </c>
      <c r="D116" s="39">
        <f>93*20*100</f>
        <v>186000</v>
      </c>
      <c r="E116" s="42">
        <v>5.7000000000000002E-2</v>
      </c>
      <c r="F116" s="42">
        <v>5.27</v>
      </c>
      <c r="G116" s="40"/>
      <c r="H116" s="54">
        <f>LOG(C116)</f>
        <v>7.3692158574101425</v>
      </c>
      <c r="I116" s="43">
        <f>LOG(D116)</f>
        <v>5.2695129442179161</v>
      </c>
      <c r="J116" s="44">
        <f t="shared" si="23"/>
        <v>0.14590682898251556</v>
      </c>
      <c r="K116" s="5"/>
      <c r="L116" s="35">
        <f>H116-$Q$5</f>
        <v>1.9220578260679231</v>
      </c>
      <c r="M116" s="35">
        <f>I116-$Q$6</f>
        <v>2.1233849085396779</v>
      </c>
    </row>
    <row r="117" spans="1:13" x14ac:dyDescent="0.35">
      <c r="A117" s="37">
        <v>44692.5</v>
      </c>
      <c r="B117" s="38">
        <v>18</v>
      </c>
      <c r="C117" s="50">
        <f>250000000</f>
        <v>250000000</v>
      </c>
      <c r="D117" s="39">
        <f>((440000)+(480000)+(533000))/3</f>
        <v>484333.33333333331</v>
      </c>
      <c r="E117" s="42">
        <v>0.108</v>
      </c>
      <c r="F117" s="42">
        <v>5.07</v>
      </c>
      <c r="G117" s="40"/>
      <c r="H117" s="43">
        <f t="shared" si="22"/>
        <v>8.3979400086720375</v>
      </c>
      <c r="I117" s="43">
        <f t="shared" si="22"/>
        <v>5.6851443595783593</v>
      </c>
      <c r="J117" s="44">
        <f t="shared" si="23"/>
        <v>0.33737347859861089</v>
      </c>
      <c r="K117" s="5"/>
      <c r="L117" s="35">
        <f t="shared" ref="L117:L118" si="27">H117-$Q$5</f>
        <v>2.9507819773298181</v>
      </c>
      <c r="M117" s="35">
        <f t="shared" ref="M117:M118" si="28">I117-$Q$6</f>
        <v>2.5390163239001211</v>
      </c>
    </row>
    <row r="118" spans="1:13" x14ac:dyDescent="0.35">
      <c r="A118" s="37">
        <v>44692.625</v>
      </c>
      <c r="B118" s="38">
        <v>21</v>
      </c>
      <c r="C118" s="50">
        <f>55*20*100000</f>
        <v>110000000</v>
      </c>
      <c r="D118" s="39">
        <f>22*20*1000</f>
        <v>440000</v>
      </c>
      <c r="E118" s="42">
        <v>0.111</v>
      </c>
      <c r="F118" s="42">
        <v>5.47</v>
      </c>
      <c r="G118" s="40"/>
      <c r="H118" s="54">
        <f t="shared" si="22"/>
        <v>8.0413926851582254</v>
      </c>
      <c r="I118" s="43">
        <f t="shared" si="22"/>
        <v>5.6434526764861879</v>
      </c>
      <c r="J118" s="44">
        <f t="shared" si="23"/>
        <v>0.34863622269367534</v>
      </c>
      <c r="K118" s="5"/>
      <c r="L118" s="35">
        <f t="shared" si="27"/>
        <v>2.5942346538160059</v>
      </c>
      <c r="M118" s="35">
        <f t="shared" si="28"/>
        <v>2.4973246408079497</v>
      </c>
    </row>
    <row r="119" spans="1:13" x14ac:dyDescent="0.35">
      <c r="A119" s="14">
        <v>44650.319444444445</v>
      </c>
      <c r="B119" s="15">
        <f t="shared" si="26"/>
        <v>24.166666666744277</v>
      </c>
      <c r="C119" s="21">
        <f>74*20*100000</f>
        <v>148000000</v>
      </c>
      <c r="D119" s="21">
        <f>55*20*1000</f>
        <v>1100000</v>
      </c>
      <c r="E119" s="5">
        <v>0.34300000000000003</v>
      </c>
      <c r="F119" s="5">
        <v>4.43</v>
      </c>
      <c r="H119" s="18">
        <f t="shared" si="22"/>
        <v>8.1702617153949575</v>
      </c>
      <c r="I119" s="15">
        <f t="shared" si="22"/>
        <v>6.0413926851582254</v>
      </c>
      <c r="J119" s="35">
        <f t="shared" si="23"/>
        <v>1.2196217660453248</v>
      </c>
      <c r="K119" s="5"/>
      <c r="L119" s="35">
        <f t="shared" si="24"/>
        <v>2.7864463494145264</v>
      </c>
      <c r="M119" s="35">
        <f t="shared" si="25"/>
        <v>2.6611814434466194</v>
      </c>
    </row>
    <row r="120" spans="1:13" x14ac:dyDescent="0.35">
      <c r="A120" s="14">
        <v>44650.440972222219</v>
      </c>
      <c r="B120" s="15">
        <f t="shared" si="26"/>
        <v>27.083333333313931</v>
      </c>
      <c r="C120" s="23">
        <f>92*20*100000</f>
        <v>184000000</v>
      </c>
      <c r="D120" s="21">
        <f>44*20*1000</f>
        <v>880000</v>
      </c>
      <c r="E120" s="5">
        <v>0.48</v>
      </c>
      <c r="F120" s="5">
        <v>4.24</v>
      </c>
      <c r="H120" s="18">
        <f t="shared" si="22"/>
        <v>8.2648178230095368</v>
      </c>
      <c r="I120" s="15">
        <f t="shared" si="22"/>
        <v>5.9444826721501682</v>
      </c>
      <c r="J120" s="35">
        <f t="shared" si="23"/>
        <v>1.7339537463866006</v>
      </c>
      <c r="K120" s="5"/>
      <c r="L120" s="35">
        <f t="shared" si="24"/>
        <v>2.8810024570291057</v>
      </c>
      <c r="M120" s="35">
        <f t="shared" si="25"/>
        <v>2.5642714304385623</v>
      </c>
    </row>
    <row r="121" spans="1:13" x14ac:dyDescent="0.35">
      <c r="A121" s="14">
        <v>44650.565972222219</v>
      </c>
      <c r="B121" s="15">
        <f t="shared" si="26"/>
        <v>30.083333333313931</v>
      </c>
      <c r="C121" s="21">
        <f>101*20*100000</f>
        <v>202000000</v>
      </c>
      <c r="D121" s="21">
        <f>54*20*1000</f>
        <v>1080000</v>
      </c>
      <c r="E121" s="5">
        <v>0.747</v>
      </c>
      <c r="F121" s="5">
        <v>4.0199999999999996</v>
      </c>
      <c r="H121" s="18">
        <f t="shared" si="22"/>
        <v>8.3053513694466243</v>
      </c>
      <c r="I121" s="15">
        <f t="shared" si="22"/>
        <v>6.0334237554869494</v>
      </c>
      <c r="J121" s="35">
        <f t="shared" si="23"/>
        <v>2.7363379708473352</v>
      </c>
      <c r="K121" s="5"/>
      <c r="L121" s="35">
        <f t="shared" si="24"/>
        <v>2.9215360034661932</v>
      </c>
      <c r="M121" s="35">
        <f t="shared" si="25"/>
        <v>2.6532125137753435</v>
      </c>
    </row>
    <row r="122" spans="1:13" x14ac:dyDescent="0.35">
      <c r="A122" s="14">
        <v>44650.690972222219</v>
      </c>
      <c r="B122" s="15">
        <f t="shared" si="26"/>
        <v>33.083333333313931</v>
      </c>
      <c r="C122" s="21">
        <f>121*20*100000</f>
        <v>242000000</v>
      </c>
      <c r="D122" s="21">
        <f>40*20*1000</f>
        <v>800000</v>
      </c>
      <c r="E122" s="5">
        <v>0.78100000000000003</v>
      </c>
      <c r="F122" s="5">
        <v>3.95</v>
      </c>
      <c r="H122" s="18">
        <f t="shared" si="22"/>
        <v>8.383815365980432</v>
      </c>
      <c r="I122" s="15">
        <f t="shared" si="22"/>
        <v>5.9030899869919438</v>
      </c>
      <c r="J122" s="35">
        <f t="shared" si="23"/>
        <v>2.8639824039247324</v>
      </c>
      <c r="K122" s="5"/>
      <c r="L122" s="35">
        <f t="shared" si="24"/>
        <v>3.0000000000000009</v>
      </c>
      <c r="M122" s="35">
        <f t="shared" si="25"/>
        <v>2.5228787452803378</v>
      </c>
    </row>
    <row r="123" spans="1:13" x14ac:dyDescent="0.35">
      <c r="A123" s="14">
        <v>44650.805555555555</v>
      </c>
      <c r="B123" s="15">
        <f t="shared" si="26"/>
        <v>35.833333333372138</v>
      </c>
      <c r="C123" s="21">
        <f>101*20*100000</f>
        <v>202000000</v>
      </c>
      <c r="D123" s="21">
        <f>45*20*1000</f>
        <v>900000</v>
      </c>
      <c r="E123" s="5">
        <v>0.94799999999999995</v>
      </c>
      <c r="F123" s="5">
        <v>3.88</v>
      </c>
      <c r="H123" s="18">
        <f t="shared" si="22"/>
        <v>8.3053513694466243</v>
      </c>
      <c r="I123" s="15">
        <f>LOG(D123)</f>
        <v>5.9542425094393252</v>
      </c>
      <c r="J123" s="35">
        <f t="shared" si="23"/>
        <v>3.4909418252166518</v>
      </c>
      <c r="K123" s="5"/>
      <c r="L123" s="35">
        <f t="shared" si="24"/>
        <v>2.9215360034661932</v>
      </c>
      <c r="M123" s="35">
        <f t="shared" si="25"/>
        <v>2.5740312677277193</v>
      </c>
    </row>
    <row r="124" spans="1:13" x14ac:dyDescent="0.35">
      <c r="A124" s="37">
        <v>44693.5</v>
      </c>
      <c r="B124" s="38">
        <v>42</v>
      </c>
      <c r="C124" s="45">
        <f>95*20*100000</f>
        <v>190000000</v>
      </c>
      <c r="D124" s="45">
        <f>25*20*1000</f>
        <v>500000</v>
      </c>
      <c r="E124" s="47">
        <v>1.0269999999999999</v>
      </c>
      <c r="F124" s="47">
        <v>3.77</v>
      </c>
      <c r="G124" s="46"/>
      <c r="H124" s="55">
        <f t="shared" si="22"/>
        <v>8.2787536009528289</v>
      </c>
      <c r="I124" s="38">
        <f t="shared" si="22"/>
        <v>5.6989700043360187</v>
      </c>
      <c r="J124" s="48">
        <f t="shared" si="23"/>
        <v>3.7875274197200151</v>
      </c>
      <c r="K124" s="5"/>
      <c r="L124" s="35">
        <f>H124-Q5</f>
        <v>2.8315955696106094</v>
      </c>
      <c r="M124" s="35">
        <f>I124-Q6</f>
        <v>2.5528419686577806</v>
      </c>
    </row>
    <row r="125" spans="1:13" x14ac:dyDescent="0.35">
      <c r="A125" s="14">
        <v>44651.322916666664</v>
      </c>
      <c r="B125" s="15">
        <f t="shared" si="26"/>
        <v>48.25</v>
      </c>
      <c r="C125" s="23">
        <f>109*20*100000</f>
        <v>218000000</v>
      </c>
      <c r="D125" s="21">
        <f>43*20*1000</f>
        <v>860000</v>
      </c>
      <c r="E125" s="49">
        <v>1.129</v>
      </c>
      <c r="F125" s="15">
        <v>3.74</v>
      </c>
      <c r="H125" s="18">
        <f t="shared" si="22"/>
        <v>8.3384564936046051</v>
      </c>
      <c r="I125" s="15">
        <f t="shared" si="22"/>
        <v>5.9344984512435675</v>
      </c>
      <c r="J125" s="35">
        <f t="shared" si="23"/>
        <v>4.1704607189522056</v>
      </c>
      <c r="K125" s="5"/>
      <c r="L125" s="35">
        <f t="shared" si="24"/>
        <v>2.954641127624174</v>
      </c>
      <c r="M125" s="35">
        <f t="shared" si="25"/>
        <v>2.5542872095319615</v>
      </c>
    </row>
    <row r="126" spans="1:13" x14ac:dyDescent="0.35">
      <c r="A126" s="14">
        <v>44651.565972222219</v>
      </c>
      <c r="B126" s="15">
        <f t="shared" si="26"/>
        <v>54.083333333313931</v>
      </c>
      <c r="C126" s="23">
        <f>66*20*100000</f>
        <v>132000000</v>
      </c>
      <c r="D126" s="21">
        <f>39*20*1000</f>
        <v>780000</v>
      </c>
      <c r="E126" s="49">
        <v>1.214</v>
      </c>
      <c r="F126" s="5">
        <v>3.71</v>
      </c>
      <c r="H126" s="18">
        <f t="shared" si="22"/>
        <v>8.1205739312058505</v>
      </c>
      <c r="I126" s="15">
        <f t="shared" si="22"/>
        <v>5.8920946026904808</v>
      </c>
      <c r="J126" s="35">
        <f t="shared" si="23"/>
        <v>4.489571801645698</v>
      </c>
      <c r="K126" s="5"/>
      <c r="L126" s="35">
        <f t="shared" si="24"/>
        <v>2.7367585652254194</v>
      </c>
      <c r="M126" s="35">
        <f t="shared" si="25"/>
        <v>2.5118833609788749</v>
      </c>
    </row>
    <row r="127" spans="1:13" x14ac:dyDescent="0.35">
      <c r="H127" s="5"/>
      <c r="I127" s="5"/>
      <c r="J127" s="5"/>
      <c r="K127" s="5"/>
    </row>
    <row r="128" spans="1:13" x14ac:dyDescent="0.35">
      <c r="E128" t="s">
        <v>31</v>
      </c>
      <c r="F128" s="35">
        <f>MIN(F111:F115,F119:F123,F125:F126)</f>
        <v>3.71</v>
      </c>
    </row>
  </sheetData>
  <mergeCells count="2">
    <mergeCell ref="A83:K83"/>
    <mergeCell ref="A109:K109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BDD9-1276-40B3-8F7D-DEE4286CE3CC}">
  <dimension ref="A1:K107"/>
  <sheetViews>
    <sheetView topLeftCell="A68" zoomScale="80" zoomScaleNormal="80" workbookViewId="0">
      <selection activeCell="V50" sqref="V50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39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44656.354166666664</v>
      </c>
      <c r="B10" s="15">
        <f>0*24+1</f>
        <v>1</v>
      </c>
      <c r="C10" s="23">
        <f>820000</f>
        <v>820000</v>
      </c>
      <c r="D10" s="28"/>
      <c r="E10" s="16"/>
      <c r="F10" s="5"/>
      <c r="H10" s="15">
        <f>LOG(C10)</f>
        <v>5.9138138523837167</v>
      </c>
    </row>
    <row r="11" spans="1:11" x14ac:dyDescent="0.35">
      <c r="A11" s="14">
        <v>44656.4375</v>
      </c>
      <c r="B11" s="15">
        <f t="shared" ref="B11:B21" si="0">(A11-$A$10)*24+1</f>
        <v>3.0000000000582077</v>
      </c>
      <c r="C11" s="29"/>
      <c r="D11" s="28"/>
      <c r="E11" s="5"/>
      <c r="F11" s="5"/>
      <c r="H11" s="28"/>
    </row>
    <row r="12" spans="1:11" x14ac:dyDescent="0.35">
      <c r="A12" s="14">
        <v>44656.569444444445</v>
      </c>
      <c r="B12" s="15">
        <f t="shared" si="0"/>
        <v>6.1666666667442769</v>
      </c>
      <c r="C12" s="29"/>
      <c r="D12" s="28"/>
      <c r="E12" s="5"/>
      <c r="F12" s="5"/>
      <c r="H12" s="28"/>
    </row>
    <row r="13" spans="1:11" x14ac:dyDescent="0.35">
      <c r="A13" s="14">
        <v>44656.690972222219</v>
      </c>
      <c r="B13" s="15">
        <f t="shared" si="0"/>
        <v>9.0833333333139308</v>
      </c>
      <c r="C13" s="29"/>
      <c r="D13" s="28"/>
      <c r="E13" s="5"/>
      <c r="F13" s="5"/>
      <c r="H13" s="28"/>
    </row>
    <row r="14" spans="1:11" x14ac:dyDescent="0.35">
      <c r="A14" s="14">
        <v>44656.809027777781</v>
      </c>
      <c r="B14" s="15">
        <f t="shared" si="0"/>
        <v>11.916666666802485</v>
      </c>
      <c r="C14" s="21">
        <f>222*20*10000</f>
        <v>44400000</v>
      </c>
      <c r="D14" s="28"/>
      <c r="E14" s="5"/>
      <c r="F14" s="5"/>
      <c r="H14" s="15">
        <f>LOG(C14)</f>
        <v>7.6473829701146201</v>
      </c>
    </row>
    <row r="15" spans="1:11" x14ac:dyDescent="0.35">
      <c r="A15" s="14">
        <v>44657.319444444445</v>
      </c>
      <c r="B15" s="15">
        <f t="shared" si="0"/>
        <v>24.166666666744277</v>
      </c>
      <c r="C15" s="21">
        <f>105*20*100000</f>
        <v>210000000</v>
      </c>
      <c r="D15" s="28"/>
      <c r="E15" s="5"/>
      <c r="F15" s="5"/>
      <c r="H15" s="15">
        <f>LOG(C15)</f>
        <v>8.3222192947339195</v>
      </c>
    </row>
    <row r="16" spans="1:11" x14ac:dyDescent="0.35">
      <c r="A16" s="14">
        <v>44657.4375</v>
      </c>
      <c r="B16" s="15">
        <f t="shared" si="0"/>
        <v>27.000000000058208</v>
      </c>
      <c r="C16" s="29"/>
      <c r="D16" s="28"/>
      <c r="E16" s="5"/>
      <c r="F16" s="5"/>
      <c r="H16" s="28"/>
    </row>
    <row r="17" spans="1:11" x14ac:dyDescent="0.35">
      <c r="A17" s="14">
        <v>44657.5625</v>
      </c>
      <c r="B17" s="15">
        <f t="shared" si="0"/>
        <v>30.000000000058208</v>
      </c>
      <c r="C17" s="29"/>
      <c r="D17" s="28"/>
      <c r="E17" s="5"/>
      <c r="F17" s="5"/>
      <c r="H17" s="28"/>
    </row>
    <row r="18" spans="1:11" x14ac:dyDescent="0.35">
      <c r="A18" s="14">
        <v>44657.6875</v>
      </c>
      <c r="B18" s="15">
        <f t="shared" si="0"/>
        <v>33.000000000058208</v>
      </c>
      <c r="C18" s="29"/>
      <c r="D18" s="28"/>
      <c r="E18" s="5"/>
      <c r="F18" s="5"/>
      <c r="H18" s="28"/>
    </row>
    <row r="19" spans="1:11" x14ac:dyDescent="0.35">
      <c r="A19" s="14">
        <v>44657.809027777781</v>
      </c>
      <c r="B19" s="15">
        <f t="shared" si="0"/>
        <v>35.916666666802485</v>
      </c>
      <c r="C19" s="21">
        <f>114*20*100000</f>
        <v>228000000</v>
      </c>
      <c r="D19" s="28"/>
      <c r="E19" s="5"/>
      <c r="F19" s="5"/>
      <c r="H19" s="15">
        <f>LOG(C19)</f>
        <v>8.357934847000454</v>
      </c>
    </row>
    <row r="20" spans="1:11" x14ac:dyDescent="0.35">
      <c r="A20" s="14">
        <v>44658.319444444445</v>
      </c>
      <c r="B20" s="15">
        <f t="shared" si="0"/>
        <v>48.166666666744277</v>
      </c>
      <c r="C20" s="23">
        <f>170000000</f>
        <v>170000000</v>
      </c>
      <c r="D20" s="28"/>
      <c r="E20" s="5"/>
      <c r="F20" s="5"/>
      <c r="H20" s="15">
        <f>LOG(C20)</f>
        <v>8.2304489213782741</v>
      </c>
    </row>
    <row r="21" spans="1:11" x14ac:dyDescent="0.35">
      <c r="A21" s="14">
        <v>44658.555555555555</v>
      </c>
      <c r="B21" s="15">
        <f t="shared" si="0"/>
        <v>53.833333333372138</v>
      </c>
      <c r="C21" s="23">
        <f>114*20*100000</f>
        <v>228000000</v>
      </c>
      <c r="D21" s="28"/>
      <c r="E21" s="5"/>
      <c r="F21" s="5"/>
      <c r="H21" s="15">
        <f>LOG(C21)</f>
        <v>8.357934847000454</v>
      </c>
    </row>
    <row r="22" spans="1:11" x14ac:dyDescent="0.35">
      <c r="B22" s="5"/>
      <c r="C22" s="5"/>
    </row>
    <row r="23" spans="1:11" x14ac:dyDescent="0.35">
      <c r="B23" s="5"/>
      <c r="C23" s="5"/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44656.354166666664</v>
      </c>
      <c r="B32" s="15">
        <f>0*24+1</f>
        <v>1</v>
      </c>
      <c r="C32" s="21">
        <f>156*20*100</f>
        <v>312000</v>
      </c>
      <c r="D32" s="28"/>
      <c r="E32" s="16"/>
      <c r="F32" s="5"/>
      <c r="H32" s="15">
        <f>LOG(C32)</f>
        <v>5.4941545940184424</v>
      </c>
      <c r="I32" s="5"/>
      <c r="J32" s="5"/>
      <c r="K32" s="5"/>
    </row>
    <row r="33" spans="1:11" x14ac:dyDescent="0.35">
      <c r="A33" s="14">
        <v>44656.4375</v>
      </c>
      <c r="B33" s="15">
        <f t="shared" ref="B33:B43" si="1">(A33-$A$32)*24+1</f>
        <v>3.0000000000582077</v>
      </c>
      <c r="C33" s="29"/>
      <c r="D33" s="28"/>
      <c r="E33" s="16"/>
      <c r="F33" s="5"/>
      <c r="H33" s="29"/>
      <c r="I33" s="5"/>
      <c r="J33" s="5"/>
      <c r="K33" s="5"/>
    </row>
    <row r="34" spans="1:11" x14ac:dyDescent="0.35">
      <c r="A34" s="14">
        <v>44656.569444444445</v>
      </c>
      <c r="B34" s="15">
        <f t="shared" si="1"/>
        <v>6.1666666667442769</v>
      </c>
      <c r="C34" s="29"/>
      <c r="D34" s="28"/>
      <c r="E34" s="5"/>
      <c r="F34" s="5"/>
      <c r="H34" s="29"/>
      <c r="I34" s="5"/>
      <c r="J34" s="5"/>
      <c r="K34" s="5"/>
    </row>
    <row r="35" spans="1:11" x14ac:dyDescent="0.35">
      <c r="A35" s="14">
        <v>44656.690972222219</v>
      </c>
      <c r="B35" s="15">
        <f t="shared" si="1"/>
        <v>9.0833333333139308</v>
      </c>
      <c r="C35" s="29"/>
      <c r="D35" s="28"/>
      <c r="E35" s="5"/>
      <c r="F35" s="5"/>
      <c r="H35" s="29"/>
      <c r="I35" s="5"/>
      <c r="J35" s="5"/>
      <c r="K35" s="5"/>
    </row>
    <row r="36" spans="1:11" x14ac:dyDescent="0.35">
      <c r="A36" s="14">
        <v>44656.809027777781</v>
      </c>
      <c r="B36" s="15">
        <f t="shared" si="1"/>
        <v>11.916666666802485</v>
      </c>
      <c r="C36" s="23">
        <f>158*20*10000</f>
        <v>31600000</v>
      </c>
      <c r="D36" s="28"/>
      <c r="E36" s="5"/>
      <c r="F36" s="5"/>
      <c r="H36" s="18">
        <f>LOG(C36)</f>
        <v>7.4996870826184034</v>
      </c>
      <c r="I36" s="5"/>
      <c r="J36" s="5"/>
      <c r="K36" s="5"/>
    </row>
    <row r="37" spans="1:11" x14ac:dyDescent="0.35">
      <c r="A37" s="14">
        <v>44657.319444444445</v>
      </c>
      <c r="B37" s="15">
        <f t="shared" si="1"/>
        <v>24.166666666744277</v>
      </c>
      <c r="C37" s="21">
        <f>151*20*100000</f>
        <v>302000000</v>
      </c>
      <c r="D37" s="28"/>
      <c r="E37" s="5"/>
      <c r="F37" s="5"/>
      <c r="H37" s="15">
        <f>LOG(C37)</f>
        <v>8.4800069429571501</v>
      </c>
      <c r="I37" s="5"/>
      <c r="J37" s="5"/>
      <c r="K37" s="5"/>
    </row>
    <row r="38" spans="1:11" x14ac:dyDescent="0.35">
      <c r="A38" s="14">
        <v>44657.4375</v>
      </c>
      <c r="B38" s="15">
        <f t="shared" si="1"/>
        <v>27.000000000058208</v>
      </c>
      <c r="C38" s="29"/>
      <c r="D38" s="28"/>
      <c r="E38" s="5"/>
      <c r="F38" s="5"/>
      <c r="H38" s="29"/>
      <c r="I38" s="5"/>
      <c r="J38" s="5"/>
      <c r="K38" s="5"/>
    </row>
    <row r="39" spans="1:11" x14ac:dyDescent="0.35">
      <c r="A39" s="14">
        <v>44657.5625</v>
      </c>
      <c r="B39" s="15">
        <f t="shared" si="1"/>
        <v>30.000000000058208</v>
      </c>
      <c r="C39" s="29"/>
      <c r="D39" s="28"/>
      <c r="E39" s="5"/>
      <c r="F39" s="5"/>
      <c r="H39" s="29"/>
      <c r="I39" s="5"/>
      <c r="J39" s="5"/>
      <c r="K39" s="5"/>
    </row>
    <row r="40" spans="1:11" x14ac:dyDescent="0.35">
      <c r="A40" s="14">
        <v>44657.6875</v>
      </c>
      <c r="B40" s="15">
        <f t="shared" si="1"/>
        <v>33.000000000058208</v>
      </c>
      <c r="C40" s="29"/>
      <c r="D40" s="28"/>
      <c r="E40" s="16"/>
      <c r="F40" s="15"/>
      <c r="H40" s="29"/>
      <c r="I40" s="5"/>
      <c r="J40" s="5"/>
      <c r="K40" s="5"/>
    </row>
    <row r="41" spans="1:11" x14ac:dyDescent="0.35">
      <c r="A41" s="14">
        <v>44657.809027777781</v>
      </c>
      <c r="B41" s="15">
        <f t="shared" si="1"/>
        <v>35.916666666802485</v>
      </c>
      <c r="C41" s="21">
        <f>149*20*100000</f>
        <v>298000000</v>
      </c>
      <c r="D41" s="28"/>
      <c r="E41" s="5"/>
      <c r="F41" s="5"/>
      <c r="H41" s="15">
        <f>LOG(C41)</f>
        <v>8.4742162640762544</v>
      </c>
      <c r="I41" s="5"/>
      <c r="J41" s="5"/>
      <c r="K41" s="5"/>
    </row>
    <row r="42" spans="1:11" x14ac:dyDescent="0.35">
      <c r="A42" s="14">
        <v>44658.319444444445</v>
      </c>
      <c r="B42" s="15">
        <f t="shared" si="1"/>
        <v>48.166666666744277</v>
      </c>
      <c r="C42" s="23">
        <f>280000000</f>
        <v>280000000</v>
      </c>
      <c r="D42" s="28"/>
      <c r="E42" s="5"/>
      <c r="F42" s="15"/>
      <c r="H42" s="15">
        <f>LOG(C42)</f>
        <v>8.4471580313422194</v>
      </c>
      <c r="I42" s="5"/>
      <c r="J42" s="5"/>
      <c r="K42" s="5"/>
    </row>
    <row r="43" spans="1:11" x14ac:dyDescent="0.35">
      <c r="A43" s="14">
        <v>44658.555555555555</v>
      </c>
      <c r="B43" s="15">
        <f t="shared" si="1"/>
        <v>53.833333333372138</v>
      </c>
      <c r="C43" s="21">
        <f>164*20*100000</f>
        <v>328000000</v>
      </c>
      <c r="D43" s="28"/>
      <c r="E43" s="5"/>
      <c r="F43" s="5"/>
      <c r="H43" s="15">
        <f>LOG(C43)</f>
        <v>8.5158738437116792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44656.354166666664</v>
      </c>
      <c r="B52" s="15">
        <f>0*24+1</f>
        <v>1</v>
      </c>
      <c r="C52" s="29"/>
      <c r="D52" s="21">
        <f>28*10*10</f>
        <v>2800</v>
      </c>
      <c r="E52" s="5"/>
      <c r="F52" s="5"/>
      <c r="H52" s="15">
        <f>LOG(D52)</f>
        <v>3.4471580313422194</v>
      </c>
    </row>
    <row r="53" spans="1:11" x14ac:dyDescent="0.35">
      <c r="A53" s="14">
        <v>44656.4375</v>
      </c>
      <c r="B53" s="15">
        <f t="shared" ref="B53:B63" si="2">(A53-$A$32)*24+1</f>
        <v>3.0000000000582077</v>
      </c>
      <c r="C53" s="29"/>
      <c r="D53" s="29"/>
      <c r="E53" s="16"/>
      <c r="F53" s="5"/>
      <c r="H53" s="29"/>
    </row>
    <row r="54" spans="1:11" x14ac:dyDescent="0.35">
      <c r="A54" s="14">
        <v>44656.569444444445</v>
      </c>
      <c r="B54" s="15">
        <f t="shared" si="2"/>
        <v>6.1666666667442769</v>
      </c>
      <c r="C54" s="29"/>
      <c r="D54" s="29"/>
      <c r="E54" s="5"/>
      <c r="F54" s="5"/>
      <c r="H54" s="29"/>
    </row>
    <row r="55" spans="1:11" x14ac:dyDescent="0.35">
      <c r="A55" s="14">
        <v>44656.690972222219</v>
      </c>
      <c r="B55" s="15">
        <f t="shared" si="2"/>
        <v>9.0833333333139308</v>
      </c>
      <c r="C55" s="29"/>
      <c r="D55" s="29"/>
      <c r="E55" s="5"/>
      <c r="F55" s="5"/>
      <c r="H55" s="29"/>
    </row>
    <row r="56" spans="1:11" x14ac:dyDescent="0.35">
      <c r="A56" s="14">
        <v>44656.809027777781</v>
      </c>
      <c r="B56" s="15">
        <f t="shared" si="2"/>
        <v>11.916666666802485</v>
      </c>
      <c r="C56" s="29"/>
      <c r="D56" s="21">
        <f>24*20*100</f>
        <v>48000</v>
      </c>
      <c r="E56" s="5"/>
      <c r="F56" s="5"/>
      <c r="H56" s="15">
        <f>LOG(D56)</f>
        <v>4.6812412373755876</v>
      </c>
    </row>
    <row r="57" spans="1:11" x14ac:dyDescent="0.35">
      <c r="A57" s="14">
        <v>44657.319444444445</v>
      </c>
      <c r="B57" s="15">
        <f t="shared" si="2"/>
        <v>24.166666666744277</v>
      </c>
      <c r="C57" s="29"/>
      <c r="D57" s="21">
        <f>36*20*10000</f>
        <v>7200000</v>
      </c>
      <c r="E57" s="5"/>
      <c r="F57" s="5"/>
      <c r="H57" s="15">
        <f>LOG(D57)</f>
        <v>6.8573324964312681</v>
      </c>
    </row>
    <row r="58" spans="1:11" x14ac:dyDescent="0.35">
      <c r="A58" s="14">
        <v>44657.4375</v>
      </c>
      <c r="B58" s="15">
        <f t="shared" si="2"/>
        <v>27.000000000058208</v>
      </c>
      <c r="C58" s="29"/>
      <c r="D58" s="29"/>
      <c r="E58" s="5"/>
      <c r="F58" s="5"/>
      <c r="H58" s="29"/>
    </row>
    <row r="59" spans="1:11" x14ac:dyDescent="0.35">
      <c r="A59" s="14">
        <v>44657.5625</v>
      </c>
      <c r="B59" s="15">
        <f t="shared" si="2"/>
        <v>30.000000000058208</v>
      </c>
      <c r="C59" s="29"/>
      <c r="D59" s="29"/>
      <c r="E59" s="5"/>
      <c r="F59" s="5"/>
      <c r="H59" s="29"/>
    </row>
    <row r="60" spans="1:11" x14ac:dyDescent="0.35">
      <c r="A60" s="14">
        <v>44657.6875</v>
      </c>
      <c r="B60" s="15">
        <f t="shared" si="2"/>
        <v>33.000000000058208</v>
      </c>
      <c r="C60" s="29"/>
      <c r="D60" s="29"/>
      <c r="E60" s="5"/>
      <c r="F60" s="5"/>
      <c r="H60" s="29"/>
    </row>
    <row r="61" spans="1:11" x14ac:dyDescent="0.35">
      <c r="A61" s="14">
        <v>44657.809027777781</v>
      </c>
      <c r="B61" s="15">
        <f t="shared" si="2"/>
        <v>35.916666666802485</v>
      </c>
      <c r="C61" s="29"/>
      <c r="D61" s="21">
        <f>78*20*100000</f>
        <v>156000000</v>
      </c>
      <c r="E61" s="5"/>
      <c r="F61" s="15"/>
      <c r="H61" s="15">
        <f>LOG(D61)</f>
        <v>8.1931245983544621</v>
      </c>
    </row>
    <row r="62" spans="1:11" x14ac:dyDescent="0.35">
      <c r="A62" s="14">
        <v>44658.319444444445</v>
      </c>
      <c r="B62" s="15">
        <f t="shared" si="2"/>
        <v>48.166666666744277</v>
      </c>
      <c r="C62" s="29"/>
      <c r="D62" s="23">
        <f>AVERAGE(180000000,241000000,235000000)</f>
        <v>218666666.66666666</v>
      </c>
      <c r="E62" s="5"/>
      <c r="F62" s="15"/>
      <c r="H62" s="15">
        <f>LOG(D62)</f>
        <v>8.3397825846559979</v>
      </c>
    </row>
    <row r="63" spans="1:11" x14ac:dyDescent="0.35">
      <c r="A63" s="14">
        <v>44658.555555555555</v>
      </c>
      <c r="B63" s="15">
        <f t="shared" si="2"/>
        <v>53.833333333372138</v>
      </c>
      <c r="C63" s="28"/>
      <c r="D63" s="21" t="s">
        <v>33</v>
      </c>
      <c r="E63" s="5"/>
      <c r="F63" s="5"/>
      <c r="H63" s="15" t="e">
        <f>LOG(D63)</f>
        <v>#VALUE!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44656.354166666664</v>
      </c>
      <c r="B73" s="15">
        <f>0*24+1</f>
        <v>1</v>
      </c>
      <c r="C73" s="21">
        <f>37*20*100</f>
        <v>74000</v>
      </c>
      <c r="D73" s="21">
        <f>8*10*10</f>
        <v>800</v>
      </c>
      <c r="E73" s="5"/>
      <c r="F73" s="5"/>
      <c r="H73" s="15">
        <f t="shared" ref="H73:H84" si="3">LOG(C73)</f>
        <v>4.8692317197309762</v>
      </c>
      <c r="I73" s="15">
        <f t="shared" ref="I73:I84" si="4">LOG(D73)</f>
        <v>2.9030899869919438</v>
      </c>
    </row>
    <row r="74" spans="1:11" x14ac:dyDescent="0.35">
      <c r="A74" s="14">
        <v>44656.4375</v>
      </c>
      <c r="B74" s="15">
        <f t="shared" ref="B74:B84" si="5">(A74-$A$32)*24+1</f>
        <v>3.0000000000582077</v>
      </c>
      <c r="C74" s="21">
        <f>1800000</f>
        <v>1800000</v>
      </c>
      <c r="D74" s="21">
        <f>41*10*10</f>
        <v>4100</v>
      </c>
      <c r="E74" s="5"/>
      <c r="F74" s="5"/>
      <c r="H74" s="15">
        <f t="shared" si="3"/>
        <v>6.2552725051033065</v>
      </c>
      <c r="I74" s="15">
        <f t="shared" si="4"/>
        <v>3.6127838567197355</v>
      </c>
    </row>
    <row r="75" spans="1:11" x14ac:dyDescent="0.35">
      <c r="A75" s="14">
        <v>44656.569444444445</v>
      </c>
      <c r="B75" s="15">
        <f t="shared" si="5"/>
        <v>6.1666666667442769</v>
      </c>
      <c r="C75" s="21">
        <f>266*20*1000</f>
        <v>5320000</v>
      </c>
      <c r="D75" s="21">
        <f>87*10*10</f>
        <v>8700</v>
      </c>
      <c r="E75" s="5"/>
      <c r="F75" s="5"/>
      <c r="H75" s="15">
        <f t="shared" si="3"/>
        <v>6.7259116322950483</v>
      </c>
      <c r="I75" s="15">
        <f t="shared" si="4"/>
        <v>3.9395192526186187</v>
      </c>
    </row>
    <row r="76" spans="1:11" x14ac:dyDescent="0.35">
      <c r="A76" s="14">
        <v>44656.690972222219</v>
      </c>
      <c r="B76" s="15">
        <f t="shared" si="5"/>
        <v>9.0833333333139308</v>
      </c>
      <c r="C76" s="21">
        <f>34000000</f>
        <v>34000000</v>
      </c>
      <c r="D76" s="21">
        <f>7*20*100</f>
        <v>14000</v>
      </c>
      <c r="E76" s="5"/>
      <c r="F76" s="15"/>
      <c r="H76" s="15">
        <f t="shared" si="3"/>
        <v>7.5314789170422554</v>
      </c>
      <c r="I76" s="15">
        <f t="shared" si="4"/>
        <v>4.1461280356782382</v>
      </c>
    </row>
    <row r="77" spans="1:11" x14ac:dyDescent="0.35">
      <c r="A77" s="14">
        <v>44656.809027777781</v>
      </c>
      <c r="B77" s="15">
        <f t="shared" si="5"/>
        <v>11.916666666802485</v>
      </c>
      <c r="C77" s="21">
        <f>269*20*10000</f>
        <v>53800000</v>
      </c>
      <c r="D77" s="21">
        <f>98*20*10</f>
        <v>19600</v>
      </c>
      <c r="E77" s="5"/>
      <c r="F77" s="5"/>
      <c r="H77" s="15">
        <f t="shared" si="3"/>
        <v>7.7307822756663889</v>
      </c>
      <c r="I77" s="15">
        <f t="shared" si="4"/>
        <v>4.2922560713564764</v>
      </c>
    </row>
    <row r="78" spans="1:11" x14ac:dyDescent="0.35">
      <c r="A78" s="14">
        <v>44657.319444444445</v>
      </c>
      <c r="B78" s="15">
        <f t="shared" si="5"/>
        <v>24.166666666744277</v>
      </c>
      <c r="C78" s="21">
        <f>105*20*100000</f>
        <v>210000000</v>
      </c>
      <c r="D78" s="23">
        <f>886*2</f>
        <v>1772</v>
      </c>
      <c r="E78" s="5"/>
      <c r="F78" s="5"/>
      <c r="H78" s="15">
        <f t="shared" si="3"/>
        <v>8.3222192947339195</v>
      </c>
      <c r="I78" s="15">
        <f t="shared" si="4"/>
        <v>3.248463717551032</v>
      </c>
    </row>
    <row r="79" spans="1:11" x14ac:dyDescent="0.35">
      <c r="A79" s="14">
        <v>44657.4375</v>
      </c>
      <c r="B79" s="15">
        <f t="shared" si="5"/>
        <v>27.000000000058208</v>
      </c>
      <c r="C79" s="21">
        <f>128*20*100000</f>
        <v>256000000</v>
      </c>
      <c r="D79" s="23">
        <f>AVERAGE(589*2,114/0.6*10)</f>
        <v>1539</v>
      </c>
      <c r="E79" s="5"/>
      <c r="F79" s="5"/>
      <c r="H79" s="15">
        <f t="shared" si="3"/>
        <v>8.40823996531185</v>
      </c>
      <c r="I79" s="18">
        <f t="shared" si="4"/>
        <v>3.1872386198314788</v>
      </c>
    </row>
    <row r="80" spans="1:11" x14ac:dyDescent="0.35">
      <c r="A80" s="14">
        <v>44657.5625</v>
      </c>
      <c r="B80" s="15">
        <f t="shared" si="5"/>
        <v>30.000000000058208</v>
      </c>
      <c r="C80" s="21">
        <f>112*20*100000</f>
        <v>224000000</v>
      </c>
      <c r="D80" s="23">
        <f>AVERAGE(821*2,171*2*10)</f>
        <v>2531</v>
      </c>
      <c r="E80" s="5"/>
      <c r="F80" s="5"/>
      <c r="H80" s="15">
        <f t="shared" si="3"/>
        <v>8.3502480183341632</v>
      </c>
      <c r="I80" s="15">
        <f t="shared" si="4"/>
        <v>3.4032921451582543</v>
      </c>
    </row>
    <row r="81" spans="1:11" x14ac:dyDescent="0.35">
      <c r="A81" s="14">
        <v>44657.6875</v>
      </c>
      <c r="B81" s="15">
        <f t="shared" si="5"/>
        <v>33.000000000058208</v>
      </c>
      <c r="C81" s="21">
        <f>139*20*100000</f>
        <v>278000000</v>
      </c>
      <c r="D81" s="23">
        <f>AVERAGE(778*2,193*2*10)</f>
        <v>2708</v>
      </c>
      <c r="E81" s="5"/>
      <c r="F81" s="5"/>
      <c r="H81" s="15">
        <f t="shared" si="3"/>
        <v>8.4440447959180762</v>
      </c>
      <c r="I81" s="15">
        <f t="shared" si="4"/>
        <v>3.4326486600131068</v>
      </c>
    </row>
    <row r="82" spans="1:11" x14ac:dyDescent="0.35">
      <c r="A82" s="14">
        <v>44657.809027777781</v>
      </c>
      <c r="B82" s="15">
        <f t="shared" si="5"/>
        <v>35.916666666802485</v>
      </c>
      <c r="C82" s="21">
        <f>121*20*100000</f>
        <v>242000000</v>
      </c>
      <c r="D82" s="23">
        <f>AVERAGE(920*2,254*2*10)</f>
        <v>3460</v>
      </c>
      <c r="E82" s="5"/>
      <c r="F82" s="5"/>
      <c r="H82" s="15">
        <f t="shared" si="3"/>
        <v>8.383815365980432</v>
      </c>
      <c r="I82" s="15">
        <f t="shared" si="4"/>
        <v>3.5390760987927767</v>
      </c>
    </row>
    <row r="83" spans="1:11" x14ac:dyDescent="0.35">
      <c r="A83" s="14">
        <v>44658.319444444445</v>
      </c>
      <c r="B83" s="15">
        <f t="shared" si="5"/>
        <v>48.166666666744277</v>
      </c>
      <c r="C83" s="23">
        <f>230000000</f>
        <v>230000000</v>
      </c>
      <c r="D83" s="23">
        <f>619*2*10</f>
        <v>12380</v>
      </c>
      <c r="E83" s="5"/>
      <c r="F83" s="5"/>
      <c r="H83" s="15">
        <f t="shared" si="3"/>
        <v>8.3617278360175931</v>
      </c>
      <c r="I83" s="15">
        <f t="shared" si="4"/>
        <v>4.0927206446840989</v>
      </c>
    </row>
    <row r="84" spans="1:11" x14ac:dyDescent="0.35">
      <c r="A84" s="14">
        <v>44658.555555555555</v>
      </c>
      <c r="B84" s="15">
        <f t="shared" si="5"/>
        <v>53.833333333372138</v>
      </c>
      <c r="C84" s="21">
        <f>116*20*100000</f>
        <v>232000000</v>
      </c>
      <c r="D84" s="23">
        <f>934*2*10</f>
        <v>18680</v>
      </c>
      <c r="E84" s="16"/>
      <c r="F84" s="5"/>
      <c r="H84" s="15">
        <f t="shared" si="3"/>
        <v>8.3654879848908994</v>
      </c>
      <c r="I84" s="15">
        <f t="shared" si="4"/>
        <v>4.2713768718940743</v>
      </c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44656.354166666664</v>
      </c>
      <c r="B95" s="15">
        <f>0*24+1</f>
        <v>1</v>
      </c>
      <c r="C95" s="23">
        <f>8*20*100</f>
        <v>16000</v>
      </c>
      <c r="D95" s="21">
        <f>2*10*10</f>
        <v>200</v>
      </c>
      <c r="E95" s="5"/>
      <c r="F95" s="5"/>
      <c r="H95" s="15">
        <f t="shared" ref="H95:H106" si="6">LOG(C95)</f>
        <v>4.204119982655925</v>
      </c>
      <c r="I95" s="15">
        <f t="shared" ref="I95:I106" si="7">LOG(D95)</f>
        <v>2.3010299956639813</v>
      </c>
      <c r="J95" s="5"/>
      <c r="K95" s="5"/>
    </row>
    <row r="96" spans="1:11" x14ac:dyDescent="0.35">
      <c r="A96" s="14">
        <v>44656.4375</v>
      </c>
      <c r="B96" s="15">
        <f t="shared" ref="B96:B106" si="8">(A96-$A$32)*24+1</f>
        <v>3.0000000000582077</v>
      </c>
      <c r="C96" s="23">
        <f>178*20*100</f>
        <v>356000</v>
      </c>
      <c r="D96" s="21">
        <f>49*100</f>
        <v>4900</v>
      </c>
      <c r="E96" s="5"/>
      <c r="F96" s="5"/>
      <c r="H96" s="17">
        <f t="shared" si="6"/>
        <v>5.5514499979728749</v>
      </c>
      <c r="I96" s="15">
        <f t="shared" si="7"/>
        <v>3.6901960800285138</v>
      </c>
      <c r="J96" s="5"/>
      <c r="K96" s="5"/>
    </row>
    <row r="97" spans="1:11" x14ac:dyDescent="0.35">
      <c r="A97" s="14">
        <v>44656.569444444445</v>
      </c>
      <c r="B97" s="15">
        <f t="shared" si="8"/>
        <v>6.1666666667442769</v>
      </c>
      <c r="C97" s="21">
        <f>105*20000</f>
        <v>2100000</v>
      </c>
      <c r="D97" s="21">
        <f>76*100</f>
        <v>7600</v>
      </c>
      <c r="E97" s="5"/>
      <c r="F97" s="5"/>
      <c r="H97" s="15">
        <f t="shared" si="6"/>
        <v>6.3222192947339195</v>
      </c>
      <c r="I97" s="15">
        <f t="shared" si="7"/>
        <v>3.8808135922807914</v>
      </c>
      <c r="J97" s="5"/>
      <c r="K97" s="5"/>
    </row>
    <row r="98" spans="1:11" x14ac:dyDescent="0.35">
      <c r="A98" s="14">
        <v>44656.690972222219</v>
      </c>
      <c r="B98" s="15">
        <f t="shared" si="8"/>
        <v>9.0833333333139308</v>
      </c>
      <c r="C98" s="21">
        <f>62*20*10000</f>
        <v>12400000</v>
      </c>
      <c r="D98" s="21">
        <f>10*20*100</f>
        <v>20000</v>
      </c>
      <c r="E98" s="5"/>
      <c r="F98" s="5"/>
      <c r="H98" s="15">
        <f t="shared" si="6"/>
        <v>7.0934216851622347</v>
      </c>
      <c r="I98" s="15">
        <f t="shared" si="7"/>
        <v>4.3010299956639813</v>
      </c>
      <c r="J98" s="5"/>
      <c r="K98" s="5"/>
    </row>
    <row r="99" spans="1:11" x14ac:dyDescent="0.35">
      <c r="A99" s="14">
        <v>44656.809027777781</v>
      </c>
      <c r="B99" s="15">
        <f t="shared" si="8"/>
        <v>11.916666666802485</v>
      </c>
      <c r="C99" s="23">
        <f>169*200000</f>
        <v>33800000</v>
      </c>
      <c r="D99" s="21">
        <f>47*2000</f>
        <v>94000</v>
      </c>
      <c r="E99" s="5"/>
      <c r="F99" s="5"/>
      <c r="H99" s="18">
        <f t="shared" si="6"/>
        <v>7.5289167002776551</v>
      </c>
      <c r="I99" s="15">
        <f t="shared" si="7"/>
        <v>4.9731278535996983</v>
      </c>
      <c r="J99" s="5"/>
      <c r="K99" s="5"/>
    </row>
    <row r="100" spans="1:11" x14ac:dyDescent="0.35">
      <c r="A100" s="14">
        <v>44657.319444444445</v>
      </c>
      <c r="B100" s="15">
        <f t="shared" si="8"/>
        <v>24.166666666744277</v>
      </c>
      <c r="C100" s="21">
        <f>132*2000000</f>
        <v>264000000</v>
      </c>
      <c r="D100" s="21">
        <f>30*20*1000</f>
        <v>600000</v>
      </c>
      <c r="E100" s="5"/>
      <c r="F100" s="5"/>
      <c r="H100" s="15">
        <f t="shared" si="6"/>
        <v>8.4216039268698317</v>
      </c>
      <c r="I100" s="15">
        <f t="shared" si="7"/>
        <v>5.7781512503836439</v>
      </c>
      <c r="J100" s="5"/>
      <c r="K100" s="5"/>
    </row>
    <row r="101" spans="1:11" x14ac:dyDescent="0.35">
      <c r="A101" s="14">
        <v>44657.4375</v>
      </c>
      <c r="B101" s="15">
        <f t="shared" si="8"/>
        <v>27.000000000058208</v>
      </c>
      <c r="C101" s="21">
        <f>177*2000000</f>
        <v>354000000</v>
      </c>
      <c r="D101" s="21">
        <f>28*20*1000</f>
        <v>560000</v>
      </c>
      <c r="E101" s="5"/>
      <c r="F101" s="15"/>
      <c r="H101" s="15">
        <f t="shared" si="6"/>
        <v>8.5490032620257885</v>
      </c>
      <c r="I101" s="15">
        <f t="shared" si="7"/>
        <v>5.7481880270062007</v>
      </c>
      <c r="J101" s="5"/>
      <c r="K101" s="5"/>
    </row>
    <row r="102" spans="1:11" x14ac:dyDescent="0.35">
      <c r="A102" s="14">
        <v>44657.5625</v>
      </c>
      <c r="B102" s="15">
        <f t="shared" si="8"/>
        <v>30.000000000058208</v>
      </c>
      <c r="C102" s="21">
        <f>145*2000000</f>
        <v>290000000</v>
      </c>
      <c r="D102" s="21">
        <f>43*20*1000</f>
        <v>860000</v>
      </c>
      <c r="E102" s="5"/>
      <c r="F102" s="15"/>
      <c r="H102" s="15">
        <f t="shared" si="6"/>
        <v>8.4623979978989556</v>
      </c>
      <c r="I102" s="15">
        <f t="shared" si="7"/>
        <v>5.9344984512435675</v>
      </c>
      <c r="J102" s="5"/>
      <c r="K102" s="5"/>
    </row>
    <row r="103" spans="1:11" x14ac:dyDescent="0.35">
      <c r="A103" s="14">
        <v>44657.6875</v>
      </c>
      <c r="B103" s="15">
        <f t="shared" si="8"/>
        <v>33.000000000058208</v>
      </c>
      <c r="C103" s="21">
        <f>117*20*100000</f>
        <v>234000000</v>
      </c>
      <c r="D103" s="21">
        <f>86*20*1000</f>
        <v>1720000</v>
      </c>
      <c r="E103" s="16"/>
      <c r="F103" s="15"/>
      <c r="H103" s="15">
        <f t="shared" si="6"/>
        <v>8.3692158574101434</v>
      </c>
      <c r="I103" s="15">
        <f t="shared" si="7"/>
        <v>6.2355284469075487</v>
      </c>
      <c r="J103" s="5"/>
      <c r="K103" s="5"/>
    </row>
    <row r="104" spans="1:11" x14ac:dyDescent="0.35">
      <c r="A104" s="14">
        <v>44657.809027777781</v>
      </c>
      <c r="B104" s="15">
        <f t="shared" si="8"/>
        <v>35.916666666802485</v>
      </c>
      <c r="C104" s="21">
        <f>171*2000000</f>
        <v>342000000</v>
      </c>
      <c r="D104" s="21">
        <f>99*20*1000</f>
        <v>1980000</v>
      </c>
      <c r="E104" s="5"/>
      <c r="F104" s="5"/>
      <c r="H104" s="15">
        <f t="shared" si="6"/>
        <v>8.5340261060561353</v>
      </c>
      <c r="I104" s="15">
        <f t="shared" si="7"/>
        <v>6.2966651902615309</v>
      </c>
      <c r="J104" s="5"/>
      <c r="K104" s="5"/>
    </row>
    <row r="105" spans="1:11" x14ac:dyDescent="0.35">
      <c r="A105" s="14">
        <v>44658.319444444445</v>
      </c>
      <c r="B105" s="15">
        <f t="shared" si="8"/>
        <v>48.166666666744277</v>
      </c>
      <c r="C105" s="23">
        <v>280000000</v>
      </c>
      <c r="D105" s="23">
        <f>AVERAGE(4450000,4600000,4530000)</f>
        <v>4526666.666666667</v>
      </c>
      <c r="E105" s="16"/>
      <c r="F105" s="5"/>
      <c r="H105" s="15">
        <f t="shared" si="6"/>
        <v>8.4471580313422194</v>
      </c>
      <c r="I105" s="15">
        <f t="shared" si="7"/>
        <v>6.6557785152248208</v>
      </c>
      <c r="J105" s="5"/>
      <c r="K105" s="5"/>
    </row>
    <row r="106" spans="1:11" x14ac:dyDescent="0.35">
      <c r="A106" s="14">
        <v>44658.555555555555</v>
      </c>
      <c r="B106" s="15">
        <f t="shared" si="8"/>
        <v>53.833333333372138</v>
      </c>
      <c r="C106" s="23">
        <f>162*20*100000</f>
        <v>324000000</v>
      </c>
      <c r="D106" s="23">
        <f>AVERAGE(3090000,2310000,2540000,7730000,4800000,4800000)</f>
        <v>4211666.666666667</v>
      </c>
      <c r="E106" s="16"/>
      <c r="F106" s="5"/>
      <c r="H106" s="18">
        <f t="shared" si="6"/>
        <v>8.5105450102066129</v>
      </c>
      <c r="I106" s="15">
        <f t="shared" si="7"/>
        <v>6.6244539915362708</v>
      </c>
      <c r="J106" s="5"/>
      <c r="K106" s="5"/>
    </row>
    <row r="107" spans="1:11" x14ac:dyDescent="0.35">
      <c r="H107" s="5"/>
      <c r="I107" s="5"/>
      <c r="J107" s="5"/>
      <c r="K107" s="5"/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BFE1-4368-404E-A3DF-0DF90D175227}">
  <dimension ref="A1:Q128"/>
  <sheetViews>
    <sheetView zoomScale="50" zoomScaleNormal="50" workbookViewId="0">
      <selection activeCell="C112" sqref="C112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7" ht="15.5" x14ac:dyDescent="0.35">
      <c r="A1" s="4" t="s">
        <v>0</v>
      </c>
      <c r="B1" s="2" t="s">
        <v>1</v>
      </c>
    </row>
    <row r="2" spans="1:17" ht="18.5" x14ac:dyDescent="0.45">
      <c r="A2" s="4" t="s">
        <v>2</v>
      </c>
      <c r="B2" s="3" t="s">
        <v>20</v>
      </c>
      <c r="O2" t="s">
        <v>43</v>
      </c>
      <c r="P2" t="s">
        <v>42</v>
      </c>
    </row>
    <row r="3" spans="1:17" x14ac:dyDescent="0.35">
      <c r="A3" s="4" t="s">
        <v>4</v>
      </c>
      <c r="B3" t="s">
        <v>21</v>
      </c>
      <c r="M3" t="s">
        <v>44</v>
      </c>
    </row>
    <row r="4" spans="1:17" x14ac:dyDescent="0.35">
      <c r="A4" s="4" t="s">
        <v>6</v>
      </c>
      <c r="B4" t="s">
        <v>47</v>
      </c>
      <c r="I4" t="s">
        <v>16</v>
      </c>
      <c r="M4">
        <v>0</v>
      </c>
      <c r="N4">
        <v>494</v>
      </c>
      <c r="O4" s="24">
        <v>150000000</v>
      </c>
      <c r="P4" s="24">
        <f>(O4/1000)*2</f>
        <v>300000</v>
      </c>
      <c r="Q4" s="35">
        <f>LOG(P4)</f>
        <v>5.4771212547196626</v>
      </c>
    </row>
    <row r="5" spans="1:17" x14ac:dyDescent="0.35">
      <c r="I5" t="s">
        <v>17</v>
      </c>
      <c r="J5" t="s">
        <v>18</v>
      </c>
      <c r="K5" t="s">
        <v>19</v>
      </c>
      <c r="N5">
        <v>23</v>
      </c>
      <c r="O5" s="24">
        <v>280000000</v>
      </c>
      <c r="P5" s="24">
        <f>O5/1000</f>
        <v>280000</v>
      </c>
      <c r="Q5" s="35">
        <f t="shared" ref="Q5:Q6" si="0">LOG(P5)</f>
        <v>5.4471580313422194</v>
      </c>
    </row>
    <row r="6" spans="1:17" x14ac:dyDescent="0.35">
      <c r="I6">
        <v>0.26636492622740687</v>
      </c>
      <c r="J6">
        <v>1.8135538261997375E-2</v>
      </c>
      <c r="K6">
        <v>0.99977484526713334</v>
      </c>
      <c r="N6">
        <v>1034</v>
      </c>
      <c r="O6" s="24">
        <v>140000000</v>
      </c>
      <c r="P6" s="24">
        <f>O6/100000</f>
        <v>1400</v>
      </c>
      <c r="Q6" s="35">
        <f t="shared" si="0"/>
        <v>3.1461280356782382</v>
      </c>
    </row>
    <row r="8" spans="1:17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7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  <c r="L9" t="s">
        <v>45</v>
      </c>
      <c r="N9" s="5" t="s">
        <v>46</v>
      </c>
    </row>
    <row r="10" spans="1:17" x14ac:dyDescent="0.35">
      <c r="A10" s="14">
        <v>44649.354166666664</v>
      </c>
      <c r="B10" s="15">
        <f>0*24+1</f>
        <v>1</v>
      </c>
      <c r="C10" s="21">
        <f>45*20*100</f>
        <v>90000</v>
      </c>
      <c r="D10" s="20"/>
      <c r="E10" s="16">
        <v>2.1999999999999999E-2</v>
      </c>
      <c r="F10" s="5">
        <v>5.9</v>
      </c>
      <c r="H10" s="15">
        <f>LOG(C10)</f>
        <v>4.9542425094393252</v>
      </c>
      <c r="J10" s="35">
        <f t="shared" ref="J10:J25" si="1">(E10-$J$6)/$I$6</f>
        <v>1.4508147873430495E-2</v>
      </c>
      <c r="L10">
        <v>0</v>
      </c>
      <c r="N10" s="35">
        <f t="shared" ref="N10:N25" si="2">H10-$H$10</f>
        <v>0</v>
      </c>
    </row>
    <row r="11" spans="1:17" x14ac:dyDescent="0.35">
      <c r="A11" s="14">
        <v>44649.4375</v>
      </c>
      <c r="B11" s="15">
        <f>(A11-$A$10)*24+1</f>
        <v>3.0000000000582077</v>
      </c>
      <c r="C11" s="21">
        <f>105*20*100</f>
        <v>210000</v>
      </c>
      <c r="D11" s="20"/>
      <c r="E11" s="5">
        <v>5.0000000000000001E-3</v>
      </c>
      <c r="F11" s="5">
        <v>5.9</v>
      </c>
      <c r="H11" s="15">
        <f t="shared" ref="H11:H25" si="3">LOG(C11)</f>
        <v>5.3222192947339195</v>
      </c>
      <c r="J11" s="35">
        <f t="shared" si="1"/>
        <v>-4.9314068665267947E-2</v>
      </c>
      <c r="L11">
        <v>0</v>
      </c>
      <c r="N11" s="35">
        <f>H11-$H$10</f>
        <v>0.36797678529459432</v>
      </c>
    </row>
    <row r="12" spans="1:17" x14ac:dyDescent="0.35">
      <c r="A12" s="14">
        <v>44649.5625</v>
      </c>
      <c r="B12" s="15">
        <f t="shared" ref="B12:B25" si="4">(A12-$A$10)*24+1</f>
        <v>6.0000000000582077</v>
      </c>
      <c r="C12" s="21">
        <f>36*20*1000</f>
        <v>720000</v>
      </c>
      <c r="D12" s="20"/>
      <c r="E12" s="5">
        <v>0.02</v>
      </c>
      <c r="F12" s="5">
        <v>5.8</v>
      </c>
      <c r="H12" s="15">
        <f t="shared" si="3"/>
        <v>5.8573324964312681</v>
      </c>
      <c r="J12" s="35">
        <f t="shared" si="1"/>
        <v>6.9996518100542138E-3</v>
      </c>
      <c r="L12">
        <v>0</v>
      </c>
      <c r="N12" s="35">
        <f t="shared" si="2"/>
        <v>0.90308998699194287</v>
      </c>
    </row>
    <row r="13" spans="1:17" x14ac:dyDescent="0.35">
      <c r="A13" s="14">
        <v>44649.6875</v>
      </c>
      <c r="B13" s="15">
        <f t="shared" si="4"/>
        <v>9.0000000000582077</v>
      </c>
      <c r="C13" s="21">
        <f>136*20*1000</f>
        <v>2720000</v>
      </c>
      <c r="D13" s="20"/>
      <c r="E13" s="5">
        <v>4.5999999999999999E-2</v>
      </c>
      <c r="F13" s="5">
        <v>5.81</v>
      </c>
      <c r="H13" s="15">
        <f t="shared" si="3"/>
        <v>6.4345689040341991</v>
      </c>
      <c r="J13" s="35">
        <f t="shared" si="1"/>
        <v>0.10461010063394596</v>
      </c>
      <c r="L13">
        <v>0</v>
      </c>
      <c r="N13" s="35">
        <f t="shared" si="2"/>
        <v>1.4803263945948739</v>
      </c>
    </row>
    <row r="14" spans="1:17" x14ac:dyDescent="0.35">
      <c r="A14" s="14">
        <v>44649.819444444445</v>
      </c>
      <c r="B14" s="15">
        <f t="shared" si="4"/>
        <v>12.166666666744277</v>
      </c>
      <c r="C14" s="21">
        <f>35*20*10000</f>
        <v>7000000</v>
      </c>
      <c r="D14" s="20"/>
      <c r="E14" s="5">
        <v>-8.9999999999999993E-3</v>
      </c>
      <c r="F14" s="5">
        <v>5.75</v>
      </c>
      <c r="H14" s="15">
        <f t="shared" si="3"/>
        <v>6.8450980400142569</v>
      </c>
      <c r="J14" s="35">
        <f t="shared" si="1"/>
        <v>-0.10187354110890197</v>
      </c>
      <c r="L14">
        <v>0</v>
      </c>
      <c r="N14" s="35">
        <f t="shared" si="2"/>
        <v>1.8908555305749317</v>
      </c>
    </row>
    <row r="15" spans="1:17" x14ac:dyDescent="0.35">
      <c r="A15" s="37">
        <v>44692.375</v>
      </c>
      <c r="B15" s="38">
        <v>15</v>
      </c>
      <c r="C15" s="39">
        <f>287*20*10000</f>
        <v>57400000</v>
      </c>
      <c r="D15" s="40"/>
      <c r="E15" s="42">
        <v>0.112</v>
      </c>
      <c r="F15" s="42">
        <v>5.15</v>
      </c>
      <c r="G15" s="40"/>
      <c r="H15" s="43">
        <f>LOG(C15)</f>
        <v>7.7589118923979736</v>
      </c>
      <c r="I15" s="40"/>
      <c r="J15" s="44">
        <f t="shared" si="1"/>
        <v>0.3523904707253635</v>
      </c>
      <c r="K15" s="40"/>
      <c r="L15" s="40"/>
      <c r="N15" s="35">
        <f>H15-$Q$4</f>
        <v>2.281790637678311</v>
      </c>
    </row>
    <row r="16" spans="1:17" x14ac:dyDescent="0.35">
      <c r="A16" s="37">
        <v>44692.5</v>
      </c>
      <c r="B16" s="38">
        <v>18</v>
      </c>
      <c r="C16" s="39">
        <f>430*20*10000</f>
        <v>86000000</v>
      </c>
      <c r="D16" s="40"/>
      <c r="E16" s="42">
        <v>0.25</v>
      </c>
      <c r="F16" s="42">
        <v>4.67</v>
      </c>
      <c r="G16" s="40"/>
      <c r="H16" s="43">
        <f t="shared" si="3"/>
        <v>7.9344984512435675</v>
      </c>
      <c r="I16" s="40"/>
      <c r="J16" s="44">
        <f t="shared" si="1"/>
        <v>0.87047669909832737</v>
      </c>
      <c r="K16" s="40"/>
      <c r="L16" s="40"/>
      <c r="N16" s="35">
        <f>H16-$Q$4</f>
        <v>2.4573771965239048</v>
      </c>
    </row>
    <row r="17" spans="1:14" x14ac:dyDescent="0.35">
      <c r="A17" s="37">
        <v>44692.625</v>
      </c>
      <c r="B17" s="38">
        <v>21</v>
      </c>
      <c r="C17" s="39">
        <f>75*20*100000</f>
        <v>150000000</v>
      </c>
      <c r="D17" s="40"/>
      <c r="E17" s="42">
        <v>0.105</v>
      </c>
      <c r="F17" s="42">
        <v>5.47</v>
      </c>
      <c r="G17" s="40"/>
      <c r="H17" s="43">
        <f t="shared" si="3"/>
        <v>8.1760912590556813</v>
      </c>
      <c r="I17" s="40"/>
      <c r="J17" s="44">
        <f t="shared" si="1"/>
        <v>0.32611073450354644</v>
      </c>
      <c r="K17" s="40"/>
      <c r="L17" s="40"/>
      <c r="N17" s="35">
        <f>H17-$Q$4</f>
        <v>2.6989700043360187</v>
      </c>
    </row>
    <row r="18" spans="1:14" x14ac:dyDescent="0.35">
      <c r="A18" s="14">
        <v>44650.319444444445</v>
      </c>
      <c r="B18" s="15">
        <f t="shared" si="4"/>
        <v>24.166666666744277</v>
      </c>
      <c r="C18" s="21">
        <f>73*20*100000</f>
        <v>146000000</v>
      </c>
      <c r="D18" s="20"/>
      <c r="E18" s="16">
        <v>0.16600000000000001</v>
      </c>
      <c r="F18" s="5">
        <v>5.43</v>
      </c>
      <c r="H18" s="15">
        <f t="shared" si="3"/>
        <v>8.1643528557844363</v>
      </c>
      <c r="J18" s="35">
        <f t="shared" si="1"/>
        <v>0.55511986443652328</v>
      </c>
      <c r="L18">
        <v>1.6</v>
      </c>
      <c r="N18" s="35">
        <f t="shared" si="2"/>
        <v>3.2101103463451111</v>
      </c>
    </row>
    <row r="19" spans="1:14" x14ac:dyDescent="0.35">
      <c r="A19" s="14">
        <v>44650.440972222219</v>
      </c>
      <c r="B19" s="15">
        <f t="shared" si="4"/>
        <v>27.083333333313931</v>
      </c>
      <c r="C19" s="21">
        <f>93*20*100000</f>
        <v>186000000</v>
      </c>
      <c r="D19" s="20"/>
      <c r="E19" s="5">
        <v>0.13400000000000001</v>
      </c>
      <c r="F19" s="15">
        <v>5.42</v>
      </c>
      <c r="H19" s="15">
        <f t="shared" si="3"/>
        <v>8.2695129442179169</v>
      </c>
      <c r="J19" s="35">
        <f t="shared" si="1"/>
        <v>0.43498392742250269</v>
      </c>
      <c r="L19">
        <v>3.2</v>
      </c>
      <c r="N19" s="35">
        <f t="shared" si="2"/>
        <v>3.3152704347785917</v>
      </c>
    </row>
    <row r="20" spans="1:14" x14ac:dyDescent="0.35">
      <c r="A20" s="14">
        <v>44650.565972222219</v>
      </c>
      <c r="B20" s="15">
        <f t="shared" si="4"/>
        <v>30.083333333313931</v>
      </c>
      <c r="C20" s="21">
        <f>127*20*100000</f>
        <v>254000000</v>
      </c>
      <c r="D20" s="20"/>
      <c r="E20" s="5">
        <v>0.153</v>
      </c>
      <c r="F20" s="5">
        <v>5.42</v>
      </c>
      <c r="H20" s="15">
        <f t="shared" si="3"/>
        <v>8.4048337166199385</v>
      </c>
      <c r="J20" s="35">
        <f t="shared" si="1"/>
        <v>0.50631464002457738</v>
      </c>
      <c r="L20">
        <v>1.6</v>
      </c>
      <c r="N20" s="35">
        <f t="shared" si="2"/>
        <v>3.4505912071806133</v>
      </c>
    </row>
    <row r="21" spans="1:14" x14ac:dyDescent="0.35">
      <c r="A21" s="14">
        <v>44650.690972222219</v>
      </c>
      <c r="B21" s="15">
        <f t="shared" si="4"/>
        <v>33.083333333313931</v>
      </c>
      <c r="C21" s="21">
        <f>135*20*100000</f>
        <v>270000000</v>
      </c>
      <c r="D21" s="20"/>
      <c r="E21" s="5">
        <v>0.189</v>
      </c>
      <c r="F21" s="15">
        <v>5.43</v>
      </c>
      <c r="H21" s="15">
        <f t="shared" si="3"/>
        <v>8.4313637641589878</v>
      </c>
      <c r="J21" s="35">
        <f t="shared" si="1"/>
        <v>0.64146756916535064</v>
      </c>
      <c r="L21">
        <v>3.2</v>
      </c>
      <c r="N21" s="35">
        <f t="shared" si="2"/>
        <v>3.4771212547196626</v>
      </c>
    </row>
    <row r="22" spans="1:14" x14ac:dyDescent="0.35">
      <c r="A22" s="14">
        <v>44650.805555555555</v>
      </c>
      <c r="B22" s="15">
        <f t="shared" si="4"/>
        <v>35.833333333372138</v>
      </c>
      <c r="C22" s="21">
        <f>131*20*100000</f>
        <v>262000000</v>
      </c>
      <c r="D22" s="20"/>
      <c r="E22" s="5">
        <v>0.16800000000000001</v>
      </c>
      <c r="F22" s="5">
        <v>5.4</v>
      </c>
      <c r="H22" s="15">
        <f t="shared" si="3"/>
        <v>8.4183012913197448</v>
      </c>
      <c r="J22" s="35">
        <f t="shared" si="1"/>
        <v>0.56262836049989962</v>
      </c>
      <c r="L22">
        <v>3.2</v>
      </c>
      <c r="N22" s="35">
        <f t="shared" si="2"/>
        <v>3.4640587818804196</v>
      </c>
    </row>
    <row r="23" spans="1:14" x14ac:dyDescent="0.35">
      <c r="A23" s="37">
        <v>44693.5</v>
      </c>
      <c r="B23" s="38">
        <v>42</v>
      </c>
      <c r="C23" s="45">
        <f>109*20*100000</f>
        <v>218000000</v>
      </c>
      <c r="D23" s="46"/>
      <c r="E23" s="47">
        <v>0.121</v>
      </c>
      <c r="F23" s="47">
        <v>5.47</v>
      </c>
      <c r="G23" s="46"/>
      <c r="H23" s="38">
        <f t="shared" si="3"/>
        <v>8.3384564936046051</v>
      </c>
      <c r="I23" s="46"/>
      <c r="J23" s="48">
        <f t="shared" si="1"/>
        <v>0.38617870301055679</v>
      </c>
      <c r="K23" s="46"/>
      <c r="L23" s="46"/>
      <c r="M23" s="46"/>
      <c r="N23" s="48">
        <f>H23-Q4</f>
        <v>2.8613352388849425</v>
      </c>
    </row>
    <row r="24" spans="1:14" x14ac:dyDescent="0.35">
      <c r="A24" s="14">
        <v>44651.322916666664</v>
      </c>
      <c r="B24" s="15">
        <f t="shared" si="4"/>
        <v>48.25</v>
      </c>
      <c r="C24" s="21">
        <f>114*20*100000</f>
        <v>228000000</v>
      </c>
      <c r="D24" s="20"/>
      <c r="E24" s="5">
        <v>0.155</v>
      </c>
      <c r="F24" s="5">
        <v>5.47</v>
      </c>
      <c r="H24" s="15">
        <f t="shared" si="3"/>
        <v>8.357934847000454</v>
      </c>
      <c r="J24" s="35">
        <f t="shared" si="1"/>
        <v>0.51382313608795371</v>
      </c>
      <c r="L24">
        <v>1.6</v>
      </c>
      <c r="N24" s="35">
        <f t="shared" si="2"/>
        <v>3.4036923375611288</v>
      </c>
    </row>
    <row r="25" spans="1:14" x14ac:dyDescent="0.35">
      <c r="A25" s="14">
        <v>44651.565972222219</v>
      </c>
      <c r="B25" s="15">
        <f t="shared" si="4"/>
        <v>54.083333333313931</v>
      </c>
      <c r="C25" s="21">
        <f>99*20*100000</f>
        <v>198000000</v>
      </c>
      <c r="D25" s="20"/>
      <c r="E25" s="5">
        <v>0.193</v>
      </c>
      <c r="F25" s="15">
        <v>5.42</v>
      </c>
      <c r="H25" s="15">
        <f t="shared" si="3"/>
        <v>8.2966651902615318</v>
      </c>
      <c r="J25" s="35">
        <f t="shared" si="1"/>
        <v>0.6564845612921032</v>
      </c>
      <c r="L25">
        <v>1.6</v>
      </c>
      <c r="N25" s="35">
        <f t="shared" si="2"/>
        <v>3.3424226808222066</v>
      </c>
    </row>
    <row r="26" spans="1:14" x14ac:dyDescent="0.35">
      <c r="B26" s="5"/>
      <c r="C26" s="5"/>
    </row>
    <row r="27" spans="1:14" x14ac:dyDescent="0.35">
      <c r="B27" s="5"/>
      <c r="C27" s="5"/>
      <c r="E27" t="s">
        <v>31</v>
      </c>
      <c r="F27">
        <f>MIN(F10:F14,F18:F22,F24:F25)</f>
        <v>5.4</v>
      </c>
    </row>
    <row r="28" spans="1:14" x14ac:dyDescent="0.35">
      <c r="C28" s="5"/>
    </row>
    <row r="34" spans="1:13" ht="18.5" x14ac:dyDescent="0.45">
      <c r="A34" s="12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3" x14ac:dyDescent="0.35">
      <c r="A35" t="s">
        <v>23</v>
      </c>
      <c r="B35" s="5" t="s">
        <v>24</v>
      </c>
      <c r="C35" s="5" t="s">
        <v>25</v>
      </c>
      <c r="D35" s="5" t="s">
        <v>26</v>
      </c>
      <c r="E35" s="5" t="s">
        <v>27</v>
      </c>
      <c r="F35" s="5" t="s">
        <v>28</v>
      </c>
      <c r="G35" s="5"/>
      <c r="H35" s="5" t="s">
        <v>29</v>
      </c>
      <c r="I35" s="5" t="s">
        <v>30</v>
      </c>
      <c r="J35" s="5" t="s">
        <v>13</v>
      </c>
      <c r="K35" s="5" t="s">
        <v>28</v>
      </c>
      <c r="M35" s="5" t="s">
        <v>46</v>
      </c>
    </row>
    <row r="36" spans="1:13" x14ac:dyDescent="0.35">
      <c r="A36" s="14">
        <v>44649.354166666664</v>
      </c>
      <c r="B36" s="15">
        <f>0*24+1</f>
        <v>1</v>
      </c>
      <c r="C36" s="21">
        <f>120*20*100</f>
        <v>240000</v>
      </c>
      <c r="D36" s="20"/>
      <c r="E36" s="16">
        <v>-7.0000000000000001E-3</v>
      </c>
      <c r="F36" s="5">
        <v>5.9</v>
      </c>
      <c r="H36" s="15">
        <f>LOG(C36)</f>
        <v>5.3802112417116064</v>
      </c>
      <c r="I36" s="5"/>
      <c r="J36" s="35">
        <f t="shared" ref="J36:J51" si="5">(E36-$J$6)/$I$6</f>
        <v>-9.4365045045525675E-2</v>
      </c>
      <c r="K36" s="5"/>
      <c r="M36" s="35">
        <f>H36-$H$36</f>
        <v>0</v>
      </c>
    </row>
    <row r="37" spans="1:13" x14ac:dyDescent="0.35">
      <c r="A37" s="14">
        <v>44649.4375</v>
      </c>
      <c r="B37" s="15">
        <f>(A37-$A$36)*24+1</f>
        <v>3.0000000000582077</v>
      </c>
      <c r="C37" s="21">
        <f>262*20*100</f>
        <v>524000</v>
      </c>
      <c r="D37" s="20"/>
      <c r="E37" s="16">
        <v>8.0000000000000002E-3</v>
      </c>
      <c r="F37" s="5">
        <v>5.78</v>
      </c>
      <c r="H37" s="15">
        <f t="shared" ref="H37:H51" si="6">LOG(C37)</f>
        <v>5.7193312869837269</v>
      </c>
      <c r="I37" s="5"/>
      <c r="J37" s="35">
        <f t="shared" si="5"/>
        <v>-3.8051324570203521E-2</v>
      </c>
      <c r="K37" s="5"/>
      <c r="M37" s="35">
        <f t="shared" ref="M37:M51" si="7">H37-$H$36</f>
        <v>0.33912004527212058</v>
      </c>
    </row>
    <row r="38" spans="1:13" x14ac:dyDescent="0.35">
      <c r="A38" s="14">
        <v>44649.5625</v>
      </c>
      <c r="B38" s="15">
        <f t="shared" ref="B38:B51" si="8">(A38-$A$36)*24+1</f>
        <v>6.0000000000582077</v>
      </c>
      <c r="C38" s="21">
        <f>92*20*1000</f>
        <v>1840000</v>
      </c>
      <c r="D38" s="20"/>
      <c r="E38" s="5">
        <v>0.02</v>
      </c>
      <c r="F38" s="5">
        <v>5.8</v>
      </c>
      <c r="H38" s="15">
        <f t="shared" si="6"/>
        <v>6.2648178230095368</v>
      </c>
      <c r="I38" s="5"/>
      <c r="J38" s="35">
        <f t="shared" si="5"/>
        <v>6.9996518100542138E-3</v>
      </c>
      <c r="K38" s="5"/>
      <c r="M38" s="35">
        <f t="shared" si="7"/>
        <v>0.88460658129793046</v>
      </c>
    </row>
    <row r="39" spans="1:13" x14ac:dyDescent="0.35">
      <c r="A39" s="14">
        <v>44649.6875</v>
      </c>
      <c r="B39" s="15">
        <f t="shared" si="8"/>
        <v>9.0000000000582077</v>
      </c>
      <c r="C39" s="21">
        <f>262*20*1000</f>
        <v>5240000</v>
      </c>
      <c r="D39" s="20"/>
      <c r="E39" s="5">
        <v>-2E-3</v>
      </c>
      <c r="F39" s="5">
        <v>5.76</v>
      </c>
      <c r="H39" s="15">
        <f t="shared" si="6"/>
        <v>6.7193312869837269</v>
      </c>
      <c r="I39" s="5"/>
      <c r="J39" s="35">
        <f t="shared" si="5"/>
        <v>-7.5593804887084962E-2</v>
      </c>
      <c r="K39" s="5"/>
      <c r="M39" s="35">
        <f t="shared" si="7"/>
        <v>1.3391200452721206</v>
      </c>
    </row>
    <row r="40" spans="1:13" x14ac:dyDescent="0.35">
      <c r="A40" s="14">
        <v>44649.819444444445</v>
      </c>
      <c r="B40" s="15">
        <f t="shared" si="8"/>
        <v>12.166666666744277</v>
      </c>
      <c r="C40" s="21">
        <f>64*20*10000</f>
        <v>12800000</v>
      </c>
      <c r="D40" s="20"/>
      <c r="E40" s="5">
        <v>-3.4000000000000002E-2</v>
      </c>
      <c r="F40" s="15">
        <v>5.68</v>
      </c>
      <c r="H40" s="15">
        <f t="shared" si="6"/>
        <v>7.1072099696478688</v>
      </c>
      <c r="I40" s="5"/>
      <c r="J40" s="35">
        <f t="shared" si="5"/>
        <v>-0.19572974190110559</v>
      </c>
      <c r="K40" s="5"/>
      <c r="M40" s="35">
        <f t="shared" si="7"/>
        <v>1.7269987279362624</v>
      </c>
    </row>
    <row r="41" spans="1:13" x14ac:dyDescent="0.35">
      <c r="A41" s="37">
        <v>44692.375</v>
      </c>
      <c r="B41" s="38">
        <v>15</v>
      </c>
      <c r="C41" s="39">
        <f>467*20*10000</f>
        <v>93400000</v>
      </c>
      <c r="D41" s="40"/>
      <c r="E41" s="43">
        <v>9.6000000000000002E-2</v>
      </c>
      <c r="F41" s="43">
        <v>5.29</v>
      </c>
      <c r="G41" s="40"/>
      <c r="H41" s="43">
        <f>LOG(C41)</f>
        <v>7.9703468762300931</v>
      </c>
      <c r="I41" s="42"/>
      <c r="J41" s="44">
        <f t="shared" si="5"/>
        <v>0.29232250221835321</v>
      </c>
      <c r="K41" s="42"/>
      <c r="M41" s="35">
        <f>H41-$Q$5</f>
        <v>2.5231888448878736</v>
      </c>
    </row>
    <row r="42" spans="1:13" x14ac:dyDescent="0.35">
      <c r="A42" s="37">
        <v>44692.5</v>
      </c>
      <c r="B42" s="38">
        <v>18</v>
      </c>
      <c r="C42" s="39">
        <f>284*20*10000</f>
        <v>56800000</v>
      </c>
      <c r="D42" s="40"/>
      <c r="E42" s="42">
        <v>0.126</v>
      </c>
      <c r="F42" s="43">
        <v>5.0999999999999996</v>
      </c>
      <c r="G42" s="40"/>
      <c r="H42" s="43">
        <f t="shared" si="6"/>
        <v>7.7543483357110192</v>
      </c>
      <c r="I42" s="42"/>
      <c r="J42" s="44">
        <f t="shared" si="5"/>
        <v>0.40494994316899752</v>
      </c>
      <c r="K42" s="42"/>
      <c r="M42" s="35">
        <f t="shared" ref="M42" si="9">H42-$Q$5</f>
        <v>2.3071903043687998</v>
      </c>
    </row>
    <row r="43" spans="1:13" x14ac:dyDescent="0.35">
      <c r="A43" s="37">
        <v>44692.625</v>
      </c>
      <c r="B43" s="38">
        <v>21</v>
      </c>
      <c r="C43" s="39">
        <f>124*20*100000</f>
        <v>248000000</v>
      </c>
      <c r="D43" s="40"/>
      <c r="E43" s="42">
        <v>9.2999999999999999E-2</v>
      </c>
      <c r="F43" s="43">
        <v>5.37</v>
      </c>
      <c r="G43" s="40"/>
      <c r="H43" s="43">
        <f t="shared" si="6"/>
        <v>8.3944516808262168</v>
      </c>
      <c r="I43" s="42"/>
      <c r="J43" s="44">
        <f t="shared" si="5"/>
        <v>0.28105975812328876</v>
      </c>
      <c r="K43" s="42"/>
      <c r="M43" s="35">
        <f>H43-$Q$5</f>
        <v>2.9472936494839974</v>
      </c>
    </row>
    <row r="44" spans="1:13" x14ac:dyDescent="0.35">
      <c r="A44" s="14">
        <v>44650.319444444445</v>
      </c>
      <c r="B44" s="15">
        <f t="shared" si="8"/>
        <v>24.166666666744277</v>
      </c>
      <c r="C44" s="21">
        <f>98*20*100000</f>
        <v>196000000</v>
      </c>
      <c r="D44" s="20"/>
      <c r="E44" s="5">
        <v>0.113</v>
      </c>
      <c r="F44" s="5">
        <v>5.29</v>
      </c>
      <c r="H44" s="15">
        <f t="shared" si="6"/>
        <v>8.2922560713564764</v>
      </c>
      <c r="I44" s="5"/>
      <c r="J44" s="35">
        <f t="shared" si="5"/>
        <v>0.35614471875705161</v>
      </c>
      <c r="K44" s="5"/>
      <c r="M44" s="35">
        <f t="shared" si="7"/>
        <v>2.91204482964487</v>
      </c>
    </row>
    <row r="45" spans="1:13" x14ac:dyDescent="0.35">
      <c r="A45" s="14">
        <v>44650.440972222219</v>
      </c>
      <c r="B45" s="15">
        <f t="shared" si="8"/>
        <v>27.083333333313931</v>
      </c>
      <c r="C45" s="21">
        <f>153*20*100000</f>
        <v>306000000</v>
      </c>
      <c r="D45" s="20"/>
      <c r="E45" s="5">
        <v>9.9000000000000005E-2</v>
      </c>
      <c r="F45" s="5">
        <v>5.34</v>
      </c>
      <c r="H45" s="15">
        <f t="shared" si="6"/>
        <v>8.4857214264815806</v>
      </c>
      <c r="I45" s="5"/>
      <c r="J45" s="35">
        <f t="shared" si="5"/>
        <v>0.3035852463134176</v>
      </c>
      <c r="K45" s="5"/>
      <c r="M45" s="35">
        <f t="shared" si="7"/>
        <v>3.1055101847699742</v>
      </c>
    </row>
    <row r="46" spans="1:13" x14ac:dyDescent="0.35">
      <c r="A46" s="14">
        <v>44650.565972222219</v>
      </c>
      <c r="B46" s="15">
        <f t="shared" si="8"/>
        <v>30.083333333313931</v>
      </c>
      <c r="C46" s="21">
        <f>161*20*100000</f>
        <v>322000000</v>
      </c>
      <c r="D46" s="20"/>
      <c r="E46" s="5">
        <v>0.13900000000000001</v>
      </c>
      <c r="F46" s="5">
        <v>5.27</v>
      </c>
      <c r="H46" s="15">
        <f t="shared" si="6"/>
        <v>8.5078558716958312</v>
      </c>
      <c r="I46" s="5"/>
      <c r="J46" s="35">
        <f t="shared" si="5"/>
        <v>0.45375516758094342</v>
      </c>
      <c r="K46" s="5"/>
      <c r="M46" s="35">
        <f t="shared" si="7"/>
        <v>3.1276446299842249</v>
      </c>
    </row>
    <row r="47" spans="1:13" x14ac:dyDescent="0.35">
      <c r="A47" s="14">
        <v>44650.690972222219</v>
      </c>
      <c r="B47" s="15">
        <f t="shared" si="8"/>
        <v>33.083333333313931</v>
      </c>
      <c r="C47" s="21">
        <f>162*20*100000</f>
        <v>324000000</v>
      </c>
      <c r="D47" s="20"/>
      <c r="E47" s="16">
        <v>0.125</v>
      </c>
      <c r="F47" s="15">
        <v>5.23</v>
      </c>
      <c r="H47" s="15">
        <f t="shared" si="6"/>
        <v>8.5105450102066129</v>
      </c>
      <c r="I47" s="5"/>
      <c r="J47" s="35">
        <f t="shared" si="5"/>
        <v>0.40119569513730935</v>
      </c>
      <c r="K47" s="5"/>
      <c r="M47" s="35">
        <f t="shared" si="7"/>
        <v>3.1303337684950066</v>
      </c>
    </row>
    <row r="48" spans="1:13" x14ac:dyDescent="0.35">
      <c r="A48" s="14">
        <v>44650.805555555555</v>
      </c>
      <c r="B48" s="15">
        <f t="shared" si="8"/>
        <v>35.833333333372138</v>
      </c>
      <c r="C48" s="21">
        <f>168*20*100000</f>
        <v>336000000</v>
      </c>
      <c r="D48" s="20"/>
      <c r="E48" s="5">
        <v>0.104</v>
      </c>
      <c r="F48" s="5">
        <v>5.19</v>
      </c>
      <c r="H48" s="15">
        <f t="shared" si="6"/>
        <v>8.5263392773898445</v>
      </c>
      <c r="I48" s="5"/>
      <c r="J48" s="35">
        <f t="shared" si="5"/>
        <v>0.32235648647185833</v>
      </c>
      <c r="K48" s="5"/>
      <c r="M48" s="35">
        <f t="shared" si="7"/>
        <v>3.1461280356782382</v>
      </c>
    </row>
    <row r="49" spans="1:13" x14ac:dyDescent="0.35">
      <c r="A49" s="37">
        <v>44693.5</v>
      </c>
      <c r="B49" s="38">
        <v>42</v>
      </c>
      <c r="C49" s="45">
        <f>179*20*100000</f>
        <v>358000000</v>
      </c>
      <c r="D49" s="46"/>
      <c r="E49" s="47">
        <v>0.11700000000000001</v>
      </c>
      <c r="F49" s="47">
        <v>5.16</v>
      </c>
      <c r="G49" s="46"/>
      <c r="H49" s="38">
        <f t="shared" si="6"/>
        <v>8.5538830266438737</v>
      </c>
      <c r="I49" s="47"/>
      <c r="J49" s="48">
        <f t="shared" si="5"/>
        <v>0.37116171088380423</v>
      </c>
      <c r="K49" s="47"/>
      <c r="L49" s="46"/>
      <c r="M49" s="48">
        <f>H49-Q5</f>
        <v>3.1067249953016542</v>
      </c>
    </row>
    <row r="50" spans="1:13" x14ac:dyDescent="0.35">
      <c r="A50" s="14">
        <v>44651.322916666664</v>
      </c>
      <c r="B50" s="15">
        <f t="shared" si="8"/>
        <v>48.25</v>
      </c>
      <c r="C50" s="21">
        <f>143*20*100000</f>
        <v>286000000</v>
      </c>
      <c r="D50" s="20"/>
      <c r="E50" s="5">
        <v>0.125</v>
      </c>
      <c r="F50" s="15">
        <v>5.19</v>
      </c>
      <c r="H50" s="15">
        <f t="shared" si="6"/>
        <v>8.4563660331290436</v>
      </c>
      <c r="I50" s="5"/>
      <c r="J50" s="35">
        <f t="shared" si="5"/>
        <v>0.40119569513730935</v>
      </c>
      <c r="K50" s="5"/>
      <c r="M50" s="35">
        <f t="shared" si="7"/>
        <v>3.0761547914174372</v>
      </c>
    </row>
    <row r="51" spans="1:13" x14ac:dyDescent="0.35">
      <c r="A51" s="14">
        <v>44651.565972222219</v>
      </c>
      <c r="B51" s="15">
        <f t="shared" si="8"/>
        <v>54.083333333313931</v>
      </c>
      <c r="C51" s="21">
        <f>106*20*100000</f>
        <v>212000000</v>
      </c>
      <c r="D51" s="20"/>
      <c r="E51" s="5">
        <v>0.13400000000000001</v>
      </c>
      <c r="F51" s="5">
        <v>5.14</v>
      </c>
      <c r="H51" s="15">
        <f t="shared" si="6"/>
        <v>8.3263358609287508</v>
      </c>
      <c r="I51" s="5"/>
      <c r="J51" s="35">
        <f t="shared" si="5"/>
        <v>0.43498392742250269</v>
      </c>
      <c r="K51" s="5"/>
      <c r="M51" s="35">
        <f t="shared" si="7"/>
        <v>2.9461246192171444</v>
      </c>
    </row>
    <row r="52" spans="1:13" x14ac:dyDescent="0.35">
      <c r="H52" s="5"/>
      <c r="I52" s="5"/>
      <c r="J52" s="5"/>
      <c r="K52" s="5"/>
    </row>
    <row r="53" spans="1:13" x14ac:dyDescent="0.35">
      <c r="E53" t="s">
        <v>31</v>
      </c>
      <c r="F53" s="35">
        <f>MIN(F36:F40,F44:F48,F50:F51)</f>
        <v>5.14</v>
      </c>
      <c r="H53" s="5"/>
      <c r="I53" s="5"/>
      <c r="J53" s="5"/>
      <c r="K53" s="5"/>
    </row>
    <row r="58" spans="1:13" ht="18.5" x14ac:dyDescent="0.45">
      <c r="A58" s="13" t="s">
        <v>34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3" x14ac:dyDescent="0.35">
      <c r="A59" t="s">
        <v>23</v>
      </c>
      <c r="B59" s="5" t="s">
        <v>24</v>
      </c>
      <c r="C59" s="5" t="s">
        <v>25</v>
      </c>
      <c r="D59" s="5" t="s">
        <v>26</v>
      </c>
      <c r="E59" s="5" t="s">
        <v>27</v>
      </c>
      <c r="F59" s="5" t="s">
        <v>28</v>
      </c>
      <c r="G59" s="5"/>
      <c r="H59" s="5" t="s">
        <v>29</v>
      </c>
      <c r="I59" s="5" t="s">
        <v>30</v>
      </c>
      <c r="J59" s="5" t="s">
        <v>13</v>
      </c>
      <c r="K59" s="5" t="s">
        <v>28</v>
      </c>
      <c r="L59" s="5" t="s">
        <v>46</v>
      </c>
    </row>
    <row r="60" spans="1:13" x14ac:dyDescent="0.35">
      <c r="A60" s="14">
        <v>44649.354166666664</v>
      </c>
      <c r="B60" s="15">
        <f>0*24+1</f>
        <v>1</v>
      </c>
      <c r="C60" s="19"/>
      <c r="D60" s="21">
        <f>18*100</f>
        <v>1800</v>
      </c>
      <c r="E60" s="5">
        <v>-2.7E-2</v>
      </c>
      <c r="F60" s="5">
        <v>5.89</v>
      </c>
      <c r="H60" s="15"/>
      <c r="I60">
        <f>LOG(D60)</f>
        <v>3.255272505103306</v>
      </c>
      <c r="J60" s="35">
        <f t="shared" ref="J60:J75" si="10">(E60-$J$6)/$I$6</f>
        <v>-0.16945000567928856</v>
      </c>
      <c r="L60" s="35">
        <f>I60-$I$60</f>
        <v>0</v>
      </c>
    </row>
    <row r="61" spans="1:13" x14ac:dyDescent="0.35">
      <c r="A61" s="14">
        <v>44649.4375</v>
      </c>
      <c r="B61" s="15">
        <f>(A61-$A$60)*24+1</f>
        <v>3.0000000000582077</v>
      </c>
      <c r="C61" s="19"/>
      <c r="D61" s="21">
        <f>47*100</f>
        <v>4700</v>
      </c>
      <c r="E61" s="16">
        <v>-2.5000000000000001E-2</v>
      </c>
      <c r="F61" s="5">
        <v>5.84</v>
      </c>
      <c r="H61" s="15"/>
      <c r="I61">
        <f t="shared" ref="I61:I75" si="11">LOG(D61)</f>
        <v>3.6720978579357175</v>
      </c>
      <c r="J61" s="35">
        <f t="shared" si="10"/>
        <v>-0.16194150961591228</v>
      </c>
      <c r="L61" s="35">
        <f t="shared" ref="L61:L75" si="12">I61-$I$60</f>
        <v>0.41682535283241151</v>
      </c>
    </row>
    <row r="62" spans="1:13" x14ac:dyDescent="0.35">
      <c r="A62" s="14">
        <v>44649.5625</v>
      </c>
      <c r="B62" s="15">
        <f t="shared" ref="B62:B75" si="13">(A62-$A$60)*24+1</f>
        <v>6.0000000000582077</v>
      </c>
      <c r="C62" s="19"/>
      <c r="D62" s="21">
        <f>30*20*10</f>
        <v>6000</v>
      </c>
      <c r="E62" s="5">
        <v>4.4999999999999998E-2</v>
      </c>
      <c r="F62" s="5">
        <v>5.81</v>
      </c>
      <c r="H62" s="15"/>
      <c r="I62">
        <f t="shared" si="11"/>
        <v>3.7781512503836434</v>
      </c>
      <c r="J62" s="35">
        <f t="shared" si="10"/>
        <v>0.10085585260225781</v>
      </c>
      <c r="L62" s="35">
        <f t="shared" si="12"/>
        <v>0.5228787452803374</v>
      </c>
    </row>
    <row r="63" spans="1:13" x14ac:dyDescent="0.35">
      <c r="A63" s="14">
        <v>44649.6875</v>
      </c>
      <c r="B63" s="15">
        <f t="shared" si="13"/>
        <v>9.0000000000582077</v>
      </c>
      <c r="C63" s="19"/>
      <c r="D63" s="21">
        <f>92*20*10</f>
        <v>18400</v>
      </c>
      <c r="E63" s="5">
        <v>-1E-3</v>
      </c>
      <c r="F63" s="5">
        <v>5.84</v>
      </c>
      <c r="H63" s="15"/>
      <c r="I63">
        <f t="shared" si="11"/>
        <v>4.2648178230095368</v>
      </c>
      <c r="J63" s="35">
        <f t="shared" si="10"/>
        <v>-7.1839556855396822E-2</v>
      </c>
      <c r="L63" s="35">
        <f t="shared" si="12"/>
        <v>1.0095453179062308</v>
      </c>
    </row>
    <row r="64" spans="1:13" x14ac:dyDescent="0.35">
      <c r="A64" s="14">
        <v>44649.819444444445</v>
      </c>
      <c r="B64" s="15">
        <f t="shared" si="13"/>
        <v>12.166666666744277</v>
      </c>
      <c r="C64" s="19"/>
      <c r="D64" s="21">
        <f>30*20*100</f>
        <v>60000</v>
      </c>
      <c r="E64" s="5">
        <v>-0.11</v>
      </c>
      <c r="F64" s="15">
        <v>5.85</v>
      </c>
      <c r="H64" s="15"/>
      <c r="I64">
        <f t="shared" si="11"/>
        <v>4.7781512503836439</v>
      </c>
      <c r="J64" s="35">
        <f t="shared" si="10"/>
        <v>-0.4810525923094045</v>
      </c>
      <c r="L64" s="35">
        <f t="shared" si="12"/>
        <v>1.5228787452803378</v>
      </c>
    </row>
    <row r="65" spans="1:12" x14ac:dyDescent="0.35">
      <c r="A65" s="37">
        <v>44692.375</v>
      </c>
      <c r="B65" s="38">
        <v>15</v>
      </c>
      <c r="C65" s="42"/>
      <c r="D65" s="39">
        <f>122*20*100</f>
        <v>244000</v>
      </c>
      <c r="E65" s="42">
        <v>0.01</v>
      </c>
      <c r="F65" s="43">
        <v>5.89</v>
      </c>
      <c r="G65" s="40"/>
      <c r="H65" s="43"/>
      <c r="I65" s="40">
        <f>LOG(D65)</f>
        <v>5.3873898263387296</v>
      </c>
      <c r="J65" s="44">
        <f t="shared" si="10"/>
        <v>-3.0542828506827231E-2</v>
      </c>
      <c r="K65" s="40"/>
      <c r="L65" s="35">
        <f>I65-$Q$6</f>
        <v>2.2412617906604915</v>
      </c>
    </row>
    <row r="66" spans="1:12" x14ac:dyDescent="0.35">
      <c r="A66" s="37">
        <v>44692.5</v>
      </c>
      <c r="B66" s="38">
        <v>18</v>
      </c>
      <c r="C66" s="42"/>
      <c r="D66" s="39">
        <f>((963000)+(1050000)+(1070000))/3</f>
        <v>1027666.6666666666</v>
      </c>
      <c r="E66" s="42">
        <v>-4.1000000000000002E-2</v>
      </c>
      <c r="F66" s="43">
        <v>5.73</v>
      </c>
      <c r="G66" s="40"/>
      <c r="H66" s="43"/>
      <c r="I66" s="40">
        <f t="shared" si="11"/>
        <v>6.0118522700068455</v>
      </c>
      <c r="J66" s="44">
        <f t="shared" si="10"/>
        <v>-0.2220094781229226</v>
      </c>
      <c r="K66" s="40"/>
      <c r="L66" s="35">
        <f t="shared" ref="L66:L67" si="14">I66-$Q$6</f>
        <v>2.8657242343286073</v>
      </c>
    </row>
    <row r="67" spans="1:12" x14ac:dyDescent="0.35">
      <c r="A67" s="37">
        <v>44692.625</v>
      </c>
      <c r="B67" s="38">
        <v>21</v>
      </c>
      <c r="C67" s="42"/>
      <c r="D67" s="39">
        <f>14*20*10000</f>
        <v>2800000</v>
      </c>
      <c r="E67" s="42">
        <v>-5.1999999999999998E-2</v>
      </c>
      <c r="F67" s="43">
        <v>5.83</v>
      </c>
      <c r="G67" s="40"/>
      <c r="H67" s="43"/>
      <c r="I67" s="40">
        <f t="shared" si="11"/>
        <v>6.4471580313422194</v>
      </c>
      <c r="J67" s="44">
        <f t="shared" si="10"/>
        <v>-0.26330620647149217</v>
      </c>
      <c r="K67" s="40"/>
      <c r="L67" s="35">
        <f t="shared" si="14"/>
        <v>3.3010299956639813</v>
      </c>
    </row>
    <row r="68" spans="1:12" x14ac:dyDescent="0.35">
      <c r="A68" s="14">
        <v>44650.319444444445</v>
      </c>
      <c r="B68" s="15">
        <f t="shared" si="13"/>
        <v>24.166666666744277</v>
      </c>
      <c r="C68" s="19"/>
      <c r="D68" s="21">
        <f>23*20*10000</f>
        <v>4600000</v>
      </c>
      <c r="E68" s="5">
        <v>-2.8000000000000001E-2</v>
      </c>
      <c r="F68" s="15">
        <v>5.79</v>
      </c>
      <c r="H68" s="15"/>
      <c r="I68">
        <f t="shared" si="11"/>
        <v>6.6627578316815743</v>
      </c>
      <c r="J68" s="35">
        <f t="shared" si="10"/>
        <v>-0.1732042537109767</v>
      </c>
      <c r="L68" s="35">
        <f t="shared" si="12"/>
        <v>3.4074853265782683</v>
      </c>
    </row>
    <row r="69" spans="1:12" x14ac:dyDescent="0.35">
      <c r="A69" s="14">
        <v>44650.440972222219</v>
      </c>
      <c r="B69" s="15">
        <f t="shared" si="13"/>
        <v>27.083333333313931</v>
      </c>
      <c r="C69" s="19"/>
      <c r="D69" s="21">
        <f>36*20*10000</f>
        <v>7200000</v>
      </c>
      <c r="E69" s="5">
        <v>-1.6E-2</v>
      </c>
      <c r="F69" s="5">
        <v>5.8</v>
      </c>
      <c r="H69" s="15"/>
      <c r="I69">
        <f t="shared" si="11"/>
        <v>6.8573324964312681</v>
      </c>
      <c r="J69" s="35">
        <f t="shared" si="10"/>
        <v>-0.12815327733071899</v>
      </c>
      <c r="L69" s="35">
        <f t="shared" si="12"/>
        <v>3.6020599913279621</v>
      </c>
    </row>
    <row r="70" spans="1:12" x14ac:dyDescent="0.35">
      <c r="A70" s="14">
        <v>44650.565972222219</v>
      </c>
      <c r="B70" s="15">
        <f t="shared" si="13"/>
        <v>30.083333333313931</v>
      </c>
      <c r="C70" s="19"/>
      <c r="D70" s="21">
        <f>13*20*100000</f>
        <v>26000000</v>
      </c>
      <c r="E70" s="5">
        <v>-4.9000000000000002E-2</v>
      </c>
      <c r="F70" s="5">
        <v>5.75</v>
      </c>
      <c r="H70" s="15"/>
      <c r="I70">
        <f t="shared" si="11"/>
        <v>7.4149733479708182</v>
      </c>
      <c r="J70" s="35">
        <f t="shared" si="10"/>
        <v>-0.25204346237642777</v>
      </c>
      <c r="L70" s="35">
        <f t="shared" si="12"/>
        <v>4.1597008428675117</v>
      </c>
    </row>
    <row r="71" spans="1:12" x14ac:dyDescent="0.35">
      <c r="A71" s="14">
        <v>44650.690972222219</v>
      </c>
      <c r="B71" s="15">
        <f t="shared" si="13"/>
        <v>33.083333333313931</v>
      </c>
      <c r="C71" s="19"/>
      <c r="D71" s="21">
        <f>29*20*100000</f>
        <v>58000000</v>
      </c>
      <c r="E71" s="5">
        <v>1.7000000000000001E-2</v>
      </c>
      <c r="F71" s="5">
        <v>5.65</v>
      </c>
      <c r="H71" s="15"/>
      <c r="I71">
        <f t="shared" si="11"/>
        <v>7.7634279935629369</v>
      </c>
      <c r="J71" s="35">
        <f t="shared" si="10"/>
        <v>-4.2630922850102164E-3</v>
      </c>
      <c r="L71" s="35">
        <f t="shared" si="12"/>
        <v>4.5081554884596304</v>
      </c>
    </row>
    <row r="72" spans="1:12" x14ac:dyDescent="0.35">
      <c r="A72" s="14">
        <v>44650.805555555555</v>
      </c>
      <c r="B72" s="15">
        <f t="shared" si="13"/>
        <v>35.833333333372138</v>
      </c>
      <c r="C72" s="19"/>
      <c r="D72" s="21">
        <f>55*20*100000</f>
        <v>110000000</v>
      </c>
      <c r="E72" s="5">
        <v>-1.7000000000000001E-2</v>
      </c>
      <c r="F72" s="15">
        <v>5.54</v>
      </c>
      <c r="H72" s="15"/>
      <c r="I72">
        <f t="shared" si="11"/>
        <v>8.0413926851582254</v>
      </c>
      <c r="J72" s="35">
        <f t="shared" si="10"/>
        <v>-0.13190752536240713</v>
      </c>
      <c r="L72" s="35">
        <f t="shared" si="12"/>
        <v>4.7861201800549189</v>
      </c>
    </row>
    <row r="73" spans="1:12" x14ac:dyDescent="0.35">
      <c r="A73" s="37">
        <v>44693.5</v>
      </c>
      <c r="B73" s="38">
        <v>42</v>
      </c>
      <c r="C73" s="19"/>
      <c r="D73" s="45">
        <f>284000000</f>
        <v>284000000</v>
      </c>
      <c r="E73" s="47">
        <v>0.03</v>
      </c>
      <c r="F73" s="38">
        <v>5.27</v>
      </c>
      <c r="G73" s="46"/>
      <c r="H73" s="38"/>
      <c r="I73" s="46">
        <f t="shared" si="11"/>
        <v>8.4533183400470371</v>
      </c>
      <c r="J73" s="48">
        <f t="shared" si="10"/>
        <v>4.4542132126935648E-2</v>
      </c>
      <c r="K73" s="46"/>
      <c r="L73" s="48">
        <f>I73-Q6</f>
        <v>5.3071903043687989</v>
      </c>
    </row>
    <row r="74" spans="1:12" x14ac:dyDescent="0.35">
      <c r="A74" s="14">
        <v>44651.322916666664</v>
      </c>
      <c r="B74" s="15">
        <f t="shared" si="13"/>
        <v>48.25</v>
      </c>
      <c r="C74" s="19"/>
      <c r="D74" s="21">
        <f>110*20*100000</f>
        <v>220000000</v>
      </c>
      <c r="E74" s="5">
        <v>-2.5999999999999999E-2</v>
      </c>
      <c r="F74" s="15">
        <v>5.28</v>
      </c>
      <c r="H74" s="15"/>
      <c r="I74">
        <f t="shared" si="11"/>
        <v>8.3424226808222066</v>
      </c>
      <c r="J74" s="35">
        <f t="shared" si="10"/>
        <v>-0.16569575764760042</v>
      </c>
      <c r="L74" s="35">
        <f t="shared" si="12"/>
        <v>5.0871501757189002</v>
      </c>
    </row>
    <row r="75" spans="1:12" x14ac:dyDescent="0.35">
      <c r="A75" s="14">
        <v>44651.565972222219</v>
      </c>
      <c r="B75" s="15">
        <f t="shared" si="13"/>
        <v>54.083333333313931</v>
      </c>
      <c r="C75" s="20"/>
      <c r="D75" s="21">
        <f>132*20*100000</f>
        <v>264000000</v>
      </c>
      <c r="E75" s="5">
        <v>0.16600000000000001</v>
      </c>
      <c r="F75" s="5">
        <v>5.39</v>
      </c>
      <c r="H75" s="15"/>
      <c r="I75">
        <f t="shared" si="11"/>
        <v>8.4216039268698317</v>
      </c>
      <c r="J75" s="35">
        <f t="shared" si="10"/>
        <v>0.55511986443652328</v>
      </c>
      <c r="L75" s="35">
        <f t="shared" si="12"/>
        <v>5.1663314217665253</v>
      </c>
    </row>
    <row r="77" spans="1:12" x14ac:dyDescent="0.35">
      <c r="E77" t="s">
        <v>31</v>
      </c>
      <c r="F77" s="35">
        <f>MIN(F60:F64,F68:F72,F74:F75)</f>
        <v>5.28</v>
      </c>
    </row>
    <row r="83" spans="1:15" ht="18.5" x14ac:dyDescent="0.45">
      <c r="A83" s="33" t="s">
        <v>35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 spans="1:15" x14ac:dyDescent="0.35">
      <c r="A84" t="s">
        <v>23</v>
      </c>
      <c r="B84" s="5" t="s">
        <v>24</v>
      </c>
      <c r="C84" s="5" t="s">
        <v>25</v>
      </c>
      <c r="D84" s="5" t="s">
        <v>26</v>
      </c>
      <c r="E84" s="5" t="s">
        <v>27</v>
      </c>
      <c r="F84" s="5" t="s">
        <v>28</v>
      </c>
      <c r="G84" s="5"/>
      <c r="H84" s="5" t="s">
        <v>29</v>
      </c>
      <c r="I84" s="5" t="s">
        <v>30</v>
      </c>
      <c r="J84" s="5" t="s">
        <v>13</v>
      </c>
      <c r="K84" s="5" t="s">
        <v>28</v>
      </c>
      <c r="L84" t="s">
        <v>45</v>
      </c>
      <c r="N84" s="5" t="s">
        <v>46</v>
      </c>
      <c r="O84" s="5" t="s">
        <v>46</v>
      </c>
    </row>
    <row r="85" spans="1:15" x14ac:dyDescent="0.35">
      <c r="A85" s="14">
        <v>44649.354166666664</v>
      </c>
      <c r="B85" s="15">
        <f>0*24+1</f>
        <v>1</v>
      </c>
      <c r="C85" s="21">
        <f>47*20*100</f>
        <v>94000</v>
      </c>
      <c r="D85" s="21">
        <f>22*100</f>
        <v>2200</v>
      </c>
      <c r="E85" s="5">
        <v>5.0000000000000001E-3</v>
      </c>
      <c r="F85" s="5">
        <v>5.89</v>
      </c>
      <c r="H85" s="15">
        <f>LOG(C85)</f>
        <v>4.9731278535996983</v>
      </c>
      <c r="I85" s="15">
        <f>LOG(D85)</f>
        <v>3.3424226808222062</v>
      </c>
      <c r="J85" s="35">
        <f t="shared" ref="J85:J100" si="15">(E85-$J$6)/$I$6</f>
        <v>-4.9314068665267947E-2</v>
      </c>
      <c r="L85">
        <v>0</v>
      </c>
      <c r="N85" s="35">
        <f>H85-$H$85</f>
        <v>0</v>
      </c>
      <c r="O85" s="35">
        <f>I85-$I$85</f>
        <v>0</v>
      </c>
    </row>
    <row r="86" spans="1:15" x14ac:dyDescent="0.35">
      <c r="A86" s="14">
        <v>44649.4375</v>
      </c>
      <c r="B86" s="15">
        <f>(A86-$A$85)*24+1</f>
        <v>3.0000000000582077</v>
      </c>
      <c r="C86" s="21">
        <f>118*20*100</f>
        <v>236000</v>
      </c>
      <c r="D86" s="21">
        <f>20*100</f>
        <v>2000</v>
      </c>
      <c r="E86" s="5">
        <v>1E-3</v>
      </c>
      <c r="F86" s="5">
        <v>5.87</v>
      </c>
      <c r="H86" s="15">
        <f t="shared" ref="H86:I100" si="16">LOG(C86)</f>
        <v>5.3729120029701063</v>
      </c>
      <c r="I86" s="15">
        <f t="shared" si="16"/>
        <v>3.3010299956639813</v>
      </c>
      <c r="J86" s="35">
        <f t="shared" si="15"/>
        <v>-6.4331060792020528E-2</v>
      </c>
      <c r="L86">
        <v>0</v>
      </c>
      <c r="N86" s="35">
        <f t="shared" ref="N86:N100" si="17">H86-$H$85</f>
        <v>0.39978414937040796</v>
      </c>
      <c r="O86" s="35">
        <f t="shared" ref="O86:O100" si="18">I86-$I$85</f>
        <v>-4.1392685158224918E-2</v>
      </c>
    </row>
    <row r="87" spans="1:15" x14ac:dyDescent="0.35">
      <c r="A87" s="14">
        <v>44649.5625</v>
      </c>
      <c r="B87" s="15">
        <f t="shared" ref="B87:B100" si="19">(A87-$A$85)*24+1</f>
        <v>6.0000000000582077</v>
      </c>
      <c r="C87" s="21">
        <f>41*20*1000</f>
        <v>820000</v>
      </c>
      <c r="D87" s="21">
        <f>35*20*10</f>
        <v>7000</v>
      </c>
      <c r="E87" s="5">
        <v>5.6000000000000001E-2</v>
      </c>
      <c r="F87" s="5">
        <v>5.8</v>
      </c>
      <c r="H87" s="15">
        <f t="shared" si="16"/>
        <v>5.9138138523837167</v>
      </c>
      <c r="I87" s="15">
        <f t="shared" si="16"/>
        <v>3.8450980400142569</v>
      </c>
      <c r="J87" s="35">
        <f t="shared" si="15"/>
        <v>0.14215258095082742</v>
      </c>
      <c r="L87">
        <v>0</v>
      </c>
      <c r="N87" s="35">
        <f t="shared" si="17"/>
        <v>0.94068599878401837</v>
      </c>
      <c r="O87" s="35">
        <f t="shared" si="18"/>
        <v>0.50267535919205075</v>
      </c>
    </row>
    <row r="88" spans="1:15" x14ac:dyDescent="0.35">
      <c r="A88" s="14">
        <v>44649.6875</v>
      </c>
      <c r="B88" s="15">
        <f t="shared" si="19"/>
        <v>9.0000000000582077</v>
      </c>
      <c r="C88" s="21">
        <f>126*20*1000</f>
        <v>2520000</v>
      </c>
      <c r="D88" s="21">
        <f>98*20*10</f>
        <v>19600</v>
      </c>
      <c r="E88" s="16">
        <v>1E-3</v>
      </c>
      <c r="F88" s="15">
        <v>5.82</v>
      </c>
      <c r="H88" s="15">
        <f t="shared" si="16"/>
        <v>6.4014005407815437</v>
      </c>
      <c r="I88" s="15">
        <f t="shared" si="16"/>
        <v>4.2922560713564764</v>
      </c>
      <c r="J88" s="35">
        <f t="shared" si="15"/>
        <v>-6.4331060792020528E-2</v>
      </c>
      <c r="L88">
        <v>0</v>
      </c>
      <c r="N88" s="35">
        <f t="shared" si="17"/>
        <v>1.4282726871818454</v>
      </c>
      <c r="O88" s="35">
        <f t="shared" si="18"/>
        <v>0.94983339053427018</v>
      </c>
    </row>
    <row r="89" spans="1:15" x14ac:dyDescent="0.35">
      <c r="A89" s="14">
        <v>44649.819444444445</v>
      </c>
      <c r="B89" s="15">
        <f t="shared" si="19"/>
        <v>12.166666666744277</v>
      </c>
      <c r="C89" s="21">
        <f>29*20*10000</f>
        <v>5800000</v>
      </c>
      <c r="D89" s="21">
        <f>22*20*100</f>
        <v>44000</v>
      </c>
      <c r="E89" s="5">
        <v>-8.8999999999999996E-2</v>
      </c>
      <c r="F89" s="5">
        <v>5.76</v>
      </c>
      <c r="H89" s="15">
        <f t="shared" si="16"/>
        <v>6.7634279935629369</v>
      </c>
      <c r="I89" s="15">
        <f t="shared" si="16"/>
        <v>4.6434526764861879</v>
      </c>
      <c r="J89" s="35">
        <f t="shared" si="15"/>
        <v>-0.40221338364395348</v>
      </c>
      <c r="L89">
        <v>0</v>
      </c>
      <c r="N89" s="35">
        <f t="shared" si="17"/>
        <v>1.7903001399632386</v>
      </c>
      <c r="O89" s="35">
        <f t="shared" si="18"/>
        <v>1.3010299956639817</v>
      </c>
    </row>
    <row r="90" spans="1:15" x14ac:dyDescent="0.35">
      <c r="A90" s="37">
        <v>44692.375</v>
      </c>
      <c r="B90" s="38">
        <v>15</v>
      </c>
      <c r="C90" s="39">
        <f>227*20*10000</f>
        <v>45400000</v>
      </c>
      <c r="D90" s="39">
        <f>35*20*100</f>
        <v>70000</v>
      </c>
      <c r="E90" s="42">
        <v>0.14000000000000001</v>
      </c>
      <c r="F90" s="42">
        <v>5.14</v>
      </c>
      <c r="G90" s="40"/>
      <c r="H90" s="43">
        <f>LOG(C90)</f>
        <v>7.6570558528571038</v>
      </c>
      <c r="I90" s="43">
        <f>LOG(D90)</f>
        <v>4.8450980400142569</v>
      </c>
      <c r="J90" s="44">
        <f t="shared" si="15"/>
        <v>0.45750941561263159</v>
      </c>
      <c r="K90" s="40"/>
      <c r="N90" s="35">
        <f>H90-$Q$4</f>
        <v>2.1799345981374412</v>
      </c>
      <c r="O90" s="35">
        <f>I90-$Q$6</f>
        <v>1.6989700043360187</v>
      </c>
    </row>
    <row r="91" spans="1:15" x14ac:dyDescent="0.35">
      <c r="A91" s="37">
        <v>44692.5</v>
      </c>
      <c r="B91" s="38">
        <v>18</v>
      </c>
      <c r="C91" s="39">
        <f>403*20*10000</f>
        <v>80600000</v>
      </c>
      <c r="D91" s="39">
        <f>((88000)+(50400)+(61000))/3</f>
        <v>66466.666666666672</v>
      </c>
      <c r="E91" s="42">
        <v>0.22800000000000001</v>
      </c>
      <c r="F91" s="42">
        <v>4.66</v>
      </c>
      <c r="G91" s="40"/>
      <c r="H91" s="43">
        <f t="shared" si="16"/>
        <v>7.9063350418050904</v>
      </c>
      <c r="I91" s="43">
        <f t="shared" si="16"/>
        <v>4.8226038992559745</v>
      </c>
      <c r="J91" s="44">
        <f t="shared" si="15"/>
        <v>0.78788324240118823</v>
      </c>
      <c r="K91" s="40"/>
      <c r="N91" s="35">
        <f t="shared" ref="N91:N92" si="20">H91-$Q$4</f>
        <v>2.4292137870854278</v>
      </c>
      <c r="O91" s="35">
        <f t="shared" ref="O91:O92" si="21">I91-$Q$6</f>
        <v>1.6764758635777364</v>
      </c>
    </row>
    <row r="92" spans="1:15" x14ac:dyDescent="0.35">
      <c r="A92" s="37">
        <v>44692.625</v>
      </c>
      <c r="B92" s="38">
        <v>21</v>
      </c>
      <c r="C92" s="39">
        <f>85*20*100000</f>
        <v>170000000</v>
      </c>
      <c r="D92" s="39">
        <f>110*20*10</f>
        <v>22000</v>
      </c>
      <c r="E92" s="42">
        <v>0.121</v>
      </c>
      <c r="F92" s="42">
        <v>5.47</v>
      </c>
      <c r="G92" s="40"/>
      <c r="H92" s="43">
        <f t="shared" si="16"/>
        <v>8.2304489213782741</v>
      </c>
      <c r="I92" s="43">
        <f t="shared" si="16"/>
        <v>4.3424226808222066</v>
      </c>
      <c r="J92" s="44">
        <f t="shared" si="15"/>
        <v>0.38617870301055679</v>
      </c>
      <c r="K92" s="40"/>
      <c r="N92" s="35">
        <f t="shared" si="20"/>
        <v>2.7533276666586115</v>
      </c>
      <c r="O92" s="35">
        <f t="shared" si="21"/>
        <v>1.1962946451439684</v>
      </c>
    </row>
    <row r="93" spans="1:15" x14ac:dyDescent="0.35">
      <c r="A93" s="14">
        <v>44650.319444444445</v>
      </c>
      <c r="B93" s="15">
        <f t="shared" si="19"/>
        <v>24.166666666744277</v>
      </c>
      <c r="C93" s="21">
        <f>70*20*100000</f>
        <v>140000000</v>
      </c>
      <c r="D93" s="23">
        <f>225*20*10</f>
        <v>45000</v>
      </c>
      <c r="E93" s="5">
        <v>0.13600000000000001</v>
      </c>
      <c r="F93" s="5">
        <v>5.46</v>
      </c>
      <c r="H93" s="15">
        <f t="shared" si="16"/>
        <v>8.1461280356782382</v>
      </c>
      <c r="I93" s="15">
        <f t="shared" si="16"/>
        <v>4.653212513775344</v>
      </c>
      <c r="J93" s="35">
        <f t="shared" si="15"/>
        <v>0.44249242348587897</v>
      </c>
      <c r="L93">
        <v>1.6</v>
      </c>
      <c r="N93" s="35">
        <f t="shared" si="17"/>
        <v>3.1730001820785398</v>
      </c>
      <c r="O93" s="35">
        <f t="shared" si="18"/>
        <v>1.3107898329531378</v>
      </c>
    </row>
    <row r="94" spans="1:15" x14ac:dyDescent="0.35">
      <c r="A94" s="14">
        <v>44650.440972222219</v>
      </c>
      <c r="B94" s="15">
        <f t="shared" si="19"/>
        <v>27.083333333313931</v>
      </c>
      <c r="C94" s="21">
        <f>104*20*100000</f>
        <v>208000000</v>
      </c>
      <c r="D94" s="23">
        <f>97*20*10</f>
        <v>19400</v>
      </c>
      <c r="E94" s="5">
        <v>0.14099999999999999</v>
      </c>
      <c r="F94" s="5">
        <v>5.44</v>
      </c>
      <c r="H94" s="15">
        <f t="shared" si="16"/>
        <v>8.318063334962762</v>
      </c>
      <c r="I94" s="15">
        <f t="shared" si="16"/>
        <v>4.2878017299302265</v>
      </c>
      <c r="J94" s="35">
        <f t="shared" si="15"/>
        <v>0.46126366364431959</v>
      </c>
      <c r="L94">
        <v>3.2</v>
      </c>
      <c r="N94" s="35">
        <f t="shared" si="17"/>
        <v>3.3449354813630636</v>
      </c>
      <c r="O94" s="35">
        <f t="shared" si="18"/>
        <v>0.94537904910802029</v>
      </c>
    </row>
    <row r="95" spans="1:15" x14ac:dyDescent="0.35">
      <c r="A95" s="14">
        <v>44650.565972222219</v>
      </c>
      <c r="B95" s="15">
        <f t="shared" si="19"/>
        <v>30.083333333313931</v>
      </c>
      <c r="C95" s="21">
        <f>115*20*100000</f>
        <v>230000000</v>
      </c>
      <c r="D95" s="23">
        <f>66*8*2*10</f>
        <v>10560</v>
      </c>
      <c r="E95" s="5">
        <v>0.125</v>
      </c>
      <c r="F95" s="5">
        <v>5.41</v>
      </c>
      <c r="H95" s="15">
        <f t="shared" si="16"/>
        <v>8.3617278360175931</v>
      </c>
      <c r="I95" s="15">
        <f t="shared" si="16"/>
        <v>4.0236639181977933</v>
      </c>
      <c r="J95" s="35">
        <f t="shared" si="15"/>
        <v>0.40119569513730935</v>
      </c>
      <c r="L95">
        <v>3.2</v>
      </c>
      <c r="N95" s="35">
        <f t="shared" si="17"/>
        <v>3.3885999824178947</v>
      </c>
      <c r="O95" s="35">
        <f t="shared" si="18"/>
        <v>0.68124123737558717</v>
      </c>
    </row>
    <row r="96" spans="1:15" x14ac:dyDescent="0.35">
      <c r="A96" s="14">
        <v>44650.690972222219</v>
      </c>
      <c r="B96" s="15">
        <f t="shared" si="19"/>
        <v>33.083333333313931</v>
      </c>
      <c r="C96" s="21">
        <f>157*20*100000</f>
        <v>314000000</v>
      </c>
      <c r="D96" s="23" t="s">
        <v>48</v>
      </c>
      <c r="E96" s="5">
        <v>0.13800000000000001</v>
      </c>
      <c r="F96" s="15">
        <v>5.24</v>
      </c>
      <c r="H96" s="15">
        <f t="shared" si="16"/>
        <v>8.4969296480732144</v>
      </c>
      <c r="I96" s="15" t="e">
        <f t="shared" si="16"/>
        <v>#VALUE!</v>
      </c>
      <c r="J96" s="35">
        <f t="shared" si="15"/>
        <v>0.45000091954925525</v>
      </c>
      <c r="L96">
        <v>0</v>
      </c>
      <c r="N96" s="35">
        <f t="shared" si="17"/>
        <v>3.523801794473516</v>
      </c>
      <c r="O96" s="35" t="e">
        <f t="shared" si="18"/>
        <v>#VALUE!</v>
      </c>
    </row>
    <row r="97" spans="1:15" x14ac:dyDescent="0.35">
      <c r="A97" s="14">
        <v>44650.805555555555</v>
      </c>
      <c r="B97" s="15">
        <f t="shared" si="19"/>
        <v>35.833333333372138</v>
      </c>
      <c r="C97" s="21">
        <f>110*20*100000</f>
        <v>220000000</v>
      </c>
      <c r="D97" s="23">
        <f>113*16*2*10</f>
        <v>36160</v>
      </c>
      <c r="E97" s="5">
        <v>0.108</v>
      </c>
      <c r="F97" s="5">
        <v>5.44</v>
      </c>
      <c r="H97" s="15">
        <f t="shared" si="16"/>
        <v>8.3424226808222066</v>
      </c>
      <c r="I97" s="15">
        <f t="shared" si="16"/>
        <v>4.5582284218033253</v>
      </c>
      <c r="J97" s="35">
        <f t="shared" si="15"/>
        <v>0.33737347859861089</v>
      </c>
      <c r="L97">
        <v>0.8</v>
      </c>
      <c r="N97" s="35">
        <f t="shared" si="17"/>
        <v>3.3692948272225083</v>
      </c>
      <c r="O97" s="35">
        <f t="shared" si="18"/>
        <v>1.2158057409811192</v>
      </c>
    </row>
    <row r="98" spans="1:15" x14ac:dyDescent="0.35">
      <c r="A98" s="37">
        <v>44693.5</v>
      </c>
      <c r="B98" s="38">
        <v>42</v>
      </c>
      <c r="C98" s="45">
        <f>114*20*100000</f>
        <v>228000000</v>
      </c>
      <c r="D98" s="52" t="s">
        <v>48</v>
      </c>
      <c r="E98" s="47">
        <v>0.13500000000000001</v>
      </c>
      <c r="F98" s="47">
        <v>5.53</v>
      </c>
      <c r="G98" s="46"/>
      <c r="H98" s="38">
        <f t="shared" si="16"/>
        <v>8.357934847000454</v>
      </c>
      <c r="I98" s="38" t="e">
        <f t="shared" si="16"/>
        <v>#VALUE!</v>
      </c>
      <c r="J98" s="48">
        <f t="shared" si="15"/>
        <v>0.43873817545419086</v>
      </c>
      <c r="K98" s="46"/>
      <c r="L98" s="46"/>
      <c r="M98" s="46"/>
      <c r="N98" s="48">
        <f>H98-Q4</f>
        <v>2.8808135922807914</v>
      </c>
      <c r="O98" s="48" t="e">
        <f>I98-Q6</f>
        <v>#VALUE!</v>
      </c>
    </row>
    <row r="99" spans="1:15" x14ac:dyDescent="0.35">
      <c r="A99" s="14">
        <v>44651.322916666664</v>
      </c>
      <c r="B99" s="15">
        <f>(A99-$A$85)*24+1</f>
        <v>48.25</v>
      </c>
      <c r="C99" s="21">
        <f>116*20*100000</f>
        <v>232000000</v>
      </c>
      <c r="D99" s="23">
        <f>8736*2*10</f>
        <v>174720</v>
      </c>
      <c r="E99" s="5">
        <v>9.9000000000000005E-2</v>
      </c>
      <c r="F99" s="5">
        <v>5.56</v>
      </c>
      <c r="H99" s="15">
        <f t="shared" si="16"/>
        <v>8.3654879848908994</v>
      </c>
      <c r="I99" s="15">
        <f t="shared" si="16"/>
        <v>5.2423426210246431</v>
      </c>
      <c r="J99" s="35">
        <f t="shared" si="15"/>
        <v>0.3035852463134176</v>
      </c>
      <c r="L99">
        <v>1.6</v>
      </c>
      <c r="N99" s="35">
        <f t="shared" si="17"/>
        <v>3.3923601312912011</v>
      </c>
      <c r="O99" s="35">
        <f t="shared" si="18"/>
        <v>1.8999199402024369</v>
      </c>
    </row>
    <row r="100" spans="1:15" x14ac:dyDescent="0.35">
      <c r="A100" s="14">
        <v>44651.565972222219</v>
      </c>
      <c r="B100" s="15">
        <f t="shared" si="19"/>
        <v>54.083333333313931</v>
      </c>
      <c r="C100" s="21">
        <f>122*20*100000</f>
        <v>244000000</v>
      </c>
      <c r="D100" s="23" t="s">
        <v>48</v>
      </c>
      <c r="E100" s="16">
        <v>0.16600000000000001</v>
      </c>
      <c r="F100" s="5">
        <v>5.39</v>
      </c>
      <c r="H100" s="15">
        <f t="shared" si="16"/>
        <v>8.3873898263387296</v>
      </c>
      <c r="I100" s="15" t="e">
        <f t="shared" si="16"/>
        <v>#VALUE!</v>
      </c>
      <c r="J100" s="35">
        <f t="shared" si="15"/>
        <v>0.55511986443652328</v>
      </c>
      <c r="L100">
        <v>1.6</v>
      </c>
      <c r="N100" s="35">
        <f t="shared" si="17"/>
        <v>3.4142619727390313</v>
      </c>
      <c r="O100" s="35" t="e">
        <f t="shared" si="18"/>
        <v>#VALUE!</v>
      </c>
    </row>
    <row r="102" spans="1:15" x14ac:dyDescent="0.35">
      <c r="E102" t="s">
        <v>31</v>
      </c>
      <c r="F102">
        <f>MIN(F85:F89,F93:F97,F99:F100)</f>
        <v>5.24</v>
      </c>
    </row>
    <row r="109" spans="1:15" ht="18.5" x14ac:dyDescent="0.45">
      <c r="A109" s="33" t="s">
        <v>37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5" x14ac:dyDescent="0.35">
      <c r="A110" t="s">
        <v>23</v>
      </c>
      <c r="B110" s="5" t="s">
        <v>24</v>
      </c>
      <c r="C110" s="5" t="s">
        <v>25</v>
      </c>
      <c r="D110" s="5" t="s">
        <v>26</v>
      </c>
      <c r="E110" s="5" t="s">
        <v>27</v>
      </c>
      <c r="F110" s="5" t="s">
        <v>28</v>
      </c>
      <c r="G110" s="5"/>
      <c r="H110" s="5" t="s">
        <v>29</v>
      </c>
      <c r="I110" s="5" t="s">
        <v>30</v>
      </c>
      <c r="J110" s="5" t="s">
        <v>13</v>
      </c>
      <c r="K110" s="5" t="s">
        <v>28</v>
      </c>
      <c r="L110" s="5" t="s">
        <v>46</v>
      </c>
      <c r="M110" s="5" t="s">
        <v>46</v>
      </c>
    </row>
    <row r="111" spans="1:15" x14ac:dyDescent="0.35">
      <c r="A111" s="14">
        <v>44649.354166666664</v>
      </c>
      <c r="B111" s="15">
        <f>0*24+1</f>
        <v>1</v>
      </c>
      <c r="C111" s="21">
        <f>100*20*100</f>
        <v>200000</v>
      </c>
      <c r="D111" s="21">
        <f>27*100</f>
        <v>2700</v>
      </c>
      <c r="E111" s="5">
        <v>7.2999999999999995E-2</v>
      </c>
      <c r="F111" s="5">
        <v>5.88</v>
      </c>
      <c r="H111" s="15">
        <f>LOG(C111)</f>
        <v>5.3010299956639813</v>
      </c>
      <c r="I111" s="15">
        <f>LOG(D111)</f>
        <v>3.4313637641589874</v>
      </c>
      <c r="J111" s="35">
        <f t="shared" ref="J111:J126" si="22">(E111-$J$6)/$I$6</f>
        <v>0.20597479748952585</v>
      </c>
      <c r="K111" s="5"/>
      <c r="L111" s="35">
        <f>H111-$H$111</f>
        <v>0</v>
      </c>
      <c r="M111" s="35">
        <f>I111-$I$111</f>
        <v>0</v>
      </c>
    </row>
    <row r="112" spans="1:15" x14ac:dyDescent="0.35">
      <c r="A112" s="14">
        <v>44649.4375</v>
      </c>
      <c r="B112" s="15">
        <f>(A112-$A$111)*24+1</f>
        <v>3.0000000000582077</v>
      </c>
      <c r="C112" s="21">
        <f>228*20*100</f>
        <v>456000</v>
      </c>
      <c r="D112" s="21">
        <f>37*100</f>
        <v>3700</v>
      </c>
      <c r="E112" s="5">
        <v>-1.7000000000000001E-2</v>
      </c>
      <c r="F112" s="5">
        <v>5.83</v>
      </c>
      <c r="H112" s="15">
        <f t="shared" ref="H112:I126" si="23">LOG(C112)</f>
        <v>5.6589648426644352</v>
      </c>
      <c r="I112" s="15">
        <f t="shared" si="23"/>
        <v>3.568201724066995</v>
      </c>
      <c r="J112" s="35">
        <f t="shared" si="22"/>
        <v>-0.13190752536240713</v>
      </c>
      <c r="K112" s="5"/>
      <c r="L112" s="35">
        <f t="shared" ref="L112:L126" si="24">H112-$H$111</f>
        <v>0.35793484700045397</v>
      </c>
      <c r="M112" s="35">
        <f t="shared" ref="M112:M126" si="25">I112-$I$111</f>
        <v>0.13683795990800762</v>
      </c>
    </row>
    <row r="113" spans="1:13" x14ac:dyDescent="0.35">
      <c r="A113" s="14">
        <v>44649.5625</v>
      </c>
      <c r="B113" s="15">
        <f t="shared" ref="B113:B126" si="26">(A113-$A$111)*24+1</f>
        <v>6.0000000000582077</v>
      </c>
      <c r="C113" s="21">
        <f>76*20*1000</f>
        <v>1520000</v>
      </c>
      <c r="D113" s="21">
        <f>28*20*10</f>
        <v>5600</v>
      </c>
      <c r="E113" s="5">
        <v>2.9000000000000001E-2</v>
      </c>
      <c r="F113" s="5">
        <v>5.78</v>
      </c>
      <c r="H113" s="15">
        <f t="shared" si="23"/>
        <v>6.1818435879447726</v>
      </c>
      <c r="I113" s="15">
        <f t="shared" si="23"/>
        <v>3.7481880270062002</v>
      </c>
      <c r="J113" s="35">
        <f t="shared" si="22"/>
        <v>4.0787884095247515E-2</v>
      </c>
      <c r="K113" s="5"/>
      <c r="L113" s="35">
        <f t="shared" si="24"/>
        <v>0.88081359228079137</v>
      </c>
      <c r="M113" s="35">
        <f t="shared" si="25"/>
        <v>0.31682426284721288</v>
      </c>
    </row>
    <row r="114" spans="1:13" x14ac:dyDescent="0.35">
      <c r="A114" s="14">
        <v>44649.6875</v>
      </c>
      <c r="B114" s="15">
        <f t="shared" si="26"/>
        <v>9.0000000000582077</v>
      </c>
      <c r="C114" s="21">
        <f>181*20*1000</f>
        <v>3620000</v>
      </c>
      <c r="D114" s="21">
        <f>104*20*10</f>
        <v>20800</v>
      </c>
      <c r="E114" s="5">
        <v>2.3E-2</v>
      </c>
      <c r="F114" s="5">
        <v>5.77</v>
      </c>
      <c r="H114" s="15">
        <f t="shared" si="23"/>
        <v>6.5587085705331658</v>
      </c>
      <c r="I114" s="15">
        <f t="shared" si="23"/>
        <v>4.318063334962762</v>
      </c>
      <c r="J114" s="35">
        <f t="shared" si="22"/>
        <v>1.8262395905118644E-2</v>
      </c>
      <c r="K114" s="5"/>
      <c r="L114" s="35">
        <f t="shared" si="24"/>
        <v>1.2576785748691846</v>
      </c>
      <c r="M114" s="35">
        <f t="shared" si="25"/>
        <v>0.88669957080377459</v>
      </c>
    </row>
    <row r="115" spans="1:13" x14ac:dyDescent="0.35">
      <c r="A115" s="14">
        <v>44649.819444444445</v>
      </c>
      <c r="B115" s="15">
        <f t="shared" si="26"/>
        <v>12.166666666744277</v>
      </c>
      <c r="C115" s="21">
        <f>57*20*10000</f>
        <v>11400000</v>
      </c>
      <c r="D115" s="21">
        <f>19*20*100</f>
        <v>38000</v>
      </c>
      <c r="E115" s="5">
        <v>-8.7999999999999995E-2</v>
      </c>
      <c r="F115" s="5">
        <v>5.66</v>
      </c>
      <c r="H115" s="15">
        <f t="shared" si="23"/>
        <v>7.0569048513364727</v>
      </c>
      <c r="I115" s="15">
        <f t="shared" si="23"/>
        <v>4.5797835966168101</v>
      </c>
      <c r="J115" s="35">
        <f t="shared" si="22"/>
        <v>-0.39845913561226537</v>
      </c>
      <c r="K115" s="5"/>
      <c r="L115" s="35">
        <f t="shared" si="24"/>
        <v>1.7558748556724915</v>
      </c>
      <c r="M115" s="35">
        <f t="shared" si="25"/>
        <v>1.1484198324578228</v>
      </c>
    </row>
    <row r="116" spans="1:13" x14ac:dyDescent="0.35">
      <c r="A116" s="37">
        <v>44692.375</v>
      </c>
      <c r="B116" s="38">
        <v>15</v>
      </c>
      <c r="C116" s="39">
        <f>744*20*10000</f>
        <v>148800000</v>
      </c>
      <c r="D116" s="39">
        <f>64*20*100</f>
        <v>128000</v>
      </c>
      <c r="E116" s="42">
        <v>0.125</v>
      </c>
      <c r="F116" s="42">
        <v>5.3</v>
      </c>
      <c r="G116" s="40"/>
      <c r="H116" s="43">
        <f>LOG(C116)</f>
        <v>8.1726029312098607</v>
      </c>
      <c r="I116" s="43">
        <f>LOG(D116)</f>
        <v>5.1072099696478688</v>
      </c>
      <c r="J116" s="44">
        <f t="shared" si="22"/>
        <v>0.40119569513730935</v>
      </c>
      <c r="K116" s="42"/>
      <c r="L116" s="35">
        <f>H116-$Q$5</f>
        <v>2.7254448998676413</v>
      </c>
      <c r="M116" s="35">
        <f>I116-$Q$6</f>
        <v>1.9610819339696306</v>
      </c>
    </row>
    <row r="117" spans="1:13" x14ac:dyDescent="0.35">
      <c r="A117" s="37">
        <v>44692.5</v>
      </c>
      <c r="B117" s="38">
        <v>18</v>
      </c>
      <c r="C117" s="39">
        <f>((63000000)+(64000000))/2</f>
        <v>63500000</v>
      </c>
      <c r="D117" s="39">
        <f>109*20*100</f>
        <v>218000</v>
      </c>
      <c r="E117" s="42">
        <v>0.108</v>
      </c>
      <c r="F117" s="42">
        <v>5.07</v>
      </c>
      <c r="G117" s="40"/>
      <c r="H117" s="43">
        <f t="shared" si="23"/>
        <v>7.802773725291976</v>
      </c>
      <c r="I117" s="43">
        <f t="shared" si="23"/>
        <v>5.3384564936046051</v>
      </c>
      <c r="J117" s="44">
        <f t="shared" si="22"/>
        <v>0.33737347859861089</v>
      </c>
      <c r="K117" s="42"/>
      <c r="L117" s="35">
        <f t="shared" ref="L117:L118" si="27">H117-$Q$5</f>
        <v>2.3556156939497566</v>
      </c>
      <c r="M117" s="35">
        <f t="shared" ref="M117:M118" si="28">I117-$Q$6</f>
        <v>2.1923284579263669</v>
      </c>
    </row>
    <row r="118" spans="1:13" x14ac:dyDescent="0.35">
      <c r="A118" s="37">
        <v>44692.625</v>
      </c>
      <c r="B118" s="38">
        <v>21</v>
      </c>
      <c r="C118" s="39">
        <f>83*20*100000</f>
        <v>166000000</v>
      </c>
      <c r="D118" s="39">
        <f>17*20*1000</f>
        <v>340000</v>
      </c>
      <c r="E118" s="42">
        <v>0.13200000000000001</v>
      </c>
      <c r="F118" s="42">
        <v>5.36</v>
      </c>
      <c r="G118" s="40"/>
      <c r="H118" s="43">
        <f t="shared" si="23"/>
        <v>8.220108088040055</v>
      </c>
      <c r="I118" s="43">
        <f t="shared" si="23"/>
        <v>5.5314789170422554</v>
      </c>
      <c r="J118" s="44">
        <f t="shared" si="22"/>
        <v>0.42747543135912641</v>
      </c>
      <c r="K118" s="42"/>
      <c r="L118" s="35">
        <f t="shared" si="27"/>
        <v>2.7729500566978356</v>
      </c>
      <c r="M118" s="35">
        <f t="shared" si="28"/>
        <v>2.3853508813640172</v>
      </c>
    </row>
    <row r="119" spans="1:13" x14ac:dyDescent="0.35">
      <c r="A119" s="14">
        <v>44650.319444444445</v>
      </c>
      <c r="B119" s="15">
        <f t="shared" si="26"/>
        <v>24.166666666744277</v>
      </c>
      <c r="C119" s="21">
        <f>86*20*100000</f>
        <v>172000000</v>
      </c>
      <c r="D119" s="21">
        <f>26*20*1000</f>
        <v>520000</v>
      </c>
      <c r="E119" s="5">
        <v>9.0999999999999998E-2</v>
      </c>
      <c r="F119" s="5">
        <v>5.37</v>
      </c>
      <c r="H119" s="15">
        <f t="shared" si="23"/>
        <v>8.2355284469075496</v>
      </c>
      <c r="I119" s="15">
        <f t="shared" si="23"/>
        <v>5.7160033436347994</v>
      </c>
      <c r="J119" s="35">
        <f t="shared" si="22"/>
        <v>0.27355126205991243</v>
      </c>
      <c r="K119" s="5"/>
      <c r="L119" s="35">
        <f t="shared" si="24"/>
        <v>2.9344984512435683</v>
      </c>
      <c r="M119" s="35">
        <f t="shared" si="25"/>
        <v>2.2846395794758121</v>
      </c>
    </row>
    <row r="120" spans="1:13" x14ac:dyDescent="0.35">
      <c r="A120" s="14">
        <v>44650.440972222219</v>
      </c>
      <c r="B120" s="15">
        <f t="shared" si="26"/>
        <v>27.083333333313931</v>
      </c>
      <c r="C120" s="23">
        <f>159*20*100000</f>
        <v>318000000</v>
      </c>
      <c r="D120" s="21">
        <f>42*20*1000</f>
        <v>840000</v>
      </c>
      <c r="E120" s="5">
        <v>0.12</v>
      </c>
      <c r="F120" s="5">
        <v>5.33</v>
      </c>
      <c r="H120" s="15">
        <f t="shared" si="23"/>
        <v>8.5024271199844321</v>
      </c>
      <c r="I120" s="15">
        <f t="shared" si="23"/>
        <v>5.924279286061882</v>
      </c>
      <c r="J120" s="35">
        <f t="shared" si="22"/>
        <v>0.38242445497886862</v>
      </c>
      <c r="K120" s="5"/>
      <c r="L120" s="35">
        <f t="shared" si="24"/>
        <v>3.2013971243204509</v>
      </c>
      <c r="M120" s="35">
        <f t="shared" si="25"/>
        <v>2.4929155219028947</v>
      </c>
    </row>
    <row r="121" spans="1:13" x14ac:dyDescent="0.35">
      <c r="A121" s="14">
        <v>44650.565972222219</v>
      </c>
      <c r="B121" s="15">
        <f t="shared" si="26"/>
        <v>30.083333333313931</v>
      </c>
      <c r="C121" s="21">
        <f>179*20*100000</f>
        <v>358000000</v>
      </c>
      <c r="D121" s="21">
        <f>59*20*1000</f>
        <v>1180000</v>
      </c>
      <c r="E121" s="5">
        <v>0.14799999999999999</v>
      </c>
      <c r="F121" s="15">
        <v>5.24</v>
      </c>
      <c r="H121" s="15">
        <f t="shared" si="23"/>
        <v>8.5538830266438737</v>
      </c>
      <c r="I121" s="15">
        <f t="shared" si="23"/>
        <v>6.071882007306125</v>
      </c>
      <c r="J121" s="35">
        <f t="shared" si="22"/>
        <v>0.48754339986613665</v>
      </c>
      <c r="K121" s="5"/>
      <c r="L121" s="35">
        <f t="shared" si="24"/>
        <v>3.2528530309798924</v>
      </c>
      <c r="M121" s="35">
        <f t="shared" si="25"/>
        <v>2.6405182431471377</v>
      </c>
    </row>
    <row r="122" spans="1:13" x14ac:dyDescent="0.35">
      <c r="A122" s="14">
        <v>44650.690972222219</v>
      </c>
      <c r="B122" s="15">
        <f t="shared" si="26"/>
        <v>33.083333333313931</v>
      </c>
      <c r="C122" s="21">
        <f>170*20*100000</f>
        <v>340000000</v>
      </c>
      <c r="D122" s="21">
        <f>85*20*1000</f>
        <v>1700000</v>
      </c>
      <c r="E122" s="16">
        <v>0.159</v>
      </c>
      <c r="F122" s="15">
        <v>5.2</v>
      </c>
      <c r="H122" s="15">
        <f t="shared" si="23"/>
        <v>8.5314789170422554</v>
      </c>
      <c r="I122" s="15">
        <f t="shared" si="23"/>
        <v>6.2304489213782741</v>
      </c>
      <c r="J122" s="35">
        <f t="shared" si="22"/>
        <v>0.52884012821470627</v>
      </c>
      <c r="K122" s="5"/>
      <c r="L122" s="35">
        <f t="shared" si="24"/>
        <v>3.2304489213782741</v>
      </c>
      <c r="M122" s="35">
        <f t="shared" si="25"/>
        <v>2.7990851572192867</v>
      </c>
    </row>
    <row r="123" spans="1:13" x14ac:dyDescent="0.35">
      <c r="A123" s="14">
        <v>44650.805555555555</v>
      </c>
      <c r="B123" s="15">
        <f t="shared" si="26"/>
        <v>35.833333333372138</v>
      </c>
      <c r="C123" s="21">
        <f>147*20*100000</f>
        <v>294000000</v>
      </c>
      <c r="D123" s="21">
        <f>95*20*1000</f>
        <v>1900000</v>
      </c>
      <c r="E123" s="5">
        <v>0.12</v>
      </c>
      <c r="F123" s="5">
        <v>5.16</v>
      </c>
      <c r="H123" s="15">
        <f t="shared" si="23"/>
        <v>8.4683473304121577</v>
      </c>
      <c r="I123" s="15">
        <f t="shared" si="23"/>
        <v>6.2787536009528289</v>
      </c>
      <c r="J123" s="35">
        <f t="shared" si="22"/>
        <v>0.38242445497886862</v>
      </c>
      <c r="K123" s="5"/>
      <c r="L123" s="35">
        <f t="shared" si="24"/>
        <v>3.1673173347481764</v>
      </c>
      <c r="M123" s="35">
        <f t="shared" si="25"/>
        <v>2.8473898367938415</v>
      </c>
    </row>
    <row r="124" spans="1:13" x14ac:dyDescent="0.35">
      <c r="A124" s="37">
        <v>44693.5</v>
      </c>
      <c r="B124" s="38">
        <v>42</v>
      </c>
      <c r="C124" s="45">
        <f>150*20*100000</f>
        <v>300000000</v>
      </c>
      <c r="D124" s="45">
        <f>((4340000)+(6800000)+(7600000))/3</f>
        <v>6246666.666666667</v>
      </c>
      <c r="E124" s="47">
        <v>0.127</v>
      </c>
      <c r="F124" s="47">
        <v>5.18</v>
      </c>
      <c r="G124" s="46"/>
      <c r="H124" s="38">
        <f t="shared" si="23"/>
        <v>8.4771212547196626</v>
      </c>
      <c r="I124" s="38">
        <f t="shared" si="23"/>
        <v>6.7956483318320968</v>
      </c>
      <c r="J124" s="48">
        <f t="shared" si="22"/>
        <v>0.40870419120068563</v>
      </c>
      <c r="K124" s="47"/>
      <c r="L124" s="48">
        <f>H124-Q5</f>
        <v>3.0299632233774432</v>
      </c>
      <c r="M124" s="48">
        <f>I124-Q6</f>
        <v>3.6495202961538586</v>
      </c>
    </row>
    <row r="125" spans="1:13" x14ac:dyDescent="0.35">
      <c r="A125" s="14">
        <v>44651.322916666664</v>
      </c>
      <c r="B125" s="15">
        <f t="shared" si="26"/>
        <v>48.25</v>
      </c>
      <c r="C125" s="21">
        <f>145*20*100000</f>
        <v>290000000</v>
      </c>
      <c r="D125" s="21">
        <f>219*20*1000</f>
        <v>4380000</v>
      </c>
      <c r="E125" s="16">
        <v>0.111</v>
      </c>
      <c r="F125" s="5">
        <v>5.18</v>
      </c>
      <c r="H125" s="15">
        <f t="shared" si="23"/>
        <v>8.4623979978989556</v>
      </c>
      <c r="I125" s="15">
        <f t="shared" si="23"/>
        <v>6.6414741105040997</v>
      </c>
      <c r="J125" s="35">
        <f t="shared" si="22"/>
        <v>0.34863622269367534</v>
      </c>
      <c r="K125" s="5"/>
      <c r="L125" s="35">
        <f t="shared" si="24"/>
        <v>3.1613680022349744</v>
      </c>
      <c r="M125" s="35">
        <f t="shared" si="25"/>
        <v>3.2101103463451124</v>
      </c>
    </row>
    <row r="126" spans="1:13" x14ac:dyDescent="0.35">
      <c r="A126" s="14">
        <v>44651.565972222219</v>
      </c>
      <c r="B126" s="15">
        <f t="shared" si="26"/>
        <v>54.083333333313931</v>
      </c>
      <c r="C126" s="21">
        <f>140*20*100000</f>
        <v>280000000</v>
      </c>
      <c r="D126" s="21">
        <f>MEDIAN(5520000,9410000,6000000)</f>
        <v>6000000</v>
      </c>
      <c r="E126" s="16">
        <v>0.14499999999999999</v>
      </c>
      <c r="F126" s="5">
        <v>5.0999999999999996</v>
      </c>
      <c r="H126" s="15">
        <f t="shared" si="23"/>
        <v>8.4471580313422194</v>
      </c>
      <c r="I126" s="15">
        <f t="shared" si="23"/>
        <v>6.7781512503836439</v>
      </c>
      <c r="J126" s="35">
        <f t="shared" si="22"/>
        <v>0.4762806557710722</v>
      </c>
      <c r="K126" s="5"/>
      <c r="L126" s="35">
        <f t="shared" si="24"/>
        <v>3.1461280356782382</v>
      </c>
      <c r="M126" s="35">
        <f t="shared" si="25"/>
        <v>3.3467874862246565</v>
      </c>
    </row>
    <row r="127" spans="1:13" x14ac:dyDescent="0.35">
      <c r="H127" s="5"/>
      <c r="I127" s="5"/>
      <c r="J127" s="5"/>
      <c r="K127" s="5"/>
    </row>
    <row r="128" spans="1:13" x14ac:dyDescent="0.35">
      <c r="E128" t="s">
        <v>31</v>
      </c>
      <c r="F128">
        <f>MIN(F111:F115,F119:F123,F125:F126)</f>
        <v>5.0999999999999996</v>
      </c>
    </row>
  </sheetData>
  <mergeCells count="2">
    <mergeCell ref="A83:K83"/>
    <mergeCell ref="A109:K10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91A6-CD74-49D9-A543-AED677409F1A}">
  <dimension ref="A1:K107"/>
  <sheetViews>
    <sheetView topLeftCell="A80" zoomScale="110" zoomScaleNormal="110" workbookViewId="0">
      <selection activeCell="K78" sqref="K78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3" width="12.26953125" bestFit="1" customWidth="1"/>
    <col min="4" max="4" width="11.5429687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44656.354166666664</v>
      </c>
      <c r="B10" s="15">
        <f>0*(24)+1</f>
        <v>1</v>
      </c>
      <c r="C10" s="21">
        <f>860000</f>
        <v>860000</v>
      </c>
      <c r="D10" s="28"/>
      <c r="E10" s="5"/>
      <c r="F10" s="5"/>
      <c r="H10" s="15">
        <f>LOG(C10)</f>
        <v>5.9344984512435675</v>
      </c>
    </row>
    <row r="11" spans="1:11" x14ac:dyDescent="0.35">
      <c r="A11" s="14">
        <v>44656.4375</v>
      </c>
      <c r="B11" s="15">
        <f t="shared" ref="B11:B21" si="0">(A11-$A$10)*(24)+1</f>
        <v>3.0000000000582077</v>
      </c>
      <c r="C11" s="28"/>
      <c r="D11" s="28"/>
      <c r="E11" s="5"/>
      <c r="F11" s="5"/>
      <c r="H11" s="28"/>
    </row>
    <row r="12" spans="1:11" x14ac:dyDescent="0.35">
      <c r="A12" s="14">
        <v>44656.569444444445</v>
      </c>
      <c r="B12" s="15">
        <f t="shared" si="0"/>
        <v>6.1666666667442769</v>
      </c>
      <c r="C12" s="28"/>
      <c r="D12" s="28"/>
      <c r="E12" s="5"/>
      <c r="F12" s="5"/>
      <c r="H12" s="28"/>
    </row>
    <row r="13" spans="1:11" x14ac:dyDescent="0.35">
      <c r="A13" s="14">
        <v>44656.690972222219</v>
      </c>
      <c r="B13" s="15">
        <f t="shared" si="0"/>
        <v>9.0833333333139308</v>
      </c>
      <c r="C13" s="28"/>
      <c r="D13" s="28"/>
      <c r="E13" s="5"/>
      <c r="F13" s="5"/>
      <c r="H13" s="28"/>
    </row>
    <row r="14" spans="1:11" x14ac:dyDescent="0.35">
      <c r="A14" s="14">
        <v>44656.809027777781</v>
      </c>
      <c r="B14" s="15">
        <f t="shared" si="0"/>
        <v>11.916666666802485</v>
      </c>
      <c r="C14" s="23">
        <f>202*20*10000</f>
        <v>40400000</v>
      </c>
      <c r="D14" s="28"/>
      <c r="E14" s="5"/>
      <c r="F14" s="5"/>
      <c r="H14" s="18">
        <f>LOG(C14)</f>
        <v>7.6063813651106047</v>
      </c>
    </row>
    <row r="15" spans="1:11" x14ac:dyDescent="0.35">
      <c r="A15" s="14">
        <v>44657.319444444445</v>
      </c>
      <c r="B15" s="15">
        <f t="shared" si="0"/>
        <v>24.166666666744277</v>
      </c>
      <c r="C15" s="21">
        <f>152*20*100000</f>
        <v>304000000</v>
      </c>
      <c r="D15" s="28"/>
      <c r="E15" s="5"/>
      <c r="F15" s="5"/>
      <c r="H15" s="15">
        <f>LOG(C15)</f>
        <v>8.4828735836087539</v>
      </c>
    </row>
    <row r="16" spans="1:11" x14ac:dyDescent="0.35">
      <c r="A16" s="14">
        <v>44657.4375</v>
      </c>
      <c r="B16" s="15">
        <f t="shared" si="0"/>
        <v>27.000000000058208</v>
      </c>
      <c r="C16" s="28"/>
      <c r="D16" s="28"/>
      <c r="E16" s="5"/>
      <c r="F16" s="5"/>
      <c r="H16" s="28"/>
    </row>
    <row r="17" spans="1:11" x14ac:dyDescent="0.35">
      <c r="A17" s="14">
        <v>44657.5625</v>
      </c>
      <c r="B17" s="15">
        <f t="shared" si="0"/>
        <v>30.000000000058208</v>
      </c>
      <c r="C17" s="28"/>
      <c r="D17" s="28"/>
      <c r="E17" s="5"/>
      <c r="F17" s="5"/>
      <c r="H17" s="28"/>
    </row>
    <row r="18" spans="1:11" x14ac:dyDescent="0.35">
      <c r="A18" s="14">
        <v>44657.6875</v>
      </c>
      <c r="B18" s="15">
        <f t="shared" si="0"/>
        <v>33.000000000058208</v>
      </c>
      <c r="C18" s="28"/>
      <c r="D18" s="28"/>
      <c r="E18" s="5"/>
      <c r="F18" s="5"/>
      <c r="H18" s="28"/>
    </row>
    <row r="19" spans="1:11" x14ac:dyDescent="0.35">
      <c r="A19" s="14">
        <v>44657.809027777781</v>
      </c>
      <c r="B19" s="15">
        <f t="shared" si="0"/>
        <v>35.916666666802485</v>
      </c>
      <c r="C19" s="21">
        <f>124*20*100000</f>
        <v>248000000</v>
      </c>
      <c r="D19" s="28"/>
      <c r="E19" s="5"/>
      <c r="F19" s="5"/>
      <c r="H19" s="15">
        <f>LOG(C19)</f>
        <v>8.3944516808262168</v>
      </c>
    </row>
    <row r="20" spans="1:11" x14ac:dyDescent="0.35">
      <c r="A20" s="14">
        <v>44658.319444444445</v>
      </c>
      <c r="B20" s="15">
        <f t="shared" si="0"/>
        <v>48.166666666744277</v>
      </c>
      <c r="C20" s="23">
        <v>230000000</v>
      </c>
      <c r="D20" s="28"/>
      <c r="E20" s="5"/>
      <c r="F20" s="5"/>
      <c r="H20" s="15">
        <f>LOG(C20)</f>
        <v>8.3617278360175931</v>
      </c>
    </row>
    <row r="21" spans="1:11" x14ac:dyDescent="0.35">
      <c r="A21" s="14">
        <v>44658.555555555555</v>
      </c>
      <c r="B21" s="15">
        <f t="shared" si="0"/>
        <v>53.833333333372138</v>
      </c>
      <c r="C21" s="21">
        <f>90*20*100000</f>
        <v>180000000</v>
      </c>
      <c r="D21" s="28"/>
      <c r="E21" s="5"/>
      <c r="F21" s="5"/>
      <c r="H21" s="15">
        <f>LOG(C21)</f>
        <v>8.2552725051033065</v>
      </c>
    </row>
    <row r="22" spans="1:11" x14ac:dyDescent="0.35">
      <c r="B22" s="5"/>
      <c r="C22" s="5"/>
    </row>
    <row r="23" spans="1:11" x14ac:dyDescent="0.35">
      <c r="B23" s="5"/>
      <c r="C23" s="5"/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44656.354166666664</v>
      </c>
      <c r="B32" s="15">
        <f>0*(24)+1</f>
        <v>1</v>
      </c>
      <c r="C32" s="21">
        <f>130*20*100</f>
        <v>260000</v>
      </c>
      <c r="D32" s="28"/>
      <c r="E32" s="5"/>
      <c r="F32" s="5"/>
      <c r="H32" s="15">
        <f>LOG(C32)</f>
        <v>5.4149733479708182</v>
      </c>
      <c r="I32" s="5"/>
      <c r="J32" s="5"/>
      <c r="K32" s="5"/>
    </row>
    <row r="33" spans="1:11" x14ac:dyDescent="0.35">
      <c r="A33" s="14">
        <v>44656.4375</v>
      </c>
      <c r="B33" s="15">
        <f t="shared" ref="B33:B43" si="1">(A33-$A$10)*(24)+1</f>
        <v>3.0000000000582077</v>
      </c>
      <c r="C33" s="28"/>
      <c r="D33" s="28"/>
      <c r="E33" s="16"/>
      <c r="F33" s="5"/>
      <c r="H33" s="28"/>
      <c r="I33" s="5"/>
      <c r="J33" s="5"/>
      <c r="K33" s="5"/>
    </row>
    <row r="34" spans="1:11" x14ac:dyDescent="0.35">
      <c r="A34" s="14">
        <v>44656.569444444445</v>
      </c>
      <c r="B34" s="15">
        <f t="shared" si="1"/>
        <v>6.1666666667442769</v>
      </c>
      <c r="C34" s="28"/>
      <c r="D34" s="28"/>
      <c r="E34" s="5"/>
      <c r="F34" s="5"/>
      <c r="H34" s="28"/>
      <c r="I34" s="5"/>
      <c r="J34" s="5"/>
      <c r="K34" s="5"/>
    </row>
    <row r="35" spans="1:11" x14ac:dyDescent="0.35">
      <c r="A35" s="14">
        <v>44656.690972222219</v>
      </c>
      <c r="B35" s="15">
        <f t="shared" si="1"/>
        <v>9.0833333333139308</v>
      </c>
      <c r="C35" s="28"/>
      <c r="D35" s="28"/>
      <c r="E35" s="5"/>
      <c r="F35" s="5"/>
      <c r="H35" s="28"/>
      <c r="I35" s="5"/>
      <c r="J35" s="5"/>
      <c r="K35" s="5"/>
    </row>
    <row r="36" spans="1:11" x14ac:dyDescent="0.35">
      <c r="A36" s="14">
        <v>44656.809027777781</v>
      </c>
      <c r="B36" s="15">
        <f t="shared" si="1"/>
        <v>11.916666666802485</v>
      </c>
      <c r="C36" s="21">
        <f>89*20*10000</f>
        <v>17800000</v>
      </c>
      <c r="D36" s="28"/>
      <c r="E36" s="5"/>
      <c r="F36" s="5"/>
      <c r="H36" s="15">
        <f>LOG(C36)</f>
        <v>7.2504200023088936</v>
      </c>
      <c r="I36" s="5"/>
      <c r="J36" s="5"/>
      <c r="K36" s="5"/>
    </row>
    <row r="37" spans="1:11" x14ac:dyDescent="0.35">
      <c r="A37" s="14">
        <v>44657.319444444445</v>
      </c>
      <c r="B37" s="15">
        <f t="shared" si="1"/>
        <v>24.166666666744277</v>
      </c>
      <c r="C37" s="21">
        <f>108*20*100000</f>
        <v>216000000</v>
      </c>
      <c r="D37" s="28"/>
      <c r="E37" s="5"/>
      <c r="F37" s="5"/>
      <c r="H37" s="15">
        <f>LOG(C37)</f>
        <v>8.3344537511509316</v>
      </c>
      <c r="I37" s="5"/>
      <c r="J37" s="5"/>
      <c r="K37" s="5"/>
    </row>
    <row r="38" spans="1:11" x14ac:dyDescent="0.35">
      <c r="A38" s="14">
        <v>44657.4375</v>
      </c>
      <c r="B38" s="15">
        <f t="shared" si="1"/>
        <v>27.000000000058208</v>
      </c>
      <c r="C38" s="28"/>
      <c r="D38" s="28"/>
      <c r="E38" s="5"/>
      <c r="F38" s="5"/>
      <c r="H38" s="28"/>
      <c r="I38" s="5"/>
      <c r="J38" s="5"/>
      <c r="K38" s="5"/>
    </row>
    <row r="39" spans="1:11" x14ac:dyDescent="0.35">
      <c r="A39" s="14">
        <v>44657.5625</v>
      </c>
      <c r="B39" s="15">
        <f t="shared" si="1"/>
        <v>30.000000000058208</v>
      </c>
      <c r="C39" s="28"/>
      <c r="D39" s="28"/>
      <c r="E39" s="5"/>
      <c r="F39" s="15"/>
      <c r="H39" s="28"/>
      <c r="I39" s="5"/>
      <c r="J39" s="5"/>
      <c r="K39" s="5"/>
    </row>
    <row r="40" spans="1:11" x14ac:dyDescent="0.35">
      <c r="A40" s="14">
        <v>44657.6875</v>
      </c>
      <c r="B40" s="15">
        <f t="shared" si="1"/>
        <v>33.000000000058208</v>
      </c>
      <c r="C40" s="28"/>
      <c r="D40" s="28"/>
      <c r="E40" s="16"/>
      <c r="F40" s="5"/>
      <c r="H40" s="28"/>
      <c r="I40" s="5"/>
      <c r="J40" s="5"/>
      <c r="K40" s="5"/>
    </row>
    <row r="41" spans="1:11" x14ac:dyDescent="0.35">
      <c r="A41" s="14">
        <v>44657.809027777781</v>
      </c>
      <c r="B41" s="15">
        <f t="shared" si="1"/>
        <v>35.916666666802485</v>
      </c>
      <c r="C41" s="21">
        <f>126*20*100000</f>
        <v>252000000</v>
      </c>
      <c r="D41" s="28"/>
      <c r="E41" s="16"/>
      <c r="F41" s="5"/>
      <c r="H41" s="15">
        <f>LOG(C41)</f>
        <v>8.4014005407815446</v>
      </c>
      <c r="I41" s="5"/>
      <c r="J41" s="5"/>
      <c r="K41" s="5"/>
    </row>
    <row r="42" spans="1:11" x14ac:dyDescent="0.35">
      <c r="A42" s="14">
        <v>44658.319444444445</v>
      </c>
      <c r="B42" s="15">
        <f t="shared" si="1"/>
        <v>48.166666666744277</v>
      </c>
      <c r="C42" s="23">
        <v>89000000</v>
      </c>
      <c r="D42" s="28"/>
      <c r="E42" s="5"/>
      <c r="F42" s="15"/>
      <c r="H42" s="15">
        <f>LOG(C42)</f>
        <v>7.9493900066449124</v>
      </c>
      <c r="I42" s="5"/>
      <c r="J42" s="5"/>
      <c r="K42" s="5"/>
    </row>
    <row r="43" spans="1:11" x14ac:dyDescent="0.35">
      <c r="A43" s="14">
        <v>44658.555555555555</v>
      </c>
      <c r="B43" s="15">
        <f t="shared" si="1"/>
        <v>53.833333333372138</v>
      </c>
      <c r="C43" s="21">
        <f>24*20*100000</f>
        <v>48000000</v>
      </c>
      <c r="D43" s="28"/>
      <c r="E43" s="5"/>
      <c r="F43" s="15"/>
      <c r="H43" s="15">
        <f>LOG(C43)</f>
        <v>7.6812412373755876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44656.354166666664</v>
      </c>
      <c r="B52" s="15">
        <f>0*(24)+1</f>
        <v>1</v>
      </c>
      <c r="C52" s="29"/>
      <c r="D52" s="23">
        <f>16*100</f>
        <v>1600</v>
      </c>
      <c r="E52" s="5"/>
      <c r="F52" s="5"/>
      <c r="H52" s="15">
        <f>LOG(D52)</f>
        <v>3.2041199826559246</v>
      </c>
    </row>
    <row r="53" spans="1:11" x14ac:dyDescent="0.35">
      <c r="A53" s="14">
        <v>44656.4375</v>
      </c>
      <c r="B53" s="15">
        <f t="shared" ref="B53:B63" si="2">(A53-$A$10)*(24)+1</f>
        <v>3.0000000000582077</v>
      </c>
      <c r="C53" s="29"/>
      <c r="D53" s="29"/>
      <c r="E53" s="5"/>
      <c r="F53" s="5"/>
      <c r="H53" s="29"/>
    </row>
    <row r="54" spans="1:11" x14ac:dyDescent="0.35">
      <c r="A54" s="14">
        <v>44656.569444444445</v>
      </c>
      <c r="B54" s="15">
        <f t="shared" si="2"/>
        <v>6.1666666667442769</v>
      </c>
      <c r="C54" s="29"/>
      <c r="D54" s="29"/>
      <c r="E54" s="5"/>
      <c r="F54" s="5"/>
      <c r="H54" s="29"/>
    </row>
    <row r="55" spans="1:11" x14ac:dyDescent="0.35">
      <c r="A55" s="14">
        <v>44656.690972222219</v>
      </c>
      <c r="B55" s="15">
        <f t="shared" si="2"/>
        <v>9.0833333333139308</v>
      </c>
      <c r="C55" s="29"/>
      <c r="D55" s="29"/>
      <c r="E55" s="5"/>
      <c r="F55" s="5"/>
      <c r="H55" s="29"/>
    </row>
    <row r="56" spans="1:11" x14ac:dyDescent="0.35">
      <c r="A56" s="14">
        <v>44656.809027777781</v>
      </c>
      <c r="B56" s="15">
        <f t="shared" si="2"/>
        <v>11.916666666802485</v>
      </c>
      <c r="C56" s="29"/>
      <c r="D56" s="21">
        <f>41*20*100</f>
        <v>82000</v>
      </c>
      <c r="E56" s="5"/>
      <c r="F56" s="5"/>
      <c r="H56" s="15">
        <f>LOG(D56)</f>
        <v>4.9138138523837167</v>
      </c>
    </row>
    <row r="57" spans="1:11" x14ac:dyDescent="0.35">
      <c r="A57" s="14">
        <v>44657.319444444445</v>
      </c>
      <c r="B57" s="15">
        <f t="shared" si="2"/>
        <v>24.166666666744277</v>
      </c>
      <c r="C57" s="29"/>
      <c r="D57" s="21">
        <f>30*20*10000</f>
        <v>6000000</v>
      </c>
      <c r="E57" s="5"/>
      <c r="F57" s="5"/>
      <c r="H57" s="15">
        <f>LOG(D57)</f>
        <v>6.7781512503836439</v>
      </c>
    </row>
    <row r="58" spans="1:11" x14ac:dyDescent="0.35">
      <c r="A58" s="14">
        <v>44657.4375</v>
      </c>
      <c r="B58" s="15">
        <f t="shared" si="2"/>
        <v>27.000000000058208</v>
      </c>
      <c r="C58" s="29"/>
      <c r="D58" s="29"/>
      <c r="E58" s="16"/>
      <c r="F58" s="15"/>
      <c r="H58" s="29"/>
    </row>
    <row r="59" spans="1:11" x14ac:dyDescent="0.35">
      <c r="A59" s="14">
        <v>44657.5625</v>
      </c>
      <c r="B59" s="15">
        <f t="shared" si="2"/>
        <v>30.000000000058208</v>
      </c>
      <c r="C59" s="29"/>
      <c r="D59" s="29"/>
      <c r="E59" s="5"/>
      <c r="F59" s="5"/>
      <c r="H59" s="29"/>
    </row>
    <row r="60" spans="1:11" x14ac:dyDescent="0.35">
      <c r="A60" s="14">
        <v>44657.6875</v>
      </c>
      <c r="B60" s="15">
        <f t="shared" si="2"/>
        <v>33.000000000058208</v>
      </c>
      <c r="C60" s="29"/>
      <c r="D60" s="29"/>
      <c r="E60" s="5"/>
      <c r="F60" s="15"/>
      <c r="H60" s="29"/>
    </row>
    <row r="61" spans="1:11" x14ac:dyDescent="0.35">
      <c r="A61" s="14">
        <v>44657.809027777781</v>
      </c>
      <c r="B61" s="15">
        <f t="shared" si="2"/>
        <v>35.916666666802485</v>
      </c>
      <c r="C61" s="29"/>
      <c r="D61" s="21">
        <f>52*20*100000</f>
        <v>104000000</v>
      </c>
      <c r="E61" s="5"/>
      <c r="F61" s="15"/>
      <c r="H61" s="15">
        <f>LOG(D61)</f>
        <v>8.0170333392987807</v>
      </c>
    </row>
    <row r="62" spans="1:11" x14ac:dyDescent="0.35">
      <c r="A62" s="14">
        <v>44658.319444444445</v>
      </c>
      <c r="B62" s="15">
        <f t="shared" si="2"/>
        <v>48.166666666744277</v>
      </c>
      <c r="C62" s="29"/>
      <c r="D62" s="23">
        <f>AVERAGE(213000000,215000000,231000000)</f>
        <v>219666666.66666666</v>
      </c>
      <c r="E62" s="16"/>
      <c r="F62" s="5"/>
      <c r="H62" s="15">
        <f>LOG(D62)</f>
        <v>8.3417641598743479</v>
      </c>
    </row>
    <row r="63" spans="1:11" x14ac:dyDescent="0.35">
      <c r="A63" s="14">
        <v>44658.555555555555</v>
      </c>
      <c r="B63" s="15">
        <f t="shared" si="2"/>
        <v>53.833333333372138</v>
      </c>
      <c r="C63" s="28"/>
      <c r="D63" s="23">
        <f>323*20*100000</f>
        <v>646000000</v>
      </c>
      <c r="E63" s="5"/>
      <c r="F63" s="15"/>
      <c r="H63" s="18">
        <f>LOG(D63)</f>
        <v>8.8102325179950842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44656.354166666664</v>
      </c>
      <c r="B73" s="15">
        <f>0*24+1</f>
        <v>1</v>
      </c>
      <c r="C73" s="21">
        <v>136000</v>
      </c>
      <c r="D73" s="21">
        <v>2700</v>
      </c>
      <c r="E73" s="5">
        <v>8.9999999999999993E-3</v>
      </c>
      <c r="F73" s="5">
        <v>5.84</v>
      </c>
      <c r="H73" s="15">
        <f t="shared" ref="H73:H84" si="3">LOG(C73)</f>
        <v>5.1335389083702179</v>
      </c>
      <c r="I73" s="15">
        <f t="shared" ref="I73:I84" si="4">LOG(D73)</f>
        <v>3.4313637641589874</v>
      </c>
      <c r="J73">
        <v>-3.4297076538515374E-2</v>
      </c>
    </row>
    <row r="74" spans="1:11" x14ac:dyDescent="0.35">
      <c r="A74" s="14">
        <v>44656.4375</v>
      </c>
      <c r="B74" s="15">
        <f t="shared" ref="B74:B84" si="5">(A74-$A$32)*24+1</f>
        <v>3.0000000000582077</v>
      </c>
      <c r="C74" s="21">
        <v>226000</v>
      </c>
      <c r="D74" s="21">
        <v>3500</v>
      </c>
      <c r="E74" s="5">
        <v>-1.7000000000000001E-2</v>
      </c>
      <c r="F74" s="5">
        <v>5.84</v>
      </c>
      <c r="H74" s="15">
        <f t="shared" si="3"/>
        <v>5.3541084391474012</v>
      </c>
      <c r="I74" s="15">
        <f t="shared" si="4"/>
        <v>3.5440680443502757</v>
      </c>
      <c r="J74">
        <v>-0.13190752536240713</v>
      </c>
    </row>
    <row r="75" spans="1:11" x14ac:dyDescent="0.35">
      <c r="A75" s="14">
        <v>44656.569444444445</v>
      </c>
      <c r="B75" s="15">
        <f t="shared" si="5"/>
        <v>6.1666666667442769</v>
      </c>
      <c r="C75" s="21">
        <v>480000</v>
      </c>
      <c r="D75" s="21">
        <v>5200</v>
      </c>
      <c r="E75" s="16">
        <v>3.6999999999999998E-2</v>
      </c>
      <c r="F75" s="15">
        <v>5.77</v>
      </c>
      <c r="H75" s="15">
        <f t="shared" si="3"/>
        <v>5.6812412373755876</v>
      </c>
      <c r="I75" s="15">
        <f t="shared" si="4"/>
        <v>3.716003343634799</v>
      </c>
      <c r="J75">
        <v>7.0821868348752662E-2</v>
      </c>
    </row>
    <row r="76" spans="1:11" x14ac:dyDescent="0.35">
      <c r="A76" s="14">
        <v>44656.690972222219</v>
      </c>
      <c r="B76" s="15">
        <f t="shared" si="5"/>
        <v>9.0833333333139308</v>
      </c>
      <c r="C76" s="21">
        <v>2380000</v>
      </c>
      <c r="D76" s="21">
        <v>16200</v>
      </c>
      <c r="E76" s="5">
        <v>-0.03</v>
      </c>
      <c r="F76" s="5">
        <v>5.79</v>
      </c>
      <c r="H76" s="15">
        <f t="shared" si="3"/>
        <v>6.3765769570565123</v>
      </c>
      <c r="I76" s="15">
        <f t="shared" si="4"/>
        <v>4.2095150145426308</v>
      </c>
      <c r="J76">
        <v>-0.180712749774353</v>
      </c>
    </row>
    <row r="77" spans="1:11" x14ac:dyDescent="0.35">
      <c r="A77" s="14">
        <v>44656.809027777781</v>
      </c>
      <c r="B77" s="15">
        <f t="shared" si="5"/>
        <v>11.916666666802485</v>
      </c>
      <c r="C77" s="21">
        <v>8000000</v>
      </c>
      <c r="D77" s="21">
        <v>74600</v>
      </c>
      <c r="E77" s="5">
        <v>-4.0000000000000001E-3</v>
      </c>
      <c r="F77" s="5">
        <v>5.74</v>
      </c>
      <c r="H77" s="15">
        <f t="shared" si="3"/>
        <v>6.9030899869919438</v>
      </c>
      <c r="I77" s="15">
        <f t="shared" si="4"/>
        <v>4.8727388274726691</v>
      </c>
      <c r="J77">
        <v>-8.3102300950461255E-2</v>
      </c>
    </row>
    <row r="78" spans="1:11" x14ac:dyDescent="0.35">
      <c r="A78" s="14">
        <v>44657.319444444445</v>
      </c>
      <c r="B78" s="15">
        <f t="shared" si="5"/>
        <v>24.166666666744277</v>
      </c>
      <c r="C78" s="21">
        <v>222000000</v>
      </c>
      <c r="D78" s="21">
        <v>7000</v>
      </c>
      <c r="E78" s="5">
        <v>0.40500000000000003</v>
      </c>
      <c r="F78" s="5">
        <v>4.2699999999999996</v>
      </c>
      <c r="H78" s="15">
        <f t="shared" si="3"/>
        <v>8.3463529744506388</v>
      </c>
      <c r="I78" s="15">
        <f t="shared" si="4"/>
        <v>3.8450980400142569</v>
      </c>
      <c r="J78">
        <v>1.4523851440099897</v>
      </c>
    </row>
    <row r="79" spans="1:11" x14ac:dyDescent="0.35">
      <c r="A79" s="14">
        <v>44657.4375</v>
      </c>
      <c r="B79" s="15">
        <f t="shared" si="5"/>
        <v>27.000000000058208</v>
      </c>
      <c r="C79" s="21">
        <v>246000000</v>
      </c>
      <c r="D79" s="21">
        <v>1600</v>
      </c>
      <c r="E79" s="5">
        <v>0.57199999999999995</v>
      </c>
      <c r="F79" s="5">
        <v>4.1399999999999997</v>
      </c>
      <c r="H79" s="15">
        <f t="shared" si="3"/>
        <v>8.3909351071033793</v>
      </c>
      <c r="I79" s="15">
        <f t="shared" si="4"/>
        <v>3.2041199826559246</v>
      </c>
      <c r="J79">
        <v>2.07934456530191</v>
      </c>
    </row>
    <row r="80" spans="1:11" x14ac:dyDescent="0.35">
      <c r="A80" s="14">
        <v>44657.5625</v>
      </c>
      <c r="B80" s="15">
        <f t="shared" si="5"/>
        <v>30.000000000058208</v>
      </c>
      <c r="C80" s="21">
        <v>266000000</v>
      </c>
      <c r="D80" s="21">
        <v>629</v>
      </c>
      <c r="E80" s="5">
        <v>0.749</v>
      </c>
      <c r="F80" s="5">
        <v>4.0199999999999996</v>
      </c>
      <c r="H80" s="15">
        <f t="shared" si="3"/>
        <v>8.424881636631067</v>
      </c>
      <c r="I80" s="15">
        <f t="shared" si="4"/>
        <v>2.7986506454452691</v>
      </c>
      <c r="J80">
        <v>2.7438464669107114</v>
      </c>
    </row>
    <row r="81" spans="1:11" x14ac:dyDescent="0.35">
      <c r="A81" s="14">
        <v>44657.6875</v>
      </c>
      <c r="B81" s="15">
        <f t="shared" si="5"/>
        <v>33.000000000058208</v>
      </c>
      <c r="C81" s="21">
        <v>332000000</v>
      </c>
      <c r="D81" s="21">
        <v>355</v>
      </c>
      <c r="E81" s="5">
        <v>0.93700000000000006</v>
      </c>
      <c r="F81" s="5">
        <v>3.96</v>
      </c>
      <c r="H81" s="15">
        <f t="shared" si="3"/>
        <v>8.5211380837040362</v>
      </c>
      <c r="I81" s="15">
        <f t="shared" si="4"/>
        <v>2.5502283530550942</v>
      </c>
      <c r="J81">
        <v>3.4496450968680823</v>
      </c>
    </row>
    <row r="82" spans="1:11" x14ac:dyDescent="0.35">
      <c r="A82" s="14">
        <v>44657.809027777781</v>
      </c>
      <c r="B82" s="15">
        <f t="shared" si="5"/>
        <v>35.916666666802485</v>
      </c>
      <c r="C82" s="21">
        <v>312000000</v>
      </c>
      <c r="D82" s="21">
        <v>72</v>
      </c>
      <c r="E82" s="5">
        <v>0.92800000000000005</v>
      </c>
      <c r="F82" s="5">
        <v>3.91</v>
      </c>
      <c r="H82" s="15">
        <f t="shared" si="3"/>
        <v>8.4941545940184433</v>
      </c>
      <c r="I82" s="15">
        <f t="shared" si="4"/>
        <v>1.8573324964312685</v>
      </c>
      <c r="J82">
        <v>3.4158568645828895</v>
      </c>
    </row>
    <row r="83" spans="1:11" x14ac:dyDescent="0.35">
      <c r="A83" s="14">
        <v>44658.319444444445</v>
      </c>
      <c r="B83" s="15">
        <f t="shared" si="5"/>
        <v>48.166666666744277</v>
      </c>
      <c r="C83" s="23">
        <v>246000000</v>
      </c>
      <c r="D83" s="21">
        <v>0.18</v>
      </c>
      <c r="E83" s="5">
        <v>1.028</v>
      </c>
      <c r="F83" s="5">
        <v>3.85</v>
      </c>
      <c r="H83" s="15">
        <f t="shared" si="3"/>
        <v>8.3909351071033793</v>
      </c>
      <c r="I83" s="15">
        <f t="shared" si="4"/>
        <v>-0.74472749489669399</v>
      </c>
      <c r="J83">
        <v>3.7912816677517034</v>
      </c>
    </row>
    <row r="84" spans="1:11" x14ac:dyDescent="0.35">
      <c r="A84" s="14">
        <v>44658.555555555555</v>
      </c>
      <c r="B84" s="15">
        <f t="shared" si="5"/>
        <v>53.833333333372138</v>
      </c>
      <c r="C84" s="21">
        <v>196000000</v>
      </c>
      <c r="D84" s="21">
        <v>0.18</v>
      </c>
      <c r="E84" s="5">
        <v>1.137</v>
      </c>
      <c r="F84" s="5">
        <v>3.77</v>
      </c>
      <c r="H84" s="15">
        <f t="shared" si="3"/>
        <v>8.2922560713564764</v>
      </c>
      <c r="I84" s="15">
        <f t="shared" si="4"/>
        <v>-0.74472749489669399</v>
      </c>
      <c r="J84">
        <v>4.2004947032057114</v>
      </c>
    </row>
    <row r="85" spans="1:11" x14ac:dyDescent="0.35">
      <c r="C85" s="5"/>
    </row>
    <row r="86" spans="1:11" x14ac:dyDescent="0.35">
      <c r="C86" s="5"/>
    </row>
    <row r="87" spans="1:11" x14ac:dyDescent="0.35">
      <c r="C87" s="5"/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44656.354166666664</v>
      </c>
      <c r="B95" s="15">
        <f>0*24+1</f>
        <v>1</v>
      </c>
      <c r="C95" s="23">
        <f>11*20*100</f>
        <v>22000</v>
      </c>
      <c r="D95" s="21">
        <f>2*100</f>
        <v>200</v>
      </c>
      <c r="E95" s="5"/>
      <c r="F95" s="15"/>
      <c r="H95" s="18">
        <f t="shared" ref="H95:H106" si="6">LOG(C95)</f>
        <v>4.3424226808222066</v>
      </c>
      <c r="I95" s="15">
        <f t="shared" ref="I95:I106" si="7">LOG(D95)</f>
        <v>2.3010299956639813</v>
      </c>
      <c r="J95" s="5"/>
      <c r="K95" s="5"/>
    </row>
    <row r="96" spans="1:11" x14ac:dyDescent="0.35">
      <c r="A96" s="14">
        <v>44656.4375</v>
      </c>
      <c r="B96" s="15">
        <f t="shared" ref="B96:B106" si="8">(A96-$A$32)*24+1</f>
        <v>3.0000000000582077</v>
      </c>
      <c r="C96" s="23" t="s">
        <v>33</v>
      </c>
      <c r="D96" s="21" t="s">
        <v>33</v>
      </c>
      <c r="E96" s="5"/>
      <c r="F96" s="15"/>
      <c r="H96" s="18" t="e">
        <f t="shared" si="6"/>
        <v>#VALUE!</v>
      </c>
      <c r="I96" s="15" t="e">
        <f t="shared" si="7"/>
        <v>#VALUE!</v>
      </c>
      <c r="J96" s="5"/>
      <c r="K96" s="5"/>
    </row>
    <row r="97" spans="1:11" x14ac:dyDescent="0.35">
      <c r="A97" s="14">
        <v>44656.569444444445</v>
      </c>
      <c r="B97" s="15">
        <f t="shared" si="8"/>
        <v>6.1666666667442769</v>
      </c>
      <c r="C97" s="21">
        <f>114*20*1000</f>
        <v>2280000</v>
      </c>
      <c r="D97" s="21">
        <f>100*100</f>
        <v>10000</v>
      </c>
      <c r="E97" s="16"/>
      <c r="F97" s="5"/>
      <c r="H97" s="18">
        <f t="shared" si="6"/>
        <v>6.357934847000454</v>
      </c>
      <c r="I97" s="15">
        <f t="shared" si="7"/>
        <v>4</v>
      </c>
      <c r="J97" s="5"/>
      <c r="K97" s="5"/>
    </row>
    <row r="98" spans="1:11" x14ac:dyDescent="0.35">
      <c r="A98" s="14">
        <v>44656.690972222219</v>
      </c>
      <c r="B98" s="15">
        <f t="shared" si="8"/>
        <v>9.0833333333139308</v>
      </c>
      <c r="C98" s="23">
        <f>40*20*10000</f>
        <v>8000000</v>
      </c>
      <c r="D98" s="21">
        <f>15*20*100</f>
        <v>30000</v>
      </c>
      <c r="E98" s="5"/>
      <c r="F98" s="5"/>
      <c r="H98" s="18">
        <f t="shared" si="6"/>
        <v>6.9030899869919438</v>
      </c>
      <c r="I98" s="15">
        <f t="shared" si="7"/>
        <v>4.4771212547196626</v>
      </c>
      <c r="J98" s="5"/>
      <c r="K98" s="5"/>
    </row>
    <row r="99" spans="1:11" x14ac:dyDescent="0.35">
      <c r="A99" s="14">
        <v>44656.809027777781</v>
      </c>
      <c r="B99" s="15">
        <f t="shared" si="8"/>
        <v>11.916666666802485</v>
      </c>
      <c r="C99" s="21">
        <f>99*20*10000</f>
        <v>19800000</v>
      </c>
      <c r="D99" s="21">
        <f>34*20*100</f>
        <v>68000</v>
      </c>
      <c r="E99" s="5"/>
      <c r="F99" s="5"/>
      <c r="H99" s="18">
        <f t="shared" si="6"/>
        <v>7.2966651902615309</v>
      </c>
      <c r="I99" s="15">
        <f t="shared" si="7"/>
        <v>4.8325089127062366</v>
      </c>
      <c r="J99" s="5"/>
      <c r="K99" s="5"/>
    </row>
    <row r="100" spans="1:11" x14ac:dyDescent="0.35">
      <c r="A100" s="14">
        <v>44657.319444444445</v>
      </c>
      <c r="B100" s="15">
        <f t="shared" si="8"/>
        <v>24.166666666744277</v>
      </c>
      <c r="C100" s="21">
        <f>153*20*100000</f>
        <v>306000000</v>
      </c>
      <c r="D100" s="21">
        <f>19*20*1000</f>
        <v>380000</v>
      </c>
      <c r="E100" s="5"/>
      <c r="F100" s="5"/>
      <c r="H100" s="18">
        <f t="shared" si="6"/>
        <v>8.4857214264815806</v>
      </c>
      <c r="I100" s="15">
        <f t="shared" si="7"/>
        <v>5.5797835966168101</v>
      </c>
      <c r="J100" s="5"/>
      <c r="K100" s="5"/>
    </row>
    <row r="101" spans="1:11" x14ac:dyDescent="0.35">
      <c r="A101" s="14">
        <v>44657.4375</v>
      </c>
      <c r="B101" s="15">
        <f t="shared" si="8"/>
        <v>27.000000000058208</v>
      </c>
      <c r="C101" s="23">
        <f>112*20*100000</f>
        <v>224000000</v>
      </c>
      <c r="D101" s="21">
        <f>21*20*1000</f>
        <v>420000</v>
      </c>
      <c r="E101" s="5"/>
      <c r="F101" s="5"/>
      <c r="H101" s="18">
        <f t="shared" si="6"/>
        <v>8.3502480183341632</v>
      </c>
      <c r="I101" s="15">
        <f t="shared" si="7"/>
        <v>5.6232492903979008</v>
      </c>
      <c r="J101" s="5"/>
      <c r="K101" s="5"/>
    </row>
    <row r="102" spans="1:11" x14ac:dyDescent="0.35">
      <c r="A102" s="14">
        <v>44657.5625</v>
      </c>
      <c r="B102" s="15">
        <f t="shared" si="8"/>
        <v>30.000000000058208</v>
      </c>
      <c r="C102" s="21">
        <f>35*20*100000</f>
        <v>70000000</v>
      </c>
      <c r="D102" s="21">
        <f>22*20*1000</f>
        <v>440000</v>
      </c>
      <c r="E102" s="5"/>
      <c r="F102" s="5"/>
      <c r="H102" s="18">
        <f t="shared" si="6"/>
        <v>7.8450980400142569</v>
      </c>
      <c r="I102" s="15">
        <f t="shared" si="7"/>
        <v>5.6434526764861879</v>
      </c>
      <c r="J102" s="5"/>
      <c r="K102" s="5"/>
    </row>
    <row r="103" spans="1:11" x14ac:dyDescent="0.35">
      <c r="A103" s="14">
        <v>44657.6875</v>
      </c>
      <c r="B103" s="15">
        <f t="shared" si="8"/>
        <v>33.000000000058208</v>
      </c>
      <c r="C103" s="21">
        <f>134*20*100000</f>
        <v>268000000</v>
      </c>
      <c r="D103" s="21">
        <f>29*20*1000</f>
        <v>580000</v>
      </c>
      <c r="E103" s="5"/>
      <c r="F103" s="15"/>
      <c r="H103" s="18">
        <f t="shared" si="6"/>
        <v>8.4281347940287894</v>
      </c>
      <c r="I103" s="15">
        <f t="shared" si="7"/>
        <v>5.7634279935629369</v>
      </c>
      <c r="J103" s="5"/>
      <c r="K103" s="5"/>
    </row>
    <row r="104" spans="1:11" x14ac:dyDescent="0.35">
      <c r="A104" s="14">
        <v>44657.809027777781</v>
      </c>
      <c r="B104" s="15">
        <f t="shared" si="8"/>
        <v>35.916666666802485</v>
      </c>
      <c r="C104" s="21">
        <f>129*20*100000</f>
        <v>258000000</v>
      </c>
      <c r="D104" s="21">
        <f>19*20*1000</f>
        <v>380000</v>
      </c>
      <c r="E104" s="5"/>
      <c r="F104" s="5"/>
      <c r="H104" s="18">
        <f t="shared" si="6"/>
        <v>8.4116197059632309</v>
      </c>
      <c r="I104" s="15">
        <f t="shared" si="7"/>
        <v>5.5797835966168101</v>
      </c>
      <c r="J104" s="5"/>
      <c r="K104" s="5"/>
    </row>
    <row r="105" spans="1:11" x14ac:dyDescent="0.35">
      <c r="A105" s="14">
        <v>44658.319444444445</v>
      </c>
      <c r="B105" s="15">
        <f t="shared" si="8"/>
        <v>48.166666666744277</v>
      </c>
      <c r="C105" s="23">
        <v>240000000</v>
      </c>
      <c r="D105" s="23">
        <f>AVERAGE(61300,35200,50400)</f>
        <v>48966.666666666664</v>
      </c>
      <c r="E105" s="5"/>
      <c r="F105" s="5"/>
      <c r="H105" s="18">
        <f t="shared" si="6"/>
        <v>8.3802112417116064</v>
      </c>
      <c r="I105" s="15">
        <f t="shared" si="7"/>
        <v>4.6899005410705943</v>
      </c>
      <c r="J105" s="5"/>
      <c r="K105" s="5"/>
    </row>
    <row r="106" spans="1:11" x14ac:dyDescent="0.35">
      <c r="A106" s="14">
        <v>44658.555555555555</v>
      </c>
      <c r="B106" s="15">
        <f t="shared" si="8"/>
        <v>53.833333333372138</v>
      </c>
      <c r="C106" s="23">
        <f>137*20*100000</f>
        <v>274000000</v>
      </c>
      <c r="D106" s="21">
        <f>AVERAGE(321000,460000,314000,14*20*1000)</f>
        <v>343750</v>
      </c>
      <c r="E106" s="5"/>
      <c r="F106" s="5"/>
      <c r="H106" s="18">
        <f t="shared" si="6"/>
        <v>8.4377505628203888</v>
      </c>
      <c r="I106" s="15">
        <f t="shared" si="7"/>
        <v>5.5362427068383191</v>
      </c>
      <c r="J106" s="5"/>
      <c r="K106" s="5"/>
    </row>
    <row r="107" spans="1:11" x14ac:dyDescent="0.35">
      <c r="H107" s="5"/>
      <c r="I107" s="5"/>
      <c r="J107" s="5"/>
      <c r="K107" s="5"/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3F8-FF05-4AA1-9B18-BA87D4D8CEE0}">
  <dimension ref="A1:K107"/>
  <sheetViews>
    <sheetView topLeftCell="A90" zoomScale="110" zoomScaleNormal="110" workbookViewId="0">
      <selection activeCell="O88" sqref="O88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44656.354166666664</v>
      </c>
      <c r="B10" s="15">
        <f>0*24+1</f>
        <v>1</v>
      </c>
      <c r="C10" s="21">
        <v>890000</v>
      </c>
      <c r="D10" s="28"/>
      <c r="E10" s="16"/>
      <c r="F10" s="5"/>
      <c r="H10" s="15">
        <f>LOG(C10)</f>
        <v>5.9493900066449124</v>
      </c>
    </row>
    <row r="11" spans="1:11" x14ac:dyDescent="0.35">
      <c r="A11" s="14">
        <v>44656.4375</v>
      </c>
      <c r="B11" s="15">
        <f t="shared" ref="B11:B21" si="0">(A11-$A$10)*24+1</f>
        <v>3.0000000000582077</v>
      </c>
      <c r="C11" s="28"/>
      <c r="D11" s="28"/>
      <c r="E11" s="16"/>
      <c r="F11" s="5"/>
      <c r="H11" s="28"/>
    </row>
    <row r="12" spans="1:11" x14ac:dyDescent="0.35">
      <c r="A12" s="14">
        <v>44656.569444444445</v>
      </c>
      <c r="B12" s="15">
        <f t="shared" si="0"/>
        <v>6.1666666667442769</v>
      </c>
      <c r="C12" s="28"/>
      <c r="D12" s="28"/>
      <c r="E12" s="16"/>
      <c r="F12" s="5"/>
      <c r="H12" s="28"/>
    </row>
    <row r="13" spans="1:11" x14ac:dyDescent="0.35">
      <c r="A13" s="14">
        <v>44656.690972222219</v>
      </c>
      <c r="B13" s="15">
        <f t="shared" si="0"/>
        <v>9.0833333333139308</v>
      </c>
      <c r="C13" s="28"/>
      <c r="D13" s="28"/>
      <c r="E13" s="16"/>
      <c r="F13" s="5"/>
      <c r="H13" s="28"/>
    </row>
    <row r="14" spans="1:11" x14ac:dyDescent="0.35">
      <c r="A14" s="14">
        <v>44656.809027777781</v>
      </c>
      <c r="B14" s="15">
        <f t="shared" si="0"/>
        <v>11.916666666802485</v>
      </c>
      <c r="C14" s="21">
        <f>139*20*10000</f>
        <v>27800000</v>
      </c>
      <c r="D14" s="28"/>
      <c r="E14" s="16"/>
      <c r="F14" s="15"/>
      <c r="H14" s="15">
        <f>LOG(C14)</f>
        <v>7.4440447959180762</v>
      </c>
    </row>
    <row r="15" spans="1:11" x14ac:dyDescent="0.35">
      <c r="A15" s="14">
        <v>44657.319444444445</v>
      </c>
      <c r="B15" s="15">
        <f t="shared" si="0"/>
        <v>24.166666666744277</v>
      </c>
      <c r="C15" s="21">
        <f>67*20*100000</f>
        <v>134000000</v>
      </c>
      <c r="D15" s="28"/>
      <c r="E15" s="16"/>
      <c r="F15" s="5"/>
      <c r="H15" s="15">
        <f>LOG(C15)</f>
        <v>8.1271047983648081</v>
      </c>
    </row>
    <row r="16" spans="1:11" x14ac:dyDescent="0.35">
      <c r="A16" s="14">
        <v>44657.4375</v>
      </c>
      <c r="B16" s="15">
        <f t="shared" si="0"/>
        <v>27.000000000058208</v>
      </c>
      <c r="C16" s="28"/>
      <c r="D16" s="28"/>
      <c r="E16" s="16"/>
      <c r="F16" s="5"/>
      <c r="H16" s="28"/>
    </row>
    <row r="17" spans="1:11" x14ac:dyDescent="0.35">
      <c r="A17" s="14">
        <v>44657.5625</v>
      </c>
      <c r="B17" s="15">
        <f t="shared" si="0"/>
        <v>30.000000000058208</v>
      </c>
      <c r="C17" s="28"/>
      <c r="D17" s="28"/>
      <c r="E17" s="16"/>
      <c r="F17" s="5"/>
      <c r="H17" s="28"/>
    </row>
    <row r="18" spans="1:11" x14ac:dyDescent="0.35">
      <c r="A18" s="14">
        <v>44657.6875</v>
      </c>
      <c r="B18" s="15">
        <f t="shared" si="0"/>
        <v>33.000000000058208</v>
      </c>
      <c r="C18" s="28"/>
      <c r="D18" s="28"/>
      <c r="E18" s="5"/>
      <c r="F18" s="5"/>
      <c r="H18" s="28"/>
    </row>
    <row r="19" spans="1:11" x14ac:dyDescent="0.35">
      <c r="A19" s="14">
        <v>44657.809027777781</v>
      </c>
      <c r="B19" s="15">
        <f t="shared" si="0"/>
        <v>35.916666666802485</v>
      </c>
      <c r="C19" s="21">
        <f>85*20*100000</f>
        <v>170000000</v>
      </c>
      <c r="D19" s="28"/>
      <c r="E19" s="5"/>
      <c r="F19" s="5"/>
      <c r="H19" s="15">
        <f>LOG(C19)</f>
        <v>8.2304489213782741</v>
      </c>
    </row>
    <row r="20" spans="1:11" x14ac:dyDescent="0.35">
      <c r="A20" s="14">
        <v>44658.319444444445</v>
      </c>
      <c r="B20" s="15">
        <f t="shared" si="0"/>
        <v>48.166666666744277</v>
      </c>
      <c r="C20" s="23">
        <v>91000000</v>
      </c>
      <c r="D20" s="28"/>
      <c r="E20" s="16"/>
      <c r="F20" s="5"/>
      <c r="H20" s="15">
        <f>LOG(C20)</f>
        <v>7.9590413923210939</v>
      </c>
    </row>
    <row r="21" spans="1:11" x14ac:dyDescent="0.35">
      <c r="A21" s="14">
        <v>44658.555555555555</v>
      </c>
      <c r="B21" s="15">
        <f t="shared" si="0"/>
        <v>53.833333333372138</v>
      </c>
      <c r="C21" s="21">
        <f>63*20*100000</f>
        <v>126000000</v>
      </c>
      <c r="D21" s="28"/>
      <c r="E21" s="5"/>
      <c r="F21" s="5"/>
      <c r="H21" s="15">
        <f>LOG(C21)</f>
        <v>8.1003705451175634</v>
      </c>
    </row>
    <row r="22" spans="1:11" x14ac:dyDescent="0.35">
      <c r="B22" s="5"/>
      <c r="C22" s="5"/>
    </row>
    <row r="23" spans="1:11" x14ac:dyDescent="0.35">
      <c r="B23" s="5"/>
      <c r="C23" s="5"/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44656.354166666664</v>
      </c>
      <c r="B32" s="15">
        <f>0*(24)+1</f>
        <v>1</v>
      </c>
      <c r="C32" s="21">
        <f>130*20*100</f>
        <v>260000</v>
      </c>
      <c r="D32" s="28"/>
      <c r="E32" s="5"/>
      <c r="F32" s="5"/>
      <c r="H32" s="15">
        <f>LOG(C32)</f>
        <v>5.4149733479708182</v>
      </c>
      <c r="I32" s="5"/>
      <c r="J32" s="5"/>
      <c r="K32" s="5"/>
    </row>
    <row r="33" spans="1:11" x14ac:dyDescent="0.35">
      <c r="A33" s="14">
        <v>44656.4375</v>
      </c>
      <c r="B33" s="15">
        <f t="shared" ref="B33:B43" si="1">(A33-$A$10)*(24)+1</f>
        <v>3.0000000000582077</v>
      </c>
      <c r="C33" s="28"/>
      <c r="D33" s="28"/>
      <c r="E33" s="5"/>
      <c r="F33" s="5"/>
      <c r="H33" s="28"/>
      <c r="I33" s="5"/>
      <c r="J33" s="5"/>
      <c r="K33" s="5"/>
    </row>
    <row r="34" spans="1:11" x14ac:dyDescent="0.35">
      <c r="A34" s="14">
        <v>44656.569444444445</v>
      </c>
      <c r="B34" s="15">
        <f t="shared" si="1"/>
        <v>6.1666666667442769</v>
      </c>
      <c r="C34" s="28"/>
      <c r="D34" s="28"/>
      <c r="E34" s="5"/>
      <c r="F34" s="5"/>
      <c r="H34" s="28"/>
      <c r="I34" s="5"/>
      <c r="J34" s="5"/>
      <c r="K34" s="5"/>
    </row>
    <row r="35" spans="1:11" x14ac:dyDescent="0.35">
      <c r="A35" s="14">
        <v>44656.690972222219</v>
      </c>
      <c r="B35" s="15">
        <f t="shared" si="1"/>
        <v>9.0833333333139308</v>
      </c>
      <c r="C35" s="28"/>
      <c r="D35" s="28"/>
      <c r="E35" s="5"/>
      <c r="F35" s="5"/>
      <c r="H35" s="28"/>
      <c r="I35" s="5"/>
      <c r="J35" s="5"/>
      <c r="K35" s="5"/>
    </row>
    <row r="36" spans="1:11" x14ac:dyDescent="0.35">
      <c r="A36" s="14">
        <v>44656.809027777781</v>
      </c>
      <c r="B36" s="15">
        <f t="shared" si="1"/>
        <v>11.916666666802485</v>
      </c>
      <c r="C36" s="21">
        <f>60*20*10000</f>
        <v>12000000</v>
      </c>
      <c r="D36" s="28"/>
      <c r="E36" s="5"/>
      <c r="F36" s="5"/>
      <c r="H36" s="15">
        <f>LOG(C36)</f>
        <v>7.0791812460476251</v>
      </c>
      <c r="I36" s="5"/>
      <c r="J36" s="5"/>
      <c r="K36" s="5"/>
    </row>
    <row r="37" spans="1:11" x14ac:dyDescent="0.35">
      <c r="A37" s="14">
        <v>44657.319444444445</v>
      </c>
      <c r="B37" s="15">
        <f t="shared" si="1"/>
        <v>24.166666666744277</v>
      </c>
      <c r="C37" s="21">
        <f>46*20*100000</f>
        <v>92000000</v>
      </c>
      <c r="D37" s="28"/>
      <c r="E37" s="5"/>
      <c r="F37" s="5"/>
      <c r="H37" s="15">
        <f>LOG(C37)</f>
        <v>7.9637878273455556</v>
      </c>
      <c r="I37" s="5"/>
      <c r="J37" s="5"/>
      <c r="K37" s="5"/>
    </row>
    <row r="38" spans="1:11" x14ac:dyDescent="0.35">
      <c r="A38" s="14">
        <v>44657.4375</v>
      </c>
      <c r="B38" s="15">
        <f t="shared" si="1"/>
        <v>27.000000000058208</v>
      </c>
      <c r="C38" s="28"/>
      <c r="D38" s="28"/>
      <c r="E38" s="5"/>
      <c r="F38" s="15"/>
      <c r="H38" s="28"/>
      <c r="I38" s="5"/>
      <c r="J38" s="5"/>
      <c r="K38" s="5"/>
    </row>
    <row r="39" spans="1:11" x14ac:dyDescent="0.35">
      <c r="A39" s="14">
        <v>44657.5625</v>
      </c>
      <c r="B39" s="15">
        <f t="shared" si="1"/>
        <v>30.000000000058208</v>
      </c>
      <c r="C39" s="28"/>
      <c r="D39" s="28"/>
      <c r="E39" s="5"/>
      <c r="F39" s="5"/>
      <c r="H39" s="28"/>
      <c r="I39" s="5"/>
      <c r="J39" s="5"/>
      <c r="K39" s="5"/>
    </row>
    <row r="40" spans="1:11" x14ac:dyDescent="0.35">
      <c r="A40" s="14">
        <v>44657.6875</v>
      </c>
      <c r="B40" s="15">
        <f t="shared" si="1"/>
        <v>33.000000000058208</v>
      </c>
      <c r="C40" s="28"/>
      <c r="D40" s="28"/>
      <c r="E40" s="5"/>
      <c r="F40" s="5"/>
      <c r="H40" s="28"/>
      <c r="I40" s="5"/>
      <c r="J40" s="5"/>
      <c r="K40" s="5"/>
    </row>
    <row r="41" spans="1:11" x14ac:dyDescent="0.35">
      <c r="A41" s="14">
        <v>44657.809027777781</v>
      </c>
      <c r="B41" s="15">
        <f t="shared" si="1"/>
        <v>35.916666666802485</v>
      </c>
      <c r="C41" s="21">
        <f>51*20*100000</f>
        <v>102000000</v>
      </c>
      <c r="D41" s="28"/>
      <c r="E41" s="5"/>
      <c r="F41" s="5"/>
      <c r="H41" s="15">
        <f>LOG(C41)</f>
        <v>8.008600171761918</v>
      </c>
      <c r="I41" s="5"/>
      <c r="J41" s="5"/>
      <c r="K41" s="5"/>
    </row>
    <row r="42" spans="1:11" x14ac:dyDescent="0.35">
      <c r="A42" s="14">
        <v>44658.319444444445</v>
      </c>
      <c r="B42" s="15">
        <f t="shared" si="1"/>
        <v>48.166666666744277</v>
      </c>
      <c r="C42" s="23">
        <v>89000000</v>
      </c>
      <c r="D42" s="28"/>
      <c r="E42" s="5"/>
      <c r="F42" s="5"/>
      <c r="H42" s="15">
        <f>LOG(C42)</f>
        <v>7.9493900066449124</v>
      </c>
      <c r="I42" s="5"/>
      <c r="J42" s="5"/>
      <c r="K42" s="5"/>
    </row>
    <row r="43" spans="1:11" x14ac:dyDescent="0.35">
      <c r="A43" s="14">
        <v>44658.555555555555</v>
      </c>
      <c r="B43" s="15">
        <f t="shared" si="1"/>
        <v>53.833333333372138</v>
      </c>
      <c r="C43" s="21">
        <f>24*20*100000</f>
        <v>48000000</v>
      </c>
      <c r="D43" s="28"/>
      <c r="E43" s="5"/>
      <c r="F43" s="5"/>
      <c r="H43" s="15">
        <f>LOG(C43)</f>
        <v>7.6812412373755876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44656.354166666664</v>
      </c>
      <c r="B52" s="15">
        <f>0*(24)+1</f>
        <v>1</v>
      </c>
      <c r="C52" s="29"/>
      <c r="D52" s="21">
        <f>25*100</f>
        <v>2500</v>
      </c>
      <c r="E52" s="5"/>
      <c r="F52" s="5"/>
      <c r="H52" s="15">
        <f>LOG(D52)</f>
        <v>3.3979400086720375</v>
      </c>
    </row>
    <row r="53" spans="1:11" x14ac:dyDescent="0.35">
      <c r="A53" s="14">
        <v>44656.4375</v>
      </c>
      <c r="B53" s="15">
        <f t="shared" ref="B53:B63" si="2">(A53-$A$10)*(24)+1</f>
        <v>3.0000000000582077</v>
      </c>
      <c r="C53" s="29"/>
      <c r="D53" s="29"/>
      <c r="E53" s="5"/>
      <c r="F53" s="5"/>
      <c r="H53" s="29"/>
    </row>
    <row r="54" spans="1:11" x14ac:dyDescent="0.35">
      <c r="A54" s="14">
        <v>44656.569444444445</v>
      </c>
      <c r="B54" s="15">
        <f t="shared" si="2"/>
        <v>6.1666666667442769</v>
      </c>
      <c r="C54" s="29"/>
      <c r="D54" s="29"/>
      <c r="E54" s="5"/>
      <c r="F54" s="5"/>
      <c r="H54" s="29"/>
    </row>
    <row r="55" spans="1:11" x14ac:dyDescent="0.35">
      <c r="A55" s="14">
        <v>44656.690972222219</v>
      </c>
      <c r="B55" s="15">
        <f t="shared" si="2"/>
        <v>9.0833333333139308</v>
      </c>
      <c r="C55" s="29"/>
      <c r="D55" s="29"/>
      <c r="E55" s="5"/>
      <c r="F55" s="5"/>
      <c r="H55" s="29"/>
    </row>
    <row r="56" spans="1:11" x14ac:dyDescent="0.35">
      <c r="A56" s="14">
        <v>44656.809027777781</v>
      </c>
      <c r="B56" s="15">
        <f t="shared" si="2"/>
        <v>11.916666666802485</v>
      </c>
      <c r="C56" s="29"/>
      <c r="D56" s="21">
        <f>32*20*100</f>
        <v>64000</v>
      </c>
      <c r="E56" s="5"/>
      <c r="F56" s="5"/>
      <c r="H56" s="15">
        <f>LOG(D56)</f>
        <v>4.8061799739838875</v>
      </c>
    </row>
    <row r="57" spans="1:11" x14ac:dyDescent="0.35">
      <c r="A57" s="14">
        <v>44657.319444444445</v>
      </c>
      <c r="B57" s="15">
        <f t="shared" si="2"/>
        <v>24.166666666744277</v>
      </c>
      <c r="C57" s="29"/>
      <c r="D57" s="21">
        <f>23*20*10000</f>
        <v>4600000</v>
      </c>
      <c r="E57" s="5"/>
      <c r="F57" s="5"/>
      <c r="H57" s="15">
        <f>LOG(D57)</f>
        <v>6.6627578316815743</v>
      </c>
    </row>
    <row r="58" spans="1:11" x14ac:dyDescent="0.35">
      <c r="A58" s="14">
        <v>44657.4375</v>
      </c>
      <c r="B58" s="15">
        <f t="shared" si="2"/>
        <v>27.000000000058208</v>
      </c>
      <c r="C58" s="29"/>
      <c r="D58" s="29"/>
      <c r="E58" s="5"/>
      <c r="F58" s="5"/>
      <c r="H58" s="29"/>
    </row>
    <row r="59" spans="1:11" x14ac:dyDescent="0.35">
      <c r="A59" s="14">
        <v>44657.5625</v>
      </c>
      <c r="B59" s="15">
        <f t="shared" si="2"/>
        <v>30.000000000058208</v>
      </c>
      <c r="C59" s="29"/>
      <c r="D59" s="29"/>
      <c r="E59" s="5"/>
      <c r="F59" s="5"/>
      <c r="H59" s="29"/>
    </row>
    <row r="60" spans="1:11" x14ac:dyDescent="0.35">
      <c r="A60" s="14">
        <v>44657.6875</v>
      </c>
      <c r="B60" s="15">
        <f t="shared" si="2"/>
        <v>33.000000000058208</v>
      </c>
      <c r="C60" s="29"/>
      <c r="D60" s="29"/>
      <c r="E60" s="5"/>
      <c r="F60" s="5"/>
      <c r="H60" s="29"/>
    </row>
    <row r="61" spans="1:11" x14ac:dyDescent="0.35">
      <c r="A61" s="14">
        <v>44657.809027777781</v>
      </c>
      <c r="B61" s="15">
        <f t="shared" si="2"/>
        <v>35.916666666802485</v>
      </c>
      <c r="C61" s="29"/>
      <c r="D61" s="21">
        <f>72*20*100000</f>
        <v>144000000</v>
      </c>
      <c r="E61" s="16"/>
      <c r="F61" s="15"/>
      <c r="H61" s="15">
        <f>LOG(D61)</f>
        <v>8.1583624920952502</v>
      </c>
    </row>
    <row r="62" spans="1:11" x14ac:dyDescent="0.35">
      <c r="A62" s="14">
        <v>44658.319444444445</v>
      </c>
      <c r="B62" s="15">
        <f t="shared" si="2"/>
        <v>48.166666666744277</v>
      </c>
      <c r="C62" s="29"/>
      <c r="D62" s="23">
        <f>AVERAGE(237000000,220000000,217000000)</f>
        <v>224666666.66666666</v>
      </c>
      <c r="E62" s="5"/>
      <c r="F62" s="5"/>
      <c r="H62" s="15">
        <f>LOG(D62)</f>
        <v>8.3515386418156581</v>
      </c>
    </row>
    <row r="63" spans="1:11" x14ac:dyDescent="0.35">
      <c r="A63" s="14">
        <v>44658.555555555555</v>
      </c>
      <c r="B63" s="15">
        <f t="shared" si="2"/>
        <v>53.833333333372138</v>
      </c>
      <c r="C63" s="28"/>
      <c r="D63" s="21">
        <f>254*20*100000</f>
        <v>508000000</v>
      </c>
      <c r="E63" s="5"/>
      <c r="F63" s="5"/>
      <c r="H63" s="15">
        <f>LOG(D63)</f>
        <v>8.7058637122839198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44656.354166666664</v>
      </c>
      <c r="B73" s="15">
        <f>0*24+1</f>
        <v>1</v>
      </c>
      <c r="C73" s="22">
        <f>37*20*100</f>
        <v>74000</v>
      </c>
      <c r="D73" s="22">
        <f>1*100</f>
        <v>100</v>
      </c>
      <c r="E73" s="5"/>
      <c r="F73" s="5"/>
      <c r="H73" s="15">
        <f t="shared" ref="H73:H84" si="3">LOG(C73)</f>
        <v>4.8692317197309762</v>
      </c>
      <c r="I73" s="15">
        <f t="shared" ref="I73:I84" si="4">LOG(D73)</f>
        <v>2</v>
      </c>
    </row>
    <row r="74" spans="1:11" x14ac:dyDescent="0.35">
      <c r="A74" s="14">
        <v>44656.4375</v>
      </c>
      <c r="B74" s="15">
        <f t="shared" ref="B74:B84" si="5">(A74-$A$10)*24+1</f>
        <v>3.0000000000582077</v>
      </c>
      <c r="C74" s="21">
        <v>1700000</v>
      </c>
      <c r="D74" s="21">
        <f>29*100</f>
        <v>2900</v>
      </c>
      <c r="E74" s="5"/>
      <c r="F74" s="5"/>
      <c r="H74" s="15">
        <f t="shared" si="3"/>
        <v>6.2304489213782741</v>
      </c>
      <c r="I74" s="15">
        <f t="shared" si="4"/>
        <v>3.4623979978989561</v>
      </c>
    </row>
    <row r="75" spans="1:11" x14ac:dyDescent="0.35">
      <c r="A75" s="14">
        <v>44656.569444444445</v>
      </c>
      <c r="B75" s="15">
        <f t="shared" si="5"/>
        <v>6.1666666667442769</v>
      </c>
      <c r="C75" s="21">
        <f>232*20*1000</f>
        <v>4640000</v>
      </c>
      <c r="D75" s="21">
        <f>100*100</f>
        <v>10000</v>
      </c>
      <c r="E75" s="5"/>
      <c r="F75" s="15"/>
      <c r="H75" s="15">
        <f t="shared" si="3"/>
        <v>6.6665179805548807</v>
      </c>
      <c r="I75" s="15">
        <f t="shared" si="4"/>
        <v>4</v>
      </c>
    </row>
    <row r="76" spans="1:11" x14ac:dyDescent="0.35">
      <c r="A76" s="14">
        <v>44656.690972222219</v>
      </c>
      <c r="B76" s="15">
        <f t="shared" si="5"/>
        <v>9.0833333333139308</v>
      </c>
      <c r="C76" s="23">
        <f>63*20*10000</f>
        <v>12600000</v>
      </c>
      <c r="D76" s="21">
        <f>13*20*100</f>
        <v>26000</v>
      </c>
      <c r="E76" s="5"/>
      <c r="F76" s="5"/>
      <c r="H76" s="15">
        <f t="shared" si="3"/>
        <v>7.1003705451175625</v>
      </c>
      <c r="I76" s="15">
        <f t="shared" si="4"/>
        <v>4.4149733479708182</v>
      </c>
    </row>
    <row r="77" spans="1:11" x14ac:dyDescent="0.35">
      <c r="A77" s="14">
        <v>44656.809027777781</v>
      </c>
      <c r="B77" s="15">
        <f t="shared" si="5"/>
        <v>11.916666666802485</v>
      </c>
      <c r="C77" s="21">
        <f>143*20*10000</f>
        <v>28600000</v>
      </c>
      <c r="D77" s="21">
        <f>74*20*10</f>
        <v>14800</v>
      </c>
      <c r="E77" s="5"/>
      <c r="F77" s="5"/>
      <c r="H77" s="15">
        <f t="shared" si="3"/>
        <v>7.4563660331290427</v>
      </c>
      <c r="I77" s="15">
        <f t="shared" si="4"/>
        <v>4.1702617153949575</v>
      </c>
    </row>
    <row r="78" spans="1:11" x14ac:dyDescent="0.35">
      <c r="A78" s="14">
        <v>44657.319444444445</v>
      </c>
      <c r="B78" s="15">
        <f t="shared" si="5"/>
        <v>24.166666666744277</v>
      </c>
      <c r="C78" s="21">
        <f>75*20*100000</f>
        <v>150000000</v>
      </c>
      <c r="D78" s="23">
        <f>181*2</f>
        <v>362</v>
      </c>
      <c r="E78" s="5"/>
      <c r="F78" s="5"/>
      <c r="H78" s="15">
        <f t="shared" si="3"/>
        <v>8.1760912590556813</v>
      </c>
      <c r="I78" s="15">
        <f t="shared" si="4"/>
        <v>2.5587085705331658</v>
      </c>
    </row>
    <row r="79" spans="1:11" x14ac:dyDescent="0.35">
      <c r="A79" s="14">
        <v>44657.4375</v>
      </c>
      <c r="B79" s="15">
        <f t="shared" si="5"/>
        <v>27.000000000058208</v>
      </c>
      <c r="C79" s="21">
        <f>65*20*100000</f>
        <v>130000000</v>
      </c>
      <c r="D79" s="23">
        <f>AVERAGE(38*2,4*2*10)</f>
        <v>78</v>
      </c>
      <c r="E79" s="5"/>
      <c r="F79" s="5"/>
      <c r="H79" s="15">
        <f t="shared" si="3"/>
        <v>8.1139433523068369</v>
      </c>
      <c r="I79" s="15">
        <f t="shared" si="4"/>
        <v>1.8920946026904804</v>
      </c>
    </row>
    <row r="80" spans="1:11" x14ac:dyDescent="0.35">
      <c r="A80" s="14">
        <v>44657.5625</v>
      </c>
      <c r="B80" s="15">
        <f t="shared" si="5"/>
        <v>30.000000000058208</v>
      </c>
      <c r="C80" s="21">
        <f>70*20*100000</f>
        <v>140000000</v>
      </c>
      <c r="D80" s="23">
        <f>14*2</f>
        <v>28</v>
      </c>
      <c r="E80" s="5"/>
      <c r="F80" s="5"/>
      <c r="H80" s="15">
        <f t="shared" si="3"/>
        <v>8.1461280356782382</v>
      </c>
      <c r="I80" s="15">
        <f t="shared" si="4"/>
        <v>1.4471580313422192</v>
      </c>
    </row>
    <row r="81" spans="1:11" x14ac:dyDescent="0.35">
      <c r="A81" s="14">
        <v>44657.6875</v>
      </c>
      <c r="B81" s="15">
        <f t="shared" si="5"/>
        <v>33.000000000058208</v>
      </c>
      <c r="C81" s="21">
        <f>85*20*100000</f>
        <v>170000000</v>
      </c>
      <c r="D81" s="23">
        <f>4*2</f>
        <v>8</v>
      </c>
      <c r="E81" s="5"/>
      <c r="F81" s="5"/>
      <c r="H81" s="15">
        <f t="shared" si="3"/>
        <v>8.2304489213782741</v>
      </c>
      <c r="I81" s="15">
        <f t="shared" si="4"/>
        <v>0.90308998699194354</v>
      </c>
    </row>
    <row r="82" spans="1:11" x14ac:dyDescent="0.35">
      <c r="A82" s="14">
        <v>44657.809027777781</v>
      </c>
      <c r="B82" s="15">
        <f t="shared" si="5"/>
        <v>35.916666666802485</v>
      </c>
      <c r="C82" s="21">
        <f>89*20*100000</f>
        <v>178000000</v>
      </c>
      <c r="D82" s="22">
        <f>0.9/5</f>
        <v>0.18</v>
      </c>
      <c r="E82" s="5"/>
      <c r="F82" s="5"/>
      <c r="H82" s="15">
        <f t="shared" si="3"/>
        <v>8.2504200023088945</v>
      </c>
      <c r="I82" s="15">
        <f t="shared" si="4"/>
        <v>-0.74472749489669399</v>
      </c>
    </row>
    <row r="83" spans="1:11" x14ac:dyDescent="0.35">
      <c r="A83" s="14">
        <v>44658.319444444445</v>
      </c>
      <c r="B83" s="15">
        <f t="shared" si="5"/>
        <v>48.166666666744277</v>
      </c>
      <c r="C83" s="23">
        <v>140000000</v>
      </c>
      <c r="D83" s="22">
        <f>0.9/5</f>
        <v>0.18</v>
      </c>
      <c r="E83" s="5"/>
      <c r="F83" s="5"/>
      <c r="H83" s="15">
        <f t="shared" si="3"/>
        <v>8.1461280356782382</v>
      </c>
      <c r="I83" s="15">
        <f t="shared" si="4"/>
        <v>-0.74472749489669399</v>
      </c>
    </row>
    <row r="84" spans="1:11" x14ac:dyDescent="0.35">
      <c r="A84" s="14">
        <v>44658.555555555555</v>
      </c>
      <c r="B84" s="15">
        <f t="shared" si="5"/>
        <v>53.833333333372138</v>
      </c>
      <c r="C84" s="21">
        <f>75*20*100000</f>
        <v>150000000</v>
      </c>
      <c r="D84" s="22">
        <f>0.9/5</f>
        <v>0.18</v>
      </c>
      <c r="E84" s="5"/>
      <c r="F84" s="5"/>
      <c r="H84" s="15">
        <f t="shared" si="3"/>
        <v>8.1760912590556813</v>
      </c>
      <c r="I84" s="15">
        <f t="shared" si="4"/>
        <v>-0.74472749489669399</v>
      </c>
    </row>
    <row r="85" spans="1:11" x14ac:dyDescent="0.35">
      <c r="C85" s="5"/>
    </row>
    <row r="86" spans="1:11" x14ac:dyDescent="0.35">
      <c r="C86" s="5"/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44656.354166666664</v>
      </c>
      <c r="B95" s="15">
        <f>0*24+1</f>
        <v>1</v>
      </c>
      <c r="C95" s="23">
        <f>20*20*100</f>
        <v>40000</v>
      </c>
      <c r="D95" s="21">
        <f>1*100</f>
        <v>100</v>
      </c>
      <c r="E95" s="5"/>
      <c r="F95" s="5"/>
      <c r="H95" s="18">
        <f t="shared" ref="H95:H106" si="6">LOG(C95)</f>
        <v>4.6020599913279625</v>
      </c>
      <c r="I95" s="15">
        <f t="shared" ref="I95:I106" si="7">LOG(D95)</f>
        <v>2</v>
      </c>
      <c r="J95" s="5"/>
      <c r="K95" s="5"/>
    </row>
    <row r="96" spans="1:11" x14ac:dyDescent="0.35">
      <c r="A96" s="14">
        <v>44656.4375</v>
      </c>
      <c r="B96" s="15">
        <f t="shared" ref="B96:B106" si="8">(A96-$A$10)*24+1</f>
        <v>3.0000000000582077</v>
      </c>
      <c r="C96" s="21">
        <f>159*20*100</f>
        <v>318000</v>
      </c>
      <c r="D96" s="21">
        <f>52*100</f>
        <v>5200</v>
      </c>
      <c r="E96" s="5"/>
      <c r="F96" s="15"/>
      <c r="H96" s="18">
        <f t="shared" si="6"/>
        <v>5.502427119984433</v>
      </c>
      <c r="I96" s="15">
        <f t="shared" si="7"/>
        <v>3.716003343634799</v>
      </c>
      <c r="J96" s="5"/>
      <c r="K96" s="5"/>
    </row>
    <row r="97" spans="1:11" x14ac:dyDescent="0.35">
      <c r="A97" s="14">
        <v>44656.569444444445</v>
      </c>
      <c r="B97" s="15">
        <f t="shared" si="8"/>
        <v>6.1666666667442769</v>
      </c>
      <c r="C97" s="21">
        <f>74*20*1000</f>
        <v>1480000</v>
      </c>
      <c r="D97" s="21">
        <f>115*100</f>
        <v>11500</v>
      </c>
      <c r="E97" s="5"/>
      <c r="F97" s="5"/>
      <c r="H97" s="18">
        <f t="shared" si="6"/>
        <v>6.1702617153949575</v>
      </c>
      <c r="I97" s="15">
        <f t="shared" si="7"/>
        <v>4.0606978403536118</v>
      </c>
      <c r="J97" s="5"/>
      <c r="K97" s="5"/>
    </row>
    <row r="98" spans="1:11" x14ac:dyDescent="0.35">
      <c r="A98" s="14">
        <v>44656.690972222219</v>
      </c>
      <c r="B98" s="15">
        <f t="shared" si="8"/>
        <v>9.0833333333139308</v>
      </c>
      <c r="C98" s="23">
        <f>19*20*10000</f>
        <v>3800000</v>
      </c>
      <c r="D98" s="21">
        <f>13*20*100</f>
        <v>26000</v>
      </c>
      <c r="E98" s="5"/>
      <c r="F98" s="5"/>
      <c r="H98" s="18">
        <f t="shared" si="6"/>
        <v>6.5797835966168101</v>
      </c>
      <c r="I98" s="15">
        <f t="shared" si="7"/>
        <v>4.4149733479708182</v>
      </c>
      <c r="J98" s="5"/>
      <c r="K98" s="5"/>
    </row>
    <row r="99" spans="1:11" x14ac:dyDescent="0.35">
      <c r="A99" s="14">
        <v>44656.809027777781</v>
      </c>
      <c r="B99" s="15">
        <f t="shared" si="8"/>
        <v>11.916666666802485</v>
      </c>
      <c r="C99" s="21">
        <f>58*20*10000</f>
        <v>11600000</v>
      </c>
      <c r="D99" s="21">
        <f>29*20*100</f>
        <v>58000</v>
      </c>
      <c r="E99" s="5"/>
      <c r="F99" s="5"/>
      <c r="H99" s="18">
        <f t="shared" si="6"/>
        <v>7.0644579892269181</v>
      </c>
      <c r="I99" s="15">
        <f t="shared" si="7"/>
        <v>4.7634279935629369</v>
      </c>
      <c r="J99" s="5"/>
      <c r="K99" s="5"/>
    </row>
    <row r="100" spans="1:11" x14ac:dyDescent="0.35">
      <c r="A100" s="14">
        <v>44657.319444444445</v>
      </c>
      <c r="B100" s="15">
        <f t="shared" si="8"/>
        <v>24.166666666744277</v>
      </c>
      <c r="C100" s="21">
        <f>40*20*100000</f>
        <v>80000000</v>
      </c>
      <c r="D100" s="21">
        <f>17*20*1000</f>
        <v>340000</v>
      </c>
      <c r="E100" s="5"/>
      <c r="F100" s="5"/>
      <c r="H100" s="18">
        <f t="shared" si="6"/>
        <v>7.9030899869919438</v>
      </c>
      <c r="I100" s="15">
        <f t="shared" si="7"/>
        <v>5.5314789170422554</v>
      </c>
      <c r="J100" s="5"/>
      <c r="K100" s="5"/>
    </row>
    <row r="101" spans="1:11" x14ac:dyDescent="0.35">
      <c r="A101" s="14">
        <v>44657.4375</v>
      </c>
      <c r="B101" s="15">
        <f t="shared" si="8"/>
        <v>27.000000000058208</v>
      </c>
      <c r="C101" s="23">
        <f>48*20*100000</f>
        <v>96000000</v>
      </c>
      <c r="D101" s="21">
        <f>24*20*1000</f>
        <v>480000</v>
      </c>
      <c r="E101" s="5"/>
      <c r="F101" s="5"/>
      <c r="H101" s="18">
        <f t="shared" si="6"/>
        <v>7.982271233039568</v>
      </c>
      <c r="I101" s="15">
        <f t="shared" si="7"/>
        <v>5.6812412373755876</v>
      </c>
      <c r="J101" s="5"/>
      <c r="K101" s="5"/>
    </row>
    <row r="102" spans="1:11" x14ac:dyDescent="0.35">
      <c r="A102" s="14">
        <v>44657.5625</v>
      </c>
      <c r="B102" s="15">
        <f t="shared" si="8"/>
        <v>30.000000000058208</v>
      </c>
      <c r="C102" s="21">
        <f>127*20*100000</f>
        <v>254000000</v>
      </c>
      <c r="D102" s="21">
        <f>29*20*1000</f>
        <v>580000</v>
      </c>
      <c r="E102" s="5"/>
      <c r="F102" s="5"/>
      <c r="H102" s="18">
        <f t="shared" si="6"/>
        <v>8.4048337166199385</v>
      </c>
      <c r="I102" s="15">
        <f t="shared" si="7"/>
        <v>5.7634279935629369</v>
      </c>
      <c r="J102" s="5"/>
      <c r="K102" s="5"/>
    </row>
    <row r="103" spans="1:11" x14ac:dyDescent="0.35">
      <c r="A103" s="14">
        <v>44657.6875</v>
      </c>
      <c r="B103" s="15">
        <f t="shared" si="8"/>
        <v>33.000000000058208</v>
      </c>
      <c r="C103" s="21">
        <f>45*20*100000</f>
        <v>90000000</v>
      </c>
      <c r="D103" s="21">
        <f>29*20*1000</f>
        <v>580000</v>
      </c>
      <c r="E103" s="5"/>
      <c r="F103" s="5"/>
      <c r="H103" s="18">
        <f t="shared" si="6"/>
        <v>7.9542425094393252</v>
      </c>
      <c r="I103" s="15">
        <f t="shared" si="7"/>
        <v>5.7634279935629369</v>
      </c>
      <c r="J103" s="5"/>
      <c r="K103" s="5"/>
    </row>
    <row r="104" spans="1:11" x14ac:dyDescent="0.35">
      <c r="A104" s="14">
        <v>44657.809027777781</v>
      </c>
      <c r="B104" s="15">
        <f t="shared" si="8"/>
        <v>35.916666666802485</v>
      </c>
      <c r="C104" s="21">
        <f>54*20*100000</f>
        <v>108000000</v>
      </c>
      <c r="D104" s="21">
        <f>27*20*1000</f>
        <v>540000</v>
      </c>
      <c r="E104" s="5"/>
      <c r="F104" s="5"/>
      <c r="H104" s="18">
        <f t="shared" si="6"/>
        <v>8.0334237554869503</v>
      </c>
      <c r="I104" s="15">
        <f t="shared" si="7"/>
        <v>5.7323937598229682</v>
      </c>
      <c r="J104" s="5"/>
      <c r="K104" s="5"/>
    </row>
    <row r="105" spans="1:11" x14ac:dyDescent="0.35">
      <c r="A105" s="14">
        <v>44658.319444444445</v>
      </c>
      <c r="B105" s="15">
        <f t="shared" si="8"/>
        <v>48.166666666744277</v>
      </c>
      <c r="C105" s="23">
        <v>170000000</v>
      </c>
      <c r="D105" s="21">
        <f>AVERAGE(40800,57300,61300)</f>
        <v>53133.333333333336</v>
      </c>
      <c r="E105" s="5"/>
      <c r="F105" s="15"/>
      <c r="H105" s="18">
        <f t="shared" si="6"/>
        <v>8.2304489213782741</v>
      </c>
      <c r="I105" s="15">
        <f t="shared" si="7"/>
        <v>4.7253670623404309</v>
      </c>
      <c r="J105" s="5"/>
      <c r="K105" s="5"/>
    </row>
    <row r="106" spans="1:11" x14ac:dyDescent="0.35">
      <c r="A106" s="14">
        <v>44658.555555555555</v>
      </c>
      <c r="B106" s="15">
        <f t="shared" si="8"/>
        <v>53.833333333372138</v>
      </c>
      <c r="C106" s="21">
        <f>42*20*100000</f>
        <v>84000000</v>
      </c>
      <c r="D106" s="21">
        <f>AVERAGE(311000,343000,387000,16*20*1000)</f>
        <v>340250</v>
      </c>
      <c r="E106" s="5"/>
      <c r="F106" s="5"/>
      <c r="H106" s="18">
        <f t="shared" si="6"/>
        <v>7.924279286061882</v>
      </c>
      <c r="I106" s="15">
        <f t="shared" si="7"/>
        <v>5.5317981338753723</v>
      </c>
      <c r="J106" s="5"/>
      <c r="K106" s="5"/>
    </row>
    <row r="107" spans="1:11" x14ac:dyDescent="0.35">
      <c r="H107" s="5"/>
      <c r="I107" s="5"/>
      <c r="J107" s="5"/>
      <c r="K107" s="5"/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A8DA-6053-4716-8FB2-78BAD18AFE1F}">
  <dimension ref="A1:K107"/>
  <sheetViews>
    <sheetView zoomScale="110" zoomScaleNormal="110" workbookViewId="0">
      <selection activeCell="P68" sqref="P68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44656.354166666664</v>
      </c>
      <c r="B10" s="15">
        <f>0*24+1</f>
        <v>1</v>
      </c>
      <c r="C10" s="21">
        <f>300*20*100</f>
        <v>600000</v>
      </c>
      <c r="D10" s="20"/>
      <c r="E10" s="16"/>
      <c r="F10" s="5"/>
      <c r="H10" s="15">
        <f>LOG(C10)</f>
        <v>5.7781512503836439</v>
      </c>
    </row>
    <row r="11" spans="1:11" x14ac:dyDescent="0.35">
      <c r="A11" s="14">
        <v>44656.4375</v>
      </c>
      <c r="B11" s="15">
        <f t="shared" ref="B11:B21" si="0">(A11-$A$10)*24+1</f>
        <v>3.0000000000582077</v>
      </c>
      <c r="C11" s="20"/>
      <c r="D11" s="20"/>
      <c r="E11" s="5"/>
      <c r="F11" s="5"/>
      <c r="H11" s="20"/>
    </row>
    <row r="12" spans="1:11" x14ac:dyDescent="0.35">
      <c r="A12" s="14">
        <v>44656.569444444445</v>
      </c>
      <c r="B12" s="15">
        <f t="shared" si="0"/>
        <v>6.1666666667442769</v>
      </c>
      <c r="C12" s="20"/>
      <c r="D12" s="20"/>
      <c r="E12" s="5"/>
      <c r="F12" s="5"/>
      <c r="H12" s="20"/>
    </row>
    <row r="13" spans="1:11" x14ac:dyDescent="0.35">
      <c r="A13" s="14">
        <v>44656.690972222219</v>
      </c>
      <c r="B13" s="15">
        <f t="shared" si="0"/>
        <v>9.0833333333139308</v>
      </c>
      <c r="C13" s="20"/>
      <c r="D13" s="20"/>
      <c r="E13" s="5"/>
      <c r="F13" s="5"/>
      <c r="H13" s="20"/>
    </row>
    <row r="14" spans="1:11" x14ac:dyDescent="0.35">
      <c r="A14" s="14">
        <v>44656.809027777781</v>
      </c>
      <c r="B14" s="15">
        <f t="shared" si="0"/>
        <v>11.916666666802485</v>
      </c>
      <c r="C14" s="21">
        <f>84*20*10000</f>
        <v>16800000</v>
      </c>
      <c r="D14" s="20"/>
      <c r="E14" s="5"/>
      <c r="F14" s="5"/>
      <c r="H14" s="15">
        <f>LOG(C14)</f>
        <v>7.2253092817258633</v>
      </c>
    </row>
    <row r="15" spans="1:11" x14ac:dyDescent="0.35">
      <c r="A15" s="14">
        <v>44657.319444444445</v>
      </c>
      <c r="B15" s="15">
        <f t="shared" si="0"/>
        <v>24.166666666744277</v>
      </c>
      <c r="C15" s="21">
        <f>66*20*100000</f>
        <v>132000000</v>
      </c>
      <c r="D15" s="20"/>
      <c r="E15" s="16"/>
      <c r="F15" s="5"/>
      <c r="H15" s="15">
        <f>LOG(C15)</f>
        <v>8.1205739312058505</v>
      </c>
    </row>
    <row r="16" spans="1:11" x14ac:dyDescent="0.35">
      <c r="A16" s="14">
        <v>44657.4375</v>
      </c>
      <c r="B16" s="15">
        <f t="shared" si="0"/>
        <v>27.000000000058208</v>
      </c>
      <c r="C16" s="20"/>
      <c r="D16" s="20"/>
      <c r="E16" s="5"/>
      <c r="F16" s="15"/>
      <c r="H16" s="20"/>
    </row>
    <row r="17" spans="1:11" x14ac:dyDescent="0.35">
      <c r="A17" s="14">
        <v>44657.5625</v>
      </c>
      <c r="B17" s="15">
        <f t="shared" si="0"/>
        <v>30.000000000058208</v>
      </c>
      <c r="C17" s="20"/>
      <c r="D17" s="20"/>
      <c r="E17" s="5"/>
      <c r="F17" s="5"/>
      <c r="H17" s="20"/>
    </row>
    <row r="18" spans="1:11" x14ac:dyDescent="0.35">
      <c r="A18" s="14">
        <v>44657.6875</v>
      </c>
      <c r="B18" s="15">
        <f t="shared" si="0"/>
        <v>33.000000000058208</v>
      </c>
      <c r="C18" s="20"/>
      <c r="D18" s="20"/>
      <c r="E18" s="5"/>
      <c r="F18" s="15"/>
      <c r="H18" s="20"/>
    </row>
    <row r="19" spans="1:11" x14ac:dyDescent="0.35">
      <c r="A19" s="14">
        <v>44657.809027777781</v>
      </c>
      <c r="B19" s="15">
        <f t="shared" si="0"/>
        <v>35.916666666802485</v>
      </c>
      <c r="C19" s="21">
        <f>71*20*100000</f>
        <v>142000000</v>
      </c>
      <c r="D19" s="20"/>
      <c r="E19" s="5"/>
      <c r="F19" s="5"/>
      <c r="H19" s="15">
        <f>LOG(C19)</f>
        <v>8.1522883443830558</v>
      </c>
    </row>
    <row r="20" spans="1:11" x14ac:dyDescent="0.35">
      <c r="A20" s="14">
        <v>44658.319444444445</v>
      </c>
      <c r="B20" s="15">
        <f t="shared" si="0"/>
        <v>48.166666666744277</v>
      </c>
      <c r="C20" s="21">
        <f>55*20*100000</f>
        <v>110000000</v>
      </c>
      <c r="D20" s="20"/>
      <c r="E20" s="5"/>
      <c r="F20" s="5"/>
      <c r="H20" s="15">
        <f>LOG(C20)</f>
        <v>8.0413926851582254</v>
      </c>
    </row>
    <row r="21" spans="1:11" x14ac:dyDescent="0.35">
      <c r="A21" s="14">
        <v>44658.555555555555</v>
      </c>
      <c r="B21" s="15">
        <f t="shared" si="0"/>
        <v>53.833333333372138</v>
      </c>
      <c r="C21" s="21">
        <f>44*20*100000</f>
        <v>88000000</v>
      </c>
      <c r="D21" s="20"/>
      <c r="E21" s="5"/>
      <c r="F21" s="15"/>
      <c r="H21" s="15">
        <f>LOG(C21)</f>
        <v>7.9444826721501682</v>
      </c>
    </row>
    <row r="22" spans="1:11" x14ac:dyDescent="0.35">
      <c r="B22" s="5"/>
      <c r="C22" s="5"/>
    </row>
    <row r="23" spans="1:11" x14ac:dyDescent="0.35">
      <c r="B23" s="5"/>
      <c r="C23" s="5"/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44656.354166666664</v>
      </c>
      <c r="B32" s="15">
        <f>0*24+1</f>
        <v>1</v>
      </c>
      <c r="C32" s="21">
        <f>121*20*100</f>
        <v>242000</v>
      </c>
      <c r="D32" s="20"/>
      <c r="E32" s="16"/>
      <c r="F32" s="5"/>
      <c r="H32" s="15">
        <f>LOG(C32)</f>
        <v>5.3838153659804311</v>
      </c>
      <c r="I32" s="5"/>
      <c r="J32" s="5"/>
      <c r="K32" s="5"/>
    </row>
    <row r="33" spans="1:11" x14ac:dyDescent="0.35">
      <c r="A33" s="14">
        <v>44656.4375</v>
      </c>
      <c r="B33" s="15">
        <f t="shared" ref="B33:B43" si="1">(A33-$A$32)*24+1</f>
        <v>3.0000000000582077</v>
      </c>
      <c r="C33" s="20"/>
      <c r="D33" s="20"/>
      <c r="E33" s="16"/>
      <c r="F33" s="5"/>
      <c r="H33" s="20"/>
      <c r="I33" s="5"/>
      <c r="J33" s="5"/>
      <c r="K33" s="5"/>
    </row>
    <row r="34" spans="1:11" x14ac:dyDescent="0.35">
      <c r="A34" s="14">
        <v>44656.569444444445</v>
      </c>
      <c r="B34" s="15">
        <f t="shared" si="1"/>
        <v>6.1666666667442769</v>
      </c>
      <c r="C34" s="20"/>
      <c r="D34" s="20"/>
      <c r="E34" s="5"/>
      <c r="F34" s="5"/>
      <c r="H34" s="20"/>
      <c r="I34" s="5"/>
      <c r="J34" s="5"/>
      <c r="K34" s="5"/>
    </row>
    <row r="35" spans="1:11" x14ac:dyDescent="0.35">
      <c r="A35" s="14">
        <v>44656.690972222219</v>
      </c>
      <c r="B35" s="15">
        <f t="shared" si="1"/>
        <v>9.0833333333139308</v>
      </c>
      <c r="C35" s="20"/>
      <c r="D35" s="20"/>
      <c r="E35" s="5"/>
      <c r="F35" s="5"/>
      <c r="H35" s="20"/>
      <c r="I35" s="5"/>
      <c r="J35" s="5"/>
      <c r="K35" s="5"/>
    </row>
    <row r="36" spans="1:11" x14ac:dyDescent="0.35">
      <c r="A36" s="14">
        <v>44656.809027777781</v>
      </c>
      <c r="B36" s="15">
        <f t="shared" si="1"/>
        <v>11.916666666802485</v>
      </c>
      <c r="C36" s="21">
        <f>24*20*10000</f>
        <v>4800000</v>
      </c>
      <c r="D36" s="20"/>
      <c r="E36" s="5"/>
      <c r="F36" s="15"/>
      <c r="H36" s="15">
        <f>LOG(C36)</f>
        <v>6.6812412373755876</v>
      </c>
      <c r="I36" s="5"/>
      <c r="J36" s="5"/>
      <c r="K36" s="5"/>
    </row>
    <row r="37" spans="1:11" x14ac:dyDescent="0.35">
      <c r="A37" s="14">
        <v>44657.319444444445</v>
      </c>
      <c r="B37" s="15">
        <f t="shared" si="1"/>
        <v>24.166666666744277</v>
      </c>
      <c r="C37" s="21">
        <f>29*20*100000</f>
        <v>58000000</v>
      </c>
      <c r="D37" s="20"/>
      <c r="E37" s="5"/>
      <c r="F37" s="5"/>
      <c r="H37" s="15">
        <f>LOG(C37)</f>
        <v>7.7634279935629369</v>
      </c>
      <c r="I37" s="5"/>
      <c r="J37" s="5"/>
      <c r="K37" s="5"/>
    </row>
    <row r="38" spans="1:11" x14ac:dyDescent="0.35">
      <c r="A38" s="14">
        <v>44657.4375</v>
      </c>
      <c r="B38" s="15">
        <f t="shared" si="1"/>
        <v>27.000000000058208</v>
      </c>
      <c r="C38" s="20"/>
      <c r="D38" s="20"/>
      <c r="E38" s="5"/>
      <c r="F38" s="5"/>
      <c r="H38" s="20"/>
      <c r="I38" s="5"/>
      <c r="J38" s="5"/>
      <c r="K38" s="5"/>
    </row>
    <row r="39" spans="1:11" x14ac:dyDescent="0.35">
      <c r="A39" s="14">
        <v>44657.5625</v>
      </c>
      <c r="B39" s="15">
        <f t="shared" si="1"/>
        <v>30.000000000058208</v>
      </c>
      <c r="C39" s="20"/>
      <c r="D39" s="20"/>
      <c r="E39" s="5"/>
      <c r="F39" s="5"/>
      <c r="H39" s="20"/>
      <c r="I39" s="5"/>
      <c r="J39" s="5"/>
      <c r="K39" s="5"/>
    </row>
    <row r="40" spans="1:11" x14ac:dyDescent="0.35">
      <c r="A40" s="14">
        <v>44657.6875</v>
      </c>
      <c r="B40" s="15">
        <f t="shared" si="1"/>
        <v>33.000000000058208</v>
      </c>
      <c r="C40" s="20"/>
      <c r="D40" s="20"/>
      <c r="E40" s="16"/>
      <c r="F40" s="15"/>
      <c r="H40" s="20"/>
      <c r="I40" s="5"/>
      <c r="J40" s="5"/>
      <c r="K40" s="5"/>
    </row>
    <row r="41" spans="1:11" x14ac:dyDescent="0.35">
      <c r="A41" s="14">
        <v>44657.809027777781</v>
      </c>
      <c r="B41" s="15">
        <f t="shared" si="1"/>
        <v>35.916666666802485</v>
      </c>
      <c r="C41" s="21">
        <f>42*20*100000</f>
        <v>84000000</v>
      </c>
      <c r="D41" s="20"/>
      <c r="E41" s="5"/>
      <c r="F41" s="5"/>
      <c r="H41" s="15">
        <f>LOG(C41)</f>
        <v>7.924279286061882</v>
      </c>
      <c r="I41" s="5"/>
      <c r="J41" s="5"/>
      <c r="K41" s="5"/>
    </row>
    <row r="42" spans="1:11" x14ac:dyDescent="0.35">
      <c r="A42" s="14">
        <v>44658.319444444445</v>
      </c>
      <c r="B42" s="15">
        <f t="shared" si="1"/>
        <v>48.166666666744277</v>
      </c>
      <c r="C42" s="21">
        <f>19*20*100000</f>
        <v>38000000</v>
      </c>
      <c r="D42" s="20"/>
      <c r="E42" s="5"/>
      <c r="F42" s="15"/>
      <c r="H42" s="15">
        <f>LOG(C42)</f>
        <v>7.5797835966168101</v>
      </c>
      <c r="I42" s="5"/>
      <c r="J42" s="5"/>
      <c r="K42" s="5"/>
    </row>
    <row r="43" spans="1:11" x14ac:dyDescent="0.35">
      <c r="A43" s="14">
        <v>44658.555555555555</v>
      </c>
      <c r="B43" s="15">
        <f t="shared" si="1"/>
        <v>53.833333333372138</v>
      </c>
      <c r="C43" s="21">
        <f>34*20*100000</f>
        <v>68000000</v>
      </c>
      <c r="D43" s="20"/>
      <c r="E43" s="5"/>
      <c r="F43" s="5"/>
      <c r="H43" s="15">
        <f>LOG(C43)</f>
        <v>7.8325089127062366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44656.354166666664</v>
      </c>
      <c r="B52" s="15">
        <f>0*24+1</f>
        <v>1</v>
      </c>
      <c r="C52" s="19"/>
      <c r="D52" s="21">
        <f>22*100</f>
        <v>2200</v>
      </c>
      <c r="E52" s="5"/>
      <c r="F52" s="5"/>
      <c r="H52" s="15">
        <f>LOG(D52)</f>
        <v>3.3424226808222062</v>
      </c>
    </row>
    <row r="53" spans="1:11" x14ac:dyDescent="0.35">
      <c r="A53" s="14">
        <v>44656.4375</v>
      </c>
      <c r="B53" s="15">
        <f t="shared" ref="B53:B63" si="2">(A53-$A$52)*24+1</f>
        <v>3.0000000000582077</v>
      </c>
      <c r="C53" s="19"/>
      <c r="D53" s="19"/>
      <c r="E53" s="16"/>
      <c r="F53" s="5"/>
      <c r="H53" s="19"/>
    </row>
    <row r="54" spans="1:11" x14ac:dyDescent="0.35">
      <c r="A54" s="14">
        <v>44656.569444444445</v>
      </c>
      <c r="B54" s="15">
        <f t="shared" si="2"/>
        <v>6.1666666667442769</v>
      </c>
      <c r="C54" s="19"/>
      <c r="D54" s="19"/>
      <c r="E54" s="5"/>
      <c r="F54" s="5"/>
      <c r="H54" s="19"/>
    </row>
    <row r="55" spans="1:11" x14ac:dyDescent="0.35">
      <c r="A55" s="14">
        <v>44656.690972222219</v>
      </c>
      <c r="B55" s="15">
        <f t="shared" si="2"/>
        <v>9.0833333333139308</v>
      </c>
      <c r="C55" s="19"/>
      <c r="D55" s="19"/>
      <c r="E55" s="5"/>
      <c r="F55" s="5"/>
      <c r="H55" s="19"/>
    </row>
    <row r="56" spans="1:11" x14ac:dyDescent="0.35">
      <c r="A56" s="14">
        <v>44656.809027777781</v>
      </c>
      <c r="B56" s="15">
        <f t="shared" si="2"/>
        <v>11.916666666802485</v>
      </c>
      <c r="C56" s="19"/>
      <c r="D56" s="21">
        <f>16*20*100</f>
        <v>32000</v>
      </c>
      <c r="E56" s="5"/>
      <c r="F56" s="15"/>
      <c r="H56" s="15">
        <f>LOG(D56)</f>
        <v>4.5051499783199063</v>
      </c>
    </row>
    <row r="57" spans="1:11" x14ac:dyDescent="0.35">
      <c r="A57" s="14">
        <v>44657.319444444445</v>
      </c>
      <c r="B57" s="15">
        <f t="shared" si="2"/>
        <v>24.166666666744277</v>
      </c>
      <c r="C57" s="19"/>
      <c r="D57" s="22">
        <f>AVERAGE(346*2,45*2*10)</f>
        <v>796</v>
      </c>
      <c r="E57" s="5"/>
      <c r="F57" s="15"/>
      <c r="H57" s="15">
        <f>LOG(D57)</f>
        <v>2.9009130677376689</v>
      </c>
    </row>
    <row r="58" spans="1:11" x14ac:dyDescent="0.35">
      <c r="A58" s="14">
        <v>44657.4375</v>
      </c>
      <c r="B58" s="15">
        <f t="shared" si="2"/>
        <v>27.000000000058208</v>
      </c>
      <c r="C58" s="19"/>
      <c r="D58" s="19"/>
      <c r="E58" s="5"/>
      <c r="F58" s="5"/>
      <c r="H58" s="19"/>
    </row>
    <row r="59" spans="1:11" x14ac:dyDescent="0.35">
      <c r="A59" s="14">
        <v>44657.5625</v>
      </c>
      <c r="B59" s="15">
        <f t="shared" si="2"/>
        <v>30.000000000058208</v>
      </c>
      <c r="C59" s="19"/>
      <c r="D59" s="19"/>
      <c r="E59" s="5"/>
      <c r="F59" s="5"/>
      <c r="H59" s="19"/>
    </row>
    <row r="60" spans="1:11" x14ac:dyDescent="0.35">
      <c r="A60" s="14">
        <v>44657.6875</v>
      </c>
      <c r="B60" s="15">
        <f t="shared" si="2"/>
        <v>33.000000000058208</v>
      </c>
      <c r="C60" s="19"/>
      <c r="D60" s="19"/>
      <c r="E60" s="5"/>
      <c r="F60" s="5"/>
      <c r="H60" s="19"/>
    </row>
    <row r="61" spans="1:11" x14ac:dyDescent="0.35">
      <c r="A61" s="14">
        <v>44657.809027777781</v>
      </c>
      <c r="B61" s="15">
        <f t="shared" si="2"/>
        <v>35.916666666802485</v>
      </c>
      <c r="C61" s="19"/>
      <c r="D61" s="21">
        <f>31*20*100000</f>
        <v>62000000</v>
      </c>
      <c r="E61" s="5"/>
      <c r="F61" s="15"/>
      <c r="H61" s="15">
        <f>LOG(D61)</f>
        <v>7.7923916894982534</v>
      </c>
    </row>
    <row r="62" spans="1:11" x14ac:dyDescent="0.35">
      <c r="A62" s="14">
        <v>44658.319444444445</v>
      </c>
      <c r="B62" s="15">
        <f t="shared" si="2"/>
        <v>48.166666666744277</v>
      </c>
      <c r="C62" s="19"/>
      <c r="D62" s="21">
        <f>AVERAGE(280000000,272000000,281000000)</f>
        <v>277666666.66666669</v>
      </c>
      <c r="E62" s="5"/>
      <c r="F62" s="15"/>
      <c r="H62" s="15">
        <f>LOG(D62)</f>
        <v>8.4435237466871254</v>
      </c>
    </row>
    <row r="63" spans="1:11" x14ac:dyDescent="0.35">
      <c r="A63" s="14">
        <v>44658.555555555555</v>
      </c>
      <c r="B63" s="15">
        <f t="shared" si="2"/>
        <v>53.833333333372138</v>
      </c>
      <c r="C63" s="20"/>
      <c r="D63" s="21" t="s">
        <v>33</v>
      </c>
      <c r="E63" s="5"/>
      <c r="F63" s="5"/>
      <c r="H63" s="15" t="e">
        <f>LOG(D63)</f>
        <v>#VALUE!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44656.354166666664</v>
      </c>
      <c r="B73" s="15">
        <f>0*24+1</f>
        <v>1</v>
      </c>
      <c r="C73" s="21">
        <f>308*20*100</f>
        <v>616000</v>
      </c>
      <c r="D73" s="21">
        <f>12*100</f>
        <v>1200</v>
      </c>
      <c r="E73" s="5"/>
      <c r="F73" s="5"/>
      <c r="H73" s="15">
        <f t="shared" ref="H73:H84" si="3">LOG(C73)</f>
        <v>5.7895807121644252</v>
      </c>
      <c r="I73" s="15">
        <f t="shared" ref="I73:I84" si="4">LOG(D73)</f>
        <v>3.0791812460476247</v>
      </c>
    </row>
    <row r="74" spans="1:11" x14ac:dyDescent="0.35">
      <c r="A74" s="14">
        <v>44656.4375</v>
      </c>
      <c r="B74" s="15">
        <f t="shared" ref="B74:B84" si="5">(A74-$A$73)*24+1</f>
        <v>3.0000000000582077</v>
      </c>
      <c r="C74" s="21">
        <f>860000</f>
        <v>860000</v>
      </c>
      <c r="D74" s="21">
        <f>20*100</f>
        <v>2000</v>
      </c>
      <c r="E74" s="5"/>
      <c r="F74" s="5"/>
      <c r="H74" s="15">
        <f t="shared" si="3"/>
        <v>5.9344984512435675</v>
      </c>
      <c r="I74" s="15">
        <f t="shared" si="4"/>
        <v>3.3010299956639813</v>
      </c>
    </row>
    <row r="75" spans="1:11" x14ac:dyDescent="0.35">
      <c r="A75" s="14">
        <v>44656.569444444445</v>
      </c>
      <c r="B75" s="15">
        <f t="shared" si="5"/>
        <v>6.1666666667442769</v>
      </c>
      <c r="C75" s="21">
        <f>99*20*1000</f>
        <v>1980000</v>
      </c>
      <c r="D75" s="21">
        <f>62*100</f>
        <v>6200</v>
      </c>
      <c r="E75" s="5"/>
      <c r="F75" s="5"/>
      <c r="H75" s="15">
        <f t="shared" si="3"/>
        <v>6.2966651902615309</v>
      </c>
      <c r="I75" s="15">
        <f t="shared" si="4"/>
        <v>3.7923916894982539</v>
      </c>
    </row>
    <row r="76" spans="1:11" x14ac:dyDescent="0.35">
      <c r="A76" s="14">
        <v>44656.690972222219</v>
      </c>
      <c r="B76" s="15">
        <f t="shared" si="5"/>
        <v>9.0833333333139308</v>
      </c>
      <c r="C76" s="23">
        <f>32*200000</f>
        <v>6400000</v>
      </c>
      <c r="D76" s="21">
        <f>4*20*100</f>
        <v>8000</v>
      </c>
      <c r="E76" s="16"/>
      <c r="F76" s="15"/>
      <c r="H76" s="15">
        <f t="shared" si="3"/>
        <v>6.8061799739838875</v>
      </c>
      <c r="I76" s="15">
        <f t="shared" si="4"/>
        <v>3.9030899869919438</v>
      </c>
    </row>
    <row r="77" spans="1:11" x14ac:dyDescent="0.35">
      <c r="A77" s="14">
        <v>44656.809027777781</v>
      </c>
      <c r="B77" s="15">
        <f t="shared" si="5"/>
        <v>11.916666666802485</v>
      </c>
      <c r="C77" s="21">
        <f>65*20*10000</f>
        <v>13000000</v>
      </c>
      <c r="D77" s="21">
        <f>55*20*10</f>
        <v>11000</v>
      </c>
      <c r="E77" s="5"/>
      <c r="F77" s="5"/>
      <c r="H77" s="15">
        <f t="shared" si="3"/>
        <v>7.1139433523068369</v>
      </c>
      <c r="I77" s="15">
        <f t="shared" si="4"/>
        <v>4.0413926851582254</v>
      </c>
    </row>
    <row r="78" spans="1:11" x14ac:dyDescent="0.35">
      <c r="A78" s="14">
        <v>44657.319444444445</v>
      </c>
      <c r="B78" s="15">
        <f t="shared" si="5"/>
        <v>24.166666666744277</v>
      </c>
      <c r="C78" s="21">
        <f>68*2000000</f>
        <v>136000000</v>
      </c>
      <c r="D78" s="23">
        <f>AVERAGE(346*2,45*2*10)</f>
        <v>796</v>
      </c>
      <c r="E78" s="5"/>
      <c r="F78" s="5"/>
      <c r="H78" s="15">
        <f t="shared" si="3"/>
        <v>8.1335389083702179</v>
      </c>
      <c r="I78" s="15">
        <f t="shared" si="4"/>
        <v>2.9009130677376689</v>
      </c>
    </row>
    <row r="79" spans="1:11" x14ac:dyDescent="0.35">
      <c r="A79" s="14">
        <v>44657.4375</v>
      </c>
      <c r="B79" s="15">
        <f t="shared" si="5"/>
        <v>27.000000000058208</v>
      </c>
      <c r="C79" s="21">
        <f>68*2000000</f>
        <v>136000000</v>
      </c>
      <c r="D79" s="23">
        <f>41/0.6*10</f>
        <v>683.33333333333348</v>
      </c>
      <c r="E79" s="5"/>
      <c r="F79" s="5"/>
      <c r="H79" s="15">
        <f t="shared" si="3"/>
        <v>8.1335389083702179</v>
      </c>
      <c r="I79" s="15">
        <f t="shared" si="4"/>
        <v>2.834632606336092</v>
      </c>
    </row>
    <row r="80" spans="1:11" x14ac:dyDescent="0.35">
      <c r="A80" s="14">
        <v>44657.5625</v>
      </c>
      <c r="B80" s="15">
        <f t="shared" si="5"/>
        <v>30.000000000058208</v>
      </c>
      <c r="C80" s="21">
        <f>72*20*100000</f>
        <v>144000000</v>
      </c>
      <c r="D80" s="23">
        <f>AVERAGE(316*2,26*2*10)</f>
        <v>576</v>
      </c>
      <c r="E80" s="5"/>
      <c r="F80" s="5"/>
      <c r="H80" s="15">
        <f t="shared" si="3"/>
        <v>8.1583624920952502</v>
      </c>
      <c r="I80" s="15">
        <f t="shared" si="4"/>
        <v>2.7604224834232118</v>
      </c>
    </row>
    <row r="81" spans="1:11" x14ac:dyDescent="0.35">
      <c r="A81" s="14">
        <v>44657.6875</v>
      </c>
      <c r="B81" s="15">
        <f t="shared" si="5"/>
        <v>33.000000000058208</v>
      </c>
      <c r="C81" s="21">
        <f>71*20*100000</f>
        <v>142000000</v>
      </c>
      <c r="D81" s="23">
        <f>AVERAGE(316*2,16*2*10)</f>
        <v>476</v>
      </c>
      <c r="E81" s="5"/>
      <c r="F81" s="15"/>
      <c r="H81" s="15">
        <f t="shared" si="3"/>
        <v>8.1522883443830558</v>
      </c>
      <c r="I81" s="15">
        <f t="shared" si="4"/>
        <v>2.6776069527204931</v>
      </c>
    </row>
    <row r="82" spans="1:11" x14ac:dyDescent="0.35">
      <c r="A82" s="14">
        <v>44657.809027777781</v>
      </c>
      <c r="B82" s="15">
        <f t="shared" si="5"/>
        <v>35.916666666802485</v>
      </c>
      <c r="C82" s="21">
        <f>64*20*100000</f>
        <v>128000000</v>
      </c>
      <c r="D82" s="23">
        <f>AVERAGE(208*2,17*2*10)</f>
        <v>378</v>
      </c>
      <c r="E82" s="5"/>
      <c r="F82" s="5"/>
      <c r="H82" s="15">
        <f t="shared" si="3"/>
        <v>8.1072099696478688</v>
      </c>
      <c r="I82" s="15">
        <f t="shared" si="4"/>
        <v>2.5774917998372255</v>
      </c>
    </row>
    <row r="83" spans="1:11" x14ac:dyDescent="0.35">
      <c r="A83" s="14">
        <v>44658.319444444445</v>
      </c>
      <c r="B83" s="15">
        <f t="shared" si="5"/>
        <v>48.166666666744277</v>
      </c>
      <c r="C83" s="21">
        <f>501*2000000</f>
        <v>1002000000</v>
      </c>
      <c r="D83" s="23" t="s">
        <v>33</v>
      </c>
      <c r="E83" s="5"/>
      <c r="F83" s="5"/>
      <c r="H83" s="15">
        <f t="shared" si="3"/>
        <v>9.0008677215312272</v>
      </c>
      <c r="I83" s="15" t="e">
        <f t="shared" si="4"/>
        <v>#VALUE!</v>
      </c>
    </row>
    <row r="84" spans="1:11" x14ac:dyDescent="0.35">
      <c r="A84" s="14">
        <v>44658.555555555555</v>
      </c>
      <c r="B84" s="15">
        <f t="shared" si="5"/>
        <v>53.833333333372138</v>
      </c>
      <c r="C84" s="21">
        <f>37*2000000</f>
        <v>74000000</v>
      </c>
      <c r="D84" s="23">
        <f>AVERAGE(8*2*10,114*2,995/5)</f>
        <v>195.66666666666666</v>
      </c>
      <c r="E84" s="16"/>
      <c r="F84" s="5"/>
      <c r="H84" s="15">
        <f t="shared" si="3"/>
        <v>7.8692317197309762</v>
      </c>
      <c r="I84" s="15">
        <f t="shared" si="4"/>
        <v>2.2915168465279518</v>
      </c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44656.354166666664</v>
      </c>
      <c r="B95" s="15">
        <f>0*24+1</f>
        <v>1</v>
      </c>
      <c r="C95" s="21">
        <f>121*20*100</f>
        <v>242000</v>
      </c>
      <c r="D95" s="21">
        <f>25*100</f>
        <v>2500</v>
      </c>
      <c r="E95" s="5"/>
      <c r="F95" s="5"/>
      <c r="H95" s="15">
        <f t="shared" ref="H95:H106" si="6">LOG(C95)</f>
        <v>5.3838153659804311</v>
      </c>
      <c r="I95" s="15">
        <f t="shared" ref="I95:I106" si="7">LOG(D95)</f>
        <v>3.3979400086720375</v>
      </c>
      <c r="J95" s="5"/>
      <c r="K95" s="5"/>
    </row>
    <row r="96" spans="1:11" x14ac:dyDescent="0.35">
      <c r="A96" s="14">
        <v>44656.4375</v>
      </c>
      <c r="B96" s="15">
        <f t="shared" ref="B96:B106" si="8">(A96-$A$95)*24+1</f>
        <v>3.0000000000582077</v>
      </c>
      <c r="C96" s="21">
        <f>93*20*100</f>
        <v>186000</v>
      </c>
      <c r="D96" s="21">
        <f>17*100</f>
        <v>1700</v>
      </c>
      <c r="E96" s="5"/>
      <c r="F96" s="5"/>
      <c r="H96" s="15">
        <f t="shared" si="6"/>
        <v>5.2695129442179161</v>
      </c>
      <c r="I96" s="15">
        <f t="shared" si="7"/>
        <v>3.2304489213782741</v>
      </c>
      <c r="J96" s="5"/>
      <c r="K96" s="5"/>
    </row>
    <row r="97" spans="1:11" x14ac:dyDescent="0.35">
      <c r="A97" s="14">
        <v>44656.569444444445</v>
      </c>
      <c r="B97" s="15">
        <f t="shared" si="8"/>
        <v>6.1666666667442769</v>
      </c>
      <c r="C97" s="21">
        <f>10*20*1000</f>
        <v>200000</v>
      </c>
      <c r="D97" s="21">
        <f>80*100</f>
        <v>8000</v>
      </c>
      <c r="E97" s="5"/>
      <c r="F97" s="5"/>
      <c r="H97" s="15">
        <f t="shared" si="6"/>
        <v>5.3010299956639813</v>
      </c>
      <c r="I97" s="15">
        <f t="shared" si="7"/>
        <v>3.9030899869919438</v>
      </c>
      <c r="J97" s="5"/>
      <c r="K97" s="5"/>
    </row>
    <row r="98" spans="1:11" x14ac:dyDescent="0.35">
      <c r="A98" s="14">
        <v>44656.690972222219</v>
      </c>
      <c r="B98" s="15">
        <f t="shared" si="8"/>
        <v>9.0833333333139308</v>
      </c>
      <c r="C98" s="21">
        <f>15*20*10000</f>
        <v>3000000</v>
      </c>
      <c r="D98" s="21">
        <f>5*20*100</f>
        <v>10000</v>
      </c>
      <c r="E98" s="5"/>
      <c r="F98" s="5"/>
      <c r="H98" s="15">
        <f t="shared" si="6"/>
        <v>6.4771212547196626</v>
      </c>
      <c r="I98" s="15">
        <f t="shared" si="7"/>
        <v>4</v>
      </c>
      <c r="J98" s="5"/>
      <c r="K98" s="5"/>
    </row>
    <row r="99" spans="1:11" x14ac:dyDescent="0.35">
      <c r="A99" s="14">
        <v>44656.809027777781</v>
      </c>
      <c r="B99" s="15">
        <f t="shared" si="8"/>
        <v>11.916666666802485</v>
      </c>
      <c r="C99" s="21">
        <f>26*20*10000</f>
        <v>5200000</v>
      </c>
      <c r="D99" s="21">
        <f>26*20*100</f>
        <v>52000</v>
      </c>
      <c r="E99" s="5"/>
      <c r="F99" s="5"/>
      <c r="H99" s="15">
        <f t="shared" si="6"/>
        <v>6.7160033436347994</v>
      </c>
      <c r="I99" s="15">
        <f t="shared" si="7"/>
        <v>4.7160033436347994</v>
      </c>
      <c r="J99" s="5"/>
      <c r="K99" s="5"/>
    </row>
    <row r="100" spans="1:11" x14ac:dyDescent="0.35">
      <c r="A100" s="14">
        <v>44657.319444444445</v>
      </c>
      <c r="B100" s="15">
        <f t="shared" si="8"/>
        <v>24.166666666744277</v>
      </c>
      <c r="C100" s="21">
        <f>33*20*100000</f>
        <v>66000000</v>
      </c>
      <c r="D100" s="21">
        <f>29*20*1000</f>
        <v>580000</v>
      </c>
      <c r="E100" s="5"/>
      <c r="F100" s="5"/>
      <c r="H100" s="15">
        <f t="shared" si="6"/>
        <v>7.8195439355418683</v>
      </c>
      <c r="I100" s="15">
        <f t="shared" si="7"/>
        <v>5.7634279935629369</v>
      </c>
      <c r="J100" s="5"/>
      <c r="K100" s="5"/>
    </row>
    <row r="101" spans="1:11" x14ac:dyDescent="0.35">
      <c r="A101" s="14">
        <v>44657.4375</v>
      </c>
      <c r="B101" s="15">
        <f t="shared" si="8"/>
        <v>27.000000000058208</v>
      </c>
      <c r="C101" s="23">
        <f>34*20*100000</f>
        <v>68000000</v>
      </c>
      <c r="D101" s="21">
        <f>34*20*1000</f>
        <v>680000</v>
      </c>
      <c r="E101" s="5"/>
      <c r="F101" s="5"/>
      <c r="H101" s="15">
        <f t="shared" si="6"/>
        <v>7.8325089127062366</v>
      </c>
      <c r="I101" s="15">
        <f t="shared" si="7"/>
        <v>5.8325089127062366</v>
      </c>
      <c r="J101" s="5"/>
      <c r="K101" s="5"/>
    </row>
    <row r="102" spans="1:11" x14ac:dyDescent="0.35">
      <c r="A102" s="14">
        <v>44657.5625</v>
      </c>
      <c r="B102" s="15">
        <f t="shared" si="8"/>
        <v>30.000000000058208</v>
      </c>
      <c r="C102" s="21">
        <f>50*20*100000</f>
        <v>100000000</v>
      </c>
      <c r="D102" s="21">
        <f>33*20*1000</f>
        <v>660000</v>
      </c>
      <c r="E102" s="5"/>
      <c r="F102" s="15"/>
      <c r="H102" s="15">
        <f t="shared" si="6"/>
        <v>8</v>
      </c>
      <c r="I102" s="15">
        <f t="shared" si="7"/>
        <v>5.8195439355418683</v>
      </c>
      <c r="J102" s="5"/>
      <c r="K102" s="5"/>
    </row>
    <row r="103" spans="1:11" x14ac:dyDescent="0.35">
      <c r="A103" s="14">
        <v>44657.6875</v>
      </c>
      <c r="B103" s="15">
        <f t="shared" si="8"/>
        <v>33.000000000058208</v>
      </c>
      <c r="C103" s="21">
        <f>37*20*100000</f>
        <v>74000000</v>
      </c>
      <c r="D103" s="21">
        <f>17*20*1000</f>
        <v>340000</v>
      </c>
      <c r="E103" s="16"/>
      <c r="F103" s="15"/>
      <c r="H103" s="15">
        <f t="shared" si="6"/>
        <v>7.8692317197309762</v>
      </c>
      <c r="I103" s="15">
        <f t="shared" si="7"/>
        <v>5.5314789170422554</v>
      </c>
      <c r="J103" s="5"/>
      <c r="K103" s="5"/>
    </row>
    <row r="104" spans="1:11" x14ac:dyDescent="0.35">
      <c r="A104" s="14">
        <v>44657.809027777781</v>
      </c>
      <c r="B104" s="15">
        <f t="shared" si="8"/>
        <v>35.916666666802485</v>
      </c>
      <c r="C104" s="21">
        <f>31*20*100000</f>
        <v>62000000</v>
      </c>
      <c r="D104" s="21">
        <f>32*20*1000</f>
        <v>640000</v>
      </c>
      <c r="E104" s="5"/>
      <c r="F104" s="5"/>
      <c r="H104" s="15">
        <f t="shared" si="6"/>
        <v>7.7923916894982534</v>
      </c>
      <c r="I104" s="15">
        <f t="shared" si="7"/>
        <v>5.8061799739838875</v>
      </c>
      <c r="J104" s="5"/>
      <c r="K104" s="5"/>
    </row>
    <row r="105" spans="1:11" x14ac:dyDescent="0.35">
      <c r="A105" s="14">
        <v>44658.319444444445</v>
      </c>
      <c r="B105" s="15">
        <f t="shared" si="8"/>
        <v>48.166666666744277</v>
      </c>
      <c r="C105" s="23">
        <f>1142*20000</f>
        <v>22840000</v>
      </c>
      <c r="D105" s="21">
        <f>6*20000</f>
        <v>120000</v>
      </c>
      <c r="E105" s="16"/>
      <c r="F105" s="5"/>
      <c r="H105" s="15">
        <f t="shared" si="6"/>
        <v>7.3586960995738107</v>
      </c>
      <c r="I105" s="15">
        <f t="shared" si="7"/>
        <v>5.0791812460476251</v>
      </c>
      <c r="J105" s="5"/>
      <c r="K105" s="5"/>
    </row>
    <row r="106" spans="1:11" x14ac:dyDescent="0.35">
      <c r="A106" s="14">
        <v>44658.555555555555</v>
      </c>
      <c r="B106" s="15">
        <f t="shared" si="8"/>
        <v>53.833333333372138</v>
      </c>
      <c r="C106" s="21">
        <f>40*2000000</f>
        <v>80000000</v>
      </c>
      <c r="D106" s="21"/>
      <c r="E106" s="16"/>
      <c r="F106" s="5"/>
      <c r="H106" s="15">
        <f t="shared" si="6"/>
        <v>7.9030899869919438</v>
      </c>
      <c r="I106" s="15" t="e">
        <f t="shared" si="7"/>
        <v>#NUM!</v>
      </c>
      <c r="J106" s="5"/>
      <c r="K106" s="5"/>
    </row>
    <row r="107" spans="1:11" x14ac:dyDescent="0.35">
      <c r="H107" s="5"/>
      <c r="I107" s="5"/>
      <c r="J107" s="5"/>
      <c r="K107" s="5"/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EC68-65B3-45FA-AC02-C01AAACC31F4}">
  <dimension ref="A1:K107"/>
  <sheetViews>
    <sheetView topLeftCell="A50" zoomScaleNormal="100" workbookViewId="0">
      <selection activeCell="V53" sqref="V53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3" width="12.26953125" bestFit="1" customWidth="1"/>
    <col min="4" max="4" width="11.54296875" bestFit="1" customWidth="1"/>
    <col min="5" max="5" width="16.7265625" bestFit="1" customWidth="1"/>
    <col min="7" max="7" width="4.453125" customWidth="1"/>
    <col min="8" max="8" width="8.453125" bestFit="1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44656.354166666664</v>
      </c>
      <c r="B10" s="15">
        <f>0*(24)+1</f>
        <v>1</v>
      </c>
      <c r="C10" s="21">
        <f>315*20*100</f>
        <v>630000</v>
      </c>
      <c r="D10" s="20"/>
      <c r="E10" s="5"/>
      <c r="F10" s="5"/>
      <c r="H10" s="15">
        <f>LOG(C10)</f>
        <v>5.7993405494535821</v>
      </c>
    </row>
    <row r="11" spans="1:11" x14ac:dyDescent="0.35">
      <c r="A11" s="14">
        <v>44656.4375</v>
      </c>
      <c r="B11" s="15">
        <f t="shared" ref="B11:B21" si="0">(A11-$A$10)*(24)+1</f>
        <v>3.0000000000582077</v>
      </c>
      <c r="C11" s="20"/>
      <c r="D11" s="20"/>
      <c r="E11" s="5"/>
      <c r="F11" s="5"/>
      <c r="H11" s="20"/>
    </row>
    <row r="12" spans="1:11" x14ac:dyDescent="0.35">
      <c r="A12" s="14">
        <v>44656.569444444445</v>
      </c>
      <c r="B12" s="15">
        <f t="shared" si="0"/>
        <v>6.1666666667442769</v>
      </c>
      <c r="C12" s="20"/>
      <c r="D12" s="20"/>
      <c r="E12" s="5"/>
      <c r="F12" s="5"/>
      <c r="H12" s="20"/>
    </row>
    <row r="13" spans="1:11" x14ac:dyDescent="0.35">
      <c r="A13" s="14">
        <v>44656.690972222219</v>
      </c>
      <c r="B13" s="15">
        <f t="shared" si="0"/>
        <v>9.0833333333139308</v>
      </c>
      <c r="C13" s="20"/>
      <c r="D13" s="20"/>
      <c r="E13" s="5"/>
      <c r="F13" s="5"/>
      <c r="H13" s="20"/>
    </row>
    <row r="14" spans="1:11" x14ac:dyDescent="0.35">
      <c r="A14" s="14">
        <v>44656.809027777781</v>
      </c>
      <c r="B14" s="15">
        <f t="shared" si="0"/>
        <v>11.916666666802485</v>
      </c>
      <c r="C14" s="23">
        <f>124*20*10000</f>
        <v>24800000</v>
      </c>
      <c r="D14" s="20"/>
      <c r="E14" s="5"/>
      <c r="F14" s="5"/>
      <c r="H14" s="15">
        <f>LOG(C14)</f>
        <v>7.394451680826216</v>
      </c>
    </row>
    <row r="15" spans="1:11" x14ac:dyDescent="0.35">
      <c r="A15" s="14">
        <v>44657.319444444445</v>
      </c>
      <c r="B15" s="15">
        <f t="shared" si="0"/>
        <v>24.166666666744277</v>
      </c>
      <c r="C15" s="21">
        <f>43*20*100000</f>
        <v>86000000</v>
      </c>
      <c r="D15" s="20"/>
      <c r="E15" s="5"/>
      <c r="F15" s="5"/>
      <c r="H15" s="15">
        <f>LOG(C15)</f>
        <v>7.9344984512435675</v>
      </c>
    </row>
    <row r="16" spans="1:11" x14ac:dyDescent="0.35">
      <c r="A16" s="14">
        <v>44657.4375</v>
      </c>
      <c r="B16" s="15">
        <f t="shared" si="0"/>
        <v>27.000000000058208</v>
      </c>
      <c r="C16" s="20"/>
      <c r="D16" s="20"/>
      <c r="E16" s="5"/>
      <c r="F16" s="5"/>
      <c r="H16" s="20"/>
    </row>
    <row r="17" spans="1:11" x14ac:dyDescent="0.35">
      <c r="A17" s="14">
        <v>44657.5625</v>
      </c>
      <c r="B17" s="15">
        <f t="shared" si="0"/>
        <v>30.000000000058208</v>
      </c>
      <c r="C17" s="20"/>
      <c r="D17" s="20"/>
      <c r="E17" s="5"/>
      <c r="F17" s="5"/>
      <c r="H17" s="20"/>
    </row>
    <row r="18" spans="1:11" x14ac:dyDescent="0.35">
      <c r="A18" s="14">
        <v>44657.6875</v>
      </c>
      <c r="B18" s="15">
        <f t="shared" si="0"/>
        <v>33.000000000058208</v>
      </c>
      <c r="C18" s="20"/>
      <c r="D18" s="20"/>
      <c r="E18" s="16"/>
      <c r="F18" s="5"/>
      <c r="H18" s="20"/>
    </row>
    <row r="19" spans="1:11" x14ac:dyDescent="0.35">
      <c r="A19" s="14">
        <v>44657.809027777781</v>
      </c>
      <c r="B19" s="15">
        <f t="shared" si="0"/>
        <v>35.916666666802485</v>
      </c>
      <c r="C19" s="21">
        <f>46*20*100000</f>
        <v>92000000</v>
      </c>
      <c r="D19" s="20"/>
      <c r="E19" s="5"/>
      <c r="F19" s="5"/>
      <c r="H19" s="15">
        <f>LOG(C19)</f>
        <v>7.9637878273455556</v>
      </c>
    </row>
    <row r="20" spans="1:11" x14ac:dyDescent="0.35">
      <c r="A20" s="14">
        <v>44658.319444444445</v>
      </c>
      <c r="B20" s="15">
        <f t="shared" si="0"/>
        <v>48.166666666744277</v>
      </c>
      <c r="C20" s="21">
        <f>43*20*100000</f>
        <v>86000000</v>
      </c>
      <c r="D20" s="20"/>
      <c r="E20" s="5"/>
      <c r="F20" s="5"/>
      <c r="H20" s="15">
        <f>LOG(C20)</f>
        <v>7.9344984512435675</v>
      </c>
    </row>
    <row r="21" spans="1:11" x14ac:dyDescent="0.35">
      <c r="A21" s="14">
        <v>44658.555555555555</v>
      </c>
      <c r="B21" s="15">
        <f t="shared" si="0"/>
        <v>53.833333333372138</v>
      </c>
      <c r="C21" s="21">
        <f>35*20*100000</f>
        <v>70000000</v>
      </c>
      <c r="D21" s="20"/>
      <c r="E21" s="5"/>
      <c r="F21" s="15"/>
      <c r="H21" s="15">
        <f>LOG(C21)</f>
        <v>7.8450980400142569</v>
      </c>
    </row>
    <row r="22" spans="1:11" x14ac:dyDescent="0.35">
      <c r="B22" s="5"/>
      <c r="C22" s="5"/>
    </row>
    <row r="23" spans="1:11" x14ac:dyDescent="0.35">
      <c r="B23" s="5"/>
      <c r="C23" s="5"/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44656.354166666664</v>
      </c>
      <c r="B32" s="15">
        <f>0*(24)+1</f>
        <v>1</v>
      </c>
      <c r="C32" s="21">
        <f>160*20*100</f>
        <v>320000</v>
      </c>
      <c r="D32" s="20"/>
      <c r="E32" s="5"/>
      <c r="F32" s="5"/>
      <c r="H32" s="15">
        <f>LOG(C32)</f>
        <v>5.5051499783199063</v>
      </c>
      <c r="I32" s="5"/>
      <c r="J32" s="5"/>
      <c r="K32" s="5"/>
    </row>
    <row r="33" spans="1:11" x14ac:dyDescent="0.35">
      <c r="A33" s="14">
        <v>44656.4375</v>
      </c>
      <c r="B33" s="15">
        <f t="shared" ref="B33:B43" si="1">(A33-$A$10)*(24)+1</f>
        <v>3.0000000000582077</v>
      </c>
      <c r="C33" s="20"/>
      <c r="D33" s="20"/>
      <c r="E33" s="16"/>
      <c r="F33" s="5"/>
      <c r="H33" s="20"/>
      <c r="I33" s="5"/>
      <c r="J33" s="5"/>
      <c r="K33" s="5"/>
    </row>
    <row r="34" spans="1:11" x14ac:dyDescent="0.35">
      <c r="A34" s="14">
        <v>44656.569444444445</v>
      </c>
      <c r="B34" s="15">
        <f t="shared" si="1"/>
        <v>6.1666666667442769</v>
      </c>
      <c r="C34" s="20"/>
      <c r="D34" s="20"/>
      <c r="E34" s="5"/>
      <c r="F34" s="5"/>
      <c r="H34" s="20"/>
      <c r="I34" s="5"/>
      <c r="J34" s="5"/>
      <c r="K34" s="5"/>
    </row>
    <row r="35" spans="1:11" x14ac:dyDescent="0.35">
      <c r="A35" s="14">
        <v>44656.690972222219</v>
      </c>
      <c r="B35" s="15">
        <f t="shared" si="1"/>
        <v>9.0833333333139308</v>
      </c>
      <c r="C35" s="20"/>
      <c r="D35" s="20"/>
      <c r="E35" s="5"/>
      <c r="F35" s="5"/>
      <c r="H35" s="20"/>
      <c r="I35" s="5"/>
      <c r="J35" s="5"/>
      <c r="K35" s="5"/>
    </row>
    <row r="36" spans="1:11" x14ac:dyDescent="0.35">
      <c r="A36" s="14">
        <v>44656.809027777781</v>
      </c>
      <c r="B36" s="15">
        <f t="shared" si="1"/>
        <v>11.916666666802485</v>
      </c>
      <c r="C36" s="23">
        <f>124*20*10000</f>
        <v>24800000</v>
      </c>
      <c r="D36" s="20"/>
      <c r="E36" s="5"/>
      <c r="F36" s="5"/>
      <c r="H36" s="18">
        <f>LOG(C36)</f>
        <v>7.394451680826216</v>
      </c>
      <c r="I36" s="5"/>
      <c r="J36" s="5"/>
      <c r="K36" s="5"/>
    </row>
    <row r="37" spans="1:11" x14ac:dyDescent="0.35">
      <c r="A37" s="14">
        <v>44657.319444444445</v>
      </c>
      <c r="B37" s="15">
        <f t="shared" si="1"/>
        <v>24.166666666744277</v>
      </c>
      <c r="C37" s="21">
        <f>60*20*100000</f>
        <v>120000000</v>
      </c>
      <c r="D37" s="20"/>
      <c r="E37" s="5"/>
      <c r="F37" s="5"/>
      <c r="H37" s="15">
        <f>LOG(C37)</f>
        <v>8.0791812460476251</v>
      </c>
      <c r="I37" s="5"/>
      <c r="J37" s="5"/>
      <c r="K37" s="5"/>
    </row>
    <row r="38" spans="1:11" x14ac:dyDescent="0.35">
      <c r="A38" s="14">
        <v>44657.4375</v>
      </c>
      <c r="B38" s="15">
        <f t="shared" si="1"/>
        <v>27.000000000058208</v>
      </c>
      <c r="C38" s="20"/>
      <c r="D38" s="20"/>
      <c r="E38" s="16"/>
      <c r="F38" s="5"/>
      <c r="H38" s="20"/>
      <c r="I38" s="5"/>
      <c r="J38" s="5"/>
      <c r="K38" s="5"/>
    </row>
    <row r="39" spans="1:11" x14ac:dyDescent="0.35">
      <c r="A39" s="14">
        <v>44657.5625</v>
      </c>
      <c r="B39" s="15">
        <f t="shared" si="1"/>
        <v>30.000000000058208</v>
      </c>
      <c r="C39" s="20"/>
      <c r="D39" s="20"/>
      <c r="E39" s="16"/>
      <c r="F39" s="5"/>
      <c r="H39" s="20"/>
      <c r="I39" s="5"/>
      <c r="J39" s="5"/>
      <c r="K39" s="5"/>
    </row>
    <row r="40" spans="1:11" x14ac:dyDescent="0.35">
      <c r="A40" s="14">
        <v>44657.6875</v>
      </c>
      <c r="B40" s="15">
        <f t="shared" si="1"/>
        <v>33.000000000058208</v>
      </c>
      <c r="C40" s="20"/>
      <c r="D40" s="20"/>
      <c r="E40" s="16"/>
      <c r="F40" s="5"/>
      <c r="H40" s="20"/>
      <c r="I40" s="5"/>
      <c r="J40" s="5"/>
      <c r="K40" s="5"/>
    </row>
    <row r="41" spans="1:11" x14ac:dyDescent="0.35">
      <c r="A41" s="14">
        <v>44657.809027777781</v>
      </c>
      <c r="B41" s="15">
        <f t="shared" si="1"/>
        <v>35.916666666802485</v>
      </c>
      <c r="C41" s="21">
        <f>47*20*100000</f>
        <v>94000000</v>
      </c>
      <c r="D41" s="20"/>
      <c r="E41" s="5"/>
      <c r="F41" s="15"/>
      <c r="H41" s="15">
        <f>LOG(C41)</f>
        <v>7.9731278535996983</v>
      </c>
      <c r="I41" s="5"/>
      <c r="J41" s="5"/>
      <c r="K41" s="5"/>
    </row>
    <row r="42" spans="1:11" x14ac:dyDescent="0.35">
      <c r="A42" s="14">
        <v>44658.319444444445</v>
      </c>
      <c r="B42" s="15">
        <f t="shared" si="1"/>
        <v>48.166666666744277</v>
      </c>
      <c r="C42" s="21">
        <f>58*20*100000</f>
        <v>116000000</v>
      </c>
      <c r="D42" s="20"/>
      <c r="E42" s="5"/>
      <c r="F42" s="5"/>
      <c r="H42" s="15">
        <f>LOG(C42)</f>
        <v>8.0644579892269181</v>
      </c>
      <c r="I42" s="5"/>
      <c r="J42" s="5"/>
      <c r="K42" s="5"/>
    </row>
    <row r="43" spans="1:11" x14ac:dyDescent="0.35">
      <c r="A43" s="14">
        <v>44658.555555555555</v>
      </c>
      <c r="B43" s="15">
        <f t="shared" si="1"/>
        <v>53.833333333372138</v>
      </c>
      <c r="C43" s="21">
        <f>66*20*100000</f>
        <v>132000000</v>
      </c>
      <c r="D43" s="20"/>
      <c r="E43" s="5"/>
      <c r="F43" s="15"/>
      <c r="H43" s="15">
        <f>LOG(C43)</f>
        <v>8.1205739312058505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44656.354166666664</v>
      </c>
      <c r="B52" s="15">
        <f>0*(24)+1</f>
        <v>1</v>
      </c>
      <c r="C52" s="19"/>
      <c r="D52" s="21">
        <f>14*100</f>
        <v>1400</v>
      </c>
      <c r="E52" s="5"/>
      <c r="F52" s="5"/>
      <c r="H52" s="15">
        <f>LOG(D52)</f>
        <v>3.1461280356782382</v>
      </c>
    </row>
    <row r="53" spans="1:11" x14ac:dyDescent="0.35">
      <c r="A53" s="14">
        <v>44656.4375</v>
      </c>
      <c r="B53" s="15">
        <f t="shared" ref="B53:B63" si="2">(A53-$A$10)*(24)+1</f>
        <v>3.0000000000582077</v>
      </c>
      <c r="C53" s="19"/>
      <c r="D53" s="19"/>
      <c r="E53" s="5"/>
      <c r="F53" s="5"/>
      <c r="H53" s="19"/>
    </row>
    <row r="54" spans="1:11" x14ac:dyDescent="0.35">
      <c r="A54" s="14">
        <v>44656.569444444445</v>
      </c>
      <c r="B54" s="15">
        <f t="shared" si="2"/>
        <v>6.1666666667442769</v>
      </c>
      <c r="C54" s="19"/>
      <c r="D54" s="19"/>
      <c r="E54" s="5"/>
      <c r="F54" s="5"/>
      <c r="H54" s="19"/>
    </row>
    <row r="55" spans="1:11" x14ac:dyDescent="0.35">
      <c r="A55" s="14">
        <v>44656.690972222219</v>
      </c>
      <c r="B55" s="15">
        <f t="shared" si="2"/>
        <v>9.0833333333139308</v>
      </c>
      <c r="C55" s="19"/>
      <c r="D55" s="19"/>
      <c r="E55" s="5"/>
      <c r="F55" s="5"/>
      <c r="H55" s="19"/>
    </row>
    <row r="56" spans="1:11" x14ac:dyDescent="0.35">
      <c r="A56" s="14">
        <v>44656.809027777781</v>
      </c>
      <c r="B56" s="15">
        <f t="shared" si="2"/>
        <v>11.916666666802485</v>
      </c>
      <c r="C56" s="19"/>
      <c r="D56" s="21">
        <f>163*20*100</f>
        <v>326000</v>
      </c>
      <c r="E56" s="5"/>
      <c r="F56" s="5"/>
      <c r="H56" s="15">
        <f>LOG(D56)</f>
        <v>5.5132176000679394</v>
      </c>
    </row>
    <row r="57" spans="1:11" x14ac:dyDescent="0.35">
      <c r="A57" s="14">
        <v>44657.319444444445</v>
      </c>
      <c r="B57" s="15">
        <f t="shared" si="2"/>
        <v>24.166666666744277</v>
      </c>
      <c r="C57" s="19"/>
      <c r="D57" s="21">
        <f>40*20*10000</f>
        <v>8000000</v>
      </c>
      <c r="E57" s="5"/>
      <c r="F57" s="5"/>
      <c r="H57" s="15">
        <f>LOG(D57)</f>
        <v>6.9030899869919438</v>
      </c>
    </row>
    <row r="58" spans="1:11" x14ac:dyDescent="0.35">
      <c r="A58" s="14">
        <v>44657.4375</v>
      </c>
      <c r="B58" s="15">
        <f t="shared" si="2"/>
        <v>27.000000000058208</v>
      </c>
      <c r="C58" s="19"/>
      <c r="D58" s="19"/>
      <c r="E58" s="16"/>
      <c r="F58" s="5"/>
      <c r="H58" s="19"/>
    </row>
    <row r="59" spans="1:11" x14ac:dyDescent="0.35">
      <c r="A59" s="14">
        <v>44657.5625</v>
      </c>
      <c r="B59" s="15">
        <f t="shared" si="2"/>
        <v>30.000000000058208</v>
      </c>
      <c r="C59" s="19"/>
      <c r="D59" s="19"/>
      <c r="E59" s="5"/>
      <c r="F59" s="5"/>
      <c r="H59" s="19"/>
    </row>
    <row r="60" spans="1:11" x14ac:dyDescent="0.35">
      <c r="A60" s="14">
        <v>44657.6875</v>
      </c>
      <c r="B60" s="15">
        <f t="shared" si="2"/>
        <v>33.000000000058208</v>
      </c>
      <c r="C60" s="19"/>
      <c r="D60" s="19"/>
      <c r="E60" s="5"/>
      <c r="F60" s="15"/>
      <c r="H60" s="19"/>
    </row>
    <row r="61" spans="1:11" x14ac:dyDescent="0.35">
      <c r="A61" s="14">
        <v>44657.809027777781</v>
      </c>
      <c r="B61" s="15">
        <f t="shared" si="2"/>
        <v>35.916666666802485</v>
      </c>
      <c r="C61" s="19"/>
      <c r="D61" s="23">
        <f>176*20*100000</f>
        <v>352000000</v>
      </c>
      <c r="E61" s="5"/>
      <c r="F61" s="15"/>
      <c r="H61" s="18">
        <f>LOG(D61)</f>
        <v>8.5465426634781316</v>
      </c>
    </row>
    <row r="62" spans="1:11" x14ac:dyDescent="0.35">
      <c r="A62" s="14">
        <v>44658.319444444445</v>
      </c>
      <c r="B62" s="15">
        <f t="shared" si="2"/>
        <v>48.166666666744277</v>
      </c>
      <c r="C62" s="19"/>
      <c r="D62" s="21">
        <f>AVERAGE(256000000,291000000,257000000)</f>
        <v>268000000</v>
      </c>
      <c r="E62" s="16"/>
      <c r="F62" s="5"/>
      <c r="H62" s="15">
        <f>LOG(D62)</f>
        <v>8.4281347940287894</v>
      </c>
    </row>
    <row r="63" spans="1:11" x14ac:dyDescent="0.35">
      <c r="A63" s="14">
        <v>44658.555555555555</v>
      </c>
      <c r="B63" s="15">
        <f t="shared" si="2"/>
        <v>53.833333333372138</v>
      </c>
      <c r="C63" s="20"/>
      <c r="D63" s="23" t="s">
        <v>33</v>
      </c>
      <c r="E63" s="5"/>
      <c r="F63" s="15"/>
      <c r="H63" s="27" t="e">
        <f>LOG(D63)</f>
        <v>#VALUE!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44656.354166666664</v>
      </c>
      <c r="B73" s="15">
        <v>1</v>
      </c>
      <c r="C73" s="21">
        <f>341*20*100</f>
        <v>682000</v>
      </c>
      <c r="D73" s="21">
        <f>20*100</f>
        <v>2000</v>
      </c>
      <c r="E73" s="5"/>
      <c r="F73" s="15"/>
      <c r="H73" s="15">
        <f t="shared" ref="H73:H84" si="3">LOG(C73)</f>
        <v>5.8337843746564788</v>
      </c>
      <c r="I73" s="15">
        <f t="shared" ref="I73:I84" si="4">LOG(D73)</f>
        <v>3.3010299956639813</v>
      </c>
    </row>
    <row r="74" spans="1:11" x14ac:dyDescent="0.35">
      <c r="A74" s="14">
        <v>44656.4375</v>
      </c>
      <c r="B74" s="15">
        <f t="shared" ref="B74:B84" si="5">(A74-$A$10)*(24)+1</f>
        <v>3.0000000000582077</v>
      </c>
      <c r="C74" s="21">
        <f>494*20*100</f>
        <v>988000</v>
      </c>
      <c r="D74" s="21">
        <f>26*100</f>
        <v>2600</v>
      </c>
      <c r="E74" s="5"/>
      <c r="F74" s="5"/>
      <c r="H74" s="15">
        <f t="shared" si="3"/>
        <v>5.9947569445876283</v>
      </c>
      <c r="I74" s="15">
        <f t="shared" si="4"/>
        <v>3.4149733479708178</v>
      </c>
    </row>
    <row r="75" spans="1:11" x14ac:dyDescent="0.35">
      <c r="A75" s="14">
        <v>44656.569444444445</v>
      </c>
      <c r="B75" s="15">
        <f t="shared" si="5"/>
        <v>6.1666666667442769</v>
      </c>
      <c r="C75" s="21">
        <f>199*20*1000</f>
        <v>3980000</v>
      </c>
      <c r="D75" s="21">
        <f>54*100</f>
        <v>5400</v>
      </c>
      <c r="E75" s="16"/>
      <c r="F75" s="15"/>
      <c r="H75" s="15">
        <f t="shared" si="3"/>
        <v>6.5998830720736876</v>
      </c>
      <c r="I75" s="15">
        <f t="shared" si="4"/>
        <v>3.7323937598229686</v>
      </c>
    </row>
    <row r="76" spans="1:11" x14ac:dyDescent="0.35">
      <c r="A76" s="14">
        <v>44656.690972222219</v>
      </c>
      <c r="B76" s="15">
        <f t="shared" si="5"/>
        <v>9.0833333333139308</v>
      </c>
      <c r="C76" s="21">
        <f>50*20*10000</f>
        <v>10000000</v>
      </c>
      <c r="D76" s="21">
        <f>5*20*100</f>
        <v>10000</v>
      </c>
      <c r="E76" s="5"/>
      <c r="F76" s="5"/>
      <c r="H76" s="15">
        <f t="shared" si="3"/>
        <v>7</v>
      </c>
      <c r="I76" s="15">
        <f t="shared" si="4"/>
        <v>4</v>
      </c>
    </row>
    <row r="77" spans="1:11" x14ac:dyDescent="0.35">
      <c r="A77" s="14">
        <v>44656.809027777781</v>
      </c>
      <c r="B77" s="15">
        <f t="shared" si="5"/>
        <v>11.916666666802485</v>
      </c>
      <c r="C77" s="21">
        <f>131*20*10000</f>
        <v>26200000</v>
      </c>
      <c r="D77" s="21">
        <f>11*20*10</f>
        <v>2200</v>
      </c>
      <c r="E77" s="5"/>
      <c r="F77" s="5"/>
      <c r="H77" s="15">
        <f t="shared" si="3"/>
        <v>7.4183012913197457</v>
      </c>
      <c r="I77" s="15">
        <f t="shared" si="4"/>
        <v>3.3424226808222062</v>
      </c>
    </row>
    <row r="78" spans="1:11" x14ac:dyDescent="0.35">
      <c r="A78" s="14">
        <v>44657.319444444445</v>
      </c>
      <c r="B78" s="15">
        <f t="shared" si="5"/>
        <v>24.166666666744277</v>
      </c>
      <c r="C78" s="21">
        <f>54*20*100000</f>
        <v>108000000</v>
      </c>
      <c r="D78" s="23">
        <f>AVERAGE(312*2,33*2*10)</f>
        <v>642</v>
      </c>
      <c r="E78" s="5"/>
      <c r="F78" s="5"/>
      <c r="H78" s="15">
        <f t="shared" si="3"/>
        <v>8.0334237554869503</v>
      </c>
      <c r="I78" s="15">
        <f t="shared" si="4"/>
        <v>2.8075350280688531</v>
      </c>
    </row>
    <row r="79" spans="1:11" x14ac:dyDescent="0.35">
      <c r="A79" s="14">
        <v>44657.4375</v>
      </c>
      <c r="B79" s="15">
        <f t="shared" si="5"/>
        <v>27.000000000058208</v>
      </c>
      <c r="C79" s="21">
        <f>58*20*100000</f>
        <v>116000000</v>
      </c>
      <c r="D79" s="23">
        <f>32/0.6*10</f>
        <v>533.33333333333337</v>
      </c>
      <c r="E79" s="16"/>
      <c r="F79" s="5"/>
      <c r="H79" s="15">
        <f t="shared" si="3"/>
        <v>8.0644579892269181</v>
      </c>
      <c r="I79" s="15">
        <f t="shared" si="4"/>
        <v>2.7269987279362624</v>
      </c>
    </row>
    <row r="80" spans="1:11" x14ac:dyDescent="0.35">
      <c r="A80" s="14">
        <v>44657.5625</v>
      </c>
      <c r="B80" s="15">
        <f t="shared" si="5"/>
        <v>30.000000000058208</v>
      </c>
      <c r="C80" s="21">
        <f>48*20*100000</f>
        <v>96000000</v>
      </c>
      <c r="D80" s="23">
        <f>AVERAGE(210*2,24*2*10)</f>
        <v>450</v>
      </c>
      <c r="E80" s="5"/>
      <c r="F80" s="5"/>
      <c r="H80" s="15">
        <f t="shared" si="3"/>
        <v>7.982271233039568</v>
      </c>
      <c r="I80" s="15">
        <f t="shared" si="4"/>
        <v>2.6532125137753435</v>
      </c>
    </row>
    <row r="81" spans="1:11" x14ac:dyDescent="0.35">
      <c r="A81" s="14">
        <v>44657.6875</v>
      </c>
      <c r="B81" s="15">
        <f t="shared" si="5"/>
        <v>33.000000000058208</v>
      </c>
      <c r="C81" s="21">
        <f>46*20*100000</f>
        <v>92000000</v>
      </c>
      <c r="D81" s="23">
        <f>AVERAGE(144*2,12*2*10)</f>
        <v>264</v>
      </c>
      <c r="E81" s="5"/>
      <c r="F81" s="5"/>
      <c r="H81" s="15">
        <f t="shared" si="3"/>
        <v>7.9637878273455556</v>
      </c>
      <c r="I81" s="15">
        <f t="shared" si="4"/>
        <v>2.4216039268698313</v>
      </c>
    </row>
    <row r="82" spans="1:11" x14ac:dyDescent="0.35">
      <c r="A82" s="14">
        <v>44657.809027777781</v>
      </c>
      <c r="B82" s="15">
        <f t="shared" si="5"/>
        <v>35.916666666802485</v>
      </c>
      <c r="C82" s="21">
        <f>41*20*100000</f>
        <v>82000000</v>
      </c>
      <c r="D82" s="23">
        <f>AVERAGE(115*2,8*2*10)</f>
        <v>195</v>
      </c>
      <c r="E82" s="5"/>
      <c r="F82" s="5"/>
      <c r="H82" s="15">
        <f t="shared" si="3"/>
        <v>7.9138138523837167</v>
      </c>
      <c r="I82" s="15">
        <f t="shared" si="4"/>
        <v>2.2900346113625178</v>
      </c>
    </row>
    <row r="83" spans="1:11" x14ac:dyDescent="0.35">
      <c r="A83" s="14">
        <v>44658.319444444445</v>
      </c>
      <c r="B83" s="15">
        <f t="shared" si="5"/>
        <v>48.166666666744277</v>
      </c>
      <c r="C83" s="21">
        <f>288*20*10000</f>
        <v>57600000</v>
      </c>
      <c r="D83" s="23" t="s">
        <v>33</v>
      </c>
      <c r="E83" s="5"/>
      <c r="F83" s="5"/>
      <c r="H83" s="15">
        <f t="shared" si="3"/>
        <v>7.7604224834232118</v>
      </c>
      <c r="I83" s="18" t="e">
        <f t="shared" si="4"/>
        <v>#VALUE!</v>
      </c>
    </row>
    <row r="84" spans="1:11" x14ac:dyDescent="0.35">
      <c r="A84" s="14">
        <v>44658.555555555555</v>
      </c>
      <c r="B84" s="15">
        <f t="shared" si="5"/>
        <v>53.833333333372138</v>
      </c>
      <c r="C84" s="21">
        <f>32*20*100000</f>
        <v>64000000</v>
      </c>
      <c r="D84" s="23">
        <f>AVERAGE(29*2,6*2*10,388/5)</f>
        <v>85.2</v>
      </c>
      <c r="E84" s="5"/>
      <c r="F84" s="5"/>
      <c r="H84" s="15">
        <f t="shared" si="3"/>
        <v>7.8061799739838875</v>
      </c>
      <c r="I84" s="18">
        <f t="shared" si="4"/>
        <v>1.9304395947667001</v>
      </c>
    </row>
    <row r="85" spans="1:11" x14ac:dyDescent="0.35">
      <c r="C85" s="5"/>
    </row>
    <row r="86" spans="1:11" x14ac:dyDescent="0.35">
      <c r="C86" s="5"/>
    </row>
    <row r="87" spans="1:11" x14ac:dyDescent="0.35">
      <c r="C87" s="5"/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44656.354166666664</v>
      </c>
      <c r="B95" s="15">
        <f>0*(24)+1</f>
        <v>1</v>
      </c>
      <c r="C95" s="23">
        <f>152*20*100</f>
        <v>304000</v>
      </c>
      <c r="D95" s="21">
        <f>25*100</f>
        <v>2500</v>
      </c>
      <c r="E95" s="5"/>
      <c r="F95" s="15"/>
      <c r="H95" s="18">
        <f t="shared" ref="H95:H106" si="6">LOG(C95)</f>
        <v>5.4828735836087539</v>
      </c>
      <c r="I95" s="15">
        <f t="shared" ref="I95:I106" si="7">LOG(D95)</f>
        <v>3.3979400086720375</v>
      </c>
      <c r="J95" s="5"/>
      <c r="K95" s="5"/>
    </row>
    <row r="96" spans="1:11" x14ac:dyDescent="0.35">
      <c r="A96" s="14">
        <v>44656.4375</v>
      </c>
      <c r="B96" s="15">
        <f t="shared" ref="B96:B106" si="8">(A96-$A$10)*(24)+1</f>
        <v>3.0000000000582077</v>
      </c>
      <c r="C96" s="21">
        <f>255*20*100</f>
        <v>510000</v>
      </c>
      <c r="D96" s="21">
        <f>31*100</f>
        <v>3100</v>
      </c>
      <c r="E96" s="5"/>
      <c r="F96" s="15"/>
      <c r="H96" s="15">
        <f t="shared" si="6"/>
        <v>5.7075701760979367</v>
      </c>
      <c r="I96" s="15">
        <f t="shared" si="7"/>
        <v>3.4913616938342726</v>
      </c>
      <c r="J96" s="5"/>
      <c r="K96" s="5"/>
    </row>
    <row r="97" spans="1:11" x14ac:dyDescent="0.35">
      <c r="A97" s="14">
        <v>44656.569444444445</v>
      </c>
      <c r="B97" s="15">
        <f t="shared" si="8"/>
        <v>6.1666666667442769</v>
      </c>
      <c r="C97" s="21">
        <f>160*20*1000</f>
        <v>3200000</v>
      </c>
      <c r="D97" s="21">
        <f>131*100</f>
        <v>13100</v>
      </c>
      <c r="E97" s="16"/>
      <c r="F97" s="5"/>
      <c r="H97" s="15">
        <f t="shared" si="6"/>
        <v>6.5051499783199063</v>
      </c>
      <c r="I97" s="15">
        <f t="shared" si="7"/>
        <v>4.1172712956557644</v>
      </c>
      <c r="J97" s="5"/>
      <c r="K97" s="5"/>
    </row>
    <row r="98" spans="1:11" x14ac:dyDescent="0.35">
      <c r="A98" s="14">
        <v>44656.690972222219</v>
      </c>
      <c r="B98" s="15">
        <f t="shared" si="8"/>
        <v>9.0833333333139308</v>
      </c>
      <c r="C98" s="23">
        <f>42*20*10000</f>
        <v>8400000</v>
      </c>
      <c r="D98" s="21">
        <f>12*20*100</f>
        <v>24000</v>
      </c>
      <c r="E98" s="5"/>
      <c r="F98" s="5"/>
      <c r="H98" s="15">
        <f t="shared" si="6"/>
        <v>6.924279286061882</v>
      </c>
      <c r="I98" s="15">
        <f t="shared" si="7"/>
        <v>4.3802112417116064</v>
      </c>
      <c r="J98" s="5"/>
      <c r="K98" s="5"/>
    </row>
    <row r="99" spans="1:11" x14ac:dyDescent="0.35">
      <c r="A99" s="14">
        <v>44656.809027777781</v>
      </c>
      <c r="B99" s="15">
        <f t="shared" si="8"/>
        <v>11.916666666802485</v>
      </c>
      <c r="C99" s="21">
        <f>125*20*10000</f>
        <v>25000000</v>
      </c>
      <c r="D99" s="21">
        <f>55*20*100</f>
        <v>110000</v>
      </c>
      <c r="E99" s="5"/>
      <c r="F99" s="5"/>
      <c r="H99" s="15">
        <f t="shared" si="6"/>
        <v>7.3979400086720375</v>
      </c>
      <c r="I99" s="15">
        <f t="shared" si="7"/>
        <v>5.0413926851582254</v>
      </c>
      <c r="J99" s="5"/>
      <c r="K99" s="5"/>
    </row>
    <row r="100" spans="1:11" x14ac:dyDescent="0.35">
      <c r="A100" s="14">
        <v>44657.319444444445</v>
      </c>
      <c r="B100" s="15">
        <f t="shared" si="8"/>
        <v>24.166666666744277</v>
      </c>
      <c r="C100" s="21">
        <f>38*20*100000</f>
        <v>76000000</v>
      </c>
      <c r="D100" s="21">
        <f>16*20*1000</f>
        <v>320000</v>
      </c>
      <c r="E100" s="5"/>
      <c r="F100" s="5"/>
      <c r="H100" s="15">
        <f t="shared" si="6"/>
        <v>7.8808135922807914</v>
      </c>
      <c r="I100" s="15">
        <f t="shared" si="7"/>
        <v>5.5051499783199063</v>
      </c>
      <c r="J100" s="5"/>
      <c r="K100" s="5"/>
    </row>
    <row r="101" spans="1:11" x14ac:dyDescent="0.35">
      <c r="A101" s="14">
        <v>44657.4375</v>
      </c>
      <c r="B101" s="15">
        <f t="shared" si="8"/>
        <v>27.000000000058208</v>
      </c>
      <c r="C101" s="23">
        <f>53*20*100000</f>
        <v>106000000</v>
      </c>
      <c r="D101" s="21">
        <f>14*20*1000</f>
        <v>280000</v>
      </c>
      <c r="E101" s="5"/>
      <c r="F101" s="5"/>
      <c r="H101" s="18">
        <f t="shared" si="6"/>
        <v>8.0253058652647695</v>
      </c>
      <c r="I101" s="15">
        <f t="shared" si="7"/>
        <v>5.4471580313422194</v>
      </c>
      <c r="J101" s="5"/>
      <c r="K101" s="5"/>
    </row>
    <row r="102" spans="1:11" x14ac:dyDescent="0.35">
      <c r="A102" s="14">
        <v>44657.5625</v>
      </c>
      <c r="B102" s="15">
        <f t="shared" si="8"/>
        <v>30.000000000058208</v>
      </c>
      <c r="C102" s="21">
        <f>29*20*100000</f>
        <v>58000000</v>
      </c>
      <c r="D102" s="21">
        <f>10*20*1000</f>
        <v>200000</v>
      </c>
      <c r="E102" s="5"/>
      <c r="F102" s="5"/>
      <c r="H102" s="15">
        <f t="shared" si="6"/>
        <v>7.7634279935629369</v>
      </c>
      <c r="I102" s="15">
        <f t="shared" si="7"/>
        <v>5.3010299956639813</v>
      </c>
      <c r="J102" s="5"/>
      <c r="K102" s="5"/>
    </row>
    <row r="103" spans="1:11" x14ac:dyDescent="0.35">
      <c r="A103" s="14">
        <v>44657.6875</v>
      </c>
      <c r="B103" s="15">
        <f t="shared" si="8"/>
        <v>33.000000000058208</v>
      </c>
      <c r="C103" s="21">
        <f>61*20*100000</f>
        <v>122000000</v>
      </c>
      <c r="D103" s="21">
        <f>24*20*1000</f>
        <v>480000</v>
      </c>
      <c r="E103" s="5"/>
      <c r="F103" s="5"/>
      <c r="H103" s="15">
        <f t="shared" si="6"/>
        <v>8.0863598306747484</v>
      </c>
      <c r="I103" s="15">
        <f t="shared" si="7"/>
        <v>5.6812412373755876</v>
      </c>
      <c r="J103" s="5"/>
      <c r="K103" s="5"/>
    </row>
    <row r="104" spans="1:11" x14ac:dyDescent="0.35">
      <c r="A104" s="14">
        <v>44657.809027777781</v>
      </c>
      <c r="B104" s="15">
        <f t="shared" si="8"/>
        <v>35.916666666802485</v>
      </c>
      <c r="C104" s="21">
        <f>58*20*100000</f>
        <v>116000000</v>
      </c>
      <c r="D104" s="21">
        <f>7*20*1000</f>
        <v>140000</v>
      </c>
      <c r="E104" s="5"/>
      <c r="F104" s="5"/>
      <c r="H104" s="15">
        <f t="shared" si="6"/>
        <v>8.0644579892269181</v>
      </c>
      <c r="I104" s="15">
        <f t="shared" si="7"/>
        <v>5.1461280356782382</v>
      </c>
      <c r="J104" s="5"/>
      <c r="K104" s="5"/>
    </row>
    <row r="105" spans="1:11" x14ac:dyDescent="0.35">
      <c r="A105" s="14">
        <v>44658.319444444445</v>
      </c>
      <c r="B105" s="15">
        <f t="shared" si="8"/>
        <v>48.166666666744277</v>
      </c>
      <c r="C105" s="21">
        <f>465*20*100000</f>
        <v>930000000</v>
      </c>
      <c r="D105" s="21">
        <f>32*20*1000</f>
        <v>640000</v>
      </c>
      <c r="E105" s="16"/>
      <c r="F105" s="5"/>
      <c r="H105" s="15">
        <f t="shared" si="6"/>
        <v>8.9684829485539357</v>
      </c>
      <c r="I105" s="15">
        <f t="shared" si="7"/>
        <v>5.8061799739838875</v>
      </c>
      <c r="J105" s="5"/>
      <c r="K105" s="5"/>
    </row>
    <row r="106" spans="1:11" x14ac:dyDescent="0.35">
      <c r="A106" s="14">
        <v>44658.555555555555</v>
      </c>
      <c r="B106" s="15">
        <f t="shared" si="8"/>
        <v>53.833333333372138</v>
      </c>
      <c r="C106" s="21">
        <f>48*20*100000</f>
        <v>96000000</v>
      </c>
      <c r="D106" s="21" t="s">
        <v>33</v>
      </c>
      <c r="E106" s="5"/>
      <c r="F106" s="5"/>
      <c r="H106" s="15">
        <f t="shared" si="6"/>
        <v>7.982271233039568</v>
      </c>
      <c r="I106" s="15" t="e">
        <f t="shared" si="7"/>
        <v>#VALUE!</v>
      </c>
      <c r="J106" s="5"/>
      <c r="K106" s="5"/>
    </row>
    <row r="107" spans="1:11" x14ac:dyDescent="0.35">
      <c r="H107" s="5"/>
      <c r="I107" s="5"/>
      <c r="J107" s="5"/>
      <c r="K107" s="5"/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7C8E-4AEE-4BC2-A37D-EE532CDF771C}">
  <dimension ref="A1:K107"/>
  <sheetViews>
    <sheetView topLeftCell="A67" zoomScale="110" zoomScaleNormal="110" workbookViewId="0">
      <selection activeCell="F90" sqref="F90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5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44628.354166666664</v>
      </c>
      <c r="B10" s="15">
        <f>0*24+(1)</f>
        <v>1</v>
      </c>
      <c r="C10" s="21">
        <f>490*20*100</f>
        <v>980000</v>
      </c>
      <c r="D10" s="20"/>
      <c r="E10" s="5">
        <v>2.8000000000000001E-2</v>
      </c>
      <c r="F10" s="5">
        <v>5.78</v>
      </c>
      <c r="H10" s="15">
        <f>LOG(C10)</f>
        <v>5.9912260756924951</v>
      </c>
      <c r="I10" s="20"/>
    </row>
    <row r="11" spans="1:11" x14ac:dyDescent="0.35">
      <c r="A11" s="14">
        <v>44628.472222222219</v>
      </c>
      <c r="B11" s="15">
        <f t="shared" ref="B11:B21" si="0">(A11-$A$10)*24</f>
        <v>2.8333333333139308</v>
      </c>
      <c r="C11" s="31"/>
      <c r="D11" s="20"/>
      <c r="E11" s="5">
        <v>3.9E-2</v>
      </c>
      <c r="F11" s="5">
        <v>5.79</v>
      </c>
      <c r="H11" s="30"/>
      <c r="I11" s="20"/>
    </row>
    <row r="12" spans="1:11" x14ac:dyDescent="0.35">
      <c r="A12" s="14">
        <v>44628.586805555555</v>
      </c>
      <c r="B12" s="15">
        <f t="shared" si="0"/>
        <v>5.5833333333721384</v>
      </c>
      <c r="C12" s="31"/>
      <c r="D12" s="20"/>
      <c r="E12" s="5">
        <v>6.0999999999999999E-2</v>
      </c>
      <c r="F12" s="5">
        <v>5.68</v>
      </c>
      <c r="H12" s="30"/>
      <c r="I12" s="20"/>
    </row>
    <row r="13" spans="1:11" x14ac:dyDescent="0.35">
      <c r="A13" s="14">
        <v>44628.715277777781</v>
      </c>
      <c r="B13" s="15">
        <f t="shared" si="0"/>
        <v>8.6666666668024845</v>
      </c>
      <c r="C13" s="31"/>
      <c r="D13" s="20"/>
      <c r="E13" s="5">
        <v>8.2000000000000003E-2</v>
      </c>
      <c r="F13" s="5">
        <v>5.43</v>
      </c>
      <c r="H13" s="30"/>
      <c r="I13" s="20"/>
    </row>
    <row r="14" spans="1:11" x14ac:dyDescent="0.35">
      <c r="A14" s="14">
        <v>44628.840277777781</v>
      </c>
      <c r="B14" s="15">
        <f t="shared" si="0"/>
        <v>11.666666666802485</v>
      </c>
      <c r="C14" s="21">
        <f>1.3*10^8</f>
        <v>130000000</v>
      </c>
      <c r="D14" s="20"/>
      <c r="E14" s="5">
        <v>0.23799999999999999</v>
      </c>
      <c r="F14" s="5">
        <v>4.8899999999999997</v>
      </c>
      <c r="H14" s="15">
        <f>LOG(C14)</f>
        <v>8.1139433523068369</v>
      </c>
      <c r="I14" s="20"/>
    </row>
    <row r="15" spans="1:11" x14ac:dyDescent="0.35">
      <c r="A15" s="14">
        <v>44629.340277777781</v>
      </c>
      <c r="B15" s="15">
        <f t="shared" si="0"/>
        <v>23.666666666802485</v>
      </c>
      <c r="C15" s="21">
        <f>116*20*10^5</f>
        <v>232000000</v>
      </c>
      <c r="D15" s="20"/>
      <c r="E15" s="5">
        <v>0.76700000000000002</v>
      </c>
      <c r="F15" s="5">
        <v>4.05</v>
      </c>
      <c r="H15" s="15">
        <f>LOG(C15)</f>
        <v>8.3654879848908994</v>
      </c>
      <c r="I15" s="20"/>
    </row>
    <row r="16" spans="1:11" x14ac:dyDescent="0.35">
      <c r="A16" s="14">
        <v>44629.461805555555</v>
      </c>
      <c r="B16" s="15">
        <f t="shared" si="0"/>
        <v>26.583333333372138</v>
      </c>
      <c r="C16" s="31"/>
      <c r="D16" s="20"/>
      <c r="E16" s="5">
        <v>0.92600000000000005</v>
      </c>
      <c r="F16" s="5">
        <v>4.01</v>
      </c>
      <c r="H16" s="30"/>
      <c r="I16" s="20"/>
    </row>
    <row r="17" spans="1:11" x14ac:dyDescent="0.35">
      <c r="A17" s="14">
        <v>44629.586805555555</v>
      </c>
      <c r="B17" s="15">
        <f t="shared" si="0"/>
        <v>29.583333333372138</v>
      </c>
      <c r="C17" s="31"/>
      <c r="D17" s="20"/>
      <c r="E17" s="5">
        <v>1.087</v>
      </c>
      <c r="F17" s="5">
        <v>3.98</v>
      </c>
      <c r="H17" s="30"/>
      <c r="I17" s="20"/>
    </row>
    <row r="18" spans="1:11" x14ac:dyDescent="0.35">
      <c r="A18" s="14">
        <v>44629.715277777781</v>
      </c>
      <c r="B18" s="15">
        <f t="shared" si="0"/>
        <v>32.666666666802485</v>
      </c>
      <c r="C18" s="31"/>
      <c r="D18" s="20"/>
      <c r="E18" s="5">
        <v>1.111</v>
      </c>
      <c r="F18" s="5">
        <v>3.99</v>
      </c>
      <c r="H18" s="30"/>
      <c r="I18" s="20"/>
    </row>
    <row r="19" spans="1:11" x14ac:dyDescent="0.35">
      <c r="A19" s="14">
        <v>44629.840277777781</v>
      </c>
      <c r="B19" s="15">
        <f t="shared" si="0"/>
        <v>35.666666666802485</v>
      </c>
      <c r="C19" s="21">
        <f>83*20*10^5</f>
        <v>166000000</v>
      </c>
      <c r="D19" s="20"/>
      <c r="E19" s="5">
        <v>1.302</v>
      </c>
      <c r="F19" s="5">
        <v>3.94</v>
      </c>
      <c r="H19" s="15">
        <f>LOG(C19)</f>
        <v>8.220108088040055</v>
      </c>
      <c r="I19" s="20"/>
    </row>
    <row r="20" spans="1:11" x14ac:dyDescent="0.35">
      <c r="A20" s="14">
        <v>44630.34375</v>
      </c>
      <c r="B20" s="15">
        <f t="shared" si="0"/>
        <v>47.750000000058208</v>
      </c>
      <c r="C20" s="21">
        <f>85*20*10^5</f>
        <v>170000000</v>
      </c>
      <c r="D20" s="20"/>
      <c r="E20" s="5">
        <v>1.202</v>
      </c>
      <c r="F20" s="5">
        <v>3.83</v>
      </c>
      <c r="H20" s="15">
        <f>LOG(C20)</f>
        <v>8.2304489213782741</v>
      </c>
      <c r="I20" s="20"/>
    </row>
    <row r="21" spans="1:11" x14ac:dyDescent="0.35">
      <c r="A21" s="14">
        <v>44630.625</v>
      </c>
      <c r="B21" s="15">
        <f t="shared" si="0"/>
        <v>54.500000000058208</v>
      </c>
      <c r="C21" s="21">
        <f>69*20*10^5</f>
        <v>138000000</v>
      </c>
      <c r="D21" s="20"/>
      <c r="E21" s="5">
        <v>1.3360000000000001</v>
      </c>
      <c r="F21" s="5">
        <v>3.83</v>
      </c>
      <c r="H21" s="15">
        <f>LOG(C21)</f>
        <v>8.1398790864012369</v>
      </c>
      <c r="I21" s="20"/>
    </row>
    <row r="22" spans="1:11" x14ac:dyDescent="0.35">
      <c r="B22" s="5"/>
      <c r="C22" s="5"/>
    </row>
    <row r="23" spans="1:11" x14ac:dyDescent="0.35">
      <c r="B23" s="5"/>
      <c r="C23" s="5"/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44628.354166666664</v>
      </c>
      <c r="B32" s="15">
        <f>0*24</f>
        <v>0</v>
      </c>
      <c r="C32" s="21">
        <f>148*20*100</f>
        <v>296000</v>
      </c>
      <c r="D32" s="20"/>
      <c r="E32" s="5">
        <v>3.9E-2</v>
      </c>
      <c r="F32" s="5">
        <v>5.85</v>
      </c>
      <c r="H32" s="15">
        <f>LOG(C32)</f>
        <v>5.4712917110589387</v>
      </c>
      <c r="I32" s="19"/>
      <c r="J32" s="5"/>
      <c r="K32" s="5"/>
    </row>
    <row r="33" spans="1:11" x14ac:dyDescent="0.35">
      <c r="A33" s="14">
        <v>44628.472222222219</v>
      </c>
      <c r="B33" s="15">
        <f t="shared" ref="B33:B43" si="1">(A33-$A$32)*24</f>
        <v>2.8333333333139308</v>
      </c>
      <c r="C33" s="31"/>
      <c r="D33" s="20"/>
      <c r="E33" s="5">
        <v>2.5000000000000001E-2</v>
      </c>
      <c r="F33" s="5">
        <v>5.82</v>
      </c>
      <c r="H33" s="30"/>
      <c r="I33" s="19"/>
      <c r="J33" s="5"/>
      <c r="K33" s="5"/>
    </row>
    <row r="34" spans="1:11" x14ac:dyDescent="0.35">
      <c r="A34" s="14">
        <v>44628.586805555555</v>
      </c>
      <c r="B34" s="15">
        <f t="shared" si="1"/>
        <v>5.5833333333721384</v>
      </c>
      <c r="C34" s="31"/>
      <c r="D34" s="20"/>
      <c r="E34" s="5">
        <v>4.3999999999999997E-2</v>
      </c>
      <c r="F34" s="5">
        <v>5.87</v>
      </c>
      <c r="H34" s="30"/>
      <c r="I34" s="19"/>
      <c r="J34" s="5"/>
      <c r="K34" s="5"/>
    </row>
    <row r="35" spans="1:11" x14ac:dyDescent="0.35">
      <c r="A35" s="14">
        <v>44628.715277777781</v>
      </c>
      <c r="B35" s="15">
        <f t="shared" si="1"/>
        <v>8.6666666668024845</v>
      </c>
      <c r="C35" s="31"/>
      <c r="D35" s="20"/>
      <c r="E35" s="5">
        <v>1.4E-2</v>
      </c>
      <c r="F35" s="5">
        <v>5.8</v>
      </c>
      <c r="H35" s="30"/>
      <c r="I35" s="19"/>
      <c r="J35" s="5"/>
      <c r="K35" s="5"/>
    </row>
    <row r="36" spans="1:11" x14ac:dyDescent="0.35">
      <c r="A36" s="14">
        <v>44628.840277777781</v>
      </c>
      <c r="B36" s="15">
        <f t="shared" si="1"/>
        <v>11.666666666802485</v>
      </c>
      <c r="C36" s="21">
        <f>535*20*1000</f>
        <v>10700000</v>
      </c>
      <c r="D36" s="20"/>
      <c r="E36" s="5">
        <v>8.7999999999999995E-2</v>
      </c>
      <c r="F36" s="5">
        <v>5.74</v>
      </c>
      <c r="H36" s="15">
        <f>LOG(C36)</f>
        <v>7.0293837776852097</v>
      </c>
      <c r="I36" s="19"/>
      <c r="J36" s="5"/>
      <c r="K36" s="5"/>
    </row>
    <row r="37" spans="1:11" x14ac:dyDescent="0.35">
      <c r="A37" s="14">
        <v>44629.340277777781</v>
      </c>
      <c r="B37" s="15">
        <f t="shared" si="1"/>
        <v>23.666666666802485</v>
      </c>
      <c r="C37" s="21">
        <f>97*20*10^5</f>
        <v>194000000</v>
      </c>
      <c r="D37" s="20"/>
      <c r="E37" s="5">
        <v>0.438</v>
      </c>
      <c r="F37" s="5">
        <v>4.4000000000000004</v>
      </c>
      <c r="H37" s="15">
        <f>LOG(C37)</f>
        <v>8.2878017299302265</v>
      </c>
      <c r="I37" s="19"/>
      <c r="J37" s="5"/>
      <c r="K37" s="5"/>
    </row>
    <row r="38" spans="1:11" x14ac:dyDescent="0.35">
      <c r="A38" s="14">
        <v>44629.461805555555</v>
      </c>
      <c r="B38" s="15">
        <f t="shared" si="1"/>
        <v>26.583333333372138</v>
      </c>
      <c r="C38" s="31"/>
      <c r="D38" s="20"/>
      <c r="E38" s="5">
        <v>0.57799999999999996</v>
      </c>
      <c r="F38" s="5">
        <v>4.22</v>
      </c>
      <c r="H38" s="30"/>
      <c r="I38" s="19"/>
      <c r="J38" s="5"/>
      <c r="K38" s="5"/>
    </row>
    <row r="39" spans="1:11" x14ac:dyDescent="0.35">
      <c r="A39" s="14">
        <v>44629.586805555555</v>
      </c>
      <c r="B39" s="15">
        <f t="shared" si="1"/>
        <v>29.583333333372138</v>
      </c>
      <c r="C39" s="31"/>
      <c r="D39" s="20"/>
      <c r="E39" s="32" t="s">
        <v>40</v>
      </c>
      <c r="F39" s="5">
        <v>4.1100000000000003</v>
      </c>
      <c r="H39" s="30"/>
      <c r="I39" s="19"/>
      <c r="J39" s="5"/>
      <c r="K39" s="5"/>
    </row>
    <row r="40" spans="1:11" x14ac:dyDescent="0.35">
      <c r="A40" s="14">
        <v>44629.715277777781</v>
      </c>
      <c r="B40" s="15">
        <f t="shared" si="1"/>
        <v>32.666666666802485</v>
      </c>
      <c r="C40" s="31"/>
      <c r="D40" s="20"/>
      <c r="E40" s="16">
        <v>0.92</v>
      </c>
      <c r="F40" s="15">
        <v>4</v>
      </c>
      <c r="H40" s="19"/>
      <c r="I40" s="19"/>
      <c r="J40" s="5"/>
      <c r="K40" s="5"/>
    </row>
    <row r="41" spans="1:11" x14ac:dyDescent="0.35">
      <c r="A41" s="14">
        <v>44629.840277777781</v>
      </c>
      <c r="B41" s="15">
        <f t="shared" si="1"/>
        <v>35.666666666802485</v>
      </c>
      <c r="C41" s="21">
        <f>116*20*10^5</f>
        <v>232000000</v>
      </c>
      <c r="D41" s="20"/>
      <c r="E41" s="5">
        <v>1.1559999999999999</v>
      </c>
      <c r="F41" s="5">
        <v>3.96</v>
      </c>
      <c r="H41" s="15">
        <f>LOG(C41)</f>
        <v>8.3654879848908994</v>
      </c>
      <c r="I41" s="19"/>
      <c r="J41" s="5"/>
      <c r="K41" s="5"/>
    </row>
    <row r="42" spans="1:11" x14ac:dyDescent="0.35">
      <c r="A42" s="14">
        <v>44630.34375</v>
      </c>
      <c r="B42" s="15">
        <f t="shared" si="1"/>
        <v>47.750000000058208</v>
      </c>
      <c r="C42" s="21">
        <f>93*20*10^5</f>
        <v>186000000</v>
      </c>
      <c r="D42" s="20"/>
      <c r="E42" s="5">
        <v>1.1870000000000001</v>
      </c>
      <c r="F42" s="15">
        <v>3.8</v>
      </c>
      <c r="H42" s="15">
        <f>LOG(C42)</f>
        <v>8.2695129442179169</v>
      </c>
      <c r="I42" s="19"/>
      <c r="J42" s="5"/>
      <c r="K42" s="5"/>
    </row>
    <row r="43" spans="1:11" x14ac:dyDescent="0.35">
      <c r="A43" s="14">
        <v>44630.625</v>
      </c>
      <c r="B43" s="15">
        <f t="shared" si="1"/>
        <v>54.500000000058208</v>
      </c>
      <c r="C43" s="21">
        <f>115*20*10^5</f>
        <v>230000000</v>
      </c>
      <c r="D43" s="20"/>
      <c r="E43" s="5">
        <v>1.3240000000000001</v>
      </c>
      <c r="F43" s="5">
        <v>3.77</v>
      </c>
      <c r="H43" s="15">
        <f>LOG(C43)</f>
        <v>8.3617278360175931</v>
      </c>
      <c r="I43" s="19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44628.354166666664</v>
      </c>
      <c r="B52" s="15">
        <f>0*24</f>
        <v>0</v>
      </c>
      <c r="C52" s="19"/>
      <c r="D52" s="21">
        <f>6*20*10</f>
        <v>1200</v>
      </c>
      <c r="E52" s="5">
        <v>6.0000000000000001E-3</v>
      </c>
      <c r="F52" s="5">
        <v>5.88</v>
      </c>
      <c r="H52" s="30"/>
      <c r="I52" s="15">
        <f>LOG(D52)</f>
        <v>3.0791812460476247</v>
      </c>
    </row>
    <row r="53" spans="1:11" x14ac:dyDescent="0.35">
      <c r="A53" s="14">
        <v>44628.472222222219</v>
      </c>
      <c r="B53" s="15">
        <f t="shared" ref="B53:B63" si="2">(A53-$A$52)*24</f>
        <v>2.8333333333139308</v>
      </c>
      <c r="C53" s="19"/>
      <c r="D53" s="31"/>
      <c r="E53" s="5">
        <v>2.1000000000000001E-2</v>
      </c>
      <c r="F53" s="5">
        <v>5.87</v>
      </c>
      <c r="H53" s="30"/>
      <c r="I53" s="30"/>
    </row>
    <row r="54" spans="1:11" x14ac:dyDescent="0.35">
      <c r="A54" s="14">
        <v>44628.586805555555</v>
      </c>
      <c r="B54" s="15">
        <f t="shared" si="2"/>
        <v>5.5833333333721384</v>
      </c>
      <c r="C54" s="19"/>
      <c r="D54" s="31"/>
      <c r="E54" s="5">
        <v>1.7999999999999999E-2</v>
      </c>
      <c r="F54" s="5">
        <v>5.85</v>
      </c>
      <c r="H54" s="30"/>
      <c r="I54" s="30"/>
    </row>
    <row r="55" spans="1:11" x14ac:dyDescent="0.35">
      <c r="A55" s="14">
        <v>44628.715277777781</v>
      </c>
      <c r="B55" s="15">
        <f t="shared" si="2"/>
        <v>8.6666666668024845</v>
      </c>
      <c r="C55" s="19"/>
      <c r="D55" s="31"/>
      <c r="E55" s="5">
        <v>-1E-3</v>
      </c>
      <c r="F55" s="5">
        <v>5.85</v>
      </c>
      <c r="H55" s="30"/>
      <c r="I55" s="30"/>
    </row>
    <row r="56" spans="1:11" x14ac:dyDescent="0.35">
      <c r="A56" s="14">
        <v>44628.840277777781</v>
      </c>
      <c r="B56" s="15">
        <f t="shared" si="2"/>
        <v>11.666666666802485</v>
      </c>
      <c r="C56" s="19"/>
      <c r="D56" s="21">
        <f>16*20*100</f>
        <v>32000</v>
      </c>
      <c r="E56" s="5">
        <v>2.8000000000000001E-2</v>
      </c>
      <c r="F56" s="5">
        <v>5.9</v>
      </c>
      <c r="H56" s="30"/>
      <c r="I56" s="15">
        <f>LOG(D56)</f>
        <v>4.5051499783199063</v>
      </c>
    </row>
    <row r="57" spans="1:11" x14ac:dyDescent="0.35">
      <c r="A57" s="14">
        <v>44629.340277777781</v>
      </c>
      <c r="B57" s="15">
        <f t="shared" si="2"/>
        <v>23.666666666802485</v>
      </c>
      <c r="C57" s="19"/>
      <c r="D57" s="21">
        <f>(2.27*10^6+1.89*10^6+1.78*10^6)/3</f>
        <v>1980000</v>
      </c>
      <c r="E57" s="5">
        <v>0.01</v>
      </c>
      <c r="F57" s="5">
        <v>5.89</v>
      </c>
      <c r="H57" s="30"/>
      <c r="I57" s="15">
        <f>LOG(D57)</f>
        <v>6.2966651902615309</v>
      </c>
    </row>
    <row r="58" spans="1:11" x14ac:dyDescent="0.35">
      <c r="A58" s="14">
        <v>44629.461805555555</v>
      </c>
      <c r="B58" s="15">
        <f t="shared" si="2"/>
        <v>26.583333333372138</v>
      </c>
      <c r="C58" s="19"/>
      <c r="D58" s="31"/>
      <c r="E58" s="5">
        <v>1.2999999999999999E-2</v>
      </c>
      <c r="F58" s="5">
        <v>5.89</v>
      </c>
      <c r="H58" s="30"/>
      <c r="I58" s="30"/>
    </row>
    <row r="59" spans="1:11" x14ac:dyDescent="0.35">
      <c r="A59" s="14">
        <v>44629.586805555555</v>
      </c>
      <c r="B59" s="15">
        <f t="shared" si="2"/>
        <v>29.583333333372138</v>
      </c>
      <c r="C59" s="19"/>
      <c r="D59" s="31"/>
      <c r="E59" s="5">
        <v>2.8000000000000001E-2</v>
      </c>
      <c r="F59" s="5">
        <v>5.86</v>
      </c>
      <c r="H59" s="30"/>
      <c r="I59" s="30"/>
    </row>
    <row r="60" spans="1:11" x14ac:dyDescent="0.35">
      <c r="A60" s="14">
        <v>44629.715277777781</v>
      </c>
      <c r="B60" s="15">
        <f t="shared" si="2"/>
        <v>32.666666666802485</v>
      </c>
      <c r="C60" s="19"/>
      <c r="D60" s="31"/>
      <c r="E60" s="5">
        <v>4.1000000000000002E-2</v>
      </c>
      <c r="F60" s="5">
        <v>5.82</v>
      </c>
      <c r="H60" s="20"/>
      <c r="I60" s="30"/>
    </row>
    <row r="61" spans="1:11" x14ac:dyDescent="0.35">
      <c r="A61" s="14">
        <v>44629.840277777781</v>
      </c>
      <c r="B61" s="15">
        <f t="shared" si="2"/>
        <v>35.666666666802485</v>
      </c>
      <c r="C61" s="19"/>
      <c r="D61" s="21">
        <f>4.35*10^7</f>
        <v>43500000</v>
      </c>
      <c r="E61" s="5">
        <v>0.188</v>
      </c>
      <c r="F61" s="15">
        <v>5.67</v>
      </c>
      <c r="H61" s="30"/>
      <c r="I61" s="15">
        <f>LOG(D61)</f>
        <v>7.638489256954637</v>
      </c>
    </row>
    <row r="62" spans="1:11" x14ac:dyDescent="0.35">
      <c r="A62" s="14">
        <v>44630.34375</v>
      </c>
      <c r="B62" s="15">
        <f t="shared" si="2"/>
        <v>47.750000000058208</v>
      </c>
      <c r="C62" s="19"/>
      <c r="D62" s="21">
        <f>203*20*10^5</f>
        <v>406000000</v>
      </c>
      <c r="E62" s="5">
        <v>0.307</v>
      </c>
      <c r="F62" s="15">
        <v>4.7</v>
      </c>
      <c r="H62" s="30"/>
      <c r="I62" s="15">
        <f>LOG(D62)</f>
        <v>8.6085260335771938</v>
      </c>
    </row>
    <row r="63" spans="1:11" x14ac:dyDescent="0.35">
      <c r="A63" s="14">
        <v>44630.625</v>
      </c>
      <c r="B63" s="15">
        <f t="shared" si="2"/>
        <v>54.500000000058208</v>
      </c>
      <c r="C63" s="20"/>
      <c r="D63" s="21">
        <f>300*20*10^5</f>
        <v>600000000</v>
      </c>
      <c r="E63" s="5">
        <v>0.41199999999999998</v>
      </c>
      <c r="F63" s="5">
        <v>4.49</v>
      </c>
      <c r="H63" s="30"/>
      <c r="I63" s="15">
        <f>LOG(D63)</f>
        <v>8.7781512503836439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44628.354166666664</v>
      </c>
      <c r="B73" s="15">
        <f>0*24</f>
        <v>0</v>
      </c>
      <c r="C73" s="21">
        <f>7.7*10^5</f>
        <v>770000</v>
      </c>
      <c r="D73" s="21">
        <f>5*20*10</f>
        <v>1000</v>
      </c>
      <c r="E73" s="5">
        <v>3.3000000000000002E-2</v>
      </c>
      <c r="F73" s="5">
        <v>5.77</v>
      </c>
      <c r="H73" s="15">
        <f t="shared" ref="H73:H84" si="3">LOG(C73)</f>
        <v>5.8864907251724823</v>
      </c>
      <c r="I73" s="15">
        <f t="shared" ref="I73:I84" si="4">LOG(D73)</f>
        <v>3</v>
      </c>
    </row>
    <row r="74" spans="1:11" x14ac:dyDescent="0.35">
      <c r="A74" s="14">
        <v>44628.472222222219</v>
      </c>
      <c r="B74" s="15">
        <f t="shared" ref="B74:B84" si="5">(A74-$A$73)*24</f>
        <v>2.8333333333139308</v>
      </c>
      <c r="C74" s="21">
        <f>127*20*100</f>
        <v>254000</v>
      </c>
      <c r="D74" s="21">
        <f>2*20*10</f>
        <v>400</v>
      </c>
      <c r="E74" s="5">
        <v>2.3E-2</v>
      </c>
      <c r="F74" s="5">
        <v>5.79</v>
      </c>
      <c r="H74" s="15">
        <f t="shared" si="3"/>
        <v>5.4048337166199385</v>
      </c>
      <c r="I74" s="15">
        <f t="shared" si="4"/>
        <v>2.6020599913279625</v>
      </c>
    </row>
    <row r="75" spans="1:11" x14ac:dyDescent="0.35">
      <c r="A75" s="14">
        <v>44628.586805555555</v>
      </c>
      <c r="B75" s="15">
        <f t="shared" si="5"/>
        <v>5.5833333333721384</v>
      </c>
      <c r="C75" s="21">
        <f>(5.5*10^6+6.1*10^6)/2</f>
        <v>5800000</v>
      </c>
      <c r="D75" s="21">
        <f>5*20*10</f>
        <v>1000</v>
      </c>
      <c r="E75" s="5">
        <v>6.6000000000000003E-2</v>
      </c>
      <c r="F75" s="5">
        <v>5.69</v>
      </c>
      <c r="H75" s="15">
        <f t="shared" si="3"/>
        <v>6.7634279935629369</v>
      </c>
      <c r="I75" s="15">
        <f t="shared" si="4"/>
        <v>3</v>
      </c>
    </row>
    <row r="76" spans="1:11" x14ac:dyDescent="0.35">
      <c r="A76" s="14">
        <v>44628.715277777781</v>
      </c>
      <c r="B76" s="15">
        <f t="shared" si="5"/>
        <v>8.6666666668024845</v>
      </c>
      <c r="C76" s="21">
        <f>(2*10^7+2*10+7)/2</f>
        <v>10000013.5</v>
      </c>
      <c r="D76" s="21">
        <f>5*20*10</f>
        <v>1000</v>
      </c>
      <c r="E76" s="5">
        <v>5.8999999999999997E-2</v>
      </c>
      <c r="F76" s="5">
        <v>5.43</v>
      </c>
      <c r="H76" s="15">
        <f t="shared" si="3"/>
        <v>7.0000005862971548</v>
      </c>
      <c r="I76" s="15">
        <f t="shared" si="4"/>
        <v>3</v>
      </c>
    </row>
    <row r="77" spans="1:11" x14ac:dyDescent="0.35">
      <c r="A77" s="14">
        <v>44628.840277777781</v>
      </c>
      <c r="B77" s="15">
        <f t="shared" si="5"/>
        <v>11.666666666802485</v>
      </c>
      <c r="C77" s="21">
        <f>1.2*10^8</f>
        <v>120000000</v>
      </c>
      <c r="D77" s="21">
        <f>7*20*10</f>
        <v>1400</v>
      </c>
      <c r="E77" s="5">
        <v>0.21199999999999999</v>
      </c>
      <c r="F77" s="5">
        <v>4.87</v>
      </c>
      <c r="H77" s="15">
        <f t="shared" si="3"/>
        <v>8.0791812460476251</v>
      </c>
      <c r="I77" s="15">
        <f t="shared" si="4"/>
        <v>3.1461280356782382</v>
      </c>
    </row>
    <row r="78" spans="1:11" x14ac:dyDescent="0.35">
      <c r="A78" s="14">
        <v>44629.340277777781</v>
      </c>
      <c r="B78" s="15">
        <f t="shared" si="5"/>
        <v>23.666666666802485</v>
      </c>
      <c r="C78" s="21">
        <f>2.3*10^8</f>
        <v>229999999.99999997</v>
      </c>
      <c r="D78" s="22">
        <f t="shared" ref="D78:D84" si="6">0.9*100</f>
        <v>90</v>
      </c>
      <c r="E78" s="5">
        <v>0.76400000000000001</v>
      </c>
      <c r="F78" s="5">
        <v>4.0599999999999996</v>
      </c>
      <c r="H78" s="15">
        <f t="shared" si="3"/>
        <v>8.3617278360175931</v>
      </c>
      <c r="I78" s="17">
        <f t="shared" si="4"/>
        <v>1.954242509439325</v>
      </c>
    </row>
    <row r="79" spans="1:11" x14ac:dyDescent="0.35">
      <c r="A79" s="14">
        <v>44629.461805555555</v>
      </c>
      <c r="B79" s="15">
        <f t="shared" si="5"/>
        <v>26.583333333372138</v>
      </c>
      <c r="C79" s="21">
        <f>92*20*10^5</f>
        <v>184000000</v>
      </c>
      <c r="D79" s="22">
        <f t="shared" si="6"/>
        <v>90</v>
      </c>
      <c r="E79" s="5">
        <v>0.85299999999999998</v>
      </c>
      <c r="F79" s="5">
        <v>3.99</v>
      </c>
      <c r="H79" s="15">
        <f t="shared" si="3"/>
        <v>8.2648178230095368</v>
      </c>
      <c r="I79" s="17">
        <f t="shared" si="4"/>
        <v>1.954242509439325</v>
      </c>
    </row>
    <row r="80" spans="1:11" x14ac:dyDescent="0.35">
      <c r="A80" s="14">
        <v>44629.586805555555</v>
      </c>
      <c r="B80" s="15">
        <f t="shared" si="5"/>
        <v>29.583333333372138</v>
      </c>
      <c r="C80" s="21">
        <f>100*20*10^5</f>
        <v>200000000</v>
      </c>
      <c r="D80" s="22">
        <f t="shared" si="6"/>
        <v>90</v>
      </c>
      <c r="E80" s="5">
        <v>1.0249999999999999</v>
      </c>
      <c r="F80" s="5">
        <v>3.97</v>
      </c>
      <c r="H80" s="15">
        <f t="shared" si="3"/>
        <v>8.3010299956639813</v>
      </c>
      <c r="I80" s="17">
        <f t="shared" si="4"/>
        <v>1.954242509439325</v>
      </c>
    </row>
    <row r="81" spans="1:11" x14ac:dyDescent="0.35">
      <c r="A81" s="14">
        <v>44629.715277777781</v>
      </c>
      <c r="B81" s="15">
        <f t="shared" si="5"/>
        <v>32.666666666802485</v>
      </c>
      <c r="C81" s="21">
        <f>91*20*10^5</f>
        <v>182000000</v>
      </c>
      <c r="D81" s="22">
        <f t="shared" si="6"/>
        <v>90</v>
      </c>
      <c r="E81" s="5">
        <v>1.052</v>
      </c>
      <c r="F81" s="5">
        <v>3.94</v>
      </c>
      <c r="H81" s="15">
        <f t="shared" si="3"/>
        <v>8.2600713879850751</v>
      </c>
      <c r="I81" s="17">
        <f t="shared" si="4"/>
        <v>1.954242509439325</v>
      </c>
    </row>
    <row r="82" spans="1:11" x14ac:dyDescent="0.35">
      <c r="A82" s="14">
        <v>44629.840277777781</v>
      </c>
      <c r="B82" s="15">
        <f t="shared" si="5"/>
        <v>35.666666666802485</v>
      </c>
      <c r="C82" s="21">
        <f>135*20*10^5</f>
        <v>270000000</v>
      </c>
      <c r="D82" s="22">
        <f t="shared" si="6"/>
        <v>90</v>
      </c>
      <c r="E82" s="5">
        <v>1.264</v>
      </c>
      <c r="F82" s="5">
        <v>3.92</v>
      </c>
      <c r="H82" s="15">
        <f t="shared" si="3"/>
        <v>8.4313637641589878</v>
      </c>
      <c r="I82" s="17">
        <f t="shared" si="4"/>
        <v>1.954242509439325</v>
      </c>
    </row>
    <row r="83" spans="1:11" x14ac:dyDescent="0.35">
      <c r="A83" s="14">
        <v>44630.34375</v>
      </c>
      <c r="B83" s="15">
        <f t="shared" si="5"/>
        <v>47.750000000058208</v>
      </c>
      <c r="C83" s="21">
        <f>55*20*10^5</f>
        <v>110000000</v>
      </c>
      <c r="D83" s="22">
        <f t="shared" si="6"/>
        <v>90</v>
      </c>
      <c r="E83" s="5">
        <v>1.1789000000000001</v>
      </c>
      <c r="F83" s="5">
        <v>3.86</v>
      </c>
      <c r="H83" s="15">
        <f t="shared" si="3"/>
        <v>8.0413926851582254</v>
      </c>
      <c r="I83" s="17">
        <f t="shared" si="4"/>
        <v>1.954242509439325</v>
      </c>
    </row>
    <row r="84" spans="1:11" x14ac:dyDescent="0.35">
      <c r="A84" s="14">
        <v>44630.625</v>
      </c>
      <c r="B84" s="15">
        <f t="shared" si="5"/>
        <v>54.500000000058208</v>
      </c>
      <c r="C84" s="21">
        <f>56*20*10^5</f>
        <v>112000000</v>
      </c>
      <c r="D84" s="22">
        <f t="shared" si="6"/>
        <v>90</v>
      </c>
      <c r="E84" s="16">
        <v>1.32</v>
      </c>
      <c r="F84" s="5">
        <v>3.83</v>
      </c>
      <c r="H84" s="15">
        <f t="shared" si="3"/>
        <v>8.0492180226701819</v>
      </c>
      <c r="I84" s="17">
        <f t="shared" si="4"/>
        <v>1.954242509439325</v>
      </c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44628.354166666664</v>
      </c>
      <c r="B95" s="15">
        <f>0*24</f>
        <v>0</v>
      </c>
      <c r="C95" s="21">
        <f>82*20*100</f>
        <v>164000</v>
      </c>
      <c r="D95" s="21">
        <f>9*20*10</f>
        <v>1800</v>
      </c>
      <c r="E95" s="5">
        <v>3.9E-2</v>
      </c>
      <c r="F95" s="5">
        <v>5.83</v>
      </c>
      <c r="H95" s="15">
        <f t="shared" ref="H95:H106" si="7">LOG(C95)</f>
        <v>5.214843848047698</v>
      </c>
      <c r="I95" s="15">
        <f t="shared" ref="I95:I106" si="8">LOG(D95)</f>
        <v>3.255272505103306</v>
      </c>
      <c r="J95" s="5"/>
      <c r="K95" s="5"/>
    </row>
    <row r="96" spans="1:11" x14ac:dyDescent="0.35">
      <c r="A96" s="14">
        <v>44628.472222222219</v>
      </c>
      <c r="B96" s="15">
        <f t="shared" ref="B96:B106" si="9">(A96-$A$95)*24</f>
        <v>2.8333333333139308</v>
      </c>
      <c r="C96" s="21">
        <f>158*20*100</f>
        <v>316000</v>
      </c>
      <c r="D96" s="21">
        <f>4*20*10</f>
        <v>800</v>
      </c>
      <c r="E96" s="5">
        <v>4.2000000000000003E-2</v>
      </c>
      <c r="F96" s="5">
        <v>5.86</v>
      </c>
      <c r="H96" s="15">
        <f t="shared" si="7"/>
        <v>5.4996870826184034</v>
      </c>
      <c r="I96" s="15">
        <f t="shared" si="8"/>
        <v>2.9030899869919438</v>
      </c>
      <c r="J96" s="5"/>
      <c r="K96" s="5"/>
    </row>
    <row r="97" spans="1:11" x14ac:dyDescent="0.35">
      <c r="A97" s="14">
        <v>44628.586805555555</v>
      </c>
      <c r="B97" s="15">
        <f t="shared" si="9"/>
        <v>5.5833333333721384</v>
      </c>
      <c r="C97" s="21">
        <f>(1.6*10^6+1.7*10^6)/2</f>
        <v>1650000</v>
      </c>
      <c r="D97" s="21">
        <f>12*20*10</f>
        <v>2400</v>
      </c>
      <c r="E97" s="5">
        <v>2.1999999999999999E-2</v>
      </c>
      <c r="F97" s="5">
        <v>5.83</v>
      </c>
      <c r="H97" s="15">
        <f t="shared" si="7"/>
        <v>6.2174839442139067</v>
      </c>
      <c r="I97" s="15">
        <f t="shared" si="8"/>
        <v>3.3802112417116059</v>
      </c>
      <c r="J97" s="5"/>
      <c r="K97" s="5"/>
    </row>
    <row r="98" spans="1:11" x14ac:dyDescent="0.35">
      <c r="A98" s="14">
        <v>44628.715277777781</v>
      </c>
      <c r="B98" s="15">
        <f t="shared" si="9"/>
        <v>8.6666666668024845</v>
      </c>
      <c r="C98" s="21">
        <f>(4.1*10^6+4.3*10^6)/2</f>
        <v>4200000</v>
      </c>
      <c r="D98" s="21">
        <f>24*20*100</f>
        <v>48000</v>
      </c>
      <c r="E98" s="5">
        <v>3.4000000000000002E-2</v>
      </c>
      <c r="F98" s="5">
        <v>5.79</v>
      </c>
      <c r="H98" s="15">
        <f t="shared" si="7"/>
        <v>6.6232492903979008</v>
      </c>
      <c r="I98" s="15">
        <f t="shared" si="8"/>
        <v>4.6812412373755876</v>
      </c>
      <c r="J98" s="5"/>
      <c r="K98" s="5"/>
    </row>
    <row r="99" spans="1:11" x14ac:dyDescent="0.35">
      <c r="A99" s="14">
        <v>44628.840277777781</v>
      </c>
      <c r="B99" s="15">
        <f t="shared" si="9"/>
        <v>11.666666666802485</v>
      </c>
      <c r="C99" s="21">
        <f>547*20*1000</f>
        <v>10940000</v>
      </c>
      <c r="D99" s="21">
        <f>97*20*10</f>
        <v>19400</v>
      </c>
      <c r="E99" s="5">
        <v>4.8000000000000001E-2</v>
      </c>
      <c r="F99" s="5">
        <v>5.74</v>
      </c>
      <c r="H99" s="15">
        <f t="shared" si="7"/>
        <v>7.0390173219974121</v>
      </c>
      <c r="I99" s="15">
        <f t="shared" si="8"/>
        <v>4.2878017299302265</v>
      </c>
      <c r="J99" s="5"/>
      <c r="K99" s="5"/>
    </row>
    <row r="100" spans="1:11" x14ac:dyDescent="0.35">
      <c r="A100" s="14">
        <v>44629.340277777781</v>
      </c>
      <c r="B100" s="15">
        <f t="shared" si="9"/>
        <v>23.666666666802485</v>
      </c>
      <c r="C100" s="21">
        <f>2.8*10^8</f>
        <v>280000000</v>
      </c>
      <c r="D100" s="21">
        <f>(2.01*10^5+1.88*10^5+1.93*10^5)/3</f>
        <v>194000</v>
      </c>
      <c r="E100" s="5">
        <v>0.45900000000000002</v>
      </c>
      <c r="F100" s="5">
        <v>4.37</v>
      </c>
      <c r="H100" s="15">
        <f t="shared" si="7"/>
        <v>8.4471580313422194</v>
      </c>
      <c r="I100" s="15">
        <f t="shared" si="8"/>
        <v>5.2878017299302265</v>
      </c>
      <c r="J100" s="5"/>
      <c r="K100" s="5"/>
    </row>
    <row r="101" spans="1:11" x14ac:dyDescent="0.35">
      <c r="A101" s="14">
        <v>44629.461805555555</v>
      </c>
      <c r="B101" s="15">
        <f t="shared" si="9"/>
        <v>26.583333333372138</v>
      </c>
      <c r="C101" s="22">
        <v>0</v>
      </c>
      <c r="D101" s="21">
        <f>(2.08*10^5+2.42*10^5+2.55*10^5)/3</f>
        <v>235000</v>
      </c>
      <c r="E101" s="5">
        <v>0.57299999999999995</v>
      </c>
      <c r="F101" s="5">
        <v>4.2300000000000004</v>
      </c>
      <c r="H101" s="17" t="e">
        <f t="shared" si="7"/>
        <v>#NUM!</v>
      </c>
      <c r="I101" s="15">
        <f t="shared" si="8"/>
        <v>5.3710678622717358</v>
      </c>
      <c r="J101" s="5"/>
      <c r="K101" s="5"/>
    </row>
    <row r="102" spans="1:11" x14ac:dyDescent="0.35">
      <c r="A102" s="14">
        <v>44629.586805555555</v>
      </c>
      <c r="B102" s="15">
        <f t="shared" si="9"/>
        <v>29.583333333372138</v>
      </c>
      <c r="C102" s="21">
        <f>79*20*10^5</f>
        <v>158000000</v>
      </c>
      <c r="D102" s="21">
        <f>85*20*100</f>
        <v>170000</v>
      </c>
      <c r="E102" s="5">
        <v>0.74099999999999999</v>
      </c>
      <c r="F102" s="15">
        <v>4.1100000000000003</v>
      </c>
      <c r="H102" s="15">
        <f t="shared" si="7"/>
        <v>8.1986570869544231</v>
      </c>
      <c r="I102" s="15">
        <f t="shared" si="8"/>
        <v>5.2304489213782741</v>
      </c>
      <c r="J102" s="5"/>
      <c r="K102" s="5"/>
    </row>
    <row r="103" spans="1:11" x14ac:dyDescent="0.35">
      <c r="A103" s="14">
        <v>44629.715277777781</v>
      </c>
      <c r="B103" s="15">
        <f t="shared" si="9"/>
        <v>32.666666666802485</v>
      </c>
      <c r="C103" s="21">
        <f>106*20*10^5</f>
        <v>212000000</v>
      </c>
      <c r="D103" s="21">
        <f>101*20*100</f>
        <v>202000</v>
      </c>
      <c r="E103" s="16">
        <v>0.86</v>
      </c>
      <c r="F103" s="15">
        <v>4</v>
      </c>
      <c r="H103" s="15">
        <f t="shared" si="7"/>
        <v>8.3263358609287508</v>
      </c>
      <c r="I103" s="15">
        <f t="shared" si="8"/>
        <v>5.3053513694466234</v>
      </c>
      <c r="J103" s="5"/>
      <c r="K103" s="5"/>
    </row>
    <row r="104" spans="1:11" x14ac:dyDescent="0.35">
      <c r="A104" s="14">
        <v>44629.840277777781</v>
      </c>
      <c r="B104" s="15">
        <f t="shared" si="9"/>
        <v>35.666666666802485</v>
      </c>
      <c r="C104" s="21">
        <f>104*20*10^5</f>
        <v>208000000</v>
      </c>
      <c r="D104" s="21">
        <f>(2.48*10^5+2.85*10^5+2.16*10^5)/3</f>
        <v>249666.66666666666</v>
      </c>
      <c r="E104" s="5">
        <v>1.155</v>
      </c>
      <c r="F104" s="5">
        <v>3.97</v>
      </c>
      <c r="H104" s="15">
        <f t="shared" si="7"/>
        <v>8.318063334962762</v>
      </c>
      <c r="I104" s="15">
        <f t="shared" si="8"/>
        <v>5.397360562979804</v>
      </c>
      <c r="J104" s="5"/>
      <c r="K104" s="5"/>
    </row>
    <row r="105" spans="1:11" x14ac:dyDescent="0.35">
      <c r="A105" s="14">
        <v>44630.34375</v>
      </c>
      <c r="B105" s="15">
        <f t="shared" si="9"/>
        <v>47.750000000058208</v>
      </c>
      <c r="C105" s="21">
        <f>85*20*10^5</f>
        <v>170000000</v>
      </c>
      <c r="D105" s="21">
        <f>(2.01*10^5+1.68*10^5+1.89*10^5)/3</f>
        <v>186000</v>
      </c>
      <c r="E105" s="16">
        <v>1.18</v>
      </c>
      <c r="F105" s="5">
        <v>3.81</v>
      </c>
      <c r="H105" s="15">
        <f t="shared" si="7"/>
        <v>8.2304489213782741</v>
      </c>
      <c r="I105" s="15">
        <f t="shared" si="8"/>
        <v>5.2695129442179161</v>
      </c>
      <c r="J105" s="5"/>
      <c r="K105" s="5"/>
    </row>
    <row r="106" spans="1:11" x14ac:dyDescent="0.35">
      <c r="A106" s="14">
        <v>44630.625</v>
      </c>
      <c r="B106" s="15">
        <f t="shared" si="9"/>
        <v>54.500000000058208</v>
      </c>
      <c r="C106" s="21">
        <f>97*20*10^5</f>
        <v>194000000</v>
      </c>
      <c r="D106" s="21">
        <f>100*20*10^2</f>
        <v>200000</v>
      </c>
      <c r="E106" s="16">
        <v>1.28</v>
      </c>
      <c r="F106" s="5">
        <v>3.79</v>
      </c>
      <c r="H106" s="15">
        <f t="shared" si="7"/>
        <v>8.2878017299302265</v>
      </c>
      <c r="I106" s="15">
        <f t="shared" si="8"/>
        <v>5.3010299956639813</v>
      </c>
      <c r="J106" s="5"/>
      <c r="K106" s="5"/>
    </row>
    <row r="107" spans="1:11" x14ac:dyDescent="0.35">
      <c r="H107" s="5"/>
      <c r="I107" s="5"/>
      <c r="J107" s="5"/>
      <c r="K107" s="5"/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3174-D8A9-41FE-8BFE-9432EF70D1CF}">
  <dimension ref="A1:W137"/>
  <sheetViews>
    <sheetView tabSelected="1" topLeftCell="A65" zoomScale="60" zoomScaleNormal="60" workbookViewId="0">
      <selection activeCell="X149" sqref="X149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6" max="6" width="9.1796875" bestFit="1" customWidth="1"/>
    <col min="7" max="7" width="4.453125" customWidth="1"/>
    <col min="10" max="10" width="10" bestFit="1" customWidth="1"/>
    <col min="12" max="12" width="12.453125" customWidth="1"/>
    <col min="13" max="13" width="12.54296875" customWidth="1"/>
    <col min="14" max="14" width="11" bestFit="1" customWidth="1"/>
    <col min="15" max="16" width="9.26953125" bestFit="1" customWidth="1"/>
    <col min="23" max="23" width="11.26953125" bestFit="1" customWidth="1"/>
  </cols>
  <sheetData>
    <row r="1" spans="1:17" ht="15.5" x14ac:dyDescent="0.35">
      <c r="A1" s="4" t="s">
        <v>0</v>
      </c>
      <c r="B1" s="2" t="s">
        <v>1</v>
      </c>
    </row>
    <row r="2" spans="1:17" ht="18.5" x14ac:dyDescent="0.45">
      <c r="A2" s="4" t="s">
        <v>2</v>
      </c>
      <c r="B2" s="3" t="s">
        <v>20</v>
      </c>
      <c r="O2" t="s">
        <v>43</v>
      </c>
      <c r="P2" t="s">
        <v>42</v>
      </c>
    </row>
    <row r="3" spans="1:17" x14ac:dyDescent="0.35">
      <c r="A3" s="4" t="s">
        <v>4</v>
      </c>
      <c r="B3" t="s">
        <v>39</v>
      </c>
      <c r="M3" t="s">
        <v>44</v>
      </c>
    </row>
    <row r="4" spans="1:17" x14ac:dyDescent="0.35">
      <c r="A4" s="4" t="s">
        <v>6</v>
      </c>
      <c r="B4" t="s">
        <v>7</v>
      </c>
      <c r="J4" t="s">
        <v>16</v>
      </c>
      <c r="M4">
        <v>0</v>
      </c>
      <c r="N4">
        <v>494</v>
      </c>
      <c r="O4" s="24">
        <v>150000000</v>
      </c>
      <c r="P4" s="24">
        <f>(O4/1000)*2</f>
        <v>300000</v>
      </c>
      <c r="Q4" s="35">
        <f>LOG(P4)</f>
        <v>5.4771212547196626</v>
      </c>
    </row>
    <row r="5" spans="1:17" x14ac:dyDescent="0.35">
      <c r="J5" t="s">
        <v>17</v>
      </c>
      <c r="K5" t="s">
        <v>18</v>
      </c>
      <c r="L5" t="s">
        <v>19</v>
      </c>
      <c r="N5">
        <v>23</v>
      </c>
      <c r="O5" s="24">
        <v>280000000</v>
      </c>
      <c r="P5" s="24">
        <f>O5/1000</f>
        <v>280000</v>
      </c>
      <c r="Q5" s="35">
        <f t="shared" ref="Q5:Q6" si="0">LOG(P5)</f>
        <v>5.4471580313422194</v>
      </c>
    </row>
    <row r="6" spans="1:17" x14ac:dyDescent="0.35">
      <c r="J6">
        <v>0.26636492622740687</v>
      </c>
      <c r="K6">
        <v>1.8135538261997375E-2</v>
      </c>
      <c r="L6">
        <v>0.99977484526713334</v>
      </c>
      <c r="N6">
        <v>1034</v>
      </c>
      <c r="O6" s="24">
        <v>140000000</v>
      </c>
      <c r="P6" s="24">
        <f>O6/100000</f>
        <v>1400</v>
      </c>
      <c r="Q6" s="35">
        <f t="shared" si="0"/>
        <v>3.1461280356782382</v>
      </c>
    </row>
    <row r="8" spans="1:17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7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  <c r="L9" t="s">
        <v>45</v>
      </c>
      <c r="N9" s="5" t="s">
        <v>46</v>
      </c>
    </row>
    <row r="10" spans="1:17" x14ac:dyDescent="0.35">
      <c r="A10" s="14">
        <v>44649.354166666664</v>
      </c>
      <c r="B10" s="15">
        <f>0*24+1</f>
        <v>1</v>
      </c>
      <c r="C10" s="21">
        <f>49*20*100</f>
        <v>98000</v>
      </c>
      <c r="D10" s="28"/>
      <c r="E10" s="16">
        <v>-1.6E-2</v>
      </c>
      <c r="F10" s="5">
        <v>5.84</v>
      </c>
      <c r="H10" s="15">
        <f>LOG(C10)</f>
        <v>4.9912260756924951</v>
      </c>
      <c r="J10">
        <f t="shared" ref="J10:J25" si="1">(E10-$K$6)/$J$6</f>
        <v>-0.12815327733071899</v>
      </c>
      <c r="L10">
        <v>0</v>
      </c>
      <c r="N10" s="35">
        <f t="shared" ref="N10:N25" si="2">H10-$H$10</f>
        <v>0</v>
      </c>
    </row>
    <row r="11" spans="1:17" x14ac:dyDescent="0.35">
      <c r="A11" s="14">
        <v>44649.4375</v>
      </c>
      <c r="B11" s="15">
        <f>(A11-$A$10)*24+1</f>
        <v>3.0000000000582077</v>
      </c>
      <c r="C11" s="21">
        <f>127*20*100</f>
        <v>254000</v>
      </c>
      <c r="D11" s="28"/>
      <c r="E11" s="5">
        <v>3.0000000000000001E-3</v>
      </c>
      <c r="F11" s="5">
        <v>5.82</v>
      </c>
      <c r="H11" s="15">
        <f t="shared" ref="H11:H25" si="3">LOG(C11)</f>
        <v>5.4048337166199385</v>
      </c>
      <c r="J11">
        <f t="shared" si="1"/>
        <v>-5.6822564728644241E-2</v>
      </c>
      <c r="L11">
        <v>0</v>
      </c>
      <c r="N11" s="35">
        <f t="shared" si="2"/>
        <v>0.4136076409274434</v>
      </c>
    </row>
    <row r="12" spans="1:17" x14ac:dyDescent="0.35">
      <c r="A12" s="14">
        <v>44649.5625</v>
      </c>
      <c r="B12" s="15">
        <f>(A12-$A$10)*24+1</f>
        <v>6.0000000000582077</v>
      </c>
      <c r="C12" s="21">
        <f>50*20*1000</f>
        <v>1000000</v>
      </c>
      <c r="D12" s="28"/>
      <c r="E12" s="5">
        <v>2.9000000000000001E-2</v>
      </c>
      <c r="F12" s="5">
        <v>5.78</v>
      </c>
      <c r="H12" s="15">
        <f t="shared" si="3"/>
        <v>6</v>
      </c>
      <c r="J12">
        <f t="shared" si="1"/>
        <v>4.0787884095247515E-2</v>
      </c>
      <c r="L12">
        <v>0</v>
      </c>
      <c r="N12" s="35">
        <f t="shared" si="2"/>
        <v>1.0087739243075049</v>
      </c>
    </row>
    <row r="13" spans="1:17" x14ac:dyDescent="0.35">
      <c r="A13" s="14">
        <v>44649.6875</v>
      </c>
      <c r="B13" s="15">
        <f t="shared" ref="B13:B25" si="4">(A13-$A$10)*24+1</f>
        <v>9.0000000000582077</v>
      </c>
      <c r="C13" s="21">
        <f>125*20*1000</f>
        <v>2500000</v>
      </c>
      <c r="D13" s="28"/>
      <c r="E13" s="5">
        <v>-7.0000000000000001E-3</v>
      </c>
      <c r="F13" s="5">
        <v>5.78</v>
      </c>
      <c r="H13" s="15">
        <f t="shared" si="3"/>
        <v>6.3979400086720375</v>
      </c>
      <c r="J13">
        <f t="shared" si="1"/>
        <v>-9.4365045045525675E-2</v>
      </c>
      <c r="L13">
        <v>0</v>
      </c>
      <c r="N13" s="35">
        <f t="shared" si="2"/>
        <v>1.4067139329795424</v>
      </c>
    </row>
    <row r="14" spans="1:17" x14ac:dyDescent="0.35">
      <c r="A14" s="14">
        <v>44649.819444444445</v>
      </c>
      <c r="B14" s="15">
        <f t="shared" si="4"/>
        <v>12.166666666744277</v>
      </c>
      <c r="C14" s="21">
        <f>34*20*10000</f>
        <v>6800000</v>
      </c>
      <c r="D14" s="28"/>
      <c r="E14" s="5">
        <v>3.0000000000000001E-3</v>
      </c>
      <c r="F14" s="5">
        <v>5.7</v>
      </c>
      <c r="H14" s="15">
        <f t="shared" si="3"/>
        <v>6.8325089127062366</v>
      </c>
      <c r="J14">
        <f t="shared" si="1"/>
        <v>-5.6822564728644241E-2</v>
      </c>
      <c r="L14">
        <v>0</v>
      </c>
      <c r="N14" s="35">
        <f t="shared" si="2"/>
        <v>1.8412828370137415</v>
      </c>
    </row>
    <row r="15" spans="1:17" x14ac:dyDescent="0.35">
      <c r="A15" s="37">
        <v>44692.375</v>
      </c>
      <c r="B15" s="38">
        <v>15</v>
      </c>
      <c r="C15" s="45">
        <f>279*20*10000</f>
        <v>55800000</v>
      </c>
      <c r="D15" s="46"/>
      <c r="E15" s="47">
        <v>7.6999999999999999E-2</v>
      </c>
      <c r="F15" s="47">
        <v>4.7300000000000004</v>
      </c>
      <c r="G15" s="46"/>
      <c r="H15" s="38">
        <f>LOG(C15)</f>
        <v>7.7466341989375787</v>
      </c>
      <c r="I15" s="46"/>
      <c r="J15" s="46">
        <f t="shared" si="1"/>
        <v>0.22099178961627844</v>
      </c>
      <c r="K15" s="46"/>
      <c r="L15" s="46"/>
      <c r="N15" s="35">
        <f>H15-$Q$4</f>
        <v>2.2695129442179161</v>
      </c>
    </row>
    <row r="16" spans="1:17" x14ac:dyDescent="0.35">
      <c r="A16" s="37">
        <v>44692.5</v>
      </c>
      <c r="B16" s="38">
        <v>18</v>
      </c>
      <c r="C16" s="45">
        <f>((94000000)+(110000000))/2</f>
        <v>102000000</v>
      </c>
      <c r="D16" s="46"/>
      <c r="E16" s="47">
        <v>0.316</v>
      </c>
      <c r="F16" s="47">
        <v>4.5199999999999996</v>
      </c>
      <c r="G16" s="46"/>
      <c r="H16" s="38">
        <f t="shared" si="3"/>
        <v>8.008600171761918</v>
      </c>
      <c r="I16" s="46"/>
      <c r="J16" s="46">
        <f t="shared" si="1"/>
        <v>1.1182570691897449</v>
      </c>
      <c r="K16" s="46"/>
      <c r="L16" s="46"/>
      <c r="N16" s="35">
        <f t="shared" ref="N16" si="5">H16-$Q$4</f>
        <v>2.5314789170422554</v>
      </c>
    </row>
    <row r="17" spans="1:14" x14ac:dyDescent="0.35">
      <c r="A17" s="37">
        <v>44692.625</v>
      </c>
      <c r="B17" s="38">
        <v>21</v>
      </c>
      <c r="C17" s="45">
        <f>87*20*100000</f>
        <v>174000000</v>
      </c>
      <c r="D17" s="46"/>
      <c r="E17" s="47">
        <v>0.5</v>
      </c>
      <c r="F17" s="47">
        <v>4.1900000000000004</v>
      </c>
      <c r="G17" s="46"/>
      <c r="H17" s="38">
        <f t="shared" si="3"/>
        <v>8.2405492482825995</v>
      </c>
      <c r="I17" s="46"/>
      <c r="J17" s="46">
        <f t="shared" si="1"/>
        <v>1.8090387070203635</v>
      </c>
      <c r="K17" s="46"/>
      <c r="L17" s="46"/>
      <c r="N17" s="35">
        <f>H17-$Q$4</f>
        <v>2.7634279935629369</v>
      </c>
    </row>
    <row r="18" spans="1:14" x14ac:dyDescent="0.35">
      <c r="A18" s="14">
        <v>44650.319444444445</v>
      </c>
      <c r="B18" s="15">
        <f t="shared" si="4"/>
        <v>24.166666666744277</v>
      </c>
      <c r="C18" s="21">
        <f>144*20*100000</f>
        <v>288000000</v>
      </c>
      <c r="D18" s="28"/>
      <c r="E18" s="5">
        <v>0.51200000000000001</v>
      </c>
      <c r="F18" s="5">
        <v>4.1900000000000004</v>
      </c>
      <c r="H18" s="15">
        <f t="shared" si="3"/>
        <v>8.4593924877592315</v>
      </c>
      <c r="J18">
        <f t="shared" si="1"/>
        <v>1.8540896834006213</v>
      </c>
      <c r="L18">
        <v>3.2</v>
      </c>
      <c r="N18" s="35">
        <f t="shared" si="2"/>
        <v>3.4681664120667364</v>
      </c>
    </row>
    <row r="19" spans="1:14" x14ac:dyDescent="0.35">
      <c r="A19" s="14">
        <v>44650.440972222219</v>
      </c>
      <c r="B19" s="15">
        <f t="shared" si="4"/>
        <v>27.083333333313931</v>
      </c>
      <c r="C19" s="21">
        <f>100*20*100000</f>
        <v>200000000</v>
      </c>
      <c r="D19" s="28"/>
      <c r="E19" s="5">
        <v>0.67700000000000005</v>
      </c>
      <c r="F19" s="5">
        <v>4.18</v>
      </c>
      <c r="H19" s="15">
        <f t="shared" si="3"/>
        <v>8.3010299956639813</v>
      </c>
      <c r="J19">
        <f t="shared" si="1"/>
        <v>2.4735406086291651</v>
      </c>
      <c r="L19">
        <v>3.2</v>
      </c>
      <c r="N19" s="35">
        <f t="shared" si="2"/>
        <v>3.3098039199714862</v>
      </c>
    </row>
    <row r="20" spans="1:14" x14ac:dyDescent="0.35">
      <c r="A20" s="14">
        <v>44650.565972222219</v>
      </c>
      <c r="B20" s="15">
        <f t="shared" si="4"/>
        <v>30.083333333313931</v>
      </c>
      <c r="C20" s="21">
        <f>98*20*100000</f>
        <v>196000000</v>
      </c>
      <c r="D20" s="28"/>
      <c r="E20" s="5">
        <v>0.81599999999999995</v>
      </c>
      <c r="F20" s="5">
        <v>3.97</v>
      </c>
      <c r="H20" s="15">
        <f t="shared" si="3"/>
        <v>8.2922560713564764</v>
      </c>
      <c r="J20">
        <f t="shared" si="1"/>
        <v>2.9953810850338169</v>
      </c>
      <c r="L20">
        <v>3.2</v>
      </c>
      <c r="N20" s="35">
        <f t="shared" si="2"/>
        <v>3.3010299956639813</v>
      </c>
    </row>
    <row r="21" spans="1:14" x14ac:dyDescent="0.35">
      <c r="A21" s="14">
        <v>44650.690972222219</v>
      </c>
      <c r="B21" s="15">
        <f t="shared" si="4"/>
        <v>33.083333333313931</v>
      </c>
      <c r="C21" s="21">
        <f>107*20*100000</f>
        <v>214000000</v>
      </c>
      <c r="D21" s="28"/>
      <c r="E21" s="5">
        <v>0.84099999999999997</v>
      </c>
      <c r="F21" s="5">
        <v>3.95</v>
      </c>
      <c r="H21" s="15">
        <f t="shared" si="3"/>
        <v>8.330413773349191</v>
      </c>
      <c r="J21">
        <f t="shared" si="1"/>
        <v>3.0892372858260204</v>
      </c>
      <c r="L21">
        <v>3.2</v>
      </c>
      <c r="N21" s="35">
        <f t="shared" si="2"/>
        <v>3.3391876976566959</v>
      </c>
    </row>
    <row r="22" spans="1:14" x14ac:dyDescent="0.35">
      <c r="A22" s="14">
        <v>44650.805555555555</v>
      </c>
      <c r="B22" s="15">
        <f t="shared" si="4"/>
        <v>35.833333333372138</v>
      </c>
      <c r="C22" s="21">
        <f>104*20*100000</f>
        <v>208000000</v>
      </c>
      <c r="D22" s="28"/>
      <c r="E22" s="5">
        <v>1.032</v>
      </c>
      <c r="F22" s="5">
        <v>3.9</v>
      </c>
      <c r="H22" s="15">
        <f t="shared" si="3"/>
        <v>8.318063334962762</v>
      </c>
      <c r="J22">
        <f t="shared" si="1"/>
        <v>3.8062986598784563</v>
      </c>
      <c r="L22">
        <v>3.2</v>
      </c>
      <c r="N22" s="35">
        <f t="shared" si="2"/>
        <v>3.3268372592702669</v>
      </c>
    </row>
    <row r="23" spans="1:14" x14ac:dyDescent="0.35">
      <c r="A23" s="37">
        <v>44693.5</v>
      </c>
      <c r="B23" s="38">
        <v>42</v>
      </c>
      <c r="C23" s="45">
        <f>108*20*100000</f>
        <v>216000000</v>
      </c>
      <c r="D23" s="46"/>
      <c r="E23" s="47">
        <v>1.125</v>
      </c>
      <c r="F23" s="47">
        <v>3.78</v>
      </c>
      <c r="G23" s="46"/>
      <c r="H23" s="38">
        <f>LOG(C23)</f>
        <v>8.3344537511509316</v>
      </c>
      <c r="I23" s="46"/>
      <c r="J23" s="46">
        <f t="shared" si="1"/>
        <v>4.1554437268254532</v>
      </c>
      <c r="K23" s="46"/>
      <c r="L23" s="46"/>
      <c r="N23" s="35">
        <f>H23-Q4</f>
        <v>2.857332496431269</v>
      </c>
    </row>
    <row r="24" spans="1:14" x14ac:dyDescent="0.35">
      <c r="A24" s="14">
        <v>44651.322916666664</v>
      </c>
      <c r="B24" s="15">
        <f t="shared" si="4"/>
        <v>48.25</v>
      </c>
      <c r="C24" s="21">
        <f>118*20*100000</f>
        <v>236000000</v>
      </c>
      <c r="D24" s="28"/>
      <c r="E24" s="5">
        <v>1.1819999999999999</v>
      </c>
      <c r="F24" s="5">
        <v>3.84</v>
      </c>
      <c r="H24" s="15">
        <f t="shared" si="3"/>
        <v>8.3729120029701072</v>
      </c>
      <c r="J24">
        <f t="shared" si="1"/>
        <v>4.3694358646316775</v>
      </c>
      <c r="L24">
        <v>3.2</v>
      </c>
      <c r="N24" s="35">
        <f t="shared" si="2"/>
        <v>3.3816859272776121</v>
      </c>
    </row>
    <row r="25" spans="1:14" x14ac:dyDescent="0.35">
      <c r="A25" s="14">
        <v>44651.565972222219</v>
      </c>
      <c r="B25" s="15">
        <f t="shared" si="4"/>
        <v>54.083333333313931</v>
      </c>
      <c r="C25" s="21">
        <f>80*20*100000</f>
        <v>160000000</v>
      </c>
      <c r="D25" s="28"/>
      <c r="E25" s="5">
        <v>1.0880000000000001</v>
      </c>
      <c r="F25" s="5">
        <v>3.79</v>
      </c>
      <c r="H25" s="15">
        <f t="shared" si="3"/>
        <v>8.204119982655925</v>
      </c>
      <c r="J25">
        <f t="shared" si="1"/>
        <v>4.0165365496529928</v>
      </c>
      <c r="L25">
        <v>3.2</v>
      </c>
      <c r="N25" s="35">
        <f t="shared" si="2"/>
        <v>3.2128939069634299</v>
      </c>
    </row>
    <row r="26" spans="1:14" x14ac:dyDescent="0.35">
      <c r="B26" s="5"/>
      <c r="C26" s="5"/>
    </row>
    <row r="27" spans="1:14" x14ac:dyDescent="0.35">
      <c r="B27" s="5"/>
      <c r="C27" s="5"/>
      <c r="E27" t="s">
        <v>31</v>
      </c>
      <c r="F27">
        <f>MIN(F10:F14,F18:F22,F24:F25)</f>
        <v>3.79</v>
      </c>
    </row>
    <row r="28" spans="1:14" x14ac:dyDescent="0.35">
      <c r="C28" s="5"/>
    </row>
    <row r="34" spans="1:14" ht="18.5" x14ac:dyDescent="0.45">
      <c r="A34" s="12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4" x14ac:dyDescent="0.35">
      <c r="A35" t="s">
        <v>23</v>
      </c>
      <c r="B35" s="5" t="s">
        <v>24</v>
      </c>
      <c r="C35" s="5" t="s">
        <v>25</v>
      </c>
      <c r="D35" s="5" t="s">
        <v>26</v>
      </c>
      <c r="E35" s="5" t="s">
        <v>27</v>
      </c>
      <c r="F35" s="5" t="s">
        <v>28</v>
      </c>
      <c r="G35" s="5"/>
      <c r="H35" s="5" t="s">
        <v>29</v>
      </c>
      <c r="I35" s="5" t="s">
        <v>30</v>
      </c>
      <c r="J35" s="5" t="s">
        <v>13</v>
      </c>
      <c r="K35" s="5" t="s">
        <v>28</v>
      </c>
      <c r="L35" t="s">
        <v>45</v>
      </c>
      <c r="N35" s="5" t="s">
        <v>46</v>
      </c>
    </row>
    <row r="36" spans="1:14" x14ac:dyDescent="0.35">
      <c r="A36" s="14">
        <v>44649.354166666664</v>
      </c>
      <c r="B36" s="15">
        <f>0*24+1</f>
        <v>1</v>
      </c>
      <c r="C36" s="21">
        <f>2.18*100000</f>
        <v>218000.00000000003</v>
      </c>
      <c r="D36" s="28"/>
      <c r="E36" s="5">
        <v>-3.5999999999999997E-2</v>
      </c>
      <c r="F36" s="5">
        <v>5.84</v>
      </c>
      <c r="H36" s="15">
        <f>LOG(C36)</f>
        <v>5.3384564936046051</v>
      </c>
      <c r="I36" s="5"/>
      <c r="J36">
        <f t="shared" ref="J36:J51" si="6">(E36-$K$6)/$J$6</f>
        <v>-0.20323823796448184</v>
      </c>
      <c r="K36" s="5"/>
      <c r="N36" s="35">
        <f>H36-$H$36</f>
        <v>0</v>
      </c>
    </row>
    <row r="37" spans="1:14" x14ac:dyDescent="0.35">
      <c r="A37" s="14">
        <v>44649.4375</v>
      </c>
      <c r="B37" s="15">
        <f>(A37-$A$36)*24+1</f>
        <v>3.0000000000582077</v>
      </c>
      <c r="C37" s="21">
        <f>243*20*100</f>
        <v>486000</v>
      </c>
      <c r="D37" s="28"/>
      <c r="E37" s="16">
        <v>-2E-3</v>
      </c>
      <c r="F37" s="5">
        <v>5.78</v>
      </c>
      <c r="H37" s="15">
        <f t="shared" ref="H37:H51" si="7">LOG(C37)</f>
        <v>5.6866362692622934</v>
      </c>
      <c r="I37" s="5"/>
      <c r="J37">
        <f t="shared" si="6"/>
        <v>-7.5593804887084962E-2</v>
      </c>
      <c r="K37" s="5"/>
      <c r="N37" s="35">
        <f t="shared" ref="N37:N51" si="8">H37-$H$36</f>
        <v>0.34817977565768832</v>
      </c>
    </row>
    <row r="38" spans="1:14" x14ac:dyDescent="0.35">
      <c r="A38" s="14">
        <v>44649.5625</v>
      </c>
      <c r="B38" s="15">
        <f t="shared" ref="B38:B51" si="9">(A38-$A$36)*24+1</f>
        <v>6.0000000000582077</v>
      </c>
      <c r="C38" s="21">
        <f>70*20*1000</f>
        <v>1400000</v>
      </c>
      <c r="D38" s="28"/>
      <c r="E38" s="5">
        <v>1.2999999999999999E-2</v>
      </c>
      <c r="F38" s="5">
        <v>5.77</v>
      </c>
      <c r="H38" s="15">
        <f t="shared" si="7"/>
        <v>6.1461280356782382</v>
      </c>
      <c r="I38" s="5"/>
      <c r="J38">
        <f t="shared" si="6"/>
        <v>-1.92800844117628E-2</v>
      </c>
      <c r="K38" s="5"/>
      <c r="N38" s="35">
        <f t="shared" si="8"/>
        <v>0.80767154207363312</v>
      </c>
    </row>
    <row r="39" spans="1:14" x14ac:dyDescent="0.35">
      <c r="A39" s="14">
        <v>44649.6875</v>
      </c>
      <c r="B39" s="15">
        <f t="shared" si="9"/>
        <v>9.0000000000582077</v>
      </c>
      <c r="C39" s="21">
        <f>202*20*1000</f>
        <v>4040000</v>
      </c>
      <c r="D39" s="28"/>
      <c r="E39" s="5">
        <v>-1.7999999999999999E-2</v>
      </c>
      <c r="F39" s="5">
        <v>5.74</v>
      </c>
      <c r="H39" s="15">
        <f t="shared" si="7"/>
        <v>6.6063813651106047</v>
      </c>
      <c r="I39" s="5"/>
      <c r="J39">
        <f t="shared" si="6"/>
        <v>-0.13566177339409527</v>
      </c>
      <c r="K39" s="5"/>
      <c r="N39" s="35">
        <f t="shared" si="8"/>
        <v>1.2679248715059996</v>
      </c>
    </row>
    <row r="40" spans="1:14" x14ac:dyDescent="0.35">
      <c r="A40" s="14">
        <v>44649.819444444445</v>
      </c>
      <c r="B40" s="15">
        <f t="shared" si="9"/>
        <v>12.166666666744277</v>
      </c>
      <c r="C40" s="23">
        <f>57*20*10000</f>
        <v>11400000</v>
      </c>
      <c r="D40" s="28"/>
      <c r="E40" s="5">
        <v>-1.6000000000000001E-3</v>
      </c>
      <c r="F40" s="5">
        <v>5.68</v>
      </c>
      <c r="H40" s="15">
        <f t="shared" si="7"/>
        <v>7.0569048513364727</v>
      </c>
      <c r="I40" s="5"/>
      <c r="J40">
        <f t="shared" si="6"/>
        <v>-7.40921056744097E-2</v>
      </c>
      <c r="K40" s="5"/>
      <c r="N40" s="35">
        <f t="shared" si="8"/>
        <v>1.7184483577318677</v>
      </c>
    </row>
    <row r="41" spans="1:14" x14ac:dyDescent="0.35">
      <c r="A41" s="37">
        <v>44692.375</v>
      </c>
      <c r="B41" s="38">
        <v>15</v>
      </c>
      <c r="C41" s="45">
        <f>258*20*10000</f>
        <v>51600000</v>
      </c>
      <c r="D41" s="46"/>
      <c r="E41" s="47">
        <v>1.4999999999999999E-2</v>
      </c>
      <c r="F41" s="47">
        <v>5.14</v>
      </c>
      <c r="G41" s="46"/>
      <c r="H41" s="38">
        <f>LOG(C41)</f>
        <v>7.7126497016272113</v>
      </c>
      <c r="I41" s="46"/>
      <c r="J41" s="46">
        <f t="shared" si="6"/>
        <v>-1.1771588348386512E-2</v>
      </c>
      <c r="K41" s="46"/>
      <c r="L41" s="46"/>
      <c r="N41" s="35">
        <f>H41-$Q$5</f>
        <v>2.2654916702849919</v>
      </c>
    </row>
    <row r="42" spans="1:14" x14ac:dyDescent="0.35">
      <c r="A42" s="37">
        <v>44692.5</v>
      </c>
      <c r="B42" s="38">
        <v>18</v>
      </c>
      <c r="C42" s="45">
        <f>((61000000)+(69000000))/2</f>
        <v>65000000</v>
      </c>
      <c r="D42" s="46"/>
      <c r="E42" s="47">
        <v>0.157</v>
      </c>
      <c r="F42" s="47">
        <v>4.93</v>
      </c>
      <c r="G42" s="46"/>
      <c r="H42" s="38">
        <f t="shared" si="7"/>
        <v>7.8129133566428557</v>
      </c>
      <c r="I42" s="46"/>
      <c r="J42" s="46">
        <f t="shared" si="6"/>
        <v>0.52133163215132994</v>
      </c>
      <c r="K42" s="46"/>
      <c r="L42" s="46"/>
      <c r="N42" s="35">
        <f t="shared" ref="N42:N43" si="10">H42-$Q$5</f>
        <v>2.3657553253006363</v>
      </c>
    </row>
    <row r="43" spans="1:14" x14ac:dyDescent="0.35">
      <c r="A43" s="37">
        <v>44692.625</v>
      </c>
      <c r="B43" s="38">
        <v>21</v>
      </c>
      <c r="C43" s="45">
        <f>53*20*100000</f>
        <v>106000000</v>
      </c>
      <c r="D43" s="46"/>
      <c r="E43" s="47">
        <v>0.317</v>
      </c>
      <c r="F43" s="47">
        <v>4.41</v>
      </c>
      <c r="G43" s="46"/>
      <c r="H43" s="38">
        <f t="shared" si="7"/>
        <v>8.0253058652647695</v>
      </c>
      <c r="I43" s="46"/>
      <c r="J43" s="46">
        <f t="shared" si="6"/>
        <v>1.122011317221433</v>
      </c>
      <c r="K43" s="46"/>
      <c r="L43" s="46"/>
      <c r="N43" s="35">
        <f t="shared" si="10"/>
        <v>2.5781478339225501</v>
      </c>
    </row>
    <row r="44" spans="1:14" x14ac:dyDescent="0.35">
      <c r="A44" s="14">
        <v>44650.319444444445</v>
      </c>
      <c r="B44" s="15">
        <f t="shared" si="9"/>
        <v>24.166666666744277</v>
      </c>
      <c r="C44" s="21">
        <f>79*20*100000</f>
        <v>158000000</v>
      </c>
      <c r="D44" s="28"/>
      <c r="E44" s="5">
        <v>0.34300000000000003</v>
      </c>
      <c r="F44" s="5">
        <v>4.38</v>
      </c>
      <c r="H44" s="15">
        <f t="shared" si="7"/>
        <v>8.1986570869544231</v>
      </c>
      <c r="I44" s="5"/>
      <c r="J44">
        <f t="shared" si="6"/>
        <v>1.2196217660453248</v>
      </c>
      <c r="K44" s="5"/>
      <c r="N44" s="35">
        <f t="shared" si="8"/>
        <v>2.860200593349818</v>
      </c>
    </row>
    <row r="45" spans="1:14" x14ac:dyDescent="0.35">
      <c r="A45" s="14">
        <v>44650.440972222219</v>
      </c>
      <c r="B45" s="15">
        <f t="shared" si="9"/>
        <v>27.083333333313931</v>
      </c>
      <c r="C45" s="21">
        <f>92*20*100000</f>
        <v>184000000</v>
      </c>
      <c r="D45" s="28"/>
      <c r="E45" s="5">
        <v>0.56899999999999995</v>
      </c>
      <c r="F45" s="5">
        <v>4.21</v>
      </c>
      <c r="H45" s="15">
        <f t="shared" si="7"/>
        <v>8.2648178230095368</v>
      </c>
      <c r="I45" s="5"/>
      <c r="J45">
        <f t="shared" si="6"/>
        <v>2.068081821206845</v>
      </c>
      <c r="K45" s="5"/>
      <c r="N45" s="35">
        <f t="shared" si="8"/>
        <v>2.9263613294049318</v>
      </c>
    </row>
    <row r="46" spans="1:14" x14ac:dyDescent="0.35">
      <c r="A46" s="14">
        <v>44650.565972222219</v>
      </c>
      <c r="B46" s="15">
        <f t="shared" si="9"/>
        <v>30.083333333313931</v>
      </c>
      <c r="C46" s="21">
        <f>107*20*100000</f>
        <v>214000000</v>
      </c>
      <c r="D46" s="28"/>
      <c r="E46" s="5">
        <v>0.77200000000000002</v>
      </c>
      <c r="F46" s="5">
        <v>4.03</v>
      </c>
      <c r="H46" s="15">
        <f t="shared" si="7"/>
        <v>8.330413773349191</v>
      </c>
      <c r="I46" s="5"/>
      <c r="J46">
        <f t="shared" si="6"/>
        <v>2.8301941716395387</v>
      </c>
      <c r="K46" s="5"/>
      <c r="N46" s="35">
        <f t="shared" si="8"/>
        <v>2.9919572797445859</v>
      </c>
    </row>
    <row r="47" spans="1:14" x14ac:dyDescent="0.35">
      <c r="A47" s="14">
        <v>44650.690972222219</v>
      </c>
      <c r="B47" s="15">
        <f t="shared" si="9"/>
        <v>33.083333333313931</v>
      </c>
      <c r="C47" s="21">
        <f>94*20*100000</f>
        <v>188000000</v>
      </c>
      <c r="D47" s="28"/>
      <c r="E47" s="16">
        <v>0.78400000000000003</v>
      </c>
      <c r="F47" s="5">
        <v>3.97</v>
      </c>
      <c r="H47" s="15">
        <f t="shared" si="7"/>
        <v>8.2741578492636805</v>
      </c>
      <c r="I47" s="5"/>
      <c r="J47">
        <f t="shared" si="6"/>
        <v>2.8752451480197965</v>
      </c>
      <c r="K47" s="5"/>
      <c r="N47" s="35">
        <f t="shared" si="8"/>
        <v>2.9357013556590754</v>
      </c>
    </row>
    <row r="48" spans="1:14" x14ac:dyDescent="0.35">
      <c r="A48" s="14">
        <v>44650.805555555555</v>
      </c>
      <c r="B48" s="15">
        <f t="shared" si="9"/>
        <v>35.833333333372138</v>
      </c>
      <c r="C48" s="21">
        <f>113*20*100000</f>
        <v>226000000</v>
      </c>
      <c r="D48" s="28"/>
      <c r="E48" s="5">
        <v>0.95299999999999996</v>
      </c>
      <c r="F48" s="5">
        <v>3.9</v>
      </c>
      <c r="H48" s="15">
        <f t="shared" si="7"/>
        <v>8.3541084391474012</v>
      </c>
      <c r="I48" s="5"/>
      <c r="J48">
        <f t="shared" si="6"/>
        <v>3.509713065375093</v>
      </c>
      <c r="K48" s="5"/>
      <c r="N48" s="35">
        <f t="shared" si="8"/>
        <v>3.0156519455427961</v>
      </c>
    </row>
    <row r="49" spans="1:14" x14ac:dyDescent="0.35">
      <c r="A49" s="37">
        <v>44693.5</v>
      </c>
      <c r="B49" s="38">
        <v>42</v>
      </c>
      <c r="C49" s="45">
        <f>104*20*100000</f>
        <v>208000000</v>
      </c>
      <c r="D49" s="46"/>
      <c r="E49" s="47">
        <v>1.1339999999999999</v>
      </c>
      <c r="F49" s="47">
        <v>3.74</v>
      </c>
      <c r="G49" s="46"/>
      <c r="H49" s="38">
        <f t="shared" si="7"/>
        <v>8.318063334962762</v>
      </c>
      <c r="I49" s="47"/>
      <c r="J49" s="46">
        <f t="shared" si="6"/>
        <v>4.1892319591106464</v>
      </c>
      <c r="K49" s="47"/>
      <c r="N49" s="35">
        <f>H49-Q5</f>
        <v>2.8709053036205425</v>
      </c>
    </row>
    <row r="50" spans="1:14" x14ac:dyDescent="0.35">
      <c r="A50" s="14">
        <v>44651.322916666664</v>
      </c>
      <c r="B50" s="15">
        <f t="shared" si="9"/>
        <v>48.25</v>
      </c>
      <c r="C50" s="21">
        <f>100*20*100000</f>
        <v>200000000</v>
      </c>
      <c r="D50" s="28"/>
      <c r="E50" s="5">
        <v>1.167</v>
      </c>
      <c r="F50" s="5">
        <v>3.78</v>
      </c>
      <c r="H50" s="15">
        <f t="shared" si="7"/>
        <v>8.3010299956639813</v>
      </c>
      <c r="I50" s="5"/>
      <c r="J50">
        <f t="shared" si="6"/>
        <v>4.3131221441563552</v>
      </c>
      <c r="K50" s="5"/>
      <c r="N50" s="35">
        <f t="shared" si="8"/>
        <v>2.9625735020593762</v>
      </c>
    </row>
    <row r="51" spans="1:14" x14ac:dyDescent="0.35">
      <c r="A51" s="14">
        <v>44651.565972222219</v>
      </c>
      <c r="B51" s="15">
        <f t="shared" si="9"/>
        <v>54.083333333313931</v>
      </c>
      <c r="C51" s="21">
        <f>94*20*100000</f>
        <v>188000000</v>
      </c>
      <c r="D51" s="28"/>
      <c r="E51" s="5">
        <v>1.498</v>
      </c>
      <c r="F51" s="5">
        <v>3.73</v>
      </c>
      <c r="H51" s="15">
        <f t="shared" si="7"/>
        <v>8.2741578492636805</v>
      </c>
      <c r="I51" s="5"/>
      <c r="J51">
        <f t="shared" si="6"/>
        <v>5.5557782426451308</v>
      </c>
      <c r="K51" s="5"/>
      <c r="N51" s="35">
        <f t="shared" si="8"/>
        <v>2.9357013556590754</v>
      </c>
    </row>
    <row r="52" spans="1:14" x14ac:dyDescent="0.35">
      <c r="H52" s="5"/>
      <c r="I52" s="5"/>
      <c r="J52" s="5"/>
      <c r="K52" s="5"/>
    </row>
    <row r="53" spans="1:14" x14ac:dyDescent="0.35">
      <c r="E53" t="s">
        <v>31</v>
      </c>
      <c r="F53">
        <f>MIN(F36:F40,F44:F48,F50:F51)</f>
        <v>3.73</v>
      </c>
      <c r="H53" s="5"/>
      <c r="I53" s="5"/>
      <c r="J53" s="5"/>
      <c r="K53" s="5"/>
    </row>
    <row r="58" spans="1:14" ht="18.5" x14ac:dyDescent="0.45">
      <c r="A58" s="13" t="s">
        <v>34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4" x14ac:dyDescent="0.35">
      <c r="A59" t="s">
        <v>23</v>
      </c>
      <c r="B59" s="5" t="s">
        <v>24</v>
      </c>
      <c r="C59" s="5" t="s">
        <v>25</v>
      </c>
      <c r="D59" s="5" t="s">
        <v>26</v>
      </c>
      <c r="E59" s="5" t="s">
        <v>27</v>
      </c>
      <c r="F59" s="5" t="s">
        <v>28</v>
      </c>
      <c r="G59" s="5"/>
      <c r="H59" s="5" t="s">
        <v>29</v>
      </c>
      <c r="I59" s="5" t="s">
        <v>30</v>
      </c>
      <c r="J59" s="5" t="s">
        <v>13</v>
      </c>
      <c r="K59" s="5" t="s">
        <v>28</v>
      </c>
      <c r="L59" t="s">
        <v>45</v>
      </c>
      <c r="N59" s="5" t="s">
        <v>46</v>
      </c>
    </row>
    <row r="60" spans="1:14" x14ac:dyDescent="0.35">
      <c r="A60" s="14">
        <v>44649.354166666664</v>
      </c>
      <c r="B60" s="15">
        <f>0*24+1</f>
        <v>1</v>
      </c>
      <c r="C60" s="29"/>
      <c r="D60" s="21">
        <f>16*100</f>
        <v>1600</v>
      </c>
      <c r="E60" s="5">
        <v>-2.9000000000000001E-2</v>
      </c>
      <c r="F60" s="5">
        <v>5.84</v>
      </c>
      <c r="H60" s="51"/>
      <c r="I60" s="15">
        <f>LOG(D60)</f>
        <v>3.2041199826559246</v>
      </c>
      <c r="J60">
        <f t="shared" ref="J60:J75" si="11">(E60-$K$6)/$J$6</f>
        <v>-0.17695850174266484</v>
      </c>
      <c r="N60" s="35">
        <f>I60-$I$60</f>
        <v>0</v>
      </c>
    </row>
    <row r="61" spans="1:14" x14ac:dyDescent="0.35">
      <c r="A61" s="14">
        <v>44649.4375</v>
      </c>
      <c r="B61" s="15">
        <f>(A61-$A$36)*24+1</f>
        <v>3.0000000000582077</v>
      </c>
      <c r="C61" s="29"/>
      <c r="D61" s="21">
        <f>46*100</f>
        <v>4600</v>
      </c>
      <c r="E61" s="16">
        <v>2E-3</v>
      </c>
      <c r="F61" s="5">
        <v>5.8</v>
      </c>
      <c r="H61" s="29"/>
      <c r="I61" s="15">
        <f t="shared" ref="I61:I75" si="12">LOG(D61)</f>
        <v>3.6627578316815739</v>
      </c>
      <c r="J61">
        <f t="shared" si="11"/>
        <v>-6.0576812760332374E-2</v>
      </c>
      <c r="N61" s="35">
        <f t="shared" ref="N61:N75" si="13">I61-$I$60</f>
        <v>0.4586378490256493</v>
      </c>
    </row>
    <row r="62" spans="1:14" x14ac:dyDescent="0.35">
      <c r="A62" s="14">
        <v>44649.5625</v>
      </c>
      <c r="B62" s="15">
        <f t="shared" ref="B62:B75" si="14">(A62-$A$36)*24+1</f>
        <v>6.0000000000582077</v>
      </c>
      <c r="C62" s="29"/>
      <c r="D62" s="21">
        <f>26*20*10</f>
        <v>5200</v>
      </c>
      <c r="E62" s="5">
        <v>4.1000000000000002E-2</v>
      </c>
      <c r="F62" s="5">
        <v>5.77</v>
      </c>
      <c r="H62" s="29"/>
      <c r="I62" s="15">
        <f t="shared" si="12"/>
        <v>3.716003343634799</v>
      </c>
      <c r="J62">
        <f t="shared" si="11"/>
        <v>8.5838860475505249E-2</v>
      </c>
      <c r="N62" s="35">
        <f t="shared" si="13"/>
        <v>0.51188336097887444</v>
      </c>
    </row>
    <row r="63" spans="1:14" x14ac:dyDescent="0.35">
      <c r="A63" s="14">
        <v>44649.6875</v>
      </c>
      <c r="B63" s="15">
        <f t="shared" si="14"/>
        <v>9.0000000000582077</v>
      </c>
      <c r="C63" s="29"/>
      <c r="D63" s="21">
        <f>117*20*10</f>
        <v>23400</v>
      </c>
      <c r="E63" s="5">
        <v>8.9999999999999993E-3</v>
      </c>
      <c r="F63" s="5">
        <v>5.81</v>
      </c>
      <c r="H63" s="29"/>
      <c r="I63" s="15">
        <f t="shared" si="12"/>
        <v>4.3692158574101425</v>
      </c>
      <c r="J63">
        <f t="shared" si="11"/>
        <v>-3.4297076538515374E-2</v>
      </c>
      <c r="N63" s="35">
        <f t="shared" si="13"/>
        <v>1.1650958747542179</v>
      </c>
    </row>
    <row r="64" spans="1:14" x14ac:dyDescent="0.35">
      <c r="A64" s="14">
        <v>44649.819444444445</v>
      </c>
      <c r="B64" s="15">
        <f t="shared" si="14"/>
        <v>12.166666666744277</v>
      </c>
      <c r="C64" s="29"/>
      <c r="D64" s="21">
        <f>29*20*100</f>
        <v>58000</v>
      </c>
      <c r="E64" s="5">
        <v>-2.9000000000000001E-2</v>
      </c>
      <c r="F64" s="5">
        <v>5.79</v>
      </c>
      <c r="H64" s="51"/>
      <c r="I64" s="15">
        <f t="shared" si="12"/>
        <v>4.7634279935629369</v>
      </c>
      <c r="J64">
        <f t="shared" si="11"/>
        <v>-0.17695850174266484</v>
      </c>
      <c r="N64" s="35">
        <f t="shared" si="13"/>
        <v>1.5593080109070123</v>
      </c>
    </row>
    <row r="65" spans="1:23" x14ac:dyDescent="0.35">
      <c r="A65" s="37">
        <v>44692.375</v>
      </c>
      <c r="B65" s="38">
        <v>15</v>
      </c>
      <c r="C65" s="45"/>
      <c r="D65" s="45">
        <f>100*20*100</f>
        <v>200000</v>
      </c>
      <c r="E65" s="47">
        <v>-8.6999999999999994E-2</v>
      </c>
      <c r="F65" s="47">
        <v>5.8</v>
      </c>
      <c r="G65" s="46"/>
      <c r="H65" s="38"/>
      <c r="I65" s="38">
        <f>LOG(D65)</f>
        <v>5.3010299956639813</v>
      </c>
      <c r="J65" s="56">
        <f t="shared" si="11"/>
        <v>-0.3947048875805772</v>
      </c>
      <c r="K65" s="46"/>
      <c r="L65" s="46"/>
      <c r="N65" s="35">
        <f>I65-$Q$6</f>
        <v>2.1549019599857431</v>
      </c>
    </row>
    <row r="66" spans="1:23" x14ac:dyDescent="0.35">
      <c r="A66" s="37">
        <v>44692.5</v>
      </c>
      <c r="B66" s="38">
        <v>18</v>
      </c>
      <c r="C66" s="45"/>
      <c r="D66" s="45">
        <f>((1100000)+(897000)+(722000))/3</f>
        <v>906333.33333333337</v>
      </c>
      <c r="E66" s="47">
        <v>1.6E-2</v>
      </c>
      <c r="F66" s="47">
        <v>5.78</v>
      </c>
      <c r="G66" s="46"/>
      <c r="H66" s="38"/>
      <c r="I66" s="38">
        <f t="shared" si="12"/>
        <v>5.957287952867838</v>
      </c>
      <c r="J66" s="56">
        <f t="shared" si="11"/>
        <v>-8.0173403166983633E-3</v>
      </c>
      <c r="K66" s="46"/>
      <c r="L66" s="46"/>
      <c r="N66" s="35">
        <f t="shared" ref="N66:N67" si="15">I66-$Q$6</f>
        <v>2.8111599171895998</v>
      </c>
    </row>
    <row r="67" spans="1:23" x14ac:dyDescent="0.35">
      <c r="A67" s="37">
        <v>44692.625</v>
      </c>
      <c r="B67" s="38">
        <v>21</v>
      </c>
      <c r="C67" s="45"/>
      <c r="D67" s="45">
        <f>11*20*10000</f>
        <v>2200000</v>
      </c>
      <c r="E67" s="47">
        <v>-1.4999999999999999E-2</v>
      </c>
      <c r="F67" s="47">
        <v>5.81</v>
      </c>
      <c r="G67" s="46"/>
      <c r="H67" s="38"/>
      <c r="I67" s="38">
        <f t="shared" si="12"/>
        <v>6.3424226808222066</v>
      </c>
      <c r="J67" s="56">
        <f t="shared" si="11"/>
        <v>-0.12439902929903084</v>
      </c>
      <c r="K67" s="46"/>
      <c r="L67" s="46"/>
      <c r="N67" s="35">
        <f t="shared" si="15"/>
        <v>3.1962946451439684</v>
      </c>
    </row>
    <row r="68" spans="1:23" x14ac:dyDescent="0.35">
      <c r="A68" s="14">
        <v>44650.319444444445</v>
      </c>
      <c r="B68" s="15">
        <f t="shared" si="14"/>
        <v>24.166666666744277</v>
      </c>
      <c r="C68" s="29"/>
      <c r="D68" s="21">
        <f>33*20*10000</f>
        <v>6600000</v>
      </c>
      <c r="E68" s="5">
        <v>-5.0000000000000001E-3</v>
      </c>
      <c r="F68" s="5">
        <v>5.72</v>
      </c>
      <c r="H68" s="51"/>
      <c r="I68" s="15">
        <f t="shared" si="12"/>
        <v>6.8195439355418683</v>
      </c>
      <c r="J68">
        <f t="shared" si="11"/>
        <v>-8.6856548982149395E-2</v>
      </c>
      <c r="N68" s="35">
        <f t="shared" si="13"/>
        <v>3.6154239528859438</v>
      </c>
    </row>
    <row r="69" spans="1:23" x14ac:dyDescent="0.35">
      <c r="A69" s="14">
        <v>44650.440972222219</v>
      </c>
      <c r="B69" s="15">
        <f t="shared" si="14"/>
        <v>27.083333333313931</v>
      </c>
      <c r="C69" s="29"/>
      <c r="D69" s="21">
        <f>96*20*10000</f>
        <v>19200000</v>
      </c>
      <c r="E69" s="5">
        <v>1.7000000000000001E-2</v>
      </c>
      <c r="F69" s="5">
        <v>5.76</v>
      </c>
      <c r="H69" s="29"/>
      <c r="I69" s="15">
        <f t="shared" si="12"/>
        <v>7.2833012287035492</v>
      </c>
      <c r="J69">
        <f t="shared" si="11"/>
        <v>-4.2630922850102164E-3</v>
      </c>
      <c r="N69" s="35">
        <f t="shared" si="13"/>
        <v>4.0791812460476251</v>
      </c>
    </row>
    <row r="70" spans="1:23" x14ac:dyDescent="0.35">
      <c r="A70" s="14">
        <v>44650.565972222219</v>
      </c>
      <c r="B70" s="15">
        <f t="shared" si="14"/>
        <v>30.083333333313931</v>
      </c>
      <c r="C70" s="29"/>
      <c r="D70" s="21">
        <f>41*20*100000</f>
        <v>82000000</v>
      </c>
      <c r="E70" s="5">
        <v>-0.03</v>
      </c>
      <c r="F70" s="5">
        <v>5.64</v>
      </c>
      <c r="H70" s="29"/>
      <c r="I70" s="15">
        <f t="shared" si="12"/>
        <v>7.9138138523837167</v>
      </c>
      <c r="J70">
        <f t="shared" si="11"/>
        <v>-0.180712749774353</v>
      </c>
      <c r="N70" s="35">
        <f t="shared" si="13"/>
        <v>4.7096938697277917</v>
      </c>
    </row>
    <row r="71" spans="1:23" x14ac:dyDescent="0.35">
      <c r="A71" s="14">
        <v>44650.690972222219</v>
      </c>
      <c r="B71" s="15">
        <f t="shared" si="14"/>
        <v>33.083333333313931</v>
      </c>
      <c r="C71" s="29"/>
      <c r="D71" s="21">
        <f>72*20*100000</f>
        <v>144000000</v>
      </c>
      <c r="E71" s="5">
        <v>-2.9000000000000001E-2</v>
      </c>
      <c r="F71" s="5">
        <v>5.51</v>
      </c>
      <c r="H71" s="29"/>
      <c r="I71" s="15">
        <f t="shared" si="12"/>
        <v>8.1583624920952502</v>
      </c>
      <c r="J71">
        <f t="shared" si="11"/>
        <v>-0.17695850174266484</v>
      </c>
      <c r="N71" s="35">
        <f t="shared" si="13"/>
        <v>4.9542425094393252</v>
      </c>
    </row>
    <row r="72" spans="1:23" x14ac:dyDescent="0.35">
      <c r="A72" s="14">
        <v>44650.805555555555</v>
      </c>
      <c r="B72" s="15">
        <f t="shared" si="14"/>
        <v>35.833333333372138</v>
      </c>
      <c r="C72" s="29"/>
      <c r="D72" s="21">
        <f>117*20*100000</f>
        <v>234000000</v>
      </c>
      <c r="E72" s="5">
        <v>7.9000000000000001E-2</v>
      </c>
      <c r="F72" s="5">
        <v>5.22</v>
      </c>
      <c r="H72" s="51"/>
      <c r="I72" s="15">
        <f t="shared" si="12"/>
        <v>8.3692158574101434</v>
      </c>
      <c r="J72">
        <f t="shared" si="11"/>
        <v>0.22850028567965472</v>
      </c>
      <c r="N72" s="35">
        <f t="shared" si="13"/>
        <v>5.1650958747542184</v>
      </c>
      <c r="W72" s="21"/>
    </row>
    <row r="73" spans="1:23" x14ac:dyDescent="0.35">
      <c r="A73" s="37">
        <v>44693.5</v>
      </c>
      <c r="B73" s="38">
        <v>42</v>
      </c>
      <c r="C73" s="29"/>
      <c r="D73" s="45">
        <f>((640000000)+(416000000)+(840000000))/3</f>
        <v>632000000</v>
      </c>
      <c r="E73" s="47">
        <v>-0.185</v>
      </c>
      <c r="F73" s="47">
        <v>4.75</v>
      </c>
      <c r="G73" s="46"/>
      <c r="H73" s="38"/>
      <c r="I73" s="38">
        <f t="shared" si="12"/>
        <v>8.8007170782823856</v>
      </c>
      <c r="J73" s="46">
        <f t="shared" si="11"/>
        <v>-0.7626211946860153</v>
      </c>
      <c r="N73" s="35">
        <f>I73-Q6</f>
        <v>5.6545890426041474</v>
      </c>
      <c r="W73" s="21"/>
    </row>
    <row r="74" spans="1:23" x14ac:dyDescent="0.35">
      <c r="A74" s="14">
        <v>44651.322916666664</v>
      </c>
      <c r="B74" s="15">
        <f t="shared" si="14"/>
        <v>48.25</v>
      </c>
      <c r="C74" s="29"/>
      <c r="D74" s="21">
        <f>(573000000+853000000+960000000+720000000)/4</f>
        <v>776500000</v>
      </c>
      <c r="E74" s="5">
        <v>0.30599999999999999</v>
      </c>
      <c r="F74" s="5">
        <v>4.5199999999999996</v>
      </c>
      <c r="H74" s="51"/>
      <c r="I74" s="15">
        <f t="shared" si="12"/>
        <v>8.8901414600645765</v>
      </c>
      <c r="J74">
        <f t="shared" si="11"/>
        <v>1.0807145888728635</v>
      </c>
      <c r="N74" s="35">
        <f t="shared" si="13"/>
        <v>5.6860214774086515</v>
      </c>
    </row>
    <row r="75" spans="1:23" x14ac:dyDescent="0.35">
      <c r="A75" s="14">
        <v>44651.565972222219</v>
      </c>
      <c r="B75" s="15">
        <f t="shared" si="14"/>
        <v>54.083333333313931</v>
      </c>
      <c r="C75" s="28"/>
      <c r="D75" s="21">
        <f>(640000000+744000000+867000000)/3</f>
        <v>750333333.33333337</v>
      </c>
      <c r="E75" s="5">
        <v>0.26900000000000002</v>
      </c>
      <c r="F75" s="5">
        <v>4.38</v>
      </c>
      <c r="H75" s="51"/>
      <c r="I75" s="15">
        <f t="shared" si="12"/>
        <v>8.8752542402808583</v>
      </c>
      <c r="J75">
        <f t="shared" si="11"/>
        <v>0.94180741170040216</v>
      </c>
      <c r="N75" s="35">
        <f t="shared" si="13"/>
        <v>5.6711342576249333</v>
      </c>
    </row>
    <row r="77" spans="1:23" x14ac:dyDescent="0.35">
      <c r="E77" t="s">
        <v>31</v>
      </c>
      <c r="F77">
        <f>MIN(F60:F64,F68:F72,F74:F75)</f>
        <v>4.38</v>
      </c>
    </row>
    <row r="83" spans="1:15" ht="18.5" x14ac:dyDescent="0.45">
      <c r="A83" s="33" t="s">
        <v>35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 spans="1:15" x14ac:dyDescent="0.35">
      <c r="A84" t="s">
        <v>23</v>
      </c>
      <c r="B84" s="5" t="s">
        <v>24</v>
      </c>
      <c r="C84" s="5" t="s">
        <v>25</v>
      </c>
      <c r="D84" s="5" t="s">
        <v>26</v>
      </c>
      <c r="E84" s="5" t="s">
        <v>27</v>
      </c>
      <c r="F84" s="5" t="s">
        <v>28</v>
      </c>
      <c r="G84" s="5"/>
      <c r="H84" s="5" t="s">
        <v>29</v>
      </c>
      <c r="I84" s="5" t="s">
        <v>30</v>
      </c>
      <c r="J84" s="5" t="s">
        <v>13</v>
      </c>
      <c r="K84" s="5" t="s">
        <v>28</v>
      </c>
      <c r="L84" t="s">
        <v>45</v>
      </c>
      <c r="N84" s="5" t="s">
        <v>46</v>
      </c>
      <c r="O84" s="5" t="s">
        <v>46</v>
      </c>
    </row>
    <row r="85" spans="1:15" x14ac:dyDescent="0.35">
      <c r="A85" s="14">
        <v>44649.354166666664</v>
      </c>
      <c r="B85" s="15">
        <f>0*24+1</f>
        <v>1</v>
      </c>
      <c r="C85" s="21">
        <f>72*20*100</f>
        <v>144000</v>
      </c>
      <c r="D85" s="21">
        <f>15*100</f>
        <v>1500</v>
      </c>
      <c r="E85" s="5">
        <v>0.01</v>
      </c>
      <c r="F85" s="5">
        <v>5.85</v>
      </c>
      <c r="H85" s="15">
        <f>LOG(C85)</f>
        <v>5.1583624920952493</v>
      </c>
      <c r="I85" s="15">
        <f>LOG(D85)</f>
        <v>3.1760912590556813</v>
      </c>
      <c r="J85">
        <f t="shared" ref="J85:J100" si="16">(E85-$K$6)/$J$6</f>
        <v>-3.0542828506827231E-2</v>
      </c>
      <c r="L85">
        <v>0</v>
      </c>
      <c r="N85" s="35">
        <f>H85-$H$85</f>
        <v>0</v>
      </c>
      <c r="O85" s="35">
        <f>I85-$I$85</f>
        <v>0</v>
      </c>
    </row>
    <row r="86" spans="1:15" x14ac:dyDescent="0.35">
      <c r="A86" s="14">
        <v>44649.4375</v>
      </c>
      <c r="B86" s="15">
        <f>(A86-$A$36)*24+1</f>
        <v>3.0000000000582077</v>
      </c>
      <c r="C86" s="21">
        <f>140*20*100</f>
        <v>280000</v>
      </c>
      <c r="D86" s="21">
        <f>26*100</f>
        <v>2600</v>
      </c>
      <c r="E86" s="5">
        <v>4.0000000000000001E-3</v>
      </c>
      <c r="F86" s="5">
        <v>5.83</v>
      </c>
      <c r="H86" s="15">
        <f t="shared" ref="H86:I100" si="17">LOG(C86)</f>
        <v>5.4471580313422194</v>
      </c>
      <c r="I86" s="15">
        <f t="shared" si="17"/>
        <v>3.4149733479708178</v>
      </c>
      <c r="J86">
        <f t="shared" si="16"/>
        <v>-5.3068316696956094E-2</v>
      </c>
      <c r="L86">
        <v>0</v>
      </c>
      <c r="N86" s="35">
        <f>H86-$H$85</f>
        <v>0.2887955392469701</v>
      </c>
      <c r="O86" s="35">
        <f t="shared" ref="O86:O100" si="18">I86-$I$85</f>
        <v>0.2388820889151364</v>
      </c>
    </row>
    <row r="87" spans="1:15" x14ac:dyDescent="0.35">
      <c r="A87" s="14">
        <v>44649.5625</v>
      </c>
      <c r="B87" s="15">
        <f t="shared" ref="B87:B100" si="19">(A87-$A$36)*24+1</f>
        <v>6.0000000000582077</v>
      </c>
      <c r="C87" s="21">
        <f>58*20*1000</f>
        <v>1160000</v>
      </c>
      <c r="D87" s="21">
        <f>36*20*10</f>
        <v>7200</v>
      </c>
      <c r="E87" s="5">
        <v>1.7000000000000001E-2</v>
      </c>
      <c r="F87" s="5">
        <v>5.8</v>
      </c>
      <c r="H87" s="15">
        <f t="shared" si="17"/>
        <v>6.0644579892269181</v>
      </c>
      <c r="I87" s="15">
        <f t="shared" si="17"/>
        <v>3.8573324964312685</v>
      </c>
      <c r="J87">
        <f t="shared" si="16"/>
        <v>-4.2630922850102164E-3</v>
      </c>
      <c r="L87">
        <v>0</v>
      </c>
      <c r="N87" s="35">
        <f t="shared" ref="N87:N100" si="20">H87-$H$85</f>
        <v>0.90609549713166881</v>
      </c>
      <c r="O87" s="35">
        <f t="shared" si="18"/>
        <v>0.68124123737558717</v>
      </c>
    </row>
    <row r="88" spans="1:15" x14ac:dyDescent="0.35">
      <c r="A88" s="14">
        <v>44649.6875</v>
      </c>
      <c r="B88" s="15">
        <f t="shared" si="19"/>
        <v>9.0000000000582077</v>
      </c>
      <c r="C88" s="21">
        <f>148*20*1000</f>
        <v>2960000</v>
      </c>
      <c r="D88" s="21">
        <f>112*20*10</f>
        <v>22400</v>
      </c>
      <c r="E88" s="5">
        <v>-3.0000000000000001E-3</v>
      </c>
      <c r="F88" s="5">
        <v>5.76</v>
      </c>
      <c r="H88" s="15">
        <f t="shared" si="17"/>
        <v>6.4712917110589387</v>
      </c>
      <c r="I88" s="15">
        <f t="shared" si="17"/>
        <v>4.3502480183341632</v>
      </c>
      <c r="J88">
        <f t="shared" si="16"/>
        <v>-7.9348052918773102E-2</v>
      </c>
      <c r="L88">
        <v>0</v>
      </c>
      <c r="N88" s="35">
        <f t="shared" si="20"/>
        <v>1.3129292189636894</v>
      </c>
      <c r="O88" s="35">
        <f t="shared" si="18"/>
        <v>1.1741567592784818</v>
      </c>
    </row>
    <row r="89" spans="1:15" x14ac:dyDescent="0.35">
      <c r="A89" s="14">
        <v>44649.819444444445</v>
      </c>
      <c r="B89" s="15">
        <f t="shared" si="19"/>
        <v>12.166666666744277</v>
      </c>
      <c r="C89" s="21">
        <f>37*20*10000</f>
        <v>7400000</v>
      </c>
      <c r="D89" s="21">
        <f>44*20*100</f>
        <v>88000</v>
      </c>
      <c r="E89" s="5">
        <v>-1.7000000000000001E-2</v>
      </c>
      <c r="F89" s="5">
        <v>5.71</v>
      </c>
      <c r="H89" s="15">
        <f t="shared" si="17"/>
        <v>6.8692317197309762</v>
      </c>
      <c r="I89" s="15">
        <f t="shared" si="17"/>
        <v>4.9444826721501682</v>
      </c>
      <c r="J89">
        <f t="shared" si="16"/>
        <v>-0.13190752536240713</v>
      </c>
      <c r="L89">
        <v>0</v>
      </c>
      <c r="N89" s="35">
        <f t="shared" si="20"/>
        <v>1.7108692276357269</v>
      </c>
      <c r="O89" s="35">
        <f t="shared" si="18"/>
        <v>1.7683914130944869</v>
      </c>
    </row>
    <row r="90" spans="1:15" x14ac:dyDescent="0.35">
      <c r="A90" s="37">
        <v>44692.375</v>
      </c>
      <c r="B90" s="38">
        <v>15</v>
      </c>
      <c r="C90" s="45">
        <f>295*20*10000</f>
        <v>59000000</v>
      </c>
      <c r="D90" s="45">
        <f>38*20*100</f>
        <v>76000</v>
      </c>
      <c r="E90" s="47">
        <v>7.2999999999999995E-2</v>
      </c>
      <c r="F90" s="47">
        <v>4.75</v>
      </c>
      <c r="G90" s="46"/>
      <c r="H90" s="38">
        <f>LOG(C90)</f>
        <v>7.7708520116421438</v>
      </c>
      <c r="I90" s="38">
        <f>LOG(D90)</f>
        <v>4.8808135922807914</v>
      </c>
      <c r="J90" s="47">
        <f t="shared" si="16"/>
        <v>0.20597479748952585</v>
      </c>
      <c r="K90" s="46"/>
      <c r="L90" s="46"/>
      <c r="N90" s="35">
        <f>H90-$Q$4</f>
        <v>2.2937307569224812</v>
      </c>
      <c r="O90" s="35">
        <f>I90-$Q$6</f>
        <v>1.7346855566025532</v>
      </c>
    </row>
    <row r="91" spans="1:15" x14ac:dyDescent="0.35">
      <c r="A91" s="37">
        <v>44692.5</v>
      </c>
      <c r="B91" s="38">
        <v>18</v>
      </c>
      <c r="C91" s="45">
        <f>119*20*10000</f>
        <v>23800000</v>
      </c>
      <c r="D91" s="45">
        <f>74*20*10</f>
        <v>14800</v>
      </c>
      <c r="E91" s="47">
        <v>0.27200000000000002</v>
      </c>
      <c r="F91" s="47">
        <v>4.5599999999999996</v>
      </c>
      <c r="G91" s="46"/>
      <c r="H91" s="38">
        <f t="shared" si="17"/>
        <v>7.3765769570565123</v>
      </c>
      <c r="I91" s="38">
        <f t="shared" si="17"/>
        <v>4.1702617153949575</v>
      </c>
      <c r="J91" s="47">
        <f t="shared" si="16"/>
        <v>0.95307015579546661</v>
      </c>
      <c r="K91" s="46"/>
      <c r="L91" s="46"/>
      <c r="N91" s="35">
        <f t="shared" ref="N91:N92" si="21">H91-$Q$4</f>
        <v>1.8994557023368497</v>
      </c>
      <c r="O91" s="35">
        <f t="shared" ref="O91:O92" si="22">I91-$Q$6</f>
        <v>1.0241336797167193</v>
      </c>
    </row>
    <row r="92" spans="1:15" x14ac:dyDescent="0.35">
      <c r="A92" s="37">
        <v>44692.625</v>
      </c>
      <c r="B92" s="38">
        <v>21</v>
      </c>
      <c r="C92" s="45">
        <f>95*20*100000</f>
        <v>190000000</v>
      </c>
      <c r="D92" s="45">
        <f>9*20*10</f>
        <v>1800</v>
      </c>
      <c r="E92" s="47">
        <v>0.501</v>
      </c>
      <c r="F92" s="47">
        <v>4.2</v>
      </c>
      <c r="G92" s="46"/>
      <c r="H92" s="38">
        <f t="shared" si="17"/>
        <v>8.2787536009528289</v>
      </c>
      <c r="I92" s="38">
        <f t="shared" si="17"/>
        <v>3.255272505103306</v>
      </c>
      <c r="J92" s="47">
        <f t="shared" si="16"/>
        <v>1.8127929550520516</v>
      </c>
      <c r="K92" s="46"/>
      <c r="L92" s="46"/>
      <c r="N92" s="35">
        <f t="shared" si="21"/>
        <v>2.8016323462331663</v>
      </c>
      <c r="O92" s="35">
        <f t="shared" si="22"/>
        <v>0.10914446942506784</v>
      </c>
    </row>
    <row r="93" spans="1:15" x14ac:dyDescent="0.35">
      <c r="A93" s="14">
        <v>44650.319444444445</v>
      </c>
      <c r="B93" s="15">
        <f t="shared" si="19"/>
        <v>24.166666666744277</v>
      </c>
      <c r="C93" s="21">
        <f>84*20*100000</f>
        <v>168000000</v>
      </c>
      <c r="D93" s="23">
        <f>30*20*10</f>
        <v>6000</v>
      </c>
      <c r="E93" s="5">
        <v>0.54400000000000004</v>
      </c>
      <c r="F93" s="5">
        <v>4.1500000000000004</v>
      </c>
      <c r="H93" s="15">
        <f t="shared" si="17"/>
        <v>8.2253092817258633</v>
      </c>
      <c r="I93" s="15">
        <f t="shared" si="17"/>
        <v>3.7781512503836434</v>
      </c>
      <c r="J93">
        <f t="shared" si="16"/>
        <v>1.9742256204146418</v>
      </c>
      <c r="L93">
        <v>1.6</v>
      </c>
      <c r="N93" s="35">
        <f t="shared" si="20"/>
        <v>3.066946789630614</v>
      </c>
      <c r="O93" s="35">
        <f t="shared" si="18"/>
        <v>0.60205999132796206</v>
      </c>
    </row>
    <row r="94" spans="1:15" x14ac:dyDescent="0.35">
      <c r="A94" s="14">
        <v>44650.440972222219</v>
      </c>
      <c r="B94" s="15">
        <f t="shared" si="19"/>
        <v>27.083333333313931</v>
      </c>
      <c r="C94" s="21">
        <f>102*20*100000</f>
        <v>204000000</v>
      </c>
      <c r="D94" s="23">
        <f>7*20*10</f>
        <v>1400</v>
      </c>
      <c r="E94" s="5">
        <v>0.67300000000000004</v>
      </c>
      <c r="F94" s="5">
        <v>4.1399999999999997</v>
      </c>
      <c r="H94" s="15">
        <f t="shared" si="17"/>
        <v>8.3096301674258992</v>
      </c>
      <c r="I94" s="18">
        <f t="shared" si="17"/>
        <v>3.1461280356782382</v>
      </c>
      <c r="J94">
        <f t="shared" si="16"/>
        <v>2.4585236165024122</v>
      </c>
      <c r="L94">
        <v>3.2</v>
      </c>
      <c r="N94" s="35">
        <f t="shared" si="20"/>
        <v>3.1512676753306499</v>
      </c>
      <c r="O94" s="35">
        <f t="shared" si="18"/>
        <v>-2.9963223377443171E-2</v>
      </c>
    </row>
    <row r="95" spans="1:15" x14ac:dyDescent="0.35">
      <c r="A95" s="14">
        <v>44650.565972222219</v>
      </c>
      <c r="B95" s="15">
        <f t="shared" si="19"/>
        <v>30.083333333313931</v>
      </c>
      <c r="C95" s="21">
        <f>96*20*100000</f>
        <v>192000000</v>
      </c>
      <c r="D95" s="23">
        <f>AVERAGE(189*2,14*2*10)</f>
        <v>329</v>
      </c>
      <c r="E95" s="5">
        <v>0.90700000000000003</v>
      </c>
      <c r="F95" s="5">
        <v>3.92</v>
      </c>
      <c r="H95" s="15">
        <f t="shared" si="17"/>
        <v>8.2833012287035501</v>
      </c>
      <c r="I95" s="15">
        <f t="shared" si="17"/>
        <v>2.5171958979499744</v>
      </c>
      <c r="J95">
        <f t="shared" si="16"/>
        <v>3.337017655917438</v>
      </c>
      <c r="L95">
        <v>3.2</v>
      </c>
      <c r="N95" s="35">
        <f t="shared" si="20"/>
        <v>3.1249387366083008</v>
      </c>
      <c r="O95" s="35">
        <f t="shared" si="18"/>
        <v>-0.6588953611057069</v>
      </c>
    </row>
    <row r="96" spans="1:15" x14ac:dyDescent="0.35">
      <c r="A96" s="14">
        <v>44650.690972222219</v>
      </c>
      <c r="B96" s="15">
        <f t="shared" si="19"/>
        <v>33.083333333313931</v>
      </c>
      <c r="C96" s="21">
        <f>115*20*100000</f>
        <v>230000000</v>
      </c>
      <c r="D96" s="23">
        <f>AVERAGE(50*2,7*2*10)</f>
        <v>120</v>
      </c>
      <c r="E96" s="5">
        <v>0.877</v>
      </c>
      <c r="F96" s="5">
        <v>3.91</v>
      </c>
      <c r="H96" s="15">
        <f t="shared" si="17"/>
        <v>8.3617278360175931</v>
      </c>
      <c r="I96" s="15">
        <f t="shared" si="17"/>
        <v>2.0791812460476247</v>
      </c>
      <c r="J96">
        <f t="shared" si="16"/>
        <v>3.2243902149667938</v>
      </c>
      <c r="L96">
        <v>3.2</v>
      </c>
      <c r="N96" s="35">
        <f t="shared" si="20"/>
        <v>3.2033653439223437</v>
      </c>
      <c r="O96" s="35">
        <f t="shared" si="18"/>
        <v>-1.0969100130080567</v>
      </c>
    </row>
    <row r="97" spans="1:15" x14ac:dyDescent="0.35">
      <c r="A97" s="14">
        <v>44650.805555555555</v>
      </c>
      <c r="B97" s="15">
        <f t="shared" si="19"/>
        <v>35.833333333372138</v>
      </c>
      <c r="C97" s="21">
        <f>129*20*100000</f>
        <v>258000000</v>
      </c>
      <c r="D97" s="23">
        <f>24*2</f>
        <v>48</v>
      </c>
      <c r="E97" s="5">
        <v>0.997</v>
      </c>
      <c r="F97" s="5">
        <v>3.89</v>
      </c>
      <c r="H97" s="15">
        <f t="shared" si="17"/>
        <v>8.4116197059632309</v>
      </c>
      <c r="I97" s="15">
        <f t="shared" si="17"/>
        <v>1.6812412373755872</v>
      </c>
      <c r="J97">
        <f t="shared" si="16"/>
        <v>3.6748999787693712</v>
      </c>
      <c r="L97">
        <v>3.2</v>
      </c>
      <c r="N97" s="35">
        <f t="shared" si="20"/>
        <v>3.2532572138679816</v>
      </c>
      <c r="O97" s="35">
        <f t="shared" si="18"/>
        <v>-1.4948500216800942</v>
      </c>
    </row>
    <row r="98" spans="1:15" x14ac:dyDescent="0.35">
      <c r="A98" s="37">
        <v>44693.5</v>
      </c>
      <c r="B98" s="38">
        <v>42</v>
      </c>
      <c r="C98" s="45">
        <f>116*20*100000</f>
        <v>232000000</v>
      </c>
      <c r="D98" s="52">
        <f>2/5</f>
        <v>0.4</v>
      </c>
      <c r="E98" s="47">
        <v>1.0920000000000001</v>
      </c>
      <c r="F98" s="47">
        <v>3.78</v>
      </c>
      <c r="G98" s="46"/>
      <c r="H98" s="38">
        <f t="shared" si="17"/>
        <v>8.3654879848908994</v>
      </c>
      <c r="I98" s="38">
        <f t="shared" si="17"/>
        <v>-0.3979400086720376</v>
      </c>
      <c r="J98" s="46">
        <f t="shared" si="16"/>
        <v>4.0315535417797452</v>
      </c>
      <c r="K98" s="46"/>
      <c r="L98" s="46"/>
      <c r="N98" s="35">
        <f>H98-Q4</f>
        <v>2.8883667301712368</v>
      </c>
      <c r="O98" s="35">
        <f>I98-Q6</f>
        <v>-3.5440680443502757</v>
      </c>
    </row>
    <row r="99" spans="1:15" x14ac:dyDescent="0.35">
      <c r="A99" s="14">
        <v>44651.322916666664</v>
      </c>
      <c r="B99" s="15">
        <f t="shared" si="19"/>
        <v>48.25</v>
      </c>
      <c r="C99" s="21">
        <f>91*20*100000</f>
        <v>182000000</v>
      </c>
      <c r="D99" s="22">
        <f>0.9/5</f>
        <v>0.18</v>
      </c>
      <c r="E99" s="5">
        <v>1.234</v>
      </c>
      <c r="F99" s="5">
        <v>3.82</v>
      </c>
      <c r="H99" s="15">
        <f t="shared" si="17"/>
        <v>8.2600713879850751</v>
      </c>
      <c r="I99" s="15">
        <f t="shared" si="17"/>
        <v>-0.74472749489669399</v>
      </c>
      <c r="J99">
        <f t="shared" si="16"/>
        <v>4.5646567622794612</v>
      </c>
      <c r="L99">
        <v>3.2</v>
      </c>
      <c r="N99" s="35">
        <f t="shared" si="20"/>
        <v>3.1017088958898258</v>
      </c>
      <c r="O99" s="35">
        <f t="shared" si="18"/>
        <v>-3.9208187539523753</v>
      </c>
    </row>
    <row r="100" spans="1:15" x14ac:dyDescent="0.35">
      <c r="A100" s="14">
        <v>44651.565972222219</v>
      </c>
      <c r="B100" s="15">
        <f t="shared" si="19"/>
        <v>54.083333333313931</v>
      </c>
      <c r="C100" s="21">
        <f>82*20*100000</f>
        <v>164000000</v>
      </c>
      <c r="D100" s="22">
        <f>67*2</f>
        <v>134</v>
      </c>
      <c r="E100" s="5">
        <v>1.097</v>
      </c>
      <c r="F100" s="5">
        <v>3.78</v>
      </c>
      <c r="H100" s="15">
        <f t="shared" si="17"/>
        <v>8.214843848047698</v>
      </c>
      <c r="I100" s="15">
        <f t="shared" si="17"/>
        <v>2.1271047983648077</v>
      </c>
      <c r="J100">
        <f t="shared" si="16"/>
        <v>4.0503247819381851</v>
      </c>
      <c r="L100">
        <v>3.2</v>
      </c>
      <c r="N100" s="35">
        <f t="shared" si="20"/>
        <v>3.0564813559524486</v>
      </c>
      <c r="O100" s="35">
        <f t="shared" si="18"/>
        <v>-1.0489864606908736</v>
      </c>
    </row>
    <row r="102" spans="1:15" x14ac:dyDescent="0.35">
      <c r="E102" t="s">
        <v>31</v>
      </c>
      <c r="F102">
        <f>MIN(F85:F89,F93:F97,F99:F100)</f>
        <v>3.78</v>
      </c>
    </row>
    <row r="109" spans="1:15" ht="18.5" x14ac:dyDescent="0.45">
      <c r="A109" s="33" t="s">
        <v>37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5" x14ac:dyDescent="0.35">
      <c r="A110" t="s">
        <v>23</v>
      </c>
      <c r="B110" s="5" t="s">
        <v>24</v>
      </c>
      <c r="C110" s="5" t="s">
        <v>25</v>
      </c>
      <c r="D110" s="5" t="s">
        <v>26</v>
      </c>
      <c r="E110" s="5" t="s">
        <v>27</v>
      </c>
      <c r="F110" s="5" t="s">
        <v>28</v>
      </c>
      <c r="G110" s="5"/>
      <c r="H110" s="5" t="s">
        <v>29</v>
      </c>
      <c r="I110" s="5" t="s">
        <v>30</v>
      </c>
      <c r="J110" s="5" t="s">
        <v>13</v>
      </c>
      <c r="K110" s="5" t="s">
        <v>28</v>
      </c>
      <c r="L110" s="5" t="s">
        <v>46</v>
      </c>
      <c r="M110" s="5" t="s">
        <v>46</v>
      </c>
    </row>
    <row r="111" spans="1:15" x14ac:dyDescent="0.35">
      <c r="A111" s="14">
        <v>44649.354166666664</v>
      </c>
      <c r="B111" s="15">
        <f>0*24+1</f>
        <v>1</v>
      </c>
      <c r="C111" s="23">
        <f>103*20*100</f>
        <v>206000</v>
      </c>
      <c r="D111" s="23">
        <f>19*100</f>
        <v>1900</v>
      </c>
      <c r="E111" s="5">
        <v>-8.0000000000000002E-3</v>
      </c>
      <c r="F111" s="5">
        <v>5.84</v>
      </c>
      <c r="H111" s="18">
        <f>LOG(C111)</f>
        <v>5.3138672203691533</v>
      </c>
      <c r="I111" s="15">
        <f>LOG(D111)</f>
        <v>3.2787536009528289</v>
      </c>
      <c r="J111">
        <f t="shared" ref="J111:J126" si="23">(E111-$K$6)/$J$6</f>
        <v>-9.8119293077213829E-2</v>
      </c>
      <c r="K111" s="5"/>
      <c r="L111" s="35">
        <f>H111-$H$111</f>
        <v>0</v>
      </c>
      <c r="M111" s="35">
        <f>I111-$I$111</f>
        <v>0</v>
      </c>
    </row>
    <row r="112" spans="1:15" x14ac:dyDescent="0.35">
      <c r="A112" s="14">
        <v>44649.4375</v>
      </c>
      <c r="B112" s="15">
        <f>(A112-$A$36)*24+1</f>
        <v>3.0000000000582077</v>
      </c>
      <c r="C112" s="23">
        <f>229*20*100</f>
        <v>458000</v>
      </c>
      <c r="D112" s="23">
        <f>46*100</f>
        <v>4600</v>
      </c>
      <c r="E112" s="5">
        <v>2.4E-2</v>
      </c>
      <c r="F112" s="5">
        <v>5.81</v>
      </c>
      <c r="H112" s="18">
        <f t="shared" ref="H112:I126" si="24">LOG(C112)</f>
        <v>5.6608654780038696</v>
      </c>
      <c r="I112" s="15">
        <f t="shared" si="24"/>
        <v>3.6627578316815739</v>
      </c>
      <c r="J112">
        <f t="shared" si="23"/>
        <v>2.2016643936806791E-2</v>
      </c>
      <c r="K112" s="5"/>
      <c r="L112" s="35">
        <f>H112-$H$111</f>
        <v>0.34699825763471637</v>
      </c>
      <c r="M112" s="35">
        <f t="shared" ref="M112:M126" si="25">I112-$I$111</f>
        <v>0.38400423072874501</v>
      </c>
    </row>
    <row r="113" spans="1:13" x14ac:dyDescent="0.35">
      <c r="A113" s="14">
        <v>44649.5625</v>
      </c>
      <c r="B113" s="15">
        <f t="shared" ref="B113:B126" si="26">(A113-$A$36)*24+1</f>
        <v>6.0000000000582077</v>
      </c>
      <c r="C113" s="23">
        <f>69*20*1000</f>
        <v>1380000</v>
      </c>
      <c r="D113" s="23">
        <f>46*20*10</f>
        <v>9200</v>
      </c>
      <c r="E113" s="5">
        <v>0.02</v>
      </c>
      <c r="F113" s="5">
        <v>5.76</v>
      </c>
      <c r="H113" s="18">
        <f t="shared" si="24"/>
        <v>6.1398790864012369</v>
      </c>
      <c r="I113" s="15">
        <f t="shared" si="24"/>
        <v>3.9637878273455551</v>
      </c>
      <c r="J113">
        <f t="shared" si="23"/>
        <v>6.9996518100542138E-3</v>
      </c>
      <c r="K113" s="5"/>
      <c r="L113" s="35">
        <f>H113-$H$111</f>
        <v>0.82601186603208365</v>
      </c>
      <c r="M113" s="35">
        <f t="shared" si="25"/>
        <v>0.68503422639272626</v>
      </c>
    </row>
    <row r="114" spans="1:13" x14ac:dyDescent="0.35">
      <c r="A114" s="14">
        <v>44649.6875</v>
      </c>
      <c r="B114" s="15">
        <f t="shared" si="26"/>
        <v>9.0000000000582077</v>
      </c>
      <c r="C114" s="23">
        <f>185*20*1000</f>
        <v>3700000</v>
      </c>
      <c r="D114" s="23">
        <f>120*20*10</f>
        <v>24000</v>
      </c>
      <c r="E114" s="5">
        <v>3.5999999999999997E-2</v>
      </c>
      <c r="F114" s="5">
        <v>5.76</v>
      </c>
      <c r="H114" s="18">
        <f t="shared" si="24"/>
        <v>6.568201724066995</v>
      </c>
      <c r="I114" s="15">
        <f t="shared" si="24"/>
        <v>4.3802112417116064</v>
      </c>
      <c r="J114">
        <f t="shared" si="23"/>
        <v>6.7067620317064508E-2</v>
      </c>
      <c r="K114" s="5"/>
      <c r="L114" s="35">
        <f t="shared" ref="L114:L126" si="27">H114-$H$111</f>
        <v>1.2543345036978417</v>
      </c>
      <c r="M114" s="35">
        <f t="shared" si="25"/>
        <v>1.1014576407587775</v>
      </c>
    </row>
    <row r="115" spans="1:13" x14ac:dyDescent="0.35">
      <c r="A115" s="14">
        <v>44649.819444444445</v>
      </c>
      <c r="B115" s="15">
        <f t="shared" si="26"/>
        <v>12.166666666744277</v>
      </c>
      <c r="C115" s="23">
        <f>60*20*10000</f>
        <v>12000000</v>
      </c>
      <c r="D115" s="23">
        <f>38*20*100</f>
        <v>76000</v>
      </c>
      <c r="E115" s="5">
        <v>1.0999999999999999E-2</v>
      </c>
      <c r="F115" s="5">
        <v>5.71</v>
      </c>
      <c r="H115" s="18">
        <f t="shared" si="24"/>
        <v>7.0791812460476251</v>
      </c>
      <c r="I115" s="15">
        <f t="shared" si="24"/>
        <v>4.8808135922807914</v>
      </c>
      <c r="J115">
        <f t="shared" si="23"/>
        <v>-2.6788580475139087E-2</v>
      </c>
      <c r="K115" s="5"/>
      <c r="L115" s="35">
        <f>H115-$H$111</f>
        <v>1.7653140256784718</v>
      </c>
      <c r="M115" s="35">
        <f t="shared" si="25"/>
        <v>1.6020599913279625</v>
      </c>
    </row>
    <row r="116" spans="1:13" x14ac:dyDescent="0.35">
      <c r="A116" s="37">
        <v>44692.375</v>
      </c>
      <c r="B116" s="38">
        <v>15</v>
      </c>
      <c r="C116" s="45">
        <f>254*20*10000</f>
        <v>50800000</v>
      </c>
      <c r="D116" s="45">
        <f>90*20*100</f>
        <v>180000</v>
      </c>
      <c r="E116" s="47">
        <v>8.0000000000000002E-3</v>
      </c>
      <c r="F116" s="47">
        <v>5.18</v>
      </c>
      <c r="G116" s="46"/>
      <c r="H116" s="38">
        <f>LOG(C116)</f>
        <v>7.7058637122839189</v>
      </c>
      <c r="I116" s="38">
        <f>LOG(D116)</f>
        <v>5.2552725051033065</v>
      </c>
      <c r="J116" s="47">
        <f t="shared" si="23"/>
        <v>-3.8051324570203521E-2</v>
      </c>
      <c r="K116" s="46"/>
      <c r="L116" s="35">
        <f>H116-$Q$5</f>
        <v>2.2587056809416994</v>
      </c>
      <c r="M116" s="35">
        <f>I116-$Q$6</f>
        <v>2.1091444694250683</v>
      </c>
    </row>
    <row r="117" spans="1:13" x14ac:dyDescent="0.35">
      <c r="A117" s="37">
        <v>44692.5</v>
      </c>
      <c r="B117" s="38">
        <v>18</v>
      </c>
      <c r="C117" s="45">
        <f>140000000</f>
        <v>140000000</v>
      </c>
      <c r="D117" s="45">
        <f>170*20*100</f>
        <v>340000</v>
      </c>
      <c r="E117" s="47">
        <v>0.13900000000000001</v>
      </c>
      <c r="F117" s="47">
        <v>4.9000000000000004</v>
      </c>
      <c r="G117" s="46"/>
      <c r="H117" s="38">
        <f t="shared" si="24"/>
        <v>8.1461280356782382</v>
      </c>
      <c r="I117" s="38">
        <f t="shared" si="24"/>
        <v>5.5314789170422554</v>
      </c>
      <c r="J117" s="47">
        <f t="shared" si="23"/>
        <v>0.45375516758094342</v>
      </c>
      <c r="K117" s="46"/>
      <c r="L117" s="35">
        <f>H117-$Q$5</f>
        <v>2.6989700043360187</v>
      </c>
      <c r="M117" s="35">
        <f t="shared" ref="M117:M118" si="28">I117-$Q$6</f>
        <v>2.3853508813640172</v>
      </c>
    </row>
    <row r="118" spans="1:13" x14ac:dyDescent="0.35">
      <c r="A118" s="37">
        <v>44692.625</v>
      </c>
      <c r="B118" s="38">
        <v>21</v>
      </c>
      <c r="C118" s="45">
        <f>66*20*100000</f>
        <v>132000000</v>
      </c>
      <c r="D118" s="45">
        <f>35*20*1000</f>
        <v>700000</v>
      </c>
      <c r="E118" s="47">
        <v>0.31900000000000001</v>
      </c>
      <c r="F118" s="47">
        <v>4.37</v>
      </c>
      <c r="G118" s="46"/>
      <c r="H118" s="38">
        <f t="shared" si="24"/>
        <v>8.1205739312058505</v>
      </c>
      <c r="I118" s="38">
        <f t="shared" si="24"/>
        <v>5.8450980400142569</v>
      </c>
      <c r="J118" s="47">
        <f t="shared" si="23"/>
        <v>1.1295198132848094</v>
      </c>
      <c r="K118" s="46"/>
      <c r="L118" s="35">
        <f t="shared" ref="L118" si="29">H118-$Q$5</f>
        <v>2.673415899863631</v>
      </c>
      <c r="M118" s="35">
        <f t="shared" si="28"/>
        <v>2.6989700043360187</v>
      </c>
    </row>
    <row r="119" spans="1:13" x14ac:dyDescent="0.35">
      <c r="A119" s="14">
        <v>44650.319444444445</v>
      </c>
      <c r="B119" s="15">
        <f t="shared" si="26"/>
        <v>24.166666666744277</v>
      </c>
      <c r="C119" s="23">
        <f>99*20*100000</f>
        <v>198000000</v>
      </c>
      <c r="D119" s="23">
        <f>40*20*1000</f>
        <v>800000</v>
      </c>
      <c r="E119" s="5">
        <v>0.379</v>
      </c>
      <c r="F119" s="5">
        <v>4.3499999999999996</v>
      </c>
      <c r="H119" s="18">
        <f t="shared" si="24"/>
        <v>8.2966651902615318</v>
      </c>
      <c r="I119" s="15">
        <f t="shared" si="24"/>
        <v>5.9030899869919438</v>
      </c>
      <c r="J119">
        <f t="shared" si="23"/>
        <v>1.3547746951860979</v>
      </c>
      <c r="K119" s="5"/>
      <c r="L119" s="35">
        <f t="shared" si="27"/>
        <v>2.9827979698923786</v>
      </c>
      <c r="M119" s="35">
        <f t="shared" si="25"/>
        <v>2.6243363860391149</v>
      </c>
    </row>
    <row r="120" spans="1:13" x14ac:dyDescent="0.35">
      <c r="A120" s="14">
        <v>44650.440972222219</v>
      </c>
      <c r="B120" s="15">
        <f t="shared" si="26"/>
        <v>27.083333333313931</v>
      </c>
      <c r="C120" s="23">
        <f>97*20*100000</f>
        <v>194000000</v>
      </c>
      <c r="D120" s="23">
        <f>47*20*1000</f>
        <v>940000</v>
      </c>
      <c r="E120" s="5">
        <v>0.57699999999999996</v>
      </c>
      <c r="F120" s="5">
        <v>4.16</v>
      </c>
      <c r="H120" s="18">
        <f t="shared" si="24"/>
        <v>8.2878017299302265</v>
      </c>
      <c r="I120" s="15">
        <f t="shared" si="24"/>
        <v>5.9731278535996983</v>
      </c>
      <c r="J120">
        <f t="shared" si="23"/>
        <v>2.0981158054603504</v>
      </c>
      <c r="K120" s="5"/>
      <c r="L120" s="35">
        <f t="shared" si="27"/>
        <v>2.9739345095610732</v>
      </c>
      <c r="M120" s="35">
        <f t="shared" si="25"/>
        <v>2.6943742526468695</v>
      </c>
    </row>
    <row r="121" spans="1:13" x14ac:dyDescent="0.35">
      <c r="A121" s="14">
        <v>44650.565972222219</v>
      </c>
      <c r="B121" s="15">
        <f t="shared" si="26"/>
        <v>30.083333333313931</v>
      </c>
      <c r="C121" s="23">
        <f>121*20*100000</f>
        <v>242000000</v>
      </c>
      <c r="D121" s="23">
        <f>43*20*1000</f>
        <v>860000</v>
      </c>
      <c r="E121" s="5">
        <v>0.88400000000000001</v>
      </c>
      <c r="F121" s="5">
        <v>4.0199999999999996</v>
      </c>
      <c r="H121" s="18">
        <f t="shared" si="24"/>
        <v>8.383815365980432</v>
      </c>
      <c r="I121" s="15">
        <f t="shared" si="24"/>
        <v>5.9344984512435675</v>
      </c>
      <c r="J121">
        <f t="shared" si="23"/>
        <v>3.2506699511886112</v>
      </c>
      <c r="K121" s="5"/>
      <c r="L121" s="35">
        <f t="shared" si="27"/>
        <v>3.0699481456112787</v>
      </c>
      <c r="M121" s="35">
        <f t="shared" si="25"/>
        <v>2.6557448502907386</v>
      </c>
    </row>
    <row r="122" spans="1:13" x14ac:dyDescent="0.35">
      <c r="A122" s="14">
        <v>44650.690972222219</v>
      </c>
      <c r="B122" s="15">
        <f t="shared" si="26"/>
        <v>33.083333333313931</v>
      </c>
      <c r="C122" s="23">
        <f>100*20*100000</f>
        <v>200000000</v>
      </c>
      <c r="D122" s="23">
        <f>40*20*1000</f>
        <v>800000</v>
      </c>
      <c r="E122" s="16">
        <v>0.82899999999999996</v>
      </c>
      <c r="F122" s="5">
        <v>3.95</v>
      </c>
      <c r="H122" s="18">
        <f t="shared" si="24"/>
        <v>8.3010299956639813</v>
      </c>
      <c r="I122" s="15">
        <f t="shared" si="24"/>
        <v>5.9030899869919438</v>
      </c>
      <c r="J122">
        <f t="shared" si="23"/>
        <v>3.0441863094457626</v>
      </c>
      <c r="K122" s="5"/>
      <c r="L122" s="35">
        <f t="shared" si="27"/>
        <v>2.987162775294828</v>
      </c>
      <c r="M122" s="35">
        <f t="shared" si="25"/>
        <v>2.6243363860391149</v>
      </c>
    </row>
    <row r="123" spans="1:13" x14ac:dyDescent="0.35">
      <c r="A123" s="14">
        <v>44650.805555555555</v>
      </c>
      <c r="B123" s="15">
        <f t="shared" si="26"/>
        <v>35.833333333372138</v>
      </c>
      <c r="C123" s="23">
        <f>93*20*100000</f>
        <v>186000000</v>
      </c>
      <c r="D123" s="23">
        <f>38*20*1000</f>
        <v>760000</v>
      </c>
      <c r="E123" s="5">
        <v>0.92800000000000005</v>
      </c>
      <c r="F123" s="5">
        <v>3.89</v>
      </c>
      <c r="H123" s="18">
        <f t="shared" si="24"/>
        <v>8.2695129442179169</v>
      </c>
      <c r="I123" s="15">
        <f t="shared" si="24"/>
        <v>5.8808135922807914</v>
      </c>
      <c r="J123">
        <f t="shared" si="23"/>
        <v>3.4158568645828895</v>
      </c>
      <c r="K123" s="5"/>
      <c r="L123" s="35">
        <f t="shared" si="27"/>
        <v>2.9556457238487637</v>
      </c>
      <c r="M123" s="35">
        <f t="shared" si="25"/>
        <v>2.6020599913279625</v>
      </c>
    </row>
    <row r="124" spans="1:13" x14ac:dyDescent="0.35">
      <c r="A124" s="37">
        <v>44693.5</v>
      </c>
      <c r="B124" s="38">
        <v>42</v>
      </c>
      <c r="C124" s="52">
        <f>101*20*100000</f>
        <v>202000000</v>
      </c>
      <c r="D124" s="52">
        <f>24*20*1000</f>
        <v>480000</v>
      </c>
      <c r="E124" s="47">
        <v>1.0589999999999999</v>
      </c>
      <c r="F124" s="47">
        <v>3.75</v>
      </c>
      <c r="G124" s="46"/>
      <c r="H124" s="55">
        <f t="shared" si="24"/>
        <v>8.3053513694466243</v>
      </c>
      <c r="I124" s="38">
        <f t="shared" si="24"/>
        <v>5.6812412373755876</v>
      </c>
      <c r="J124" s="46">
        <f t="shared" si="23"/>
        <v>3.9076633567340355</v>
      </c>
      <c r="K124" s="47"/>
      <c r="L124" s="48">
        <f>H124-Q5</f>
        <v>2.8581933381044049</v>
      </c>
      <c r="M124" s="48">
        <f>I124-Q6</f>
        <v>2.5351132016973494</v>
      </c>
    </row>
    <row r="125" spans="1:13" x14ac:dyDescent="0.35">
      <c r="A125" s="14">
        <v>44651.322916666664</v>
      </c>
      <c r="B125" s="15">
        <f t="shared" si="26"/>
        <v>48.25</v>
      </c>
      <c r="C125" s="23">
        <f>78*20*100000</f>
        <v>156000000</v>
      </c>
      <c r="D125" s="23">
        <f>36*20*1000</f>
        <v>720000</v>
      </c>
      <c r="E125" s="5">
        <v>1.1879999999999999</v>
      </c>
      <c r="F125" s="5">
        <v>3.76</v>
      </c>
      <c r="H125" s="18">
        <f t="shared" si="24"/>
        <v>8.1931245983544621</v>
      </c>
      <c r="I125" s="15">
        <f t="shared" si="24"/>
        <v>5.8573324964312681</v>
      </c>
      <c r="J125">
        <f t="shared" si="23"/>
        <v>4.3919613528218067</v>
      </c>
      <c r="K125" s="5"/>
      <c r="L125" s="35">
        <f t="shared" si="27"/>
        <v>2.8792573779853088</v>
      </c>
      <c r="M125" s="35">
        <f t="shared" si="25"/>
        <v>2.5785788954784392</v>
      </c>
    </row>
    <row r="126" spans="1:13" x14ac:dyDescent="0.35">
      <c r="A126" s="14">
        <v>44651.565972222219</v>
      </c>
      <c r="B126" s="15">
        <f t="shared" si="26"/>
        <v>54.083333333313931</v>
      </c>
      <c r="C126" s="23">
        <f>93*20*100000</f>
        <v>186000000</v>
      </c>
      <c r="D126" s="23">
        <f>38*20*1000</f>
        <v>760000</v>
      </c>
      <c r="E126" s="5">
        <v>1.143</v>
      </c>
      <c r="F126" s="5">
        <v>3.73</v>
      </c>
      <c r="H126" s="18">
        <f t="shared" si="24"/>
        <v>8.2695129442179169</v>
      </c>
      <c r="I126" s="15">
        <f t="shared" si="24"/>
        <v>5.8808135922807914</v>
      </c>
      <c r="J126">
        <f t="shared" si="23"/>
        <v>4.2230201913958396</v>
      </c>
      <c r="K126" s="5"/>
      <c r="L126" s="35">
        <f t="shared" si="27"/>
        <v>2.9556457238487637</v>
      </c>
      <c r="M126" s="35">
        <f t="shared" si="25"/>
        <v>2.6020599913279625</v>
      </c>
    </row>
    <row r="127" spans="1:13" x14ac:dyDescent="0.35">
      <c r="C127" s="57"/>
      <c r="D127" s="57"/>
      <c r="H127" s="5"/>
      <c r="I127" s="5"/>
      <c r="J127" s="5"/>
      <c r="K127" s="5"/>
    </row>
    <row r="128" spans="1:13" x14ac:dyDescent="0.35">
      <c r="E128" t="s">
        <v>31</v>
      </c>
      <c r="F128">
        <f>MIN(F111:F115,F119:F123,F125:F126)</f>
        <v>3.73</v>
      </c>
    </row>
    <row r="137" spans="3:3" x14ac:dyDescent="0.35">
      <c r="C137" s="23"/>
    </row>
  </sheetData>
  <mergeCells count="2">
    <mergeCell ref="A83:K83"/>
    <mergeCell ref="A109:K109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A9D7-C840-4782-9D7C-00FAB8A09B68}">
  <dimension ref="A1:K107"/>
  <sheetViews>
    <sheetView zoomScale="70" zoomScaleNormal="70" workbookViewId="0">
      <selection activeCell="W94" sqref="W94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3" width="12.26953125" bestFit="1" customWidth="1"/>
    <col min="4" max="4" width="11.5429687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5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44628.354166666664</v>
      </c>
      <c r="B10" s="15">
        <f>0*(24)</f>
        <v>0</v>
      </c>
      <c r="C10" s="21">
        <f>468*20*100</f>
        <v>936000</v>
      </c>
      <c r="D10" s="31"/>
      <c r="E10" s="5">
        <v>6.0999999999999999E-2</v>
      </c>
      <c r="F10" s="5">
        <v>5.77</v>
      </c>
      <c r="H10" s="15">
        <f>LOG(C10)</f>
        <v>5.971275848738105</v>
      </c>
    </row>
    <row r="11" spans="1:11" x14ac:dyDescent="0.35">
      <c r="A11" s="14">
        <v>44628.472222222219</v>
      </c>
      <c r="B11" s="15">
        <f t="shared" ref="B11:B21" si="0">(A11-$A$10)*(24)</f>
        <v>2.8333333333139308</v>
      </c>
      <c r="C11" s="31"/>
      <c r="D11" s="31"/>
      <c r="E11" s="5">
        <v>4.7E-2</v>
      </c>
      <c r="F11" s="5">
        <v>5.75</v>
      </c>
      <c r="H11" s="31"/>
    </row>
    <row r="12" spans="1:11" x14ac:dyDescent="0.35">
      <c r="A12" s="14">
        <v>44628.586805555555</v>
      </c>
      <c r="B12" s="15">
        <f t="shared" si="0"/>
        <v>5.5833333333721384</v>
      </c>
      <c r="C12" s="31"/>
      <c r="D12" s="31"/>
      <c r="E12" s="5">
        <v>7.1999999999999995E-2</v>
      </c>
      <c r="F12" s="5">
        <v>5.64</v>
      </c>
      <c r="H12" s="31"/>
    </row>
    <row r="13" spans="1:11" x14ac:dyDescent="0.35">
      <c r="A13" s="14">
        <v>44628.715277777781</v>
      </c>
      <c r="B13" s="15">
        <f t="shared" si="0"/>
        <v>8.6666666668024845</v>
      </c>
      <c r="C13" s="31"/>
      <c r="D13" s="31"/>
      <c r="E13" s="5">
        <v>5.8000000000000003E-2</v>
      </c>
      <c r="F13" s="5">
        <v>5.39</v>
      </c>
      <c r="H13" s="31"/>
    </row>
    <row r="14" spans="1:11" x14ac:dyDescent="0.35">
      <c r="A14" s="14">
        <v>44628.840277777781</v>
      </c>
      <c r="B14" s="15">
        <f t="shared" si="0"/>
        <v>11.666666666802485</v>
      </c>
      <c r="C14" s="22">
        <v>0</v>
      </c>
      <c r="D14" s="31"/>
      <c r="E14" s="5">
        <v>0.222</v>
      </c>
      <c r="F14" s="5">
        <v>4.93</v>
      </c>
      <c r="H14" s="17" t="e">
        <f>LOG(C14)</f>
        <v>#NUM!</v>
      </c>
    </row>
    <row r="15" spans="1:11" x14ac:dyDescent="0.35">
      <c r="A15" s="14">
        <v>44629.340277777781</v>
      </c>
      <c r="B15" s="15">
        <f t="shared" si="0"/>
        <v>23.666666666802485</v>
      </c>
      <c r="C15" s="21">
        <f>114*20*10^5</f>
        <v>228000000</v>
      </c>
      <c r="D15" s="31"/>
      <c r="E15" s="5">
        <v>0.71599999999999997</v>
      </c>
      <c r="F15" s="5">
        <v>4.07</v>
      </c>
      <c r="H15" s="15">
        <f>LOG(C15)</f>
        <v>8.357934847000454</v>
      </c>
    </row>
    <row r="16" spans="1:11" x14ac:dyDescent="0.35">
      <c r="A16" s="14">
        <v>44629.461805555555</v>
      </c>
      <c r="B16" s="15">
        <f t="shared" si="0"/>
        <v>26.583333333372138</v>
      </c>
      <c r="C16" s="31"/>
      <c r="D16" s="31"/>
      <c r="E16" s="5">
        <v>0.89400000000000002</v>
      </c>
      <c r="F16" s="5">
        <v>4.04</v>
      </c>
      <c r="H16" s="31"/>
    </row>
    <row r="17" spans="1:11" x14ac:dyDescent="0.35">
      <c r="A17" s="14">
        <v>44629.586805555555</v>
      </c>
      <c r="B17" s="15">
        <f t="shared" si="0"/>
        <v>29.583333333372138</v>
      </c>
      <c r="C17" s="31"/>
      <c r="D17" s="31"/>
      <c r="E17" s="5">
        <v>1.032</v>
      </c>
      <c r="F17" s="5">
        <v>3.99</v>
      </c>
      <c r="H17" s="31"/>
    </row>
    <row r="18" spans="1:11" x14ac:dyDescent="0.35">
      <c r="A18" s="14">
        <v>44629.715277777781</v>
      </c>
      <c r="B18" s="15">
        <f t="shared" si="0"/>
        <v>32.666666666802485</v>
      </c>
      <c r="C18" s="31"/>
      <c r="D18" s="31"/>
      <c r="E18" s="5">
        <v>1.0640000000000001</v>
      </c>
      <c r="F18" s="5">
        <v>3.96</v>
      </c>
      <c r="H18" s="31"/>
    </row>
    <row r="19" spans="1:11" x14ac:dyDescent="0.35">
      <c r="A19" s="14">
        <v>44629.840277777781</v>
      </c>
      <c r="B19" s="15">
        <f t="shared" si="0"/>
        <v>35.666666666802485</v>
      </c>
      <c r="C19" s="21">
        <f>93*20*10^5</f>
        <v>186000000</v>
      </c>
      <c r="D19" s="31"/>
      <c r="E19" s="5">
        <v>1.2709999999999999</v>
      </c>
      <c r="F19" s="5">
        <v>3.96</v>
      </c>
      <c r="H19" s="15">
        <f>LOG(C19)</f>
        <v>8.2695129442179169</v>
      </c>
    </row>
    <row r="20" spans="1:11" x14ac:dyDescent="0.35">
      <c r="A20" s="14">
        <v>44630.34375</v>
      </c>
      <c r="B20" s="15">
        <f t="shared" si="0"/>
        <v>47.750000000058208</v>
      </c>
      <c r="C20" s="21">
        <f>78*20*10^5</f>
        <v>156000000</v>
      </c>
      <c r="D20" s="31"/>
      <c r="E20" s="5">
        <v>1.1970000000000001</v>
      </c>
      <c r="F20" s="5">
        <v>3.83</v>
      </c>
      <c r="H20" s="15">
        <f>LOG(C20)</f>
        <v>8.1931245983544621</v>
      </c>
    </row>
    <row r="21" spans="1:11" x14ac:dyDescent="0.35">
      <c r="A21" s="14">
        <v>44630.625</v>
      </c>
      <c r="B21" s="15">
        <f t="shared" si="0"/>
        <v>54.500000000058208</v>
      </c>
      <c r="C21" s="21">
        <f>72*20*10^5</f>
        <v>144000000</v>
      </c>
      <c r="D21" s="31"/>
      <c r="E21" s="5">
        <v>1.3480000000000001</v>
      </c>
      <c r="F21" s="5">
        <v>3.83</v>
      </c>
      <c r="H21" s="15">
        <f>LOG(C21)</f>
        <v>8.1583624920952502</v>
      </c>
    </row>
    <row r="22" spans="1:11" x14ac:dyDescent="0.35">
      <c r="B22" s="5"/>
      <c r="C22" s="5"/>
    </row>
    <row r="23" spans="1:11" x14ac:dyDescent="0.35">
      <c r="B23" s="5"/>
      <c r="C23" s="5"/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44628.354166666664</v>
      </c>
      <c r="B32" s="15">
        <f>0*(24)</f>
        <v>0</v>
      </c>
      <c r="C32" s="21">
        <f>131*20*100</f>
        <v>262000</v>
      </c>
      <c r="D32" s="20"/>
      <c r="E32" s="5">
        <v>2.3E-2</v>
      </c>
      <c r="F32" s="5">
        <v>5.8</v>
      </c>
      <c r="H32" s="15">
        <f>LOG(C32)</f>
        <v>5.4183012913197457</v>
      </c>
      <c r="I32" s="19"/>
      <c r="J32" s="5"/>
      <c r="K32" s="5"/>
    </row>
    <row r="33" spans="1:11" x14ac:dyDescent="0.35">
      <c r="A33" s="14">
        <v>44628.472222222219</v>
      </c>
      <c r="B33" s="15">
        <f t="shared" ref="B33:B43" si="1">(A33-$A$32)*(24)</f>
        <v>2.8333333333139308</v>
      </c>
      <c r="C33" s="20"/>
      <c r="D33" s="20"/>
      <c r="E33" s="5">
        <v>1.0999999999999999E-2</v>
      </c>
      <c r="F33" s="5">
        <v>5.77</v>
      </c>
      <c r="H33" s="19"/>
      <c r="I33" s="19"/>
      <c r="J33" s="5"/>
      <c r="K33" s="5"/>
    </row>
    <row r="34" spans="1:11" x14ac:dyDescent="0.35">
      <c r="A34" s="14">
        <v>44628.586805555555</v>
      </c>
      <c r="B34" s="15">
        <f t="shared" si="1"/>
        <v>5.5833333333721384</v>
      </c>
      <c r="C34" s="20"/>
      <c r="D34" s="20"/>
      <c r="E34" s="5">
        <v>5.1999999999999998E-2</v>
      </c>
      <c r="F34" s="5">
        <v>5.8</v>
      </c>
      <c r="H34" s="19"/>
      <c r="I34" s="19"/>
      <c r="J34" s="5"/>
      <c r="K34" s="5"/>
    </row>
    <row r="35" spans="1:11" x14ac:dyDescent="0.35">
      <c r="A35" s="14">
        <v>44628.715277777781</v>
      </c>
      <c r="B35" s="15">
        <f t="shared" si="1"/>
        <v>8.6666666668024845</v>
      </c>
      <c r="C35" s="20"/>
      <c r="D35" s="20"/>
      <c r="E35" s="5">
        <v>2.1000000000000001E-2</v>
      </c>
      <c r="F35" s="5">
        <v>5.73</v>
      </c>
      <c r="H35" s="19"/>
      <c r="I35" s="19"/>
      <c r="J35" s="5"/>
      <c r="K35" s="5"/>
    </row>
    <row r="36" spans="1:11" x14ac:dyDescent="0.35">
      <c r="A36" s="14">
        <v>44628.840277777781</v>
      </c>
      <c r="B36" s="15">
        <f t="shared" si="1"/>
        <v>11.666666666802485</v>
      </c>
      <c r="C36" s="21">
        <f>(2*10^7+1.3*10^7)/2</f>
        <v>16500000</v>
      </c>
      <c r="D36" s="20"/>
      <c r="E36" s="5">
        <v>6.9000000000000006E-2</v>
      </c>
      <c r="F36" s="5">
        <v>5.72</v>
      </c>
      <c r="H36" s="15">
        <f>LOG(C36)</f>
        <v>7.2174839442139067</v>
      </c>
      <c r="I36" s="19"/>
      <c r="J36" s="5"/>
      <c r="K36" s="5"/>
    </row>
    <row r="37" spans="1:11" x14ac:dyDescent="0.35">
      <c r="A37" s="14">
        <v>44629.340277777781</v>
      </c>
      <c r="B37" s="15">
        <f t="shared" si="1"/>
        <v>23.666666666802485</v>
      </c>
      <c r="C37" s="21">
        <f>88*20*10^5</f>
        <v>176000000</v>
      </c>
      <c r="D37" s="20"/>
      <c r="E37" s="5">
        <v>0.379</v>
      </c>
      <c r="F37" s="5">
        <v>4.3899999999999997</v>
      </c>
      <c r="H37" s="15">
        <f>LOG(C37)</f>
        <v>8.2455126678141504</v>
      </c>
      <c r="I37" s="19"/>
      <c r="J37" s="5"/>
      <c r="K37" s="5"/>
    </row>
    <row r="38" spans="1:11" x14ac:dyDescent="0.35">
      <c r="A38" s="14">
        <v>44629.461805555555</v>
      </c>
      <c r="B38" s="15">
        <f t="shared" si="1"/>
        <v>26.583333333372138</v>
      </c>
      <c r="C38" s="20"/>
      <c r="D38" s="20"/>
      <c r="E38" s="5">
        <v>0.56899999999999995</v>
      </c>
      <c r="F38" s="5">
        <v>4.29</v>
      </c>
      <c r="H38" s="19"/>
      <c r="I38" s="19"/>
      <c r="J38" s="5"/>
      <c r="K38" s="5"/>
    </row>
    <row r="39" spans="1:11" x14ac:dyDescent="0.35">
      <c r="A39" s="14">
        <v>44629.586805555555</v>
      </c>
      <c r="B39" s="15">
        <f t="shared" si="1"/>
        <v>29.583333333372138</v>
      </c>
      <c r="C39" s="20"/>
      <c r="D39" s="20"/>
      <c r="E39" s="5">
        <v>0.747</v>
      </c>
      <c r="F39" s="5">
        <v>4.1399999999999997</v>
      </c>
      <c r="H39" s="19"/>
      <c r="I39" s="19"/>
      <c r="J39" s="5"/>
      <c r="K39" s="5"/>
    </row>
    <row r="40" spans="1:11" x14ac:dyDescent="0.35">
      <c r="A40" s="14">
        <v>44629.715277777781</v>
      </c>
      <c r="B40" s="15">
        <f t="shared" si="1"/>
        <v>32.666666666802485</v>
      </c>
      <c r="C40" s="20"/>
      <c r="D40" s="20"/>
      <c r="E40" s="16">
        <v>0.88</v>
      </c>
      <c r="F40" s="5">
        <v>4.01</v>
      </c>
      <c r="H40" s="19"/>
      <c r="I40" s="19"/>
      <c r="J40" s="5"/>
      <c r="K40" s="5"/>
    </row>
    <row r="41" spans="1:11" x14ac:dyDescent="0.35">
      <c r="A41" s="14">
        <v>44629.840277777781</v>
      </c>
      <c r="B41" s="15">
        <f t="shared" si="1"/>
        <v>35.666666666802485</v>
      </c>
      <c r="C41" s="21">
        <f>78*20*10^5</f>
        <v>156000000</v>
      </c>
      <c r="D41" s="20"/>
      <c r="E41" s="5">
        <v>1.0860000000000001</v>
      </c>
      <c r="F41" s="5">
        <v>3.98</v>
      </c>
      <c r="H41" s="15">
        <f>LOG(C41)</f>
        <v>8.1931245983544621</v>
      </c>
      <c r="I41" s="19"/>
      <c r="J41" s="5"/>
      <c r="K41" s="5"/>
    </row>
    <row r="42" spans="1:11" x14ac:dyDescent="0.35">
      <c r="A42" s="14">
        <v>44630.34375</v>
      </c>
      <c r="B42" s="15">
        <f t="shared" si="1"/>
        <v>47.750000000058208</v>
      </c>
      <c r="C42" s="21">
        <f>101*20*10^5</f>
        <v>202000000</v>
      </c>
      <c r="D42" s="20"/>
      <c r="E42" s="5">
        <v>1.137</v>
      </c>
      <c r="F42" s="5">
        <v>3.83</v>
      </c>
      <c r="H42" s="15">
        <f>LOG(C42)</f>
        <v>8.3053513694466243</v>
      </c>
      <c r="I42" s="19"/>
      <c r="J42" s="5"/>
      <c r="K42" s="5"/>
    </row>
    <row r="43" spans="1:11" x14ac:dyDescent="0.35">
      <c r="A43" s="14">
        <v>44630.625</v>
      </c>
      <c r="B43" s="15">
        <f t="shared" si="1"/>
        <v>54.500000000058208</v>
      </c>
      <c r="C43" s="21">
        <f>136*20*10^5</f>
        <v>272000000</v>
      </c>
      <c r="D43" s="20"/>
      <c r="E43" s="5">
        <v>1.268</v>
      </c>
      <c r="F43" s="15">
        <v>3.8</v>
      </c>
      <c r="H43" s="15">
        <f>LOG(C43)</f>
        <v>8.4345689040341991</v>
      </c>
      <c r="I43" s="19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44628.354166666664</v>
      </c>
      <c r="B52" s="15">
        <f>0*(24)</f>
        <v>0</v>
      </c>
      <c r="C52" s="19"/>
      <c r="D52" s="21">
        <f>4*20*10</f>
        <v>800</v>
      </c>
      <c r="E52" s="5">
        <v>4.0000000000000001E-3</v>
      </c>
      <c r="F52" s="5">
        <v>5.83</v>
      </c>
      <c r="H52" s="15">
        <f>LOG(D52)</f>
        <v>2.9030899869919438</v>
      </c>
    </row>
    <row r="53" spans="1:11" x14ac:dyDescent="0.35">
      <c r="A53" s="14">
        <v>44628.472222222219</v>
      </c>
      <c r="B53" s="15">
        <f t="shared" ref="B53:B61" si="2">(A53-$A$52)*(24)</f>
        <v>2.8333333333139308</v>
      </c>
      <c r="C53" s="19"/>
      <c r="D53" s="19"/>
      <c r="E53" s="5">
        <v>8.0000000000000002E-3</v>
      </c>
      <c r="F53" s="5">
        <v>5.82</v>
      </c>
      <c r="H53" s="19"/>
    </row>
    <row r="54" spans="1:11" x14ac:dyDescent="0.35">
      <c r="A54" s="14">
        <v>44628.586805555555</v>
      </c>
      <c r="B54" s="15">
        <f t="shared" si="2"/>
        <v>5.5833333333721384</v>
      </c>
      <c r="C54" s="19"/>
      <c r="D54" s="19"/>
      <c r="E54" s="5">
        <v>2.1999999999999999E-2</v>
      </c>
      <c r="F54" s="5">
        <v>5.82</v>
      </c>
      <c r="H54" s="19"/>
    </row>
    <row r="55" spans="1:11" x14ac:dyDescent="0.35">
      <c r="A55" s="14">
        <v>44628.715277777781</v>
      </c>
      <c r="B55" s="15">
        <f t="shared" si="2"/>
        <v>8.6666666668024845</v>
      </c>
      <c r="C55" s="19"/>
      <c r="D55" s="19"/>
      <c r="E55" s="5">
        <v>7.0000000000000001E-3</v>
      </c>
      <c r="F55" s="5">
        <v>5.81</v>
      </c>
      <c r="H55" s="19"/>
    </row>
    <row r="56" spans="1:11" x14ac:dyDescent="0.35">
      <c r="A56" s="14">
        <v>44628.840277777781</v>
      </c>
      <c r="B56" s="15">
        <f t="shared" si="2"/>
        <v>11.666666666802485</v>
      </c>
      <c r="C56" s="19"/>
      <c r="D56" s="21">
        <f>8*20*100</f>
        <v>16000</v>
      </c>
      <c r="E56" s="5">
        <v>5.8000000000000003E-2</v>
      </c>
      <c r="F56" s="5">
        <v>5.89</v>
      </c>
      <c r="H56" s="15">
        <f>LOG(D56)</f>
        <v>4.204119982655925</v>
      </c>
    </row>
    <row r="57" spans="1:11" x14ac:dyDescent="0.35">
      <c r="A57" s="14">
        <v>44629.340277777781</v>
      </c>
      <c r="B57" s="15">
        <f t="shared" si="2"/>
        <v>23.666666666802485</v>
      </c>
      <c r="C57" s="19"/>
      <c r="D57" s="21">
        <f>681*20*10^2</f>
        <v>1362000</v>
      </c>
      <c r="E57" s="5">
        <v>6.0000000000000001E-3</v>
      </c>
      <c r="F57" s="5">
        <v>5.85</v>
      </c>
      <c r="H57" s="15">
        <f>LOG(D57)</f>
        <v>6.1341771075767664</v>
      </c>
    </row>
    <row r="58" spans="1:11" x14ac:dyDescent="0.35">
      <c r="A58" s="14">
        <v>44629.461805555555</v>
      </c>
      <c r="B58" s="15">
        <f t="shared" si="2"/>
        <v>26.583333333372138</v>
      </c>
      <c r="C58" s="19"/>
      <c r="D58" s="19"/>
      <c r="E58" s="16">
        <v>0.02</v>
      </c>
      <c r="F58" s="5">
        <v>5.85</v>
      </c>
      <c r="H58" s="19"/>
    </row>
    <row r="59" spans="1:11" x14ac:dyDescent="0.35">
      <c r="A59" s="14">
        <v>44629.586805555555</v>
      </c>
      <c r="B59" s="15">
        <f t="shared" si="2"/>
        <v>29.583333333372138</v>
      </c>
      <c r="C59" s="19"/>
      <c r="D59" s="19"/>
      <c r="E59" s="5">
        <v>2.5999999999999999E-2</v>
      </c>
      <c r="F59" s="5">
        <v>5.83</v>
      </c>
      <c r="H59" s="19"/>
    </row>
    <row r="60" spans="1:11" x14ac:dyDescent="0.35">
      <c r="A60" s="14">
        <v>44629.715277777781</v>
      </c>
      <c r="B60" s="15">
        <f t="shared" si="2"/>
        <v>32.666666666802485</v>
      </c>
      <c r="C60" s="19"/>
      <c r="D60" s="19"/>
      <c r="E60" s="5">
        <v>6.3E-2</v>
      </c>
      <c r="F60" s="15">
        <v>5.8</v>
      </c>
      <c r="H60" s="19"/>
    </row>
    <row r="61" spans="1:11" x14ac:dyDescent="0.35">
      <c r="A61" s="14">
        <v>44629.840277777781</v>
      </c>
      <c r="B61" s="15">
        <f t="shared" si="2"/>
        <v>35.666666666802485</v>
      </c>
      <c r="C61" s="19"/>
      <c r="D61" s="21">
        <f>3.05*10^7</f>
        <v>30500000</v>
      </c>
      <c r="E61" s="5">
        <v>0.17899999999999999</v>
      </c>
      <c r="F61" s="15">
        <v>5.7</v>
      </c>
      <c r="H61" s="15">
        <f>LOG(D61)</f>
        <v>7.4842998393467859</v>
      </c>
    </row>
    <row r="62" spans="1:11" x14ac:dyDescent="0.35">
      <c r="A62" s="14">
        <v>44630.34375</v>
      </c>
      <c r="B62" s="15">
        <f>(A62-$A$52)*24</f>
        <v>47.750000000058208</v>
      </c>
      <c r="C62" s="19"/>
      <c r="D62" s="21">
        <f>178*20*10^5</f>
        <v>356000000</v>
      </c>
      <c r="E62" s="16">
        <v>0.18</v>
      </c>
      <c r="F62" s="5">
        <v>4.7699999999999996</v>
      </c>
      <c r="H62" s="15">
        <f>LOG(D62)</f>
        <v>8.5514499979728757</v>
      </c>
    </row>
    <row r="63" spans="1:11" x14ac:dyDescent="0.35">
      <c r="A63" s="14">
        <v>44630.625</v>
      </c>
      <c r="B63" s="15">
        <f>(A63-$A$52)*24</f>
        <v>54.500000000058208</v>
      </c>
      <c r="C63" s="20"/>
      <c r="D63" s="22">
        <f>2.1*10^5</f>
        <v>210000</v>
      </c>
      <c r="E63" s="5">
        <v>0.39800000000000002</v>
      </c>
      <c r="F63" s="15">
        <v>4.5</v>
      </c>
      <c r="H63" s="17">
        <f>LOG(D63)</f>
        <v>5.3222192947339195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44628.354166666664</v>
      </c>
      <c r="B73" s="15">
        <f>0*(24)</f>
        <v>0</v>
      </c>
      <c r="C73" s="21">
        <f>1.4*10^6</f>
        <v>1400000</v>
      </c>
      <c r="D73" s="21">
        <f>6*20*10</f>
        <v>1200</v>
      </c>
      <c r="E73" s="5">
        <v>2.9000000000000001E-2</v>
      </c>
      <c r="F73" s="5">
        <v>5.74</v>
      </c>
      <c r="H73" s="15">
        <f t="shared" ref="H73:H84" si="3">LOG(C73)</f>
        <v>6.1461280356782382</v>
      </c>
      <c r="I73" s="15">
        <f t="shared" ref="I73:I84" si="4">LOG(D73)</f>
        <v>3.0791812460476247</v>
      </c>
    </row>
    <row r="74" spans="1:11" x14ac:dyDescent="0.35">
      <c r="A74" s="14">
        <v>44628.472222222219</v>
      </c>
      <c r="B74" s="15">
        <f t="shared" ref="B74:B84" si="5">(A74-$A$73)*(24)</f>
        <v>2.8333333333139308</v>
      </c>
      <c r="C74" s="21">
        <f>2.5*10^6</f>
        <v>2500000</v>
      </c>
      <c r="D74" s="21">
        <f>3*20*10</f>
        <v>600</v>
      </c>
      <c r="E74" s="5">
        <v>2.3E-2</v>
      </c>
      <c r="F74" s="5">
        <v>5.76</v>
      </c>
      <c r="H74" s="15">
        <f t="shared" si="3"/>
        <v>6.3979400086720375</v>
      </c>
      <c r="I74" s="15">
        <f t="shared" si="4"/>
        <v>2.7781512503836434</v>
      </c>
    </row>
    <row r="75" spans="1:11" x14ac:dyDescent="0.35">
      <c r="A75" s="14">
        <v>44628.586805555555</v>
      </c>
      <c r="B75" s="15">
        <f t="shared" si="5"/>
        <v>5.5833333333721384</v>
      </c>
      <c r="C75" s="21">
        <f>(4.7*10^6+5.4*10^6)/2</f>
        <v>5050000</v>
      </c>
      <c r="D75" s="21">
        <f>7*20*10</f>
        <v>1400</v>
      </c>
      <c r="E75" s="5">
        <v>5.6000000000000001E-2</v>
      </c>
      <c r="F75" s="5">
        <v>5.64</v>
      </c>
      <c r="H75" s="15">
        <f t="shared" si="3"/>
        <v>6.7032913781186609</v>
      </c>
      <c r="I75" s="15">
        <f t="shared" si="4"/>
        <v>3.1461280356782382</v>
      </c>
    </row>
    <row r="76" spans="1:11" x14ac:dyDescent="0.35">
      <c r="A76" s="14">
        <v>44628.715277777781</v>
      </c>
      <c r="B76" s="15">
        <f t="shared" si="5"/>
        <v>8.6666666668024845</v>
      </c>
      <c r="C76" s="21">
        <f>(1.5*10^7+2*10^4)/2</f>
        <v>7510000</v>
      </c>
      <c r="D76" s="21">
        <f>8*20*10</f>
        <v>1600</v>
      </c>
      <c r="E76" s="5">
        <v>8.2000000000000003E-2</v>
      </c>
      <c r="F76" s="5">
        <v>5.4</v>
      </c>
      <c r="H76" s="15">
        <f t="shared" si="3"/>
        <v>6.8756399370041681</v>
      </c>
      <c r="I76" s="15">
        <f t="shared" si="4"/>
        <v>3.2041199826559246</v>
      </c>
    </row>
    <row r="77" spans="1:11" x14ac:dyDescent="0.35">
      <c r="A77" s="14">
        <v>44628.840277777781</v>
      </c>
      <c r="B77" s="15">
        <f t="shared" si="5"/>
        <v>11.666666666802485</v>
      </c>
      <c r="C77" s="21">
        <f>9.4*10^7</f>
        <v>94000000</v>
      </c>
      <c r="D77" s="21">
        <f>4*20*10</f>
        <v>800</v>
      </c>
      <c r="E77" s="5">
        <v>0.21099999999999999</v>
      </c>
      <c r="F77" s="5">
        <v>4.8499999999999996</v>
      </c>
      <c r="H77" s="15">
        <f t="shared" si="3"/>
        <v>7.9731278535996983</v>
      </c>
      <c r="I77" s="15">
        <f t="shared" si="4"/>
        <v>2.9030899869919438</v>
      </c>
    </row>
    <row r="78" spans="1:11" x14ac:dyDescent="0.35">
      <c r="A78" s="14">
        <v>44629.340277777781</v>
      </c>
      <c r="B78" s="15">
        <f t="shared" si="5"/>
        <v>23.666666666802485</v>
      </c>
      <c r="C78" s="21">
        <f>2.3*10^8</f>
        <v>229999999.99999997</v>
      </c>
      <c r="D78" s="22">
        <f t="shared" ref="D78:D84" si="6">0.9*100</f>
        <v>90</v>
      </c>
      <c r="E78" s="5">
        <v>0.76300000000000001</v>
      </c>
      <c r="F78" s="5">
        <v>4.04</v>
      </c>
      <c r="H78" s="15">
        <f t="shared" si="3"/>
        <v>8.3617278360175931</v>
      </c>
      <c r="I78" s="17">
        <f t="shared" si="4"/>
        <v>1.954242509439325</v>
      </c>
    </row>
    <row r="79" spans="1:11" x14ac:dyDescent="0.35">
      <c r="A79" s="14">
        <v>44629.461805555555</v>
      </c>
      <c r="B79" s="15">
        <f t="shared" si="5"/>
        <v>26.583333333372138</v>
      </c>
      <c r="C79" s="21">
        <f>85*20*10^5</f>
        <v>170000000</v>
      </c>
      <c r="D79" s="22">
        <f t="shared" si="6"/>
        <v>90</v>
      </c>
      <c r="E79" s="5">
        <v>0.94099999999999995</v>
      </c>
      <c r="F79" s="5">
        <v>3.98</v>
      </c>
      <c r="H79" s="15">
        <f t="shared" si="3"/>
        <v>8.2304489213782741</v>
      </c>
      <c r="I79" s="17">
        <f t="shared" si="4"/>
        <v>1.954242509439325</v>
      </c>
    </row>
    <row r="80" spans="1:11" x14ac:dyDescent="0.35">
      <c r="A80" s="14">
        <v>44629.586805555555</v>
      </c>
      <c r="B80" s="15">
        <f t="shared" si="5"/>
        <v>29.583333333372138</v>
      </c>
      <c r="C80" s="21">
        <f>85*20*10^5</f>
        <v>170000000</v>
      </c>
      <c r="D80" s="22">
        <f t="shared" si="6"/>
        <v>90</v>
      </c>
      <c r="E80" s="5">
        <v>1.022</v>
      </c>
      <c r="F80" s="5">
        <v>3.97</v>
      </c>
      <c r="H80" s="15">
        <f t="shared" si="3"/>
        <v>8.2304489213782741</v>
      </c>
      <c r="I80" s="17">
        <f t="shared" si="4"/>
        <v>1.954242509439325</v>
      </c>
    </row>
    <row r="81" spans="1:11" x14ac:dyDescent="0.35">
      <c r="A81" s="14">
        <v>44629.715277777781</v>
      </c>
      <c r="B81" s="15">
        <f t="shared" si="5"/>
        <v>32.666666666802485</v>
      </c>
      <c r="C81" s="21">
        <f>74*20*10^5</f>
        <v>148000000</v>
      </c>
      <c r="D81" s="22">
        <f t="shared" si="6"/>
        <v>90</v>
      </c>
      <c r="E81" s="5">
        <v>1.1080000000000001</v>
      </c>
      <c r="F81" s="5">
        <v>3.93</v>
      </c>
      <c r="H81" s="15">
        <f t="shared" si="3"/>
        <v>8.1702617153949575</v>
      </c>
      <c r="I81" s="17">
        <f t="shared" si="4"/>
        <v>1.954242509439325</v>
      </c>
    </row>
    <row r="82" spans="1:11" x14ac:dyDescent="0.35">
      <c r="A82" s="14">
        <v>44629.840277777781</v>
      </c>
      <c r="B82" s="15">
        <f t="shared" si="5"/>
        <v>35.666666666802485</v>
      </c>
      <c r="C82" s="21">
        <f>87*20*10^5</f>
        <v>174000000</v>
      </c>
      <c r="D82" s="22">
        <f t="shared" si="6"/>
        <v>90</v>
      </c>
      <c r="E82" s="5">
        <v>1.1759999999999999</v>
      </c>
      <c r="F82" s="5">
        <v>3.94</v>
      </c>
      <c r="H82" s="15">
        <f t="shared" si="3"/>
        <v>8.2405492482825995</v>
      </c>
      <c r="I82" s="17">
        <f t="shared" si="4"/>
        <v>1.954242509439325</v>
      </c>
    </row>
    <row r="83" spans="1:11" x14ac:dyDescent="0.35">
      <c r="A83" s="14">
        <v>44630.34375</v>
      </c>
      <c r="B83" s="15">
        <f t="shared" si="5"/>
        <v>47.750000000058208</v>
      </c>
      <c r="C83" s="21">
        <f>71*20*10^5</f>
        <v>142000000</v>
      </c>
      <c r="D83" s="22">
        <f t="shared" si="6"/>
        <v>90</v>
      </c>
      <c r="E83" s="5">
        <v>1.177</v>
      </c>
      <c r="F83" s="5">
        <v>3.84</v>
      </c>
      <c r="H83" s="15">
        <f t="shared" si="3"/>
        <v>8.1522883443830558</v>
      </c>
      <c r="I83" s="17">
        <f t="shared" si="4"/>
        <v>1.954242509439325</v>
      </c>
    </row>
    <row r="84" spans="1:11" x14ac:dyDescent="0.35">
      <c r="A84" s="14">
        <v>44630.625</v>
      </c>
      <c r="B84" s="15">
        <f t="shared" si="5"/>
        <v>54.500000000058208</v>
      </c>
      <c r="C84" s="21">
        <f>42*20*10^5</f>
        <v>84000000</v>
      </c>
      <c r="D84" s="22">
        <f t="shared" si="6"/>
        <v>90</v>
      </c>
      <c r="E84" s="5">
        <v>1.276</v>
      </c>
      <c r="F84" s="5">
        <v>3.82</v>
      </c>
      <c r="H84" s="15">
        <f t="shared" si="3"/>
        <v>7.924279286061882</v>
      </c>
      <c r="I84" s="17">
        <f t="shared" si="4"/>
        <v>1.954242509439325</v>
      </c>
    </row>
    <row r="85" spans="1:11" x14ac:dyDescent="0.35">
      <c r="C85" s="5"/>
    </row>
    <row r="86" spans="1:11" x14ac:dyDescent="0.35">
      <c r="C86" s="5"/>
    </row>
    <row r="87" spans="1:11" x14ac:dyDescent="0.35">
      <c r="C87" s="5"/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44628.354166666664</v>
      </c>
      <c r="B95" s="15">
        <f>0*(24)</f>
        <v>0</v>
      </c>
      <c r="C95" s="21">
        <f>93*20*100</f>
        <v>186000</v>
      </c>
      <c r="D95" s="21">
        <f>9*20*10</f>
        <v>1800</v>
      </c>
      <c r="E95" s="5">
        <v>0.113</v>
      </c>
      <c r="F95" s="5">
        <v>5.8</v>
      </c>
      <c r="H95" s="15">
        <f t="shared" ref="H95:H106" si="7">LOG(C95)</f>
        <v>5.2695129442179161</v>
      </c>
      <c r="I95" s="15">
        <f t="shared" ref="I95:I106" si="8">LOG(D95)</f>
        <v>3.255272505103306</v>
      </c>
      <c r="J95" s="5"/>
      <c r="K95" s="5"/>
    </row>
    <row r="96" spans="1:11" x14ac:dyDescent="0.35">
      <c r="A96" s="14">
        <v>44628.472222222219</v>
      </c>
      <c r="B96" s="15">
        <f t="shared" ref="B96:B106" si="9">(A96-$A$95)*(24)</f>
        <v>2.8333333333139308</v>
      </c>
      <c r="C96" s="21">
        <f>140*20*100</f>
        <v>280000</v>
      </c>
      <c r="D96" s="21">
        <f>2*20*100</f>
        <v>4000</v>
      </c>
      <c r="E96" s="5">
        <v>1.4999999999999999E-2</v>
      </c>
      <c r="F96" s="5">
        <v>5.82</v>
      </c>
      <c r="H96" s="15">
        <f t="shared" si="7"/>
        <v>5.4471580313422194</v>
      </c>
      <c r="I96" s="15">
        <f t="shared" si="8"/>
        <v>3.6020599913279625</v>
      </c>
      <c r="J96" s="5"/>
      <c r="K96" s="5"/>
    </row>
    <row r="97" spans="1:11" x14ac:dyDescent="0.35">
      <c r="A97" s="14">
        <v>44628.586805555555</v>
      </c>
      <c r="B97" s="15">
        <f t="shared" si="9"/>
        <v>5.5833333333721384</v>
      </c>
      <c r="C97" s="21">
        <f>(1.4*10^6+1.7*10^6)/2</f>
        <v>1550000</v>
      </c>
      <c r="D97" s="21">
        <f>7*20*10</f>
        <v>1400</v>
      </c>
      <c r="E97" s="5">
        <v>1.4999999999999999E-2</v>
      </c>
      <c r="F97" s="5">
        <v>5.8</v>
      </c>
      <c r="H97" s="15">
        <f t="shared" si="7"/>
        <v>6.1903316981702918</v>
      </c>
      <c r="I97" s="15">
        <f t="shared" si="8"/>
        <v>3.1461280356782382</v>
      </c>
      <c r="J97" s="5"/>
      <c r="K97" s="5"/>
    </row>
    <row r="98" spans="1:11" x14ac:dyDescent="0.35">
      <c r="A98" s="14">
        <v>44628.715277777781</v>
      </c>
      <c r="B98" s="15">
        <f t="shared" si="9"/>
        <v>8.6666666668024845</v>
      </c>
      <c r="C98" s="21">
        <f>(3.2*10^6+4.3*10^6)/2</f>
        <v>3750000</v>
      </c>
      <c r="D98" s="21">
        <f>19*20*10</f>
        <v>3800</v>
      </c>
      <c r="E98" s="5">
        <v>0.02</v>
      </c>
      <c r="F98" s="5">
        <v>5.8</v>
      </c>
      <c r="H98" s="15">
        <f t="shared" si="7"/>
        <v>6.5740312677277188</v>
      </c>
      <c r="I98" s="15">
        <f t="shared" si="8"/>
        <v>3.5797835966168101</v>
      </c>
      <c r="J98" s="5"/>
      <c r="K98" s="5"/>
    </row>
    <row r="99" spans="1:11" x14ac:dyDescent="0.35">
      <c r="A99" s="14">
        <v>44628.840277777781</v>
      </c>
      <c r="B99" s="15">
        <f t="shared" si="9"/>
        <v>11.666666666802485</v>
      </c>
      <c r="C99" s="21">
        <f>(1.6+10^7+1.9*10^7)/2</f>
        <v>14500000.800000001</v>
      </c>
      <c r="D99" s="21">
        <f>93*20*10</f>
        <v>18600</v>
      </c>
      <c r="E99" s="5">
        <v>4.5999999999999999E-2</v>
      </c>
      <c r="F99" s="5">
        <v>5.71</v>
      </c>
      <c r="H99" s="15">
        <f t="shared" si="7"/>
        <v>7.1613680261960493</v>
      </c>
      <c r="I99" s="15">
        <f t="shared" si="8"/>
        <v>4.2695129442179161</v>
      </c>
      <c r="J99" s="5"/>
      <c r="K99" s="5"/>
    </row>
    <row r="100" spans="1:11" x14ac:dyDescent="0.35">
      <c r="A100" s="14">
        <v>44629.340277777781</v>
      </c>
      <c r="B100" s="15">
        <f t="shared" si="9"/>
        <v>23.666666666802485</v>
      </c>
      <c r="C100" s="21">
        <f>2.9*10^8</f>
        <v>290000000</v>
      </c>
      <c r="D100" s="21">
        <f>758*20*10</f>
        <v>151600</v>
      </c>
      <c r="E100" s="5">
        <v>0.38300000000000001</v>
      </c>
      <c r="F100" s="5">
        <v>4.38</v>
      </c>
      <c r="H100" s="15">
        <f t="shared" si="7"/>
        <v>8.4623979978989556</v>
      </c>
      <c r="I100" s="15">
        <f t="shared" si="8"/>
        <v>5.1806992012960347</v>
      </c>
      <c r="J100" s="5"/>
      <c r="K100" s="5"/>
    </row>
    <row r="101" spans="1:11" x14ac:dyDescent="0.35">
      <c r="A101" s="14">
        <v>44629.461805555555</v>
      </c>
      <c r="B101" s="15">
        <f t="shared" si="9"/>
        <v>26.583333333372138</v>
      </c>
      <c r="C101" s="22">
        <v>0</v>
      </c>
      <c r="D101" s="21">
        <f>(1.82*10^5+2.08*10^5+1.78*10^5)/3</f>
        <v>189333.33333333334</v>
      </c>
      <c r="E101" s="5">
        <v>0.57599999999999996</v>
      </c>
      <c r="F101" s="5">
        <v>4.26</v>
      </c>
      <c r="H101" s="17" t="e">
        <f t="shared" si="7"/>
        <v>#NUM!</v>
      </c>
      <c r="I101" s="15">
        <f t="shared" si="8"/>
        <v>5.2772270809913566</v>
      </c>
      <c r="J101" s="5"/>
      <c r="K101" s="5"/>
    </row>
    <row r="102" spans="1:11" x14ac:dyDescent="0.35">
      <c r="A102" s="14">
        <v>44629.586805555555</v>
      </c>
      <c r="B102" s="15">
        <f t="shared" si="9"/>
        <v>29.583333333372138</v>
      </c>
      <c r="C102" s="21">
        <f>100*20*10^5</f>
        <v>200000000</v>
      </c>
      <c r="D102" s="21">
        <f>94*20*100</f>
        <v>188000</v>
      </c>
      <c r="E102" s="5">
        <v>0.78200000000000003</v>
      </c>
      <c r="F102" s="5">
        <v>4.1100000000000003</v>
      </c>
      <c r="H102" s="15">
        <f t="shared" si="7"/>
        <v>8.3010299956639813</v>
      </c>
      <c r="I102" s="15">
        <f t="shared" si="8"/>
        <v>5.2741578492636796</v>
      </c>
      <c r="J102" s="5"/>
      <c r="K102" s="5"/>
    </row>
    <row r="103" spans="1:11" x14ac:dyDescent="0.35">
      <c r="A103" s="14">
        <v>44629.715277777781</v>
      </c>
      <c r="B103" s="15">
        <f t="shared" si="9"/>
        <v>32.666666666802485</v>
      </c>
      <c r="C103" s="21">
        <f>98*20*10^5</f>
        <v>196000000</v>
      </c>
      <c r="D103" s="21">
        <f>98*20*100</f>
        <v>196000</v>
      </c>
      <c r="E103" s="5">
        <v>0.86099999999999999</v>
      </c>
      <c r="F103" s="5">
        <v>4.01</v>
      </c>
      <c r="H103" s="15">
        <f t="shared" si="7"/>
        <v>8.2922560713564764</v>
      </c>
      <c r="I103" s="15">
        <f t="shared" si="8"/>
        <v>5.2922560713564764</v>
      </c>
      <c r="J103" s="5"/>
      <c r="K103" s="5"/>
    </row>
    <row r="104" spans="1:11" x14ac:dyDescent="0.35">
      <c r="A104" s="14">
        <v>44629.840277777781</v>
      </c>
      <c r="B104" s="15">
        <f t="shared" si="9"/>
        <v>35.666666666802485</v>
      </c>
      <c r="C104" s="21">
        <f>123*20*10^5</f>
        <v>246000000</v>
      </c>
      <c r="D104" s="21">
        <f>(2.27*10^5+2.01*10^5+1.78*10^5)/3</f>
        <v>202000</v>
      </c>
      <c r="E104" s="5">
        <v>1.153</v>
      </c>
      <c r="F104" s="5">
        <v>3.95</v>
      </c>
      <c r="H104" s="15">
        <f t="shared" si="7"/>
        <v>8.3909351071033793</v>
      </c>
      <c r="I104" s="15">
        <f t="shared" si="8"/>
        <v>5.3053513694466234</v>
      </c>
      <c r="J104" s="5"/>
      <c r="K104" s="5"/>
    </row>
    <row r="105" spans="1:11" x14ac:dyDescent="0.35">
      <c r="A105" s="14">
        <v>44630.34375</v>
      </c>
      <c r="B105" s="15">
        <f t="shared" si="9"/>
        <v>47.750000000058208</v>
      </c>
      <c r="C105" s="21">
        <f>226*20*10^5</f>
        <v>452000000</v>
      </c>
      <c r="D105" s="21">
        <f>(1.89*10^5+1.78*10^5+1.93*10^5)/3</f>
        <v>186666.66666666666</v>
      </c>
      <c r="E105" s="5">
        <v>1.1559999999999999</v>
      </c>
      <c r="F105" s="5">
        <v>3.83</v>
      </c>
      <c r="H105" s="15">
        <f t="shared" si="7"/>
        <v>8.6551384348113825</v>
      </c>
      <c r="I105" s="15">
        <f t="shared" si="8"/>
        <v>5.2710667722865381</v>
      </c>
      <c r="J105" s="5"/>
      <c r="K105" s="5"/>
    </row>
    <row r="106" spans="1:11" x14ac:dyDescent="0.35">
      <c r="A106" s="14">
        <v>44630.625</v>
      </c>
      <c r="B106" s="15">
        <f t="shared" si="9"/>
        <v>54.500000000058208</v>
      </c>
      <c r="C106" s="21">
        <f>113*20*10^5</f>
        <v>226000000</v>
      </c>
      <c r="D106" s="21">
        <f>94*20*10^2</f>
        <v>188000</v>
      </c>
      <c r="E106" s="5">
        <v>1.282</v>
      </c>
      <c r="F106" s="5">
        <v>3.79</v>
      </c>
      <c r="H106" s="15">
        <f t="shared" si="7"/>
        <v>8.3541084391474012</v>
      </c>
      <c r="I106" s="15">
        <f t="shared" si="8"/>
        <v>5.2741578492636796</v>
      </c>
      <c r="J106" s="5"/>
      <c r="K106" s="5"/>
    </row>
    <row r="107" spans="1:11" x14ac:dyDescent="0.35">
      <c r="H107" s="5"/>
      <c r="I107" s="5"/>
      <c r="J107" s="5"/>
      <c r="K107" s="5"/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07F6-E195-4D8D-9766-2CC3C0AFB569}">
  <dimension ref="A1:Q128"/>
  <sheetViews>
    <sheetView topLeftCell="A30" zoomScale="40" zoomScaleNormal="40" workbookViewId="0">
      <selection activeCell="I111" sqref="I111:I126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3" width="12.26953125" bestFit="1" customWidth="1"/>
    <col min="4" max="4" width="11.54296875" bestFit="1" customWidth="1"/>
    <col min="5" max="5" width="16.7265625" bestFit="1" customWidth="1"/>
    <col min="7" max="7" width="4.453125" customWidth="1"/>
    <col min="8" max="8" width="9.453125" bestFit="1" customWidth="1"/>
    <col min="14" max="14" width="11" bestFit="1" customWidth="1"/>
  </cols>
  <sheetData>
    <row r="1" spans="1:17" ht="15.5" x14ac:dyDescent="0.35">
      <c r="A1" s="4" t="s">
        <v>0</v>
      </c>
      <c r="B1" s="2" t="s">
        <v>1</v>
      </c>
    </row>
    <row r="2" spans="1:17" ht="18.5" x14ac:dyDescent="0.45">
      <c r="A2" s="4" t="s">
        <v>2</v>
      </c>
      <c r="B2" s="3" t="s">
        <v>20</v>
      </c>
      <c r="O2" t="s">
        <v>43</v>
      </c>
      <c r="P2" t="s">
        <v>42</v>
      </c>
    </row>
    <row r="3" spans="1:17" x14ac:dyDescent="0.35">
      <c r="A3" s="4" t="s">
        <v>4</v>
      </c>
      <c r="B3" t="s">
        <v>21</v>
      </c>
      <c r="M3" t="s">
        <v>44</v>
      </c>
    </row>
    <row r="4" spans="1:17" x14ac:dyDescent="0.35">
      <c r="A4" s="4" t="s">
        <v>6</v>
      </c>
      <c r="B4" t="s">
        <v>7</v>
      </c>
      <c r="J4" t="s">
        <v>16</v>
      </c>
      <c r="M4">
        <v>0</v>
      </c>
      <c r="N4">
        <v>494</v>
      </c>
      <c r="O4" s="24">
        <v>150000000</v>
      </c>
      <c r="P4" s="24">
        <f>(O4/1000)*2</f>
        <v>300000</v>
      </c>
      <c r="Q4" s="35">
        <f>LOG(P4)</f>
        <v>5.4771212547196626</v>
      </c>
    </row>
    <row r="5" spans="1:17" x14ac:dyDescent="0.35">
      <c r="J5" t="s">
        <v>17</v>
      </c>
      <c r="K5" t="s">
        <v>18</v>
      </c>
      <c r="L5" t="s">
        <v>19</v>
      </c>
      <c r="N5">
        <v>23</v>
      </c>
      <c r="O5" s="24">
        <v>280000000</v>
      </c>
      <c r="P5" s="24">
        <f>O5/1000</f>
        <v>280000</v>
      </c>
      <c r="Q5" s="35">
        <f t="shared" ref="Q5:Q6" si="0">LOG(P5)</f>
        <v>5.4471580313422194</v>
      </c>
    </row>
    <row r="6" spans="1:17" x14ac:dyDescent="0.35">
      <c r="J6">
        <v>0.26636492622740687</v>
      </c>
      <c r="K6">
        <v>1.8135538261997375E-2</v>
      </c>
      <c r="L6">
        <v>0.99977484526713334</v>
      </c>
      <c r="N6">
        <v>1034</v>
      </c>
      <c r="O6" s="24">
        <v>140000000</v>
      </c>
      <c r="P6" s="24">
        <f>O6/100000</f>
        <v>1400</v>
      </c>
      <c r="Q6" s="35">
        <f t="shared" si="0"/>
        <v>3.1461280356782382</v>
      </c>
    </row>
    <row r="8" spans="1:17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7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  <c r="L9" t="s">
        <v>45</v>
      </c>
      <c r="N9" s="5" t="s">
        <v>46</v>
      </c>
    </row>
    <row r="10" spans="1:17" x14ac:dyDescent="0.35">
      <c r="A10" s="14">
        <v>44649.354166666664</v>
      </c>
      <c r="B10" s="15">
        <f>0*(24)+1</f>
        <v>1</v>
      </c>
      <c r="C10" s="21">
        <f>37*20*100</f>
        <v>74000</v>
      </c>
      <c r="D10" s="28"/>
      <c r="E10" s="5">
        <v>3.6999999999999998E-2</v>
      </c>
      <c r="F10" s="5">
        <v>5.84</v>
      </c>
      <c r="H10" s="15">
        <f>LOG(C10)</f>
        <v>4.8692317197309762</v>
      </c>
      <c r="J10">
        <f t="shared" ref="J10:J25" si="1">(E10-$K$6)/$J$6</f>
        <v>7.0821868348752662E-2</v>
      </c>
      <c r="L10">
        <v>0</v>
      </c>
      <c r="N10" s="35">
        <f t="shared" ref="N10:N25" si="2">H10-$H$10</f>
        <v>0</v>
      </c>
    </row>
    <row r="11" spans="1:17" x14ac:dyDescent="0.35">
      <c r="A11" s="14">
        <v>44649.4375</v>
      </c>
      <c r="B11" s="15">
        <f>(A11-$A$10)*(24)+1</f>
        <v>3.0000000000582077</v>
      </c>
      <c r="C11" s="21">
        <f>124*20*100</f>
        <v>248000</v>
      </c>
      <c r="D11" s="28"/>
      <c r="E11" s="5">
        <v>2.1999999999999999E-2</v>
      </c>
      <c r="F11" s="5">
        <v>5.78</v>
      </c>
      <c r="H11" s="15">
        <f t="shared" ref="H11:H25" si="3">LOG(C11)</f>
        <v>5.394451680826216</v>
      </c>
      <c r="J11">
        <f t="shared" si="1"/>
        <v>1.4508147873430495E-2</v>
      </c>
      <c r="L11">
        <v>0</v>
      </c>
      <c r="N11" s="35">
        <f>H11-$H$10</f>
        <v>0.52521996109523972</v>
      </c>
    </row>
    <row r="12" spans="1:17" x14ac:dyDescent="0.35">
      <c r="A12" s="14">
        <v>44649.5625</v>
      </c>
      <c r="B12" s="15">
        <f>(A12-$A$10)*(24)+1</f>
        <v>6.0000000000582077</v>
      </c>
      <c r="C12" s="21">
        <f>24*20*1000</f>
        <v>480000</v>
      </c>
      <c r="D12" s="28"/>
      <c r="E12" s="5">
        <v>-7.0000000000000001E-3</v>
      </c>
      <c r="F12" s="5">
        <v>5.79</v>
      </c>
      <c r="H12" s="15">
        <f t="shared" si="3"/>
        <v>5.6812412373755876</v>
      </c>
      <c r="J12">
        <f t="shared" si="1"/>
        <v>-9.4365045045525675E-2</v>
      </c>
      <c r="L12">
        <v>0</v>
      </c>
      <c r="N12" s="35">
        <f t="shared" si="2"/>
        <v>0.81200951764461138</v>
      </c>
    </row>
    <row r="13" spans="1:17" x14ac:dyDescent="0.35">
      <c r="A13" s="14">
        <v>44649.6875</v>
      </c>
      <c r="B13" s="15">
        <f>(A13-$A$10)*(24)+1</f>
        <v>9.0000000000582077</v>
      </c>
      <c r="C13" s="21">
        <f>100*20*1000</f>
        <v>2000000</v>
      </c>
      <c r="D13" s="28"/>
      <c r="E13" s="5">
        <v>-0.01</v>
      </c>
      <c r="F13" s="5">
        <v>5.78</v>
      </c>
      <c r="H13" s="15">
        <f t="shared" si="3"/>
        <v>6.3010299956639813</v>
      </c>
      <c r="J13">
        <f t="shared" si="1"/>
        <v>-0.10562778914059012</v>
      </c>
      <c r="L13">
        <v>0</v>
      </c>
      <c r="N13" s="35">
        <f t="shared" si="2"/>
        <v>1.431798275933005</v>
      </c>
    </row>
    <row r="14" spans="1:17" x14ac:dyDescent="0.35">
      <c r="A14" s="14">
        <v>44649.819444444445</v>
      </c>
      <c r="B14" s="15">
        <f t="shared" ref="B14:B25" si="4">(A14-$A$10)*(24)+1</f>
        <v>12.166666666744277</v>
      </c>
      <c r="C14" s="23">
        <f>38*20*10000</f>
        <v>7600000</v>
      </c>
      <c r="D14" s="28"/>
      <c r="E14" s="5">
        <v>-0.01</v>
      </c>
      <c r="F14" s="5">
        <v>5.72</v>
      </c>
      <c r="H14" s="15">
        <f t="shared" si="3"/>
        <v>6.8808135922807914</v>
      </c>
      <c r="J14">
        <f t="shared" si="1"/>
        <v>-0.10562778914059012</v>
      </c>
      <c r="L14">
        <v>0</v>
      </c>
      <c r="N14" s="35">
        <f t="shared" si="2"/>
        <v>2.0115818725498151</v>
      </c>
    </row>
    <row r="15" spans="1:17" x14ac:dyDescent="0.35">
      <c r="A15" s="37">
        <v>44692.375</v>
      </c>
      <c r="B15" s="38">
        <v>15</v>
      </c>
      <c r="C15" s="52">
        <f>275*20*10000</f>
        <v>55000000</v>
      </c>
      <c r="D15" s="46"/>
      <c r="E15" s="47">
        <v>0.111</v>
      </c>
      <c r="F15" s="47">
        <v>4.84</v>
      </c>
      <c r="G15" s="46"/>
      <c r="H15" s="43">
        <f>LOG(C15)</f>
        <v>7.7403626894942441</v>
      </c>
      <c r="I15" s="40"/>
      <c r="J15" s="40">
        <f t="shared" si="1"/>
        <v>0.34863622269367534</v>
      </c>
      <c r="K15" s="46"/>
      <c r="L15" s="46"/>
      <c r="N15" s="35">
        <f>H15-$Q$4</f>
        <v>2.2632414347745815</v>
      </c>
    </row>
    <row r="16" spans="1:17" x14ac:dyDescent="0.35">
      <c r="A16" s="37">
        <v>44692.5</v>
      </c>
      <c r="B16" s="38">
        <v>18</v>
      </c>
      <c r="C16" s="52">
        <f>210000000</f>
        <v>210000000</v>
      </c>
      <c r="D16" s="46"/>
      <c r="E16" s="47">
        <v>0.29199999999999998</v>
      </c>
      <c r="F16" s="47">
        <v>4.5199999999999996</v>
      </c>
      <c r="G16" s="46"/>
      <c r="H16" s="43">
        <f t="shared" si="3"/>
        <v>8.3222192947339195</v>
      </c>
      <c r="I16" s="40"/>
      <c r="J16" s="40">
        <f t="shared" si="1"/>
        <v>1.0281551164292293</v>
      </c>
      <c r="K16" s="46"/>
      <c r="L16" s="46"/>
      <c r="N16" s="35">
        <f>H16-$Q$4</f>
        <v>2.8450980400142569</v>
      </c>
    </row>
    <row r="17" spans="1:14" x14ac:dyDescent="0.35">
      <c r="A17" s="37">
        <v>44692.625</v>
      </c>
      <c r="B17" s="38">
        <v>21</v>
      </c>
      <c r="C17" s="52">
        <f>69*20*100000</f>
        <v>138000000</v>
      </c>
      <c r="D17" s="46"/>
      <c r="E17" s="47">
        <v>0.47699999999999998</v>
      </c>
      <c r="F17" s="47">
        <v>4.2</v>
      </c>
      <c r="G17" s="46"/>
      <c r="H17" s="43">
        <f t="shared" si="3"/>
        <v>8.1398790864012369</v>
      </c>
      <c r="I17" s="40"/>
      <c r="J17" s="40">
        <f t="shared" si="1"/>
        <v>1.722691002291536</v>
      </c>
      <c r="K17" s="46"/>
      <c r="L17" s="46"/>
      <c r="N17" s="35">
        <f>H17-$Q$4</f>
        <v>2.6627578316815743</v>
      </c>
    </row>
    <row r="18" spans="1:14" x14ac:dyDescent="0.35">
      <c r="A18" s="14">
        <v>44650.319444444445</v>
      </c>
      <c r="B18" s="15">
        <f t="shared" si="4"/>
        <v>24.166666666744277</v>
      </c>
      <c r="C18" s="21">
        <f>100*20*100000</f>
        <v>200000000</v>
      </c>
      <c r="D18" s="28"/>
      <c r="E18" s="5">
        <v>0.435</v>
      </c>
      <c r="F18" s="5">
        <v>4.3</v>
      </c>
      <c r="H18" s="15">
        <f t="shared" si="3"/>
        <v>8.3010299956639813</v>
      </c>
      <c r="J18">
        <f t="shared" si="1"/>
        <v>1.565012584960634</v>
      </c>
      <c r="L18">
        <v>0.8</v>
      </c>
      <c r="N18" s="35">
        <f t="shared" si="2"/>
        <v>3.431798275933005</v>
      </c>
    </row>
    <row r="19" spans="1:14" x14ac:dyDescent="0.35">
      <c r="A19" s="14">
        <v>44650.440972222219</v>
      </c>
      <c r="B19" s="15">
        <f t="shared" si="4"/>
        <v>27.083333333313931</v>
      </c>
      <c r="C19" s="21">
        <f>116*20*100000</f>
        <v>232000000</v>
      </c>
      <c r="D19" s="28"/>
      <c r="E19" s="5">
        <v>0.56299999999999994</v>
      </c>
      <c r="F19" s="5">
        <v>4.1500000000000004</v>
      </c>
      <c r="H19" s="15">
        <f t="shared" si="3"/>
        <v>8.3654879848908994</v>
      </c>
      <c r="J19">
        <f t="shared" si="1"/>
        <v>2.0455563330167159</v>
      </c>
      <c r="L19">
        <v>1.6</v>
      </c>
      <c r="N19" s="35">
        <f t="shared" si="2"/>
        <v>3.4962562651599232</v>
      </c>
    </row>
    <row r="20" spans="1:14" x14ac:dyDescent="0.35">
      <c r="A20" s="14">
        <v>44650.565972222219</v>
      </c>
      <c r="B20" s="15">
        <f t="shared" si="4"/>
        <v>30.083333333313931</v>
      </c>
      <c r="C20" s="21">
        <f>124*20*100000</f>
        <v>248000000</v>
      </c>
      <c r="D20" s="28"/>
      <c r="E20" s="5">
        <v>0.79800000000000004</v>
      </c>
      <c r="F20" s="5">
        <v>4.0199999999999996</v>
      </c>
      <c r="H20" s="15">
        <f t="shared" si="3"/>
        <v>8.3944516808262168</v>
      </c>
      <c r="J20">
        <f t="shared" si="1"/>
        <v>2.9278046204634305</v>
      </c>
      <c r="L20">
        <v>1.6</v>
      </c>
      <c r="N20" s="35">
        <f t="shared" si="2"/>
        <v>3.5252199610952406</v>
      </c>
    </row>
    <row r="21" spans="1:14" x14ac:dyDescent="0.35">
      <c r="A21" s="14">
        <v>44650.690972222219</v>
      </c>
      <c r="B21" s="15">
        <f t="shared" si="4"/>
        <v>33.083333333313931</v>
      </c>
      <c r="C21" s="21">
        <f>89*20*100000</f>
        <v>178000000</v>
      </c>
      <c r="D21" s="28"/>
      <c r="E21" s="5">
        <v>0.81399999999999995</v>
      </c>
      <c r="F21" s="5">
        <v>3.99</v>
      </c>
      <c r="H21" s="15">
        <f t="shared" si="3"/>
        <v>8.2504200023088945</v>
      </c>
      <c r="J21">
        <f t="shared" si="1"/>
        <v>2.9878725889704407</v>
      </c>
      <c r="L21">
        <v>1.6</v>
      </c>
      <c r="N21" s="35">
        <f t="shared" si="2"/>
        <v>3.3811882825779183</v>
      </c>
    </row>
    <row r="22" spans="1:14" x14ac:dyDescent="0.35">
      <c r="A22" s="14">
        <v>44650.805555555555</v>
      </c>
      <c r="B22" s="15">
        <f t="shared" si="4"/>
        <v>35.833333333372138</v>
      </c>
      <c r="C22" s="21">
        <f>85*20*100000</f>
        <v>170000000</v>
      </c>
      <c r="D22" s="28"/>
      <c r="E22" s="5">
        <v>0.93200000000000005</v>
      </c>
      <c r="F22" s="5">
        <v>3.92</v>
      </c>
      <c r="H22" s="15">
        <f t="shared" si="3"/>
        <v>8.2304489213782741</v>
      </c>
      <c r="J22">
        <f t="shared" si="1"/>
        <v>3.430873856709642</v>
      </c>
      <c r="L22">
        <v>0.8</v>
      </c>
      <c r="N22" s="35">
        <f t="shared" si="2"/>
        <v>3.3612172016472979</v>
      </c>
    </row>
    <row r="23" spans="1:14" x14ac:dyDescent="0.35">
      <c r="A23" s="37">
        <v>44693.5</v>
      </c>
      <c r="B23" s="38">
        <v>42</v>
      </c>
      <c r="C23" s="45">
        <f>112*20*100000</f>
        <v>224000000</v>
      </c>
      <c r="D23" s="46"/>
      <c r="E23" s="47">
        <v>1.0169999999999999</v>
      </c>
      <c r="F23" s="47">
        <v>3.79</v>
      </c>
      <c r="G23" s="46"/>
      <c r="H23" s="38">
        <f t="shared" si="3"/>
        <v>8.3502480183341632</v>
      </c>
      <c r="I23" s="46"/>
      <c r="J23" s="46">
        <f t="shared" si="1"/>
        <v>3.7499849394031335</v>
      </c>
      <c r="K23" s="46"/>
      <c r="L23" s="46"/>
      <c r="N23" s="35">
        <f>H23-Q4</f>
        <v>2.8731267636145006</v>
      </c>
    </row>
    <row r="24" spans="1:14" x14ac:dyDescent="0.35">
      <c r="A24" s="14">
        <v>44651.322916666664</v>
      </c>
      <c r="B24" s="15">
        <f t="shared" si="4"/>
        <v>48.25</v>
      </c>
      <c r="C24" s="21">
        <f>96*20*100000</f>
        <v>192000000</v>
      </c>
      <c r="D24" s="28"/>
      <c r="E24" s="5">
        <v>1.115</v>
      </c>
      <c r="F24" s="5">
        <v>3.89</v>
      </c>
      <c r="H24" s="15">
        <f t="shared" si="3"/>
        <v>8.2833012287035501</v>
      </c>
      <c r="J24">
        <f t="shared" si="1"/>
        <v>4.1179012465085716</v>
      </c>
      <c r="L24">
        <v>1.6</v>
      </c>
      <c r="N24" s="35">
        <f t="shared" si="2"/>
        <v>3.4140695089725739</v>
      </c>
    </row>
    <row r="25" spans="1:14" x14ac:dyDescent="0.35">
      <c r="A25" s="14">
        <v>44651.565972222219</v>
      </c>
      <c r="B25" s="15">
        <f t="shared" si="4"/>
        <v>54.083333333313931</v>
      </c>
      <c r="C25" s="21">
        <f>78*20*100000</f>
        <v>156000000</v>
      </c>
      <c r="D25" s="28"/>
      <c r="E25" s="5">
        <v>1.163</v>
      </c>
      <c r="F25" s="5">
        <v>3.81</v>
      </c>
      <c r="H25" s="15">
        <f t="shared" si="3"/>
        <v>8.1931245983544621</v>
      </c>
      <c r="J25">
        <f t="shared" si="1"/>
        <v>4.2981051520296027</v>
      </c>
      <c r="L25">
        <v>1.6</v>
      </c>
      <c r="N25" s="35">
        <f t="shared" si="2"/>
        <v>3.3238928786234858</v>
      </c>
    </row>
    <row r="26" spans="1:14" x14ac:dyDescent="0.35">
      <c r="B26" s="5"/>
      <c r="C26" s="5"/>
    </row>
    <row r="27" spans="1:14" x14ac:dyDescent="0.35">
      <c r="B27" s="5"/>
      <c r="C27" s="5"/>
      <c r="E27" t="s">
        <v>31</v>
      </c>
      <c r="F27">
        <f>MIN(F10:F14,F18:F22,F24:F25)</f>
        <v>3.81</v>
      </c>
    </row>
    <row r="28" spans="1:14" x14ac:dyDescent="0.35">
      <c r="C28" s="5"/>
    </row>
    <row r="34" spans="1:13" ht="18.5" x14ac:dyDescent="0.45">
      <c r="A34" s="12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3" x14ac:dyDescent="0.35">
      <c r="A35" t="s">
        <v>23</v>
      </c>
      <c r="B35" s="5" t="s">
        <v>24</v>
      </c>
      <c r="C35" s="5" t="s">
        <v>25</v>
      </c>
      <c r="D35" s="5" t="s">
        <v>26</v>
      </c>
      <c r="E35" s="5" t="s">
        <v>27</v>
      </c>
      <c r="F35" s="5" t="s">
        <v>28</v>
      </c>
      <c r="G35" s="5"/>
      <c r="H35" s="5" t="s">
        <v>29</v>
      </c>
      <c r="I35" s="5" t="s">
        <v>30</v>
      </c>
      <c r="J35" s="5" t="s">
        <v>13</v>
      </c>
      <c r="K35" s="5" t="s">
        <v>28</v>
      </c>
      <c r="M35" s="5" t="s">
        <v>46</v>
      </c>
    </row>
    <row r="36" spans="1:13" x14ac:dyDescent="0.35">
      <c r="A36" s="14">
        <v>44649.354166666664</v>
      </c>
      <c r="B36" s="15">
        <f>0*(24)+1</f>
        <v>1</v>
      </c>
      <c r="C36" s="21">
        <f>112*20*100</f>
        <v>224000</v>
      </c>
      <c r="D36" s="28"/>
      <c r="E36" s="5">
        <v>1.4E-2</v>
      </c>
      <c r="F36" s="5">
        <v>5.83</v>
      </c>
      <c r="H36" s="15">
        <f>LOG(C36)</f>
        <v>5.3502480183341632</v>
      </c>
      <c r="I36" s="5"/>
      <c r="J36">
        <f t="shared" ref="J36:J51" si="5">(E36-$K$6)/$J$6</f>
        <v>-1.5525836380074652E-2</v>
      </c>
      <c r="K36" s="5"/>
      <c r="M36" s="35">
        <f>H36-$H$36</f>
        <v>0</v>
      </c>
    </row>
    <row r="37" spans="1:13" x14ac:dyDescent="0.35">
      <c r="A37" s="14">
        <v>44649.4375</v>
      </c>
      <c r="B37" s="15">
        <f>(A37-$A$10)*(24)+1</f>
        <v>3.0000000000582077</v>
      </c>
      <c r="C37" s="21">
        <f>219*20*100</f>
        <v>438000</v>
      </c>
      <c r="D37" s="28"/>
      <c r="E37" s="16">
        <v>1.2999999999999999E-2</v>
      </c>
      <c r="F37" s="5">
        <v>5.81</v>
      </c>
      <c r="H37" s="15">
        <f t="shared" ref="H37:H51" si="6">LOG(C37)</f>
        <v>5.6414741105040997</v>
      </c>
      <c r="I37" s="5"/>
      <c r="J37">
        <f t="shared" si="5"/>
        <v>-1.92800844117628E-2</v>
      </c>
      <c r="K37" s="5"/>
      <c r="M37" s="35">
        <f t="shared" ref="M37:M51" si="7">H37-$H$36</f>
        <v>0.29122609216993656</v>
      </c>
    </row>
    <row r="38" spans="1:13" x14ac:dyDescent="0.35">
      <c r="A38" s="14">
        <v>44649.5625</v>
      </c>
      <c r="B38" s="15">
        <f>(A38-$A$10)*(24)+1</f>
        <v>6.0000000000582077</v>
      </c>
      <c r="C38" s="21">
        <f>56*20*1000</f>
        <v>1120000</v>
      </c>
      <c r="D38" s="28"/>
      <c r="E38" s="5">
        <v>-1.2999999999999999E-2</v>
      </c>
      <c r="F38" s="5">
        <v>5.78</v>
      </c>
      <c r="H38" s="15">
        <f t="shared" si="6"/>
        <v>6.0492180226701819</v>
      </c>
      <c r="I38" s="5"/>
      <c r="J38">
        <f t="shared" si="5"/>
        <v>-0.11689053323565454</v>
      </c>
      <c r="K38" s="5"/>
      <c r="M38" s="35">
        <f t="shared" si="7"/>
        <v>0.69897000433601875</v>
      </c>
    </row>
    <row r="39" spans="1:13" x14ac:dyDescent="0.35">
      <c r="A39" s="14">
        <v>44649.6875</v>
      </c>
      <c r="B39" s="15">
        <f>(A39-$A$10)*(24)+1</f>
        <v>9.0000000000582077</v>
      </c>
      <c r="C39" s="21">
        <f>149*20*1000</f>
        <v>2980000</v>
      </c>
      <c r="D39" s="28"/>
      <c r="E39" s="5">
        <v>-4.8000000000000001E-2</v>
      </c>
      <c r="F39" s="5">
        <v>5.76</v>
      </c>
      <c r="H39" s="15">
        <f t="shared" si="6"/>
        <v>6.4742162640762553</v>
      </c>
      <c r="I39" s="5"/>
      <c r="J39">
        <f t="shared" si="5"/>
        <v>-0.24828921434473961</v>
      </c>
      <c r="K39" s="5"/>
      <c r="M39" s="35">
        <f t="shared" si="7"/>
        <v>1.1239682457420921</v>
      </c>
    </row>
    <row r="40" spans="1:13" x14ac:dyDescent="0.35">
      <c r="A40" s="14">
        <v>44649.819444444445</v>
      </c>
      <c r="B40" s="15">
        <f t="shared" ref="B40:B51" si="8">(A40-$A$10)*(24)+1</f>
        <v>12.166666666744277</v>
      </c>
      <c r="C40" s="21">
        <f>27*20*10000</f>
        <v>5400000</v>
      </c>
      <c r="D40" s="28"/>
      <c r="E40" s="5">
        <v>-2.5999999999999999E-2</v>
      </c>
      <c r="F40" s="5">
        <v>5.7</v>
      </c>
      <c r="H40" s="15">
        <f t="shared" si="6"/>
        <v>6.7323937598229682</v>
      </c>
      <c r="I40" s="5"/>
      <c r="J40">
        <f t="shared" si="5"/>
        <v>-0.16569575764760042</v>
      </c>
      <c r="K40" s="5"/>
      <c r="M40" s="35">
        <f t="shared" si="7"/>
        <v>1.382145741488805</v>
      </c>
    </row>
    <row r="41" spans="1:13" x14ac:dyDescent="0.35">
      <c r="A41" s="37">
        <v>44692.375</v>
      </c>
      <c r="B41" s="38">
        <v>15</v>
      </c>
      <c r="C41" s="45">
        <f>227*20*10000</f>
        <v>45400000</v>
      </c>
      <c r="D41" s="46"/>
      <c r="E41" s="47">
        <v>6.0999999999999999E-2</v>
      </c>
      <c r="F41" s="47">
        <v>5.23</v>
      </c>
      <c r="G41" s="46"/>
      <c r="H41" s="43">
        <f>LOG(C41)</f>
        <v>7.6570558528571038</v>
      </c>
      <c r="I41" s="42"/>
      <c r="J41" s="40">
        <f t="shared" si="5"/>
        <v>0.16092382110926812</v>
      </c>
      <c r="K41" s="5"/>
      <c r="M41" s="35">
        <f>H41-$Q$5</f>
        <v>2.2098978215148843</v>
      </c>
    </row>
    <row r="42" spans="1:13" x14ac:dyDescent="0.35">
      <c r="A42" s="37">
        <v>44692.5</v>
      </c>
      <c r="B42" s="38">
        <v>18</v>
      </c>
      <c r="C42" s="45">
        <f>150/0.00054</f>
        <v>277777.77777777775</v>
      </c>
      <c r="D42" s="46"/>
      <c r="E42" s="47">
        <v>0.14299999999999999</v>
      </c>
      <c r="F42" s="47">
        <v>4.92</v>
      </c>
      <c r="G42" s="46"/>
      <c r="H42" s="43">
        <f t="shared" si="6"/>
        <v>5.4436974992327123</v>
      </c>
      <c r="I42" s="42"/>
      <c r="J42" s="40">
        <f t="shared" si="5"/>
        <v>0.46877215970769592</v>
      </c>
      <c r="K42" s="5"/>
      <c r="M42" s="35">
        <f t="shared" ref="M42" si="9">H42-$Q$5</f>
        <v>-3.4605321095071417E-3</v>
      </c>
    </row>
    <row r="43" spans="1:13" x14ac:dyDescent="0.35">
      <c r="A43" s="37">
        <v>44692.625</v>
      </c>
      <c r="B43" s="38">
        <v>21</v>
      </c>
      <c r="C43" s="45">
        <f>58*20*100000</f>
        <v>116000000</v>
      </c>
      <c r="D43" s="46"/>
      <c r="E43" s="47">
        <v>0.309</v>
      </c>
      <c r="F43" s="47">
        <v>4.43</v>
      </c>
      <c r="G43" s="46"/>
      <c r="H43" s="43">
        <f t="shared" si="6"/>
        <v>8.0644579892269181</v>
      </c>
      <c r="I43" s="42"/>
      <c r="J43" s="40">
        <f t="shared" si="5"/>
        <v>1.0919773329679279</v>
      </c>
      <c r="K43" s="5"/>
      <c r="M43" s="35">
        <f>H43-$Q$5</f>
        <v>2.6172999578846987</v>
      </c>
    </row>
    <row r="44" spans="1:13" x14ac:dyDescent="0.35">
      <c r="A44" s="14">
        <v>44650.319444444445</v>
      </c>
      <c r="B44" s="15">
        <f t="shared" si="8"/>
        <v>24.166666666744277</v>
      </c>
      <c r="C44" s="21">
        <f>63*20*100000</f>
        <v>126000000</v>
      </c>
      <c r="D44" s="28"/>
      <c r="E44" s="5">
        <v>0.26700000000000002</v>
      </c>
      <c r="F44" s="5">
        <v>4.51</v>
      </c>
      <c r="H44" s="15">
        <f t="shared" si="6"/>
        <v>8.1003705451175634</v>
      </c>
      <c r="I44" s="5"/>
      <c r="J44">
        <f t="shared" si="5"/>
        <v>0.93429891563702594</v>
      </c>
      <c r="K44" s="5"/>
      <c r="M44" s="35">
        <f t="shared" si="7"/>
        <v>2.7501225267834002</v>
      </c>
    </row>
    <row r="45" spans="1:13" x14ac:dyDescent="0.35">
      <c r="A45" s="14">
        <v>44650.440972222219</v>
      </c>
      <c r="B45" s="15">
        <f t="shared" si="8"/>
        <v>27.083333333313931</v>
      </c>
      <c r="C45" s="21">
        <f>97*20*100000</f>
        <v>194000000</v>
      </c>
      <c r="D45" s="28"/>
      <c r="E45" s="5">
        <v>0.39100000000000001</v>
      </c>
      <c r="F45" s="5">
        <v>4.3099999999999996</v>
      </c>
      <c r="H45" s="15">
        <f t="shared" si="6"/>
        <v>8.2878017299302265</v>
      </c>
      <c r="I45" s="5"/>
      <c r="J45">
        <f t="shared" si="5"/>
        <v>1.3998256715663557</v>
      </c>
      <c r="K45" s="5"/>
      <c r="M45" s="35">
        <f t="shared" si="7"/>
        <v>2.9375537115960633</v>
      </c>
    </row>
    <row r="46" spans="1:13" x14ac:dyDescent="0.35">
      <c r="A46" s="14">
        <v>44650.565972222219</v>
      </c>
      <c r="B46" s="15">
        <f t="shared" si="8"/>
        <v>30.083333333313931</v>
      </c>
      <c r="C46" s="21">
        <f>93*20*100000</f>
        <v>186000000</v>
      </c>
      <c r="D46" s="28"/>
      <c r="E46" s="5">
        <v>0.65200000000000002</v>
      </c>
      <c r="F46" s="5">
        <v>4.08</v>
      </c>
      <c r="H46" s="15">
        <f t="shared" si="6"/>
        <v>8.2695129442179169</v>
      </c>
      <c r="I46" s="5"/>
      <c r="J46">
        <f t="shared" si="5"/>
        <v>2.3796844078369617</v>
      </c>
      <c r="K46" s="5"/>
      <c r="M46" s="35">
        <f t="shared" si="7"/>
        <v>2.9192649258837537</v>
      </c>
    </row>
    <row r="47" spans="1:13" x14ac:dyDescent="0.35">
      <c r="A47" s="14">
        <v>44650.690972222219</v>
      </c>
      <c r="B47" s="15">
        <f t="shared" si="8"/>
        <v>33.083333333313931</v>
      </c>
      <c r="C47" s="21">
        <f>107*20*100000</f>
        <v>214000000</v>
      </c>
      <c r="D47" s="28"/>
      <c r="E47" s="16">
        <v>0.75900000000000001</v>
      </c>
      <c r="F47" s="5">
        <v>4</v>
      </c>
      <c r="H47" s="15">
        <f t="shared" si="6"/>
        <v>8.330413773349191</v>
      </c>
      <c r="I47" s="5"/>
      <c r="J47">
        <f t="shared" si="5"/>
        <v>2.781388947227593</v>
      </c>
      <c r="K47" s="5"/>
      <c r="M47" s="35">
        <f t="shared" si="7"/>
        <v>2.9801657550150278</v>
      </c>
    </row>
    <row r="48" spans="1:13" x14ac:dyDescent="0.35">
      <c r="A48" s="14">
        <v>44650.805555555555</v>
      </c>
      <c r="B48" s="15">
        <f t="shared" si="8"/>
        <v>35.833333333372138</v>
      </c>
      <c r="C48" s="21">
        <f>106*20*100000</f>
        <v>212000000</v>
      </c>
      <c r="D48" s="28"/>
      <c r="E48" s="16">
        <v>0.83899999999999997</v>
      </c>
      <c r="F48" s="5">
        <v>3.94</v>
      </c>
      <c r="H48" s="15">
        <f t="shared" si="6"/>
        <v>8.3263358609287508</v>
      </c>
      <c r="I48" s="5"/>
      <c r="J48">
        <f t="shared" si="5"/>
        <v>3.0817287897626442</v>
      </c>
      <c r="K48" s="5"/>
      <c r="M48" s="35">
        <f t="shared" si="7"/>
        <v>2.9760878425945876</v>
      </c>
    </row>
    <row r="49" spans="1:13" x14ac:dyDescent="0.35">
      <c r="A49" s="37">
        <v>44693.5</v>
      </c>
      <c r="B49" s="38">
        <v>42</v>
      </c>
      <c r="C49" s="45">
        <f>127*20*100000</f>
        <v>254000000</v>
      </c>
      <c r="D49" s="46"/>
      <c r="E49" s="53">
        <v>1.0369999999999999</v>
      </c>
      <c r="F49" s="47">
        <v>3.77</v>
      </c>
      <c r="G49" s="46"/>
      <c r="H49" s="38">
        <f t="shared" si="6"/>
        <v>8.4048337166199385</v>
      </c>
      <c r="I49" s="47"/>
      <c r="J49" s="46">
        <f t="shared" si="5"/>
        <v>3.8250699000368966</v>
      </c>
      <c r="K49" s="5"/>
      <c r="M49" s="35">
        <f>H49-Q5</f>
        <v>2.9576756852777191</v>
      </c>
    </row>
    <row r="50" spans="1:13" x14ac:dyDescent="0.35">
      <c r="A50" s="14">
        <v>44651.322916666664</v>
      </c>
      <c r="B50" s="15">
        <f t="shared" si="8"/>
        <v>48.25</v>
      </c>
      <c r="C50" s="21">
        <f>102*20*100000</f>
        <v>204000000</v>
      </c>
      <c r="D50" s="28"/>
      <c r="E50" s="16">
        <v>1.095</v>
      </c>
      <c r="F50" s="5">
        <v>3.81</v>
      </c>
      <c r="H50" s="15">
        <f t="shared" si="6"/>
        <v>8.3096301674258992</v>
      </c>
      <c r="I50" s="5"/>
      <c r="J50">
        <f t="shared" si="5"/>
        <v>4.0428162858748093</v>
      </c>
      <c r="K50" s="5"/>
      <c r="M50" s="35">
        <f t="shared" si="7"/>
        <v>2.959382149091736</v>
      </c>
    </row>
    <row r="51" spans="1:13" x14ac:dyDescent="0.35">
      <c r="A51" s="14">
        <v>44651.565972222219</v>
      </c>
      <c r="B51" s="15">
        <f t="shared" si="8"/>
        <v>54.083333333313931</v>
      </c>
      <c r="C51" s="21">
        <f>75*20*100000</f>
        <v>150000000</v>
      </c>
      <c r="D51" s="28"/>
      <c r="E51" s="16">
        <v>1.135</v>
      </c>
      <c r="F51" s="5">
        <v>3.74</v>
      </c>
      <c r="H51" s="15">
        <f t="shared" si="6"/>
        <v>8.1760912590556813</v>
      </c>
      <c r="I51" s="5"/>
      <c r="J51">
        <f t="shared" si="5"/>
        <v>4.1929862071423347</v>
      </c>
      <c r="K51" s="5"/>
      <c r="M51" s="35">
        <f t="shared" si="7"/>
        <v>2.8258432407215182</v>
      </c>
    </row>
    <row r="52" spans="1:13" x14ac:dyDescent="0.35">
      <c r="H52" s="5"/>
      <c r="I52" s="5"/>
      <c r="J52" s="5"/>
      <c r="K52" s="5"/>
    </row>
    <row r="53" spans="1:13" x14ac:dyDescent="0.35">
      <c r="E53" t="s">
        <v>31</v>
      </c>
      <c r="F53">
        <f>MIN(F36:F40,F44:F48,F50:F51)</f>
        <v>3.74</v>
      </c>
      <c r="H53" s="5"/>
      <c r="I53" s="5"/>
      <c r="J53" s="5"/>
      <c r="K53" s="5"/>
    </row>
    <row r="58" spans="1:13" ht="18.5" x14ac:dyDescent="0.45">
      <c r="A58" s="13" t="s">
        <v>34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3" x14ac:dyDescent="0.35">
      <c r="A59" t="s">
        <v>23</v>
      </c>
      <c r="B59" s="5" t="s">
        <v>24</v>
      </c>
      <c r="C59" s="5" t="s">
        <v>25</v>
      </c>
      <c r="D59" s="5" t="s">
        <v>26</v>
      </c>
      <c r="E59" s="5" t="s">
        <v>27</v>
      </c>
      <c r="F59" s="5" t="s">
        <v>28</v>
      </c>
      <c r="G59" s="5"/>
      <c r="H59" s="5" t="s">
        <v>29</v>
      </c>
      <c r="I59" s="5" t="s">
        <v>30</v>
      </c>
      <c r="J59" s="5" t="s">
        <v>13</v>
      </c>
      <c r="K59" s="5" t="s">
        <v>28</v>
      </c>
      <c r="L59" s="5" t="s">
        <v>46</v>
      </c>
    </row>
    <row r="60" spans="1:13" x14ac:dyDescent="0.35">
      <c r="A60" s="14">
        <v>44649.354166666664</v>
      </c>
      <c r="B60" s="15">
        <f>0*(24)+1</f>
        <v>1</v>
      </c>
      <c r="C60" s="29"/>
      <c r="D60" s="23">
        <f>16*100</f>
        <v>1600</v>
      </c>
      <c r="E60" s="5">
        <v>1.7000000000000001E-2</v>
      </c>
      <c r="F60" s="5">
        <v>5.84</v>
      </c>
      <c r="H60" s="51"/>
      <c r="I60">
        <f>LOG(D60)</f>
        <v>3.2041199826559246</v>
      </c>
      <c r="J60">
        <f t="shared" ref="J60:J75" si="10">(E60-$K$6)/$J$6</f>
        <v>-4.2630922850102164E-3</v>
      </c>
      <c r="L60" s="35">
        <f>I60-$I$60</f>
        <v>0</v>
      </c>
    </row>
    <row r="61" spans="1:13" x14ac:dyDescent="0.35">
      <c r="A61" s="14">
        <v>44649.4375</v>
      </c>
      <c r="B61" s="15">
        <f>(A61-$A$10)*(24)+1</f>
        <v>3.0000000000582077</v>
      </c>
      <c r="C61" s="29"/>
      <c r="D61" s="23">
        <f>31*100</f>
        <v>3100</v>
      </c>
      <c r="E61" s="5">
        <v>2.9000000000000001E-2</v>
      </c>
      <c r="F61" s="5">
        <v>5.82</v>
      </c>
      <c r="H61" s="51"/>
      <c r="I61">
        <f t="shared" ref="I61:I75" si="11">LOG(D61)</f>
        <v>3.4913616938342726</v>
      </c>
      <c r="J61">
        <f t="shared" si="10"/>
        <v>4.0787884095247515E-2</v>
      </c>
      <c r="L61" s="35">
        <f t="shared" ref="L61:L75" si="12">I61-$I$60</f>
        <v>0.28724171117834807</v>
      </c>
    </row>
    <row r="62" spans="1:13" x14ac:dyDescent="0.35">
      <c r="A62" s="14">
        <v>44649.5625</v>
      </c>
      <c r="B62" s="15">
        <f>(A62-$A$10)*(24)+1</f>
        <v>6.0000000000582077</v>
      </c>
      <c r="C62" s="29"/>
      <c r="D62" s="23">
        <f>30*20*10</f>
        <v>6000</v>
      </c>
      <c r="E62" s="5">
        <v>0</v>
      </c>
      <c r="F62" s="5">
        <v>5.8</v>
      </c>
      <c r="H62" s="51"/>
      <c r="I62">
        <f t="shared" si="11"/>
        <v>3.7781512503836434</v>
      </c>
      <c r="J62">
        <f t="shared" si="10"/>
        <v>-6.8085308823708668E-2</v>
      </c>
      <c r="L62" s="35">
        <f t="shared" si="12"/>
        <v>0.57403126772771884</v>
      </c>
    </row>
    <row r="63" spans="1:13" x14ac:dyDescent="0.35">
      <c r="A63" s="14">
        <v>44649.6875</v>
      </c>
      <c r="B63" s="15">
        <f>(A63-$A$10)*(24)+1</f>
        <v>9.0000000000582077</v>
      </c>
      <c r="C63" s="29"/>
      <c r="D63" s="23">
        <f>99*20*10</f>
        <v>19800</v>
      </c>
      <c r="E63" s="5">
        <v>-0.04</v>
      </c>
      <c r="F63" s="5">
        <v>5.81</v>
      </c>
      <c r="H63" s="51"/>
      <c r="I63">
        <f t="shared" si="11"/>
        <v>4.2966651902615309</v>
      </c>
      <c r="J63">
        <f t="shared" si="10"/>
        <v>-0.21825523009123446</v>
      </c>
      <c r="L63" s="35">
        <f t="shared" si="12"/>
        <v>1.0925452076056064</v>
      </c>
    </row>
    <row r="64" spans="1:13" x14ac:dyDescent="0.35">
      <c r="A64" s="14">
        <v>44649.819444444445</v>
      </c>
      <c r="B64" s="15">
        <f t="shared" ref="B64:B75" si="13">(A64-$A$10)*(24)+1</f>
        <v>12.166666666744277</v>
      </c>
      <c r="C64" s="29"/>
      <c r="D64" s="23">
        <f>26*20*100</f>
        <v>52000</v>
      </c>
      <c r="E64" s="5">
        <v>-1.4E-2</v>
      </c>
      <c r="F64" s="5">
        <v>5.81</v>
      </c>
      <c r="H64" s="51"/>
      <c r="I64">
        <f t="shared" si="11"/>
        <v>4.7160033436347994</v>
      </c>
      <c r="J64">
        <f t="shared" si="10"/>
        <v>-0.12064478126734268</v>
      </c>
      <c r="L64" s="35">
        <f t="shared" si="12"/>
        <v>1.5118833609788749</v>
      </c>
    </row>
    <row r="65" spans="1:12" x14ac:dyDescent="0.35">
      <c r="A65" s="37">
        <v>44692.375</v>
      </c>
      <c r="B65" s="38">
        <v>15</v>
      </c>
      <c r="C65" s="47"/>
      <c r="D65" s="52">
        <f>95*20*100</f>
        <v>190000</v>
      </c>
      <c r="E65" s="47">
        <v>-0.02</v>
      </c>
      <c r="F65" s="47">
        <v>5.83</v>
      </c>
      <c r="G65" s="46"/>
      <c r="H65" s="38"/>
      <c r="I65" s="40">
        <f>LOG(D65)</f>
        <v>5.2787536009528289</v>
      </c>
      <c r="J65" s="46">
        <f t="shared" si="10"/>
        <v>-0.14317026945747158</v>
      </c>
      <c r="L65" s="35">
        <f>I65-$Q$6</f>
        <v>2.1326255652745907</v>
      </c>
    </row>
    <row r="66" spans="1:12" x14ac:dyDescent="0.35">
      <c r="A66" s="37">
        <v>44692.5</v>
      </c>
      <c r="B66" s="38">
        <v>18</v>
      </c>
      <c r="C66" s="47"/>
      <c r="D66" s="52">
        <f>265*20*100</f>
        <v>530000</v>
      </c>
      <c r="E66" s="47">
        <v>-2.1000000000000001E-2</v>
      </c>
      <c r="F66" s="47">
        <v>5.84</v>
      </c>
      <c r="G66" s="46"/>
      <c r="H66" s="38"/>
      <c r="I66" s="40">
        <f t="shared" si="11"/>
        <v>5.7242758696007892</v>
      </c>
      <c r="J66" s="46">
        <f t="shared" si="10"/>
        <v>-0.14692451748915972</v>
      </c>
      <c r="L66" s="35">
        <f t="shared" ref="L66:L67" si="14">I66-$Q$6</f>
        <v>2.578147833922551</v>
      </c>
    </row>
    <row r="67" spans="1:12" x14ac:dyDescent="0.35">
      <c r="A67" s="37">
        <v>44692.625</v>
      </c>
      <c r="B67" s="38">
        <v>21</v>
      </c>
      <c r="C67" s="47"/>
      <c r="D67" s="52">
        <f>15*20*10000</f>
        <v>3000000</v>
      </c>
      <c r="E67" s="47">
        <v>-0.05</v>
      </c>
      <c r="F67" s="47">
        <v>5.83</v>
      </c>
      <c r="G67" s="46"/>
      <c r="H67" s="38"/>
      <c r="I67" s="40">
        <f t="shared" si="11"/>
        <v>6.4771212547196626</v>
      </c>
      <c r="J67" s="46">
        <f t="shared" si="10"/>
        <v>-0.25579771040811589</v>
      </c>
      <c r="L67" s="35">
        <f t="shared" si="14"/>
        <v>3.3309932190414244</v>
      </c>
    </row>
    <row r="68" spans="1:12" x14ac:dyDescent="0.35">
      <c r="A68" s="14">
        <v>44650.319444444445</v>
      </c>
      <c r="B68" s="15">
        <f t="shared" si="13"/>
        <v>24.166666666744277</v>
      </c>
      <c r="C68" s="29"/>
      <c r="D68" s="23">
        <f>11*20*10000</f>
        <v>2200000</v>
      </c>
      <c r="E68" s="5">
        <v>3.7999999999999999E-2</v>
      </c>
      <c r="F68" s="5">
        <v>5.76</v>
      </c>
      <c r="H68" s="51"/>
      <c r="I68">
        <f t="shared" si="11"/>
        <v>6.3424226808222066</v>
      </c>
      <c r="J68">
        <f t="shared" si="10"/>
        <v>7.4576116380440802E-2</v>
      </c>
      <c r="L68" s="35">
        <f t="shared" si="12"/>
        <v>3.138302698166282</v>
      </c>
    </row>
    <row r="69" spans="1:12" x14ac:dyDescent="0.35">
      <c r="A69" s="14">
        <v>44650.440972222219</v>
      </c>
      <c r="B69" s="15">
        <f t="shared" si="13"/>
        <v>27.083333333313931</v>
      </c>
      <c r="C69" s="29"/>
      <c r="D69" s="23">
        <f>54*20*10000</f>
        <v>10800000</v>
      </c>
      <c r="E69" s="16">
        <v>-6.0000000000000001E-3</v>
      </c>
      <c r="F69" s="5">
        <v>5.75</v>
      </c>
      <c r="H69" s="51"/>
      <c r="I69">
        <f t="shared" si="11"/>
        <v>7.0334237554869494</v>
      </c>
      <c r="J69">
        <f t="shared" si="10"/>
        <v>-9.0610797013837535E-2</v>
      </c>
      <c r="L69" s="35">
        <f t="shared" si="12"/>
        <v>3.8293037728310249</v>
      </c>
    </row>
    <row r="70" spans="1:12" x14ac:dyDescent="0.35">
      <c r="A70" s="14">
        <v>44650.565972222219</v>
      </c>
      <c r="B70" s="15">
        <f t="shared" si="13"/>
        <v>30.083333333313931</v>
      </c>
      <c r="C70" s="29"/>
      <c r="D70" s="23">
        <f>17*20*100000</f>
        <v>34000000</v>
      </c>
      <c r="E70" s="5">
        <v>8.9999999999999993E-3</v>
      </c>
      <c r="F70" s="5">
        <v>5.71</v>
      </c>
      <c r="H70" s="51"/>
      <c r="I70">
        <f t="shared" si="11"/>
        <v>7.5314789170422554</v>
      </c>
      <c r="J70">
        <f t="shared" si="10"/>
        <v>-3.4297076538515374E-2</v>
      </c>
      <c r="L70" s="35">
        <f t="shared" si="12"/>
        <v>4.3273589343863303</v>
      </c>
    </row>
    <row r="71" spans="1:12" x14ac:dyDescent="0.35">
      <c r="A71" s="14">
        <v>44650.690972222219</v>
      </c>
      <c r="B71" s="15">
        <f t="shared" si="13"/>
        <v>33.083333333313931</v>
      </c>
      <c r="C71" s="29"/>
      <c r="D71" s="23">
        <f>32*20*100000</f>
        <v>64000000</v>
      </c>
      <c r="E71" s="5">
        <v>-1.7000000000000001E-2</v>
      </c>
      <c r="F71" s="5">
        <v>5.63</v>
      </c>
      <c r="H71" s="51"/>
      <c r="I71">
        <f t="shared" si="11"/>
        <v>7.8061799739838875</v>
      </c>
      <c r="J71">
        <f t="shared" si="10"/>
        <v>-0.13190752536240713</v>
      </c>
      <c r="L71" s="35">
        <f t="shared" si="12"/>
        <v>4.6020599913279625</v>
      </c>
    </row>
    <row r="72" spans="1:12" x14ac:dyDescent="0.35">
      <c r="A72" s="14">
        <v>44650.805555555555</v>
      </c>
      <c r="B72" s="15">
        <f t="shared" si="13"/>
        <v>35.833333333372138</v>
      </c>
      <c r="C72" s="29"/>
      <c r="D72" s="23">
        <f>60*20*100000</f>
        <v>120000000</v>
      </c>
      <c r="E72" s="5">
        <v>-1.7000000000000001E-2</v>
      </c>
      <c r="F72" s="5">
        <v>5.49</v>
      </c>
      <c r="H72" s="51"/>
      <c r="I72">
        <f t="shared" si="11"/>
        <v>8.0791812460476251</v>
      </c>
      <c r="J72">
        <f t="shared" si="10"/>
        <v>-0.13190752536240713</v>
      </c>
      <c r="L72" s="35">
        <f t="shared" si="12"/>
        <v>4.8750612633917001</v>
      </c>
    </row>
    <row r="73" spans="1:12" x14ac:dyDescent="0.35">
      <c r="A73" s="37">
        <v>44693.5</v>
      </c>
      <c r="B73" s="38">
        <v>42</v>
      </c>
      <c r="C73" s="29"/>
      <c r="D73" s="52">
        <f>((456000000)+(560000000)+(773000000))/3</f>
        <v>596333333.33333337</v>
      </c>
      <c r="E73" s="47">
        <v>0.153</v>
      </c>
      <c r="F73" s="47">
        <v>4.79</v>
      </c>
      <c r="G73" s="46"/>
      <c r="H73" s="38"/>
      <c r="I73" s="46">
        <f t="shared" si="11"/>
        <v>8.7754890858477097</v>
      </c>
      <c r="J73" s="46">
        <f t="shared" si="10"/>
        <v>0.50631464002457738</v>
      </c>
      <c r="K73" s="46"/>
      <c r="L73" s="48">
        <f>I73-Q6</f>
        <v>5.6293610501694715</v>
      </c>
    </row>
    <row r="74" spans="1:12" x14ac:dyDescent="0.35">
      <c r="A74" s="14">
        <v>44651.322916666664</v>
      </c>
      <c r="B74" s="15">
        <f t="shared" si="13"/>
        <v>48.25</v>
      </c>
      <c r="C74" s="29"/>
      <c r="D74" s="21">
        <f>(640000000+853000000+760000000)/3</f>
        <v>751000000</v>
      </c>
      <c r="E74" s="16">
        <v>0.23400000000000001</v>
      </c>
      <c r="F74" s="5">
        <v>4.67</v>
      </c>
      <c r="H74" s="51"/>
      <c r="I74">
        <f t="shared" si="11"/>
        <v>8.8756399370041681</v>
      </c>
      <c r="J74">
        <f t="shared" si="10"/>
        <v>0.81040873059131713</v>
      </c>
      <c r="L74" s="35">
        <f t="shared" si="12"/>
        <v>5.6715199543482431</v>
      </c>
    </row>
    <row r="75" spans="1:12" x14ac:dyDescent="0.35">
      <c r="A75" s="14">
        <v>44651.565972222219</v>
      </c>
      <c r="B75" s="15">
        <f t="shared" si="13"/>
        <v>54.083333333313931</v>
      </c>
      <c r="C75" s="28"/>
      <c r="D75" s="23">
        <f>(707000000+960000000+680000000)/3</f>
        <v>782333333.33333337</v>
      </c>
      <c r="E75" s="5">
        <v>0.252</v>
      </c>
      <c r="F75" s="5">
        <v>4.45</v>
      </c>
      <c r="H75" s="51"/>
      <c r="I75">
        <f t="shared" si="11"/>
        <v>8.8933918348789298</v>
      </c>
      <c r="J75">
        <f t="shared" si="10"/>
        <v>0.8779851951617037</v>
      </c>
      <c r="L75" s="35">
        <f t="shared" si="12"/>
        <v>5.6892718522230048</v>
      </c>
    </row>
    <row r="77" spans="1:12" x14ac:dyDescent="0.35">
      <c r="E77" t="s">
        <v>31</v>
      </c>
      <c r="F77">
        <f>MIN(F60:F64,F68:F72,F74:F75)</f>
        <v>4.45</v>
      </c>
    </row>
    <row r="83" spans="1:15" ht="18.5" x14ac:dyDescent="0.45">
      <c r="A83" s="33" t="s">
        <v>35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 spans="1:15" x14ac:dyDescent="0.35">
      <c r="A84" t="s">
        <v>23</v>
      </c>
      <c r="B84" s="5" t="s">
        <v>24</v>
      </c>
      <c r="C84" s="5" t="s">
        <v>25</v>
      </c>
      <c r="D84" s="5" t="s">
        <v>26</v>
      </c>
      <c r="E84" s="5" t="s">
        <v>27</v>
      </c>
      <c r="F84" s="5" t="s">
        <v>28</v>
      </c>
      <c r="G84" s="5"/>
      <c r="H84" s="5" t="s">
        <v>29</v>
      </c>
      <c r="I84" s="5" t="s">
        <v>30</v>
      </c>
      <c r="J84" s="5" t="s">
        <v>13</v>
      </c>
      <c r="K84" s="5" t="s">
        <v>28</v>
      </c>
      <c r="L84" t="s">
        <v>45</v>
      </c>
      <c r="N84" s="5" t="s">
        <v>46</v>
      </c>
      <c r="O84" s="5" t="s">
        <v>46</v>
      </c>
    </row>
    <row r="85" spans="1:15" x14ac:dyDescent="0.35">
      <c r="A85" s="14">
        <v>44649.354166666664</v>
      </c>
      <c r="B85" s="15">
        <f>0*24+1</f>
        <v>1</v>
      </c>
      <c r="C85" s="21">
        <f>67*20*100</f>
        <v>134000</v>
      </c>
      <c r="D85" s="21">
        <f>10*100</f>
        <v>1000</v>
      </c>
      <c r="E85" s="5">
        <v>1.2999999999999999E-2</v>
      </c>
      <c r="F85" s="5">
        <v>5.84</v>
      </c>
      <c r="H85" s="15">
        <f>LOG(C85)</f>
        <v>5.1271047983648073</v>
      </c>
      <c r="I85" s="15">
        <f>LOG(D85)</f>
        <v>3</v>
      </c>
      <c r="J85">
        <f t="shared" ref="J85:J100" si="15">(E85-$K$6)/$J$6</f>
        <v>-1.92800844117628E-2</v>
      </c>
      <c r="L85">
        <v>0</v>
      </c>
      <c r="N85" s="35">
        <f>H85-$H$85</f>
        <v>0</v>
      </c>
      <c r="O85" s="35">
        <f>I85-$I$85</f>
        <v>0</v>
      </c>
    </row>
    <row r="86" spans="1:15" x14ac:dyDescent="0.35">
      <c r="A86" s="14">
        <v>44649.4375</v>
      </c>
      <c r="B86" s="15">
        <f>(A86-$A$36)*24+1</f>
        <v>3.0000000000582077</v>
      </c>
      <c r="C86" s="21">
        <f>149*20*100</f>
        <v>298000</v>
      </c>
      <c r="D86" s="21">
        <f>35*100</f>
        <v>3500</v>
      </c>
      <c r="E86" s="5">
        <v>1.2999999999999999E-2</v>
      </c>
      <c r="F86" s="5">
        <v>5.85</v>
      </c>
      <c r="H86" s="15">
        <f t="shared" ref="H86:I100" si="16">LOG(C86)</f>
        <v>5.4742162640762553</v>
      </c>
      <c r="I86" s="15">
        <f t="shared" si="16"/>
        <v>3.5440680443502757</v>
      </c>
      <c r="J86">
        <f t="shared" si="15"/>
        <v>-1.92800844117628E-2</v>
      </c>
      <c r="L86">
        <v>0</v>
      </c>
      <c r="N86" s="35">
        <f t="shared" ref="N86:N100" si="17">H86-$H$85</f>
        <v>0.34711146571144802</v>
      </c>
      <c r="O86" s="35">
        <f t="shared" ref="O86:O100" si="18">I86-$I$85</f>
        <v>0.54406804435027567</v>
      </c>
    </row>
    <row r="87" spans="1:15" x14ac:dyDescent="0.35">
      <c r="A87" s="14">
        <v>44649.5625</v>
      </c>
      <c r="B87" s="15">
        <f t="shared" ref="B87:B100" si="19">(A87-$A$36)*24+1</f>
        <v>6.0000000000582077</v>
      </c>
      <c r="C87" s="21">
        <f>30*20*1000</f>
        <v>600000</v>
      </c>
      <c r="D87" s="21">
        <f>35*20*10</f>
        <v>7000</v>
      </c>
      <c r="E87" s="16">
        <v>1.4E-2</v>
      </c>
      <c r="F87" s="5">
        <v>5.79</v>
      </c>
      <c r="H87" s="15">
        <f t="shared" si="16"/>
        <v>5.7781512503836439</v>
      </c>
      <c r="I87" s="15">
        <f t="shared" si="16"/>
        <v>3.8450980400142569</v>
      </c>
      <c r="J87">
        <f t="shared" si="15"/>
        <v>-1.5525836380074652E-2</v>
      </c>
      <c r="L87">
        <v>0</v>
      </c>
      <c r="N87" s="35">
        <f t="shared" si="17"/>
        <v>0.6510464520188366</v>
      </c>
      <c r="O87" s="35">
        <f t="shared" si="18"/>
        <v>0.84509804001425692</v>
      </c>
    </row>
    <row r="88" spans="1:15" x14ac:dyDescent="0.35">
      <c r="A88" s="14">
        <v>44649.6875</v>
      </c>
      <c r="B88" s="15">
        <f t="shared" si="19"/>
        <v>9.0000000000582077</v>
      </c>
      <c r="C88" s="21">
        <f>108*20*1000</f>
        <v>2160000</v>
      </c>
      <c r="D88" s="21">
        <f>67*20*10</f>
        <v>13400</v>
      </c>
      <c r="E88" s="5">
        <v>-1.7999999999999999E-2</v>
      </c>
      <c r="F88" s="5">
        <v>5.76</v>
      </c>
      <c r="H88" s="15">
        <f t="shared" si="16"/>
        <v>6.3344537511509307</v>
      </c>
      <c r="I88" s="15">
        <f t="shared" si="16"/>
        <v>4.1271047983648073</v>
      </c>
      <c r="J88">
        <f t="shared" si="15"/>
        <v>-0.13566177339409527</v>
      </c>
      <c r="L88">
        <v>0</v>
      </c>
      <c r="N88" s="35">
        <f t="shared" si="17"/>
        <v>1.2073489527861234</v>
      </c>
      <c r="O88" s="35">
        <f t="shared" si="18"/>
        <v>1.1271047983648073</v>
      </c>
    </row>
    <row r="89" spans="1:15" x14ac:dyDescent="0.35">
      <c r="A89" s="14">
        <v>44649.819444444445</v>
      </c>
      <c r="B89" s="15">
        <f t="shared" si="19"/>
        <v>12.166666666744277</v>
      </c>
      <c r="C89" s="21">
        <f>32*20*10000</f>
        <v>6400000</v>
      </c>
      <c r="D89" s="21">
        <f>20*20*100</f>
        <v>40000</v>
      </c>
      <c r="E89" s="5">
        <v>-2.1000000000000001E-2</v>
      </c>
      <c r="F89" s="5">
        <v>5.74</v>
      </c>
      <c r="H89" s="15">
        <f t="shared" si="16"/>
        <v>6.8061799739838875</v>
      </c>
      <c r="I89" s="15">
        <f t="shared" si="16"/>
        <v>4.6020599913279625</v>
      </c>
      <c r="J89">
        <f t="shared" si="15"/>
        <v>-0.14692451748915972</v>
      </c>
      <c r="L89">
        <v>0</v>
      </c>
      <c r="N89" s="35">
        <f t="shared" si="17"/>
        <v>1.6790751756190803</v>
      </c>
      <c r="O89" s="35">
        <f t="shared" si="18"/>
        <v>1.6020599913279625</v>
      </c>
    </row>
    <row r="90" spans="1:15" x14ac:dyDescent="0.35">
      <c r="A90" s="37">
        <v>44692.375</v>
      </c>
      <c r="B90" s="38">
        <v>15</v>
      </c>
      <c r="C90" s="45">
        <f>334*20*10000</f>
        <v>66800000</v>
      </c>
      <c r="D90" s="45">
        <f>33*20*100</f>
        <v>66000</v>
      </c>
      <c r="E90" s="47">
        <v>0.13200000000000001</v>
      </c>
      <c r="F90" s="47">
        <v>4.84</v>
      </c>
      <c r="G90" s="46"/>
      <c r="H90" s="43">
        <f>LOG(C90)</f>
        <v>7.8247764624755458</v>
      </c>
      <c r="I90" s="43">
        <f>LOG(D90)</f>
        <v>4.8195439355418683</v>
      </c>
      <c r="J90" s="40">
        <f t="shared" si="15"/>
        <v>0.42747543135912641</v>
      </c>
      <c r="N90" s="35">
        <f>H90-$Q$4</f>
        <v>2.3476552077558832</v>
      </c>
      <c r="O90" s="35">
        <f>I90-$Q$6</f>
        <v>1.6734158998636302</v>
      </c>
    </row>
    <row r="91" spans="1:15" x14ac:dyDescent="0.35">
      <c r="A91" s="37">
        <v>44692.5</v>
      </c>
      <c r="B91" s="38">
        <v>18</v>
      </c>
      <c r="C91" s="45">
        <f>((300000000)+(190000000))/2</f>
        <v>245000000</v>
      </c>
      <c r="D91" s="45">
        <f>76*20*10</f>
        <v>15200</v>
      </c>
      <c r="E91" s="47">
        <v>0.28399999999999997</v>
      </c>
      <c r="F91" s="47">
        <v>4.5199999999999996</v>
      </c>
      <c r="G91" s="46"/>
      <c r="H91" s="43">
        <f t="shared" si="16"/>
        <v>8.3891660843645326</v>
      </c>
      <c r="I91" s="43">
        <f t="shared" si="16"/>
        <v>4.1818435879447726</v>
      </c>
      <c r="J91" s="40">
        <f t="shared" si="15"/>
        <v>0.99812113217572418</v>
      </c>
      <c r="N91" s="35">
        <f t="shared" ref="N91:N92" si="20">H91-$Q$4</f>
        <v>2.91204482964487</v>
      </c>
      <c r="O91" s="35">
        <f t="shared" ref="O91:O92" si="21">I91-$Q$6</f>
        <v>1.0357155522665344</v>
      </c>
    </row>
    <row r="92" spans="1:15" x14ac:dyDescent="0.35">
      <c r="A92" s="37">
        <v>44692.625</v>
      </c>
      <c r="B92" s="38">
        <v>21</v>
      </c>
      <c r="C92" s="45">
        <f>50*20*100000</f>
        <v>100000000</v>
      </c>
      <c r="D92" s="45">
        <f>9*20*10</f>
        <v>1800</v>
      </c>
      <c r="E92" s="47">
        <v>0.48399999999999999</v>
      </c>
      <c r="F92" s="47">
        <v>4.21</v>
      </c>
      <c r="G92" s="46"/>
      <c r="H92" s="43">
        <f t="shared" si="16"/>
        <v>8</v>
      </c>
      <c r="I92" s="43">
        <f t="shared" si="16"/>
        <v>3.255272505103306</v>
      </c>
      <c r="J92" s="40">
        <f t="shared" si="15"/>
        <v>1.7489707385133531</v>
      </c>
      <c r="N92" s="35">
        <f t="shared" si="20"/>
        <v>2.5228787452803374</v>
      </c>
      <c r="O92" s="35">
        <f t="shared" si="21"/>
        <v>0.10914446942506784</v>
      </c>
    </row>
    <row r="93" spans="1:15" x14ac:dyDescent="0.35">
      <c r="A93" s="14">
        <v>44650.319444444445</v>
      </c>
      <c r="B93" s="15">
        <f t="shared" si="19"/>
        <v>24.166666666744277</v>
      </c>
      <c r="C93" s="21">
        <f>80*20*100000</f>
        <v>160000000</v>
      </c>
      <c r="D93" s="21">
        <f>16*20*10</f>
        <v>3200</v>
      </c>
      <c r="E93" s="5">
        <v>0.48299999999999998</v>
      </c>
      <c r="F93" s="5">
        <v>4.26</v>
      </c>
      <c r="H93" s="15">
        <f t="shared" si="16"/>
        <v>8.204119982655925</v>
      </c>
      <c r="I93" s="15">
        <f t="shared" si="16"/>
        <v>3.5051499783199058</v>
      </c>
      <c r="J93">
        <f t="shared" si="15"/>
        <v>1.7452164904816649</v>
      </c>
      <c r="L93">
        <v>1.6</v>
      </c>
      <c r="N93" s="35">
        <f t="shared" si="17"/>
        <v>3.0770151842911178</v>
      </c>
      <c r="O93" s="35">
        <f t="shared" si="18"/>
        <v>0.50514997831990582</v>
      </c>
    </row>
    <row r="94" spans="1:15" x14ac:dyDescent="0.35">
      <c r="A94" s="14">
        <v>44650.440972222219</v>
      </c>
      <c r="B94" s="15">
        <f t="shared" si="19"/>
        <v>27.083333333313931</v>
      </c>
      <c r="C94" s="21">
        <f>103*20*100000</f>
        <v>206000000</v>
      </c>
      <c r="D94" s="23">
        <f>7*20*10</f>
        <v>1400</v>
      </c>
      <c r="E94" s="5">
        <v>0.53900000000000003</v>
      </c>
      <c r="F94" s="5">
        <v>4.12</v>
      </c>
      <c r="H94" s="15">
        <f t="shared" si="16"/>
        <v>8.3138672203691542</v>
      </c>
      <c r="I94" s="15">
        <f t="shared" si="16"/>
        <v>3.1461280356782382</v>
      </c>
      <c r="J94">
        <f t="shared" si="15"/>
        <v>1.9554543802562014</v>
      </c>
      <c r="L94">
        <v>1.6</v>
      </c>
      <c r="N94" s="35">
        <f t="shared" si="17"/>
        <v>3.1867624220043469</v>
      </c>
      <c r="O94" s="35">
        <f t="shared" si="18"/>
        <v>0.14612803567823818</v>
      </c>
    </row>
    <row r="95" spans="1:15" x14ac:dyDescent="0.35">
      <c r="A95" s="14">
        <v>44650.565972222219</v>
      </c>
      <c r="B95" s="15">
        <f t="shared" si="19"/>
        <v>30.083333333313931</v>
      </c>
      <c r="C95" s="21">
        <f>98*20*100000</f>
        <v>196000000</v>
      </c>
      <c r="D95" s="23">
        <f>AVERAGE(354*2,13*2*10)</f>
        <v>484</v>
      </c>
      <c r="E95" s="5">
        <v>0.84099999999999997</v>
      </c>
      <c r="F95" s="5">
        <v>3.96</v>
      </c>
      <c r="H95" s="15">
        <f t="shared" si="16"/>
        <v>8.2922560713564764</v>
      </c>
      <c r="I95" s="15">
        <f t="shared" si="16"/>
        <v>2.6848453616444123</v>
      </c>
      <c r="J95">
        <f t="shared" si="15"/>
        <v>3.0892372858260204</v>
      </c>
      <c r="L95">
        <v>1.6</v>
      </c>
      <c r="N95" s="35">
        <f t="shared" si="17"/>
        <v>3.1651512729916691</v>
      </c>
      <c r="O95" s="35">
        <f t="shared" si="18"/>
        <v>-0.31515463835558766</v>
      </c>
    </row>
    <row r="96" spans="1:15" x14ac:dyDescent="0.35">
      <c r="A96" s="14">
        <v>44650.690972222219</v>
      </c>
      <c r="B96" s="15">
        <f t="shared" si="19"/>
        <v>33.083333333313931</v>
      </c>
      <c r="C96" s="21">
        <f>120*20*100000</f>
        <v>240000000</v>
      </c>
      <c r="D96" s="23">
        <f>AVERAGE(187*2,19*2*10)</f>
        <v>377</v>
      </c>
      <c r="E96" s="5">
        <v>0.84899999999999998</v>
      </c>
      <c r="F96" s="5">
        <v>3.94</v>
      </c>
      <c r="H96" s="15">
        <f t="shared" si="16"/>
        <v>8.3802112417116064</v>
      </c>
      <c r="I96" s="15">
        <f t="shared" si="16"/>
        <v>2.576341350205793</v>
      </c>
      <c r="J96">
        <f t="shared" si="15"/>
        <v>3.1192712700795253</v>
      </c>
      <c r="L96">
        <v>1.6</v>
      </c>
      <c r="N96" s="35">
        <f t="shared" si="17"/>
        <v>3.2531064433467991</v>
      </c>
      <c r="O96" s="35">
        <f t="shared" si="18"/>
        <v>-0.42365864979420698</v>
      </c>
    </row>
    <row r="97" spans="1:15" x14ac:dyDescent="0.35">
      <c r="A97" s="14">
        <v>44650.805555555555</v>
      </c>
      <c r="B97" s="15">
        <f t="shared" si="19"/>
        <v>35.833333333372138</v>
      </c>
      <c r="C97" s="21">
        <f>97*20*100000</f>
        <v>194000000</v>
      </c>
      <c r="D97" s="23">
        <f>AVERAGE(27*2,1*20*10)</f>
        <v>127</v>
      </c>
      <c r="E97" s="5">
        <v>0.874</v>
      </c>
      <c r="F97" s="5">
        <v>3.92</v>
      </c>
      <c r="H97" s="15">
        <f t="shared" si="16"/>
        <v>8.2878017299302265</v>
      </c>
      <c r="I97" s="15">
        <f t="shared" si="16"/>
        <v>2.1038037209559568</v>
      </c>
      <c r="J97">
        <f t="shared" si="15"/>
        <v>3.2131274708717297</v>
      </c>
      <c r="L97">
        <v>3.2</v>
      </c>
      <c r="N97" s="35">
        <f t="shared" si="17"/>
        <v>3.1606969315654192</v>
      </c>
      <c r="O97" s="35">
        <f t="shared" si="18"/>
        <v>-0.8961962790440432</v>
      </c>
    </row>
    <row r="98" spans="1:15" x14ac:dyDescent="0.35">
      <c r="A98" s="37">
        <v>44693.5</v>
      </c>
      <c r="B98" s="38">
        <v>42</v>
      </c>
      <c r="C98" s="21">
        <f>95*20*100000</f>
        <v>190000000</v>
      </c>
      <c r="D98" s="23">
        <v>0</v>
      </c>
      <c r="E98" s="5">
        <v>1.0269999999999999</v>
      </c>
      <c r="F98" s="5">
        <v>3.8</v>
      </c>
      <c r="H98" s="15">
        <f t="shared" si="16"/>
        <v>8.2787536009528289</v>
      </c>
      <c r="I98" s="15" t="e">
        <f t="shared" si="16"/>
        <v>#NUM!</v>
      </c>
      <c r="J98">
        <f t="shared" si="15"/>
        <v>3.7875274197200151</v>
      </c>
      <c r="N98" s="35">
        <f>H98-Q4</f>
        <v>2.8016323462331663</v>
      </c>
      <c r="O98" s="35" t="e">
        <f>I98-Q6</f>
        <v>#NUM!</v>
      </c>
    </row>
    <row r="99" spans="1:15" x14ac:dyDescent="0.35">
      <c r="A99" s="14">
        <v>44651.322916666664</v>
      </c>
      <c r="B99" s="15">
        <f t="shared" si="19"/>
        <v>48.25</v>
      </c>
      <c r="C99" s="21">
        <f>89*20*100000</f>
        <v>178000000</v>
      </c>
      <c r="D99" s="23">
        <f>0.9/5</f>
        <v>0.18</v>
      </c>
      <c r="E99" s="5">
        <v>1.127</v>
      </c>
      <c r="F99" s="5">
        <v>3.81</v>
      </c>
      <c r="H99" s="15">
        <f t="shared" si="16"/>
        <v>8.2504200023088945</v>
      </c>
      <c r="I99" s="15">
        <f t="shared" si="16"/>
        <v>-0.74472749489669399</v>
      </c>
      <c r="J99">
        <f t="shared" si="15"/>
        <v>4.1629522228888298</v>
      </c>
      <c r="L99">
        <v>3.2</v>
      </c>
      <c r="N99" s="35">
        <f t="shared" si="17"/>
        <v>3.1233152039440872</v>
      </c>
      <c r="O99" s="35">
        <f t="shared" si="18"/>
        <v>-3.744727494896694</v>
      </c>
    </row>
    <row r="100" spans="1:15" x14ac:dyDescent="0.35">
      <c r="A100" s="14">
        <v>44651.565972222219</v>
      </c>
      <c r="B100" s="15">
        <f t="shared" si="19"/>
        <v>54.083333333313931</v>
      </c>
      <c r="C100" s="21">
        <f>78*20*100000</f>
        <v>156000000</v>
      </c>
      <c r="D100" s="23">
        <f>0.9/5</f>
        <v>0.18</v>
      </c>
      <c r="E100" s="5">
        <v>1.1200000000000001</v>
      </c>
      <c r="F100" s="5">
        <v>3.78</v>
      </c>
      <c r="H100" s="15">
        <f t="shared" si="16"/>
        <v>8.1931245983544621</v>
      </c>
      <c r="I100" s="15">
        <f t="shared" si="16"/>
        <v>-0.74472749489669399</v>
      </c>
      <c r="J100">
        <f t="shared" si="15"/>
        <v>4.1366724866670133</v>
      </c>
      <c r="L100">
        <v>1.6</v>
      </c>
      <c r="N100" s="35">
        <f t="shared" si="17"/>
        <v>3.0660197999896548</v>
      </c>
      <c r="O100" s="35">
        <f t="shared" si="18"/>
        <v>-3.744727494896694</v>
      </c>
    </row>
    <row r="101" spans="1:15" x14ac:dyDescent="0.35">
      <c r="C101" s="5"/>
    </row>
    <row r="102" spans="1:15" x14ac:dyDescent="0.35">
      <c r="C102" s="5"/>
      <c r="E102" t="s">
        <v>31</v>
      </c>
      <c r="F102">
        <f>MIN(F85:F89,F93:F97,F99:F100)</f>
        <v>3.78</v>
      </c>
    </row>
    <row r="103" spans="1:15" x14ac:dyDescent="0.35">
      <c r="C103" s="5"/>
    </row>
    <row r="109" spans="1:15" ht="18.5" x14ac:dyDescent="0.45">
      <c r="A109" s="33" t="s">
        <v>37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5" x14ac:dyDescent="0.35">
      <c r="A110" t="s">
        <v>23</v>
      </c>
      <c r="B110" s="5" t="s">
        <v>24</v>
      </c>
      <c r="C110" s="5" t="s">
        <v>25</v>
      </c>
      <c r="D110" s="5" t="s">
        <v>26</v>
      </c>
      <c r="E110" s="5" t="s">
        <v>27</v>
      </c>
      <c r="F110" s="5" t="s">
        <v>28</v>
      </c>
      <c r="G110" s="5"/>
      <c r="H110" s="5" t="s">
        <v>29</v>
      </c>
      <c r="I110" s="5" t="s">
        <v>30</v>
      </c>
      <c r="J110" s="5" t="s">
        <v>13</v>
      </c>
      <c r="K110" s="5" t="s">
        <v>28</v>
      </c>
      <c r="L110" s="5" t="s">
        <v>46</v>
      </c>
      <c r="M110" s="5" t="s">
        <v>46</v>
      </c>
    </row>
    <row r="111" spans="1:15" x14ac:dyDescent="0.35">
      <c r="A111" s="14">
        <v>44649.354166666664</v>
      </c>
      <c r="B111" s="15">
        <f>0*24+1</f>
        <v>1</v>
      </c>
      <c r="C111" s="23">
        <f>97*20*100</f>
        <v>194000</v>
      </c>
      <c r="D111" s="23">
        <f>25*100</f>
        <v>2500</v>
      </c>
      <c r="E111" s="5">
        <v>1.4999999999999999E-2</v>
      </c>
      <c r="F111" s="5">
        <v>5.83</v>
      </c>
      <c r="H111" s="18">
        <f>LOG(C111)</f>
        <v>5.2878017299302265</v>
      </c>
      <c r="I111" s="18">
        <f>LOG(D111)</f>
        <v>3.3979400086720375</v>
      </c>
      <c r="J111">
        <f t="shared" ref="J111:J126" si="22">(E111-$K$6)/$J$6</f>
        <v>-1.1771588348386512E-2</v>
      </c>
      <c r="K111" s="5"/>
      <c r="L111" s="35">
        <f>H111-$H$111</f>
        <v>0</v>
      </c>
      <c r="M111" s="35">
        <f>I111-$I$111</f>
        <v>0</v>
      </c>
    </row>
    <row r="112" spans="1:15" x14ac:dyDescent="0.35">
      <c r="A112" s="14">
        <v>44649.4375</v>
      </c>
      <c r="B112" s="15">
        <f>(A112-$A$36)*24+1</f>
        <v>3.0000000000582077</v>
      </c>
      <c r="C112" s="23">
        <f>220*20*100</f>
        <v>440000</v>
      </c>
      <c r="D112" s="23">
        <f>32*100</f>
        <v>3200</v>
      </c>
      <c r="E112" s="5">
        <v>7.0000000000000001E-3</v>
      </c>
      <c r="F112" s="5">
        <v>5.79</v>
      </c>
      <c r="H112" s="18">
        <f t="shared" ref="H112:I126" si="23">LOG(C112)</f>
        <v>5.6434526764861879</v>
      </c>
      <c r="I112" s="18">
        <f t="shared" si="23"/>
        <v>3.5051499783199058</v>
      </c>
      <c r="J112">
        <f t="shared" si="22"/>
        <v>-4.1805572601891668E-2</v>
      </c>
      <c r="K112" s="5"/>
      <c r="L112" s="35">
        <f t="shared" ref="L112:L126" si="24">H112-$H$111</f>
        <v>0.35565094655596141</v>
      </c>
      <c r="M112" s="35">
        <f t="shared" ref="M112:M126" si="25">I112-$I$111</f>
        <v>0.10720996964786833</v>
      </c>
    </row>
    <row r="113" spans="1:13" x14ac:dyDescent="0.35">
      <c r="A113" s="14">
        <v>44649.5625</v>
      </c>
      <c r="B113" s="15">
        <f t="shared" ref="B113:B126" si="26">(A113-$A$36)*24+1</f>
        <v>6.0000000000582077</v>
      </c>
      <c r="C113" s="23">
        <f>61*20*1000</f>
        <v>1220000</v>
      </c>
      <c r="D113" s="23">
        <f>21*20*10</f>
        <v>4200</v>
      </c>
      <c r="E113" s="16">
        <v>-2E-3</v>
      </c>
      <c r="F113" s="5">
        <v>5.76</v>
      </c>
      <c r="H113" s="18">
        <f t="shared" si="23"/>
        <v>6.0863598306747484</v>
      </c>
      <c r="I113" s="18">
        <f t="shared" si="23"/>
        <v>3.6232492903979003</v>
      </c>
      <c r="J113">
        <f t="shared" si="22"/>
        <v>-7.5593804887084962E-2</v>
      </c>
      <c r="K113" s="5"/>
      <c r="L113" s="35">
        <f t="shared" si="24"/>
        <v>0.79855810074452194</v>
      </c>
      <c r="M113" s="35">
        <f t="shared" si="25"/>
        <v>0.22530928172586284</v>
      </c>
    </row>
    <row r="114" spans="1:13" x14ac:dyDescent="0.35">
      <c r="A114" s="14">
        <v>44649.6875</v>
      </c>
      <c r="B114" s="15">
        <f t="shared" si="26"/>
        <v>9.0000000000582077</v>
      </c>
      <c r="C114" s="23">
        <f>176*20*1000</f>
        <v>3520000</v>
      </c>
      <c r="D114" s="23">
        <f>81*20*10</f>
        <v>16200</v>
      </c>
      <c r="E114" s="5">
        <v>-3.4000000000000002E-2</v>
      </c>
      <c r="F114" s="5">
        <v>5.76</v>
      </c>
      <c r="H114" s="18">
        <f t="shared" si="23"/>
        <v>6.5465426634781307</v>
      </c>
      <c r="I114" s="18">
        <f t="shared" si="23"/>
        <v>4.2095150145426308</v>
      </c>
      <c r="J114">
        <f t="shared" si="22"/>
        <v>-0.19572974190110559</v>
      </c>
      <c r="K114" s="5"/>
      <c r="L114" s="35">
        <f t="shared" si="24"/>
        <v>1.2587409335479043</v>
      </c>
      <c r="M114" s="35">
        <f t="shared" si="25"/>
        <v>0.81157500587059328</v>
      </c>
    </row>
    <row r="115" spans="1:13" x14ac:dyDescent="0.35">
      <c r="A115" s="14">
        <v>44649.819444444445</v>
      </c>
      <c r="B115" s="15">
        <f t="shared" si="26"/>
        <v>12.166666666744277</v>
      </c>
      <c r="C115" s="23">
        <f>50*20*10000</f>
        <v>10000000</v>
      </c>
      <c r="D115" s="23">
        <f>20*20*100</f>
        <v>40000</v>
      </c>
      <c r="E115" s="5">
        <v>-1.7999999999999999E-2</v>
      </c>
      <c r="F115" s="5">
        <v>5.7</v>
      </c>
      <c r="H115" s="18">
        <f t="shared" si="23"/>
        <v>7</v>
      </c>
      <c r="I115" s="18">
        <f t="shared" si="23"/>
        <v>4.6020599913279625</v>
      </c>
      <c r="J115">
        <f t="shared" si="22"/>
        <v>-0.13566177339409527</v>
      </c>
      <c r="K115" s="5"/>
      <c r="L115" s="35">
        <f t="shared" si="24"/>
        <v>1.7121982700697735</v>
      </c>
      <c r="M115" s="35">
        <f t="shared" si="25"/>
        <v>1.204119982655925</v>
      </c>
    </row>
    <row r="116" spans="1:13" x14ac:dyDescent="0.35">
      <c r="A116" s="37">
        <v>44692.375</v>
      </c>
      <c r="B116" s="38">
        <v>15</v>
      </c>
      <c r="C116" s="52">
        <f>296*20*10000</f>
        <v>59200000</v>
      </c>
      <c r="D116" s="52">
        <f>112*20*100</f>
        <v>224000</v>
      </c>
      <c r="E116" s="47">
        <v>7.0999999999999994E-2</v>
      </c>
      <c r="F116" s="47">
        <v>5.19</v>
      </c>
      <c r="G116" s="46"/>
      <c r="H116" s="54">
        <f>LOG(C116)</f>
        <v>7.77232170672292</v>
      </c>
      <c r="I116" s="54">
        <f>LOG(D116)</f>
        <v>5.3502480183341632</v>
      </c>
      <c r="J116" s="40">
        <f t="shared" si="22"/>
        <v>0.19846630142614954</v>
      </c>
      <c r="K116" s="5"/>
      <c r="L116" s="35">
        <f>H116-$Q$5</f>
        <v>2.3251636753807006</v>
      </c>
      <c r="M116" s="35">
        <f>I116-$Q$6</f>
        <v>2.204119982655925</v>
      </c>
    </row>
    <row r="117" spans="1:13" x14ac:dyDescent="0.35">
      <c r="A117" s="37">
        <v>44692.5</v>
      </c>
      <c r="B117" s="38">
        <v>18</v>
      </c>
      <c r="C117" s="52">
        <f>((120000000)+(98000000))/2</f>
        <v>109000000</v>
      </c>
      <c r="D117" s="52">
        <f>((1420000)+(1510000)+(1270000))/3</f>
        <v>1400000</v>
      </c>
      <c r="E117" s="47">
        <v>0.151</v>
      </c>
      <c r="F117" s="47">
        <v>4.88</v>
      </c>
      <c r="G117" s="46"/>
      <c r="H117" s="54">
        <f t="shared" si="23"/>
        <v>8.0374264979406238</v>
      </c>
      <c r="I117" s="54">
        <f t="shared" si="23"/>
        <v>6.1461280356782382</v>
      </c>
      <c r="J117" s="40">
        <f t="shared" si="22"/>
        <v>0.4988061439612011</v>
      </c>
      <c r="K117" s="5"/>
      <c r="L117" s="35">
        <f t="shared" ref="L117:L118" si="27">H117-$Q$5</f>
        <v>2.5902684665984044</v>
      </c>
      <c r="M117" s="35">
        <f t="shared" ref="M117:M118" si="28">I117-$Q$6</f>
        <v>3</v>
      </c>
    </row>
    <row r="118" spans="1:13" x14ac:dyDescent="0.35">
      <c r="A118" s="37">
        <v>44692.625</v>
      </c>
      <c r="B118" s="38">
        <v>21</v>
      </c>
      <c r="C118" s="52">
        <f>56*20*100000</f>
        <v>112000000</v>
      </c>
      <c r="D118" s="52">
        <f>24*20*1000</f>
        <v>480000</v>
      </c>
      <c r="E118" s="47">
        <v>0.316</v>
      </c>
      <c r="F118" s="47">
        <v>4.41</v>
      </c>
      <c r="G118" s="46"/>
      <c r="H118" s="54">
        <f t="shared" si="23"/>
        <v>8.0492180226701819</v>
      </c>
      <c r="I118" s="54">
        <f t="shared" si="23"/>
        <v>5.6812412373755876</v>
      </c>
      <c r="J118" s="40">
        <f t="shared" si="22"/>
        <v>1.1182570691897449</v>
      </c>
      <c r="K118" s="5"/>
      <c r="L118" s="35">
        <f t="shared" si="27"/>
        <v>2.6020599913279625</v>
      </c>
      <c r="M118" s="35">
        <f t="shared" si="28"/>
        <v>2.5351132016973494</v>
      </c>
    </row>
    <row r="119" spans="1:13" x14ac:dyDescent="0.35">
      <c r="A119" s="14">
        <v>44650.319444444445</v>
      </c>
      <c r="B119" s="15">
        <f t="shared" si="26"/>
        <v>24.166666666744277</v>
      </c>
      <c r="C119" s="23">
        <f>74*20*100000</f>
        <v>148000000</v>
      </c>
      <c r="D119" s="23">
        <f>32*20*1000</f>
        <v>640000</v>
      </c>
      <c r="E119" s="5">
        <v>0.32100000000000001</v>
      </c>
      <c r="F119" s="5">
        <v>4.53</v>
      </c>
      <c r="H119" s="18">
        <f t="shared" si="23"/>
        <v>8.1702617153949575</v>
      </c>
      <c r="I119" s="18">
        <f t="shared" si="23"/>
        <v>5.8061799739838875</v>
      </c>
      <c r="J119">
        <f t="shared" si="22"/>
        <v>1.1370283093481857</v>
      </c>
      <c r="K119" s="5"/>
      <c r="L119" s="35">
        <f t="shared" si="24"/>
        <v>2.882459985464731</v>
      </c>
      <c r="M119" s="35">
        <f t="shared" si="25"/>
        <v>2.40823996531185</v>
      </c>
    </row>
    <row r="120" spans="1:13" x14ac:dyDescent="0.35">
      <c r="A120" s="14">
        <v>44650.440972222219</v>
      </c>
      <c r="B120" s="15">
        <f t="shared" si="26"/>
        <v>27.083333333313931</v>
      </c>
      <c r="C120" s="23">
        <f>96*20*100000</f>
        <v>192000000</v>
      </c>
      <c r="D120" s="23">
        <f>37*20*1000</f>
        <v>740000</v>
      </c>
      <c r="E120" s="5">
        <v>0.39900000000000002</v>
      </c>
      <c r="F120" s="5">
        <v>4.3</v>
      </c>
      <c r="H120" s="18">
        <f t="shared" si="23"/>
        <v>8.2833012287035501</v>
      </c>
      <c r="I120" s="18">
        <f t="shared" si="23"/>
        <v>5.8692317197309762</v>
      </c>
      <c r="J120">
        <f t="shared" si="22"/>
        <v>1.4298596558198609</v>
      </c>
      <c r="K120" s="5"/>
      <c r="L120" s="35">
        <f t="shared" si="24"/>
        <v>2.9954994987733237</v>
      </c>
      <c r="M120" s="35">
        <f t="shared" si="25"/>
        <v>2.4712917110589387</v>
      </c>
    </row>
    <row r="121" spans="1:13" x14ac:dyDescent="0.35">
      <c r="A121" s="14">
        <v>44650.565972222219</v>
      </c>
      <c r="B121" s="15">
        <f t="shared" si="26"/>
        <v>30.083333333313931</v>
      </c>
      <c r="C121" s="23">
        <f>98*20*100000</f>
        <v>196000000</v>
      </c>
      <c r="D121" s="23">
        <f>40*20*1000</f>
        <v>800000</v>
      </c>
      <c r="E121" s="5">
        <v>0.73499999999999999</v>
      </c>
      <c r="F121" s="5">
        <v>4.08</v>
      </c>
      <c r="H121" s="18">
        <f t="shared" si="23"/>
        <v>8.2922560713564764</v>
      </c>
      <c r="I121" s="18">
        <f t="shared" si="23"/>
        <v>5.9030899869919438</v>
      </c>
      <c r="J121">
        <f t="shared" si="22"/>
        <v>2.6912869944670774</v>
      </c>
      <c r="K121" s="5"/>
      <c r="L121" s="35">
        <f t="shared" si="24"/>
        <v>3.0044543414262499</v>
      </c>
      <c r="M121" s="35">
        <f t="shared" si="25"/>
        <v>2.5051499783199063</v>
      </c>
    </row>
    <row r="122" spans="1:13" x14ac:dyDescent="0.35">
      <c r="A122" s="14">
        <v>44650.690972222219</v>
      </c>
      <c r="B122" s="15">
        <f t="shared" si="26"/>
        <v>33.083333333313931</v>
      </c>
      <c r="C122" s="23">
        <f>110*20*100000</f>
        <v>220000000</v>
      </c>
      <c r="D122" s="23">
        <f>42*20*1000</f>
        <v>840000</v>
      </c>
      <c r="E122" s="5">
        <v>0.80300000000000005</v>
      </c>
      <c r="F122" s="5">
        <v>3.99</v>
      </c>
      <c r="H122" s="18">
        <f t="shared" si="23"/>
        <v>8.3424226808222066</v>
      </c>
      <c r="I122" s="18">
        <f t="shared" si="23"/>
        <v>5.924279286061882</v>
      </c>
      <c r="J122">
        <f t="shared" si="22"/>
        <v>2.9465758606218717</v>
      </c>
      <c r="K122" s="5"/>
      <c r="L122" s="35">
        <f t="shared" si="24"/>
        <v>3.0546209508919802</v>
      </c>
      <c r="M122" s="35">
        <f t="shared" si="25"/>
        <v>2.5263392773898445</v>
      </c>
    </row>
    <row r="123" spans="1:13" x14ac:dyDescent="0.35">
      <c r="A123" s="14">
        <v>44650.805555555555</v>
      </c>
      <c r="B123" s="15">
        <f t="shared" si="26"/>
        <v>35.833333333372138</v>
      </c>
      <c r="C123" s="23">
        <f>120*20*100000</f>
        <v>240000000</v>
      </c>
      <c r="D123" s="23">
        <f>50*20*1000</f>
        <v>1000000</v>
      </c>
      <c r="E123" s="5">
        <v>0.85799999999999998</v>
      </c>
      <c r="F123" s="5">
        <v>3.92</v>
      </c>
      <c r="H123" s="18">
        <f t="shared" si="23"/>
        <v>8.3802112417116064</v>
      </c>
      <c r="I123" s="18">
        <f t="shared" si="23"/>
        <v>6</v>
      </c>
      <c r="J123">
        <f t="shared" si="22"/>
        <v>3.1530595023647194</v>
      </c>
      <c r="K123" s="5"/>
      <c r="L123" s="35">
        <f t="shared" si="24"/>
        <v>3.0924095117813799</v>
      </c>
      <c r="M123" s="35">
        <f t="shared" si="25"/>
        <v>2.6020599913279625</v>
      </c>
    </row>
    <row r="124" spans="1:13" x14ac:dyDescent="0.35">
      <c r="A124" s="37">
        <v>44693.5</v>
      </c>
      <c r="B124" s="38">
        <v>42</v>
      </c>
      <c r="C124" s="52">
        <v>0</v>
      </c>
      <c r="D124" s="52">
        <v>0</v>
      </c>
      <c r="E124" s="47">
        <v>1.0289999999999999</v>
      </c>
      <c r="F124" s="47">
        <v>3.77</v>
      </c>
      <c r="G124" s="46"/>
      <c r="H124" s="55" t="e">
        <f t="shared" si="23"/>
        <v>#NUM!</v>
      </c>
      <c r="I124" s="55" t="e">
        <f t="shared" si="23"/>
        <v>#NUM!</v>
      </c>
      <c r="J124" s="46">
        <f t="shared" si="22"/>
        <v>3.7950359157833913</v>
      </c>
      <c r="K124" s="47"/>
      <c r="L124" s="48" t="e">
        <f>H124-Q5</f>
        <v>#NUM!</v>
      </c>
      <c r="M124" s="48" t="e">
        <f>I124-Q6</f>
        <v>#NUM!</v>
      </c>
    </row>
    <row r="125" spans="1:13" x14ac:dyDescent="0.35">
      <c r="A125" s="14">
        <v>44651.322916666664</v>
      </c>
      <c r="B125" s="15">
        <f t="shared" si="26"/>
        <v>48.25</v>
      </c>
      <c r="C125" s="23">
        <f>86*20*100000</f>
        <v>172000000</v>
      </c>
      <c r="D125" s="23">
        <f>53*20*1000</f>
        <v>1060000</v>
      </c>
      <c r="E125" s="5">
        <v>1.099</v>
      </c>
      <c r="F125" s="5">
        <v>3.77</v>
      </c>
      <c r="H125" s="18">
        <f t="shared" si="23"/>
        <v>8.2355284469075496</v>
      </c>
      <c r="I125" s="18">
        <f t="shared" si="23"/>
        <v>6.0253058652647704</v>
      </c>
      <c r="J125">
        <f t="shared" si="22"/>
        <v>4.0578332780015618</v>
      </c>
      <c r="K125" s="5"/>
      <c r="L125" s="35">
        <f t="shared" si="24"/>
        <v>2.9477267169773231</v>
      </c>
      <c r="M125" s="35">
        <f t="shared" si="25"/>
        <v>2.6273658565927329</v>
      </c>
    </row>
    <row r="126" spans="1:13" x14ac:dyDescent="0.35">
      <c r="A126" s="14">
        <v>44651.565972222219</v>
      </c>
      <c r="B126" s="15">
        <f t="shared" si="26"/>
        <v>54.083333333313931</v>
      </c>
      <c r="C126" s="23">
        <f>88*20*100000</f>
        <v>176000000</v>
      </c>
      <c r="D126" s="23">
        <f>32*20*1000</f>
        <v>640000</v>
      </c>
      <c r="E126" s="5">
        <v>1.181</v>
      </c>
      <c r="F126" s="5">
        <v>3.74</v>
      </c>
      <c r="H126" s="18">
        <f t="shared" si="23"/>
        <v>8.2455126678141504</v>
      </c>
      <c r="I126" s="18">
        <f t="shared" si="23"/>
        <v>5.8061799739838875</v>
      </c>
      <c r="J126">
        <f t="shared" si="22"/>
        <v>4.3656816165999892</v>
      </c>
      <c r="K126" s="5"/>
      <c r="L126" s="35">
        <f t="shared" si="24"/>
        <v>2.9577109378839239</v>
      </c>
      <c r="M126" s="35">
        <f t="shared" si="25"/>
        <v>2.40823996531185</v>
      </c>
    </row>
    <row r="127" spans="1:13" x14ac:dyDescent="0.35">
      <c r="C127" s="57"/>
      <c r="D127" s="57"/>
      <c r="H127" s="5"/>
      <c r="I127" s="5"/>
      <c r="J127" s="5"/>
      <c r="K127" s="5"/>
    </row>
    <row r="128" spans="1:13" x14ac:dyDescent="0.35">
      <c r="E128" t="s">
        <v>31</v>
      </c>
      <c r="F128">
        <f>MIN(F111:F115,F119:F123,F125:F126)</f>
        <v>3.74</v>
      </c>
    </row>
  </sheetData>
  <mergeCells count="2">
    <mergeCell ref="A83:K83"/>
    <mergeCell ref="A109:K109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CE77-54D4-4B75-A82F-03F390A4CCFC}">
  <dimension ref="A1:K107"/>
  <sheetViews>
    <sheetView topLeftCell="A75" zoomScale="110" zoomScaleNormal="110" workbookViewId="0">
      <selection activeCell="F90" sqref="F90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  <col min="9" max="9" width="7.7265625" bestFit="1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5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44628.354166666664</v>
      </c>
      <c r="B10" s="15">
        <f>0*24</f>
        <v>0</v>
      </c>
      <c r="C10" s="21">
        <f>454*20*100</f>
        <v>908000</v>
      </c>
      <c r="D10" s="20"/>
      <c r="E10" s="5">
        <v>4.8000000000000001E-2</v>
      </c>
      <c r="F10" s="5">
        <v>5.76</v>
      </c>
      <c r="H10" s="15">
        <f>LOG(C10)</f>
        <v>5.958085848521085</v>
      </c>
      <c r="I10" s="20"/>
    </row>
    <row r="11" spans="1:11" x14ac:dyDescent="0.35">
      <c r="A11" s="14">
        <v>44628.472222222219</v>
      </c>
      <c r="B11" s="15">
        <f t="shared" ref="B11:B20" si="0">(A11-$A$10)*24</f>
        <v>2.8333333333139308</v>
      </c>
      <c r="C11" s="20"/>
      <c r="D11" s="20"/>
      <c r="E11" s="5">
        <v>1.9E-2</v>
      </c>
      <c r="F11" s="5">
        <v>5.77</v>
      </c>
      <c r="H11" s="20"/>
      <c r="I11" s="20"/>
    </row>
    <row r="12" spans="1:11" x14ac:dyDescent="0.35">
      <c r="A12" s="14">
        <v>44628.586805555555</v>
      </c>
      <c r="B12" s="15">
        <f t="shared" si="0"/>
        <v>5.5833333333721384</v>
      </c>
      <c r="C12" s="20"/>
      <c r="D12" s="20"/>
      <c r="E12" s="5">
        <v>0.08</v>
      </c>
      <c r="F12" s="5">
        <v>5.63</v>
      </c>
      <c r="H12" s="20"/>
      <c r="I12" s="20"/>
    </row>
    <row r="13" spans="1:11" x14ac:dyDescent="0.35">
      <c r="A13" s="14">
        <v>44628.715277777781</v>
      </c>
      <c r="B13" s="15">
        <f t="shared" si="0"/>
        <v>8.6666666668024845</v>
      </c>
      <c r="C13" s="20"/>
      <c r="D13" s="20"/>
      <c r="E13" s="5">
        <v>6.5000000000000002E-2</v>
      </c>
      <c r="F13" s="5">
        <v>5.35</v>
      </c>
      <c r="H13" s="20"/>
      <c r="I13" s="20"/>
    </row>
    <row r="14" spans="1:11" x14ac:dyDescent="0.35">
      <c r="A14" s="14">
        <v>44628.840277777781</v>
      </c>
      <c r="B14" s="15">
        <f t="shared" si="0"/>
        <v>11.666666666802485</v>
      </c>
      <c r="C14" s="21">
        <f>1.1*10^8</f>
        <v>110000000.00000001</v>
      </c>
      <c r="D14" s="20"/>
      <c r="E14" s="5">
        <v>0.223</v>
      </c>
      <c r="F14" s="5">
        <v>4.88</v>
      </c>
      <c r="H14" s="15">
        <f>LOG(C14)</f>
        <v>8.0413926851582254</v>
      </c>
      <c r="I14" s="20"/>
    </row>
    <row r="15" spans="1:11" x14ac:dyDescent="0.35">
      <c r="A15" s="14">
        <v>44629.340277777781</v>
      </c>
      <c r="B15" s="15">
        <f t="shared" si="0"/>
        <v>23.666666666802485</v>
      </c>
      <c r="C15" s="21">
        <f>93*20*10^5</f>
        <v>186000000</v>
      </c>
      <c r="D15" s="20"/>
      <c r="E15" s="5">
        <v>0.77800000000000002</v>
      </c>
      <c r="F15" s="5">
        <v>4.03</v>
      </c>
      <c r="H15" s="15">
        <f>LOG(C15)</f>
        <v>8.2695129442179169</v>
      </c>
      <c r="I15" s="20"/>
    </row>
    <row r="16" spans="1:11" x14ac:dyDescent="0.35">
      <c r="A16" s="14">
        <v>44629.461805555555</v>
      </c>
      <c r="B16" s="15">
        <f t="shared" si="0"/>
        <v>26.583333333372138</v>
      </c>
      <c r="C16" s="20"/>
      <c r="D16" s="20"/>
      <c r="E16" s="5">
        <v>0.94599999999999995</v>
      </c>
      <c r="F16" s="5">
        <v>4.01</v>
      </c>
      <c r="H16" s="20"/>
      <c r="I16" s="20"/>
    </row>
    <row r="17" spans="1:11" x14ac:dyDescent="0.35">
      <c r="A17" s="14">
        <v>44629.586805555555</v>
      </c>
      <c r="B17" s="15">
        <f t="shared" si="0"/>
        <v>29.583333333372138</v>
      </c>
      <c r="C17" s="20"/>
      <c r="D17" s="20"/>
      <c r="E17" s="5">
        <v>1.0409999999999999</v>
      </c>
      <c r="F17" s="5">
        <v>3.97</v>
      </c>
      <c r="H17" s="20"/>
      <c r="I17" s="20"/>
    </row>
    <row r="18" spans="1:11" x14ac:dyDescent="0.35">
      <c r="A18" s="14">
        <v>44629.715277777781</v>
      </c>
      <c r="B18" s="15">
        <f t="shared" si="0"/>
        <v>32.666666666802485</v>
      </c>
      <c r="C18" s="20"/>
      <c r="D18" s="20"/>
      <c r="E18" s="5">
        <v>1.081</v>
      </c>
      <c r="F18" s="5">
        <v>3.91</v>
      </c>
      <c r="H18" s="20"/>
      <c r="I18" s="20"/>
    </row>
    <row r="19" spans="1:11" x14ac:dyDescent="0.35">
      <c r="A19" s="14">
        <v>44629.840277777781</v>
      </c>
      <c r="B19" s="15">
        <f t="shared" si="0"/>
        <v>35.666666666802485</v>
      </c>
      <c r="C19" s="21">
        <f>92*20*10^5</f>
        <v>184000000</v>
      </c>
      <c r="D19" s="20"/>
      <c r="E19" s="5">
        <v>1.296</v>
      </c>
      <c r="F19" s="5">
        <v>3.93</v>
      </c>
      <c r="H19" s="15">
        <f>LOG(C19)</f>
        <v>8.2648178230095368</v>
      </c>
      <c r="I19" s="20"/>
    </row>
    <row r="20" spans="1:11" x14ac:dyDescent="0.35">
      <c r="A20" s="14">
        <v>44630.34375</v>
      </c>
      <c r="B20" s="15">
        <f t="shared" si="0"/>
        <v>47.750000000058208</v>
      </c>
      <c r="C20" s="21">
        <f>71*20*10^5</f>
        <v>142000000</v>
      </c>
      <c r="D20" s="20"/>
      <c r="E20" s="5">
        <v>1.1739999999999999</v>
      </c>
      <c r="F20" s="5">
        <v>3.83</v>
      </c>
      <c r="H20" s="15">
        <f>LOG(C20)</f>
        <v>8.1522883443830558</v>
      </c>
      <c r="I20" s="20"/>
    </row>
    <row r="21" spans="1:11" x14ac:dyDescent="0.35">
      <c r="A21" s="14">
        <v>44630.625</v>
      </c>
      <c r="B21" s="15">
        <f>(A21-$A$10)*(24)</f>
        <v>54.500000000058208</v>
      </c>
      <c r="C21" s="21">
        <f>66*20*10^5</f>
        <v>132000000</v>
      </c>
      <c r="D21" s="20"/>
      <c r="E21" s="5">
        <v>1.3460000000000001</v>
      </c>
      <c r="F21" s="5">
        <v>3.82</v>
      </c>
      <c r="H21" s="15">
        <f>LOG(C21)</f>
        <v>8.1205739312058505</v>
      </c>
      <c r="I21" s="20"/>
    </row>
    <row r="22" spans="1:11" x14ac:dyDescent="0.35">
      <c r="B22" s="5"/>
      <c r="C22" s="5"/>
    </row>
    <row r="23" spans="1:11" x14ac:dyDescent="0.35">
      <c r="B23" s="5"/>
      <c r="C23" s="5"/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44628.354166666664</v>
      </c>
      <c r="B32" s="15">
        <f>0*24</f>
        <v>0</v>
      </c>
      <c r="C32" s="21">
        <f>111*20*100</f>
        <v>222000</v>
      </c>
      <c r="D32" s="20"/>
      <c r="E32" s="5">
        <v>-5.0000000000000001E-3</v>
      </c>
      <c r="F32" s="5">
        <v>5.81</v>
      </c>
      <c r="H32" s="15">
        <f>LOG(C32)</f>
        <v>5.3463529744506388</v>
      </c>
      <c r="I32" s="19"/>
      <c r="J32" s="5"/>
      <c r="K32" s="5"/>
    </row>
    <row r="33" spans="1:11" x14ac:dyDescent="0.35">
      <c r="A33" s="14">
        <v>44628.472222222219</v>
      </c>
      <c r="B33" s="15">
        <f t="shared" ref="B33:B43" si="1">(A33-$A$32)*24</f>
        <v>2.8333333333139308</v>
      </c>
      <c r="C33" s="20"/>
      <c r="D33" s="20"/>
      <c r="E33" s="5">
        <v>3.3000000000000002E-2</v>
      </c>
      <c r="F33" s="5">
        <v>5.8</v>
      </c>
      <c r="H33" s="19"/>
      <c r="I33" s="19"/>
      <c r="J33" s="5"/>
      <c r="K33" s="5"/>
    </row>
    <row r="34" spans="1:11" x14ac:dyDescent="0.35">
      <c r="A34" s="14">
        <v>44628.586805555555</v>
      </c>
      <c r="B34" s="15">
        <f t="shared" si="1"/>
        <v>5.5833333333721384</v>
      </c>
      <c r="C34" s="20"/>
      <c r="D34" s="20"/>
      <c r="E34" s="5">
        <v>5.5E-2</v>
      </c>
      <c r="F34" s="5">
        <v>5.79</v>
      </c>
      <c r="H34" s="19"/>
      <c r="I34" s="19"/>
      <c r="J34" s="5"/>
      <c r="K34" s="5"/>
    </row>
    <row r="35" spans="1:11" x14ac:dyDescent="0.35">
      <c r="A35" s="14">
        <v>44628.715277777781</v>
      </c>
      <c r="B35" s="15">
        <f t="shared" si="1"/>
        <v>8.6666666668024845</v>
      </c>
      <c r="C35" s="20"/>
      <c r="D35" s="20"/>
      <c r="E35" s="5">
        <v>1.4999999999999999E-2</v>
      </c>
      <c r="F35" s="5">
        <v>5.73</v>
      </c>
      <c r="H35" s="19"/>
      <c r="I35" s="19"/>
      <c r="J35" s="5"/>
      <c r="K35" s="5"/>
    </row>
    <row r="36" spans="1:11" x14ac:dyDescent="0.35">
      <c r="A36" s="14">
        <v>44628.840277777781</v>
      </c>
      <c r="B36" s="15">
        <f t="shared" si="1"/>
        <v>11.666666666802485</v>
      </c>
      <c r="C36" s="21">
        <f>(1.1*10^7+1.1*10^7)/2</f>
        <v>11000000</v>
      </c>
      <c r="D36" s="20"/>
      <c r="E36" s="5">
        <v>5.5E-2</v>
      </c>
      <c r="F36" s="5">
        <v>5.7</v>
      </c>
      <c r="H36" s="15">
        <f>LOG(C36)</f>
        <v>7.0413926851582254</v>
      </c>
      <c r="I36" s="19"/>
      <c r="J36" s="5"/>
      <c r="K36" s="5"/>
    </row>
    <row r="37" spans="1:11" x14ac:dyDescent="0.35">
      <c r="A37" s="14">
        <v>44629.340277777781</v>
      </c>
      <c r="B37" s="15">
        <f t="shared" si="1"/>
        <v>23.666666666802485</v>
      </c>
      <c r="C37" s="21">
        <f>78*20*10^5</f>
        <v>156000000</v>
      </c>
      <c r="D37" s="20"/>
      <c r="E37" s="5">
        <v>0.36699999999999999</v>
      </c>
      <c r="F37" s="5">
        <v>4.42</v>
      </c>
      <c r="H37" s="15">
        <f>LOG(C37)</f>
        <v>8.1931245983544621</v>
      </c>
      <c r="I37" s="19"/>
      <c r="J37" s="5"/>
      <c r="K37" s="5"/>
    </row>
    <row r="38" spans="1:11" x14ac:dyDescent="0.35">
      <c r="A38" s="14">
        <v>44629.461805555555</v>
      </c>
      <c r="B38" s="15">
        <f t="shared" si="1"/>
        <v>26.583333333372138</v>
      </c>
      <c r="C38" s="20"/>
      <c r="D38" s="20"/>
      <c r="E38" s="5">
        <v>0.59699999999999998</v>
      </c>
      <c r="F38" s="5">
        <v>4.24</v>
      </c>
      <c r="H38" s="19"/>
      <c r="I38" s="19"/>
      <c r="J38" s="5"/>
      <c r="K38" s="5"/>
    </row>
    <row r="39" spans="1:11" x14ac:dyDescent="0.35">
      <c r="A39" s="14">
        <v>44629.586805555555</v>
      </c>
      <c r="B39" s="15">
        <f t="shared" si="1"/>
        <v>29.583333333372138</v>
      </c>
      <c r="C39" s="20"/>
      <c r="D39" s="20"/>
      <c r="E39" s="5">
        <v>0.76600000000000001</v>
      </c>
      <c r="F39" s="5">
        <v>4.09</v>
      </c>
      <c r="H39" s="19"/>
      <c r="I39" s="19"/>
      <c r="J39" s="5"/>
      <c r="K39" s="5"/>
    </row>
    <row r="40" spans="1:11" x14ac:dyDescent="0.35">
      <c r="A40" s="14">
        <v>44629.715277777781</v>
      </c>
      <c r="B40" s="15">
        <f t="shared" si="1"/>
        <v>32.666666666802485</v>
      </c>
      <c r="C40" s="20"/>
      <c r="D40" s="20"/>
      <c r="E40" s="5">
        <v>0.90900000000000003</v>
      </c>
      <c r="F40" s="5">
        <v>3.99</v>
      </c>
      <c r="H40" s="19"/>
      <c r="I40" s="19"/>
      <c r="J40" s="5"/>
      <c r="K40" s="5"/>
    </row>
    <row r="41" spans="1:11" x14ac:dyDescent="0.35">
      <c r="A41" s="14">
        <v>44629.840277777781</v>
      </c>
      <c r="B41" s="15">
        <f t="shared" si="1"/>
        <v>35.666666666802485</v>
      </c>
      <c r="C41" s="21">
        <f>113*20*10^5</f>
        <v>226000000</v>
      </c>
      <c r="D41" s="20"/>
      <c r="E41" s="5">
        <v>1.1259999999999999</v>
      </c>
      <c r="F41" s="5">
        <v>3.97</v>
      </c>
      <c r="H41" s="15">
        <f>LOG(C41)</f>
        <v>8.3541084391474012</v>
      </c>
      <c r="I41" s="19"/>
      <c r="J41" s="5"/>
      <c r="K41" s="5"/>
    </row>
    <row r="42" spans="1:11" x14ac:dyDescent="0.35">
      <c r="A42" s="14">
        <v>44630.34375</v>
      </c>
      <c r="B42" s="15">
        <f t="shared" si="1"/>
        <v>47.750000000058208</v>
      </c>
      <c r="C42" s="21">
        <f>63*20*10^5</f>
        <v>126000000</v>
      </c>
      <c r="D42" s="20"/>
      <c r="E42" s="5">
        <v>1.1559999999999999</v>
      </c>
      <c r="F42" s="5">
        <v>3.82</v>
      </c>
      <c r="H42" s="15">
        <f>LOG(C42)</f>
        <v>8.1003705451175634</v>
      </c>
      <c r="I42" s="19"/>
      <c r="J42" s="5"/>
      <c r="K42" s="5"/>
    </row>
    <row r="43" spans="1:11" x14ac:dyDescent="0.35">
      <c r="A43" s="14">
        <v>44630.625</v>
      </c>
      <c r="B43" s="15">
        <f t="shared" si="1"/>
        <v>54.500000000058208</v>
      </c>
      <c r="C43" s="21">
        <f>146*20*10^5</f>
        <v>292000000</v>
      </c>
      <c r="D43" s="20"/>
      <c r="E43" s="5">
        <v>1.292</v>
      </c>
      <c r="F43" s="5">
        <v>3.78</v>
      </c>
      <c r="H43" s="15">
        <f>LOG(C43)</f>
        <v>8.4653828514484175</v>
      </c>
      <c r="I43" s="19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44628.354166666664</v>
      </c>
      <c r="B52" s="15">
        <f>0*24</f>
        <v>0</v>
      </c>
      <c r="C52" s="19"/>
      <c r="D52" s="21">
        <f>4*20*10</f>
        <v>800</v>
      </c>
      <c r="E52" s="5">
        <v>-7.9000000000000001E-2</v>
      </c>
      <c r="F52" s="5">
        <v>5.82</v>
      </c>
      <c r="H52" s="30"/>
      <c r="I52" s="15">
        <f>LOG(D52)</f>
        <v>2.9030899869919438</v>
      </c>
    </row>
    <row r="53" spans="1:11" x14ac:dyDescent="0.35">
      <c r="A53" s="14">
        <v>44628.472222222219</v>
      </c>
      <c r="B53" s="15">
        <f t="shared" ref="B53:B63" si="2">(A53-$A$52)*24</f>
        <v>2.8333333333139308</v>
      </c>
      <c r="C53" s="19"/>
      <c r="D53" s="19"/>
      <c r="E53" s="5">
        <v>2.4E-2</v>
      </c>
      <c r="F53" s="5">
        <v>5.8</v>
      </c>
      <c r="H53" s="30"/>
      <c r="I53" s="30"/>
    </row>
    <row r="54" spans="1:11" x14ac:dyDescent="0.35">
      <c r="A54" s="14">
        <v>44628.586805555555</v>
      </c>
      <c r="B54" s="15">
        <f t="shared" si="2"/>
        <v>5.5833333333721384</v>
      </c>
      <c r="C54" s="19"/>
      <c r="D54" s="19"/>
      <c r="E54" s="5">
        <v>3.2000000000000001E-2</v>
      </c>
      <c r="F54" s="5">
        <v>5.83</v>
      </c>
      <c r="H54" s="30"/>
      <c r="I54" s="30"/>
    </row>
    <row r="55" spans="1:11" x14ac:dyDescent="0.35">
      <c r="A55" s="14">
        <v>44628.715277777781</v>
      </c>
      <c r="B55" s="15">
        <f t="shared" si="2"/>
        <v>8.6666666668024845</v>
      </c>
      <c r="C55" s="19"/>
      <c r="D55" s="19"/>
      <c r="E55" s="5">
        <v>1.7999999999999999E-2</v>
      </c>
      <c r="F55" s="5">
        <v>5.8</v>
      </c>
      <c r="H55" s="30"/>
      <c r="I55" s="30"/>
    </row>
    <row r="56" spans="1:11" x14ac:dyDescent="0.35">
      <c r="A56" s="14">
        <v>44628.840277777781</v>
      </c>
      <c r="B56" s="15">
        <f t="shared" si="2"/>
        <v>11.666666666802485</v>
      </c>
      <c r="C56" s="19"/>
      <c r="D56" s="21">
        <f>8*20*100</f>
        <v>16000</v>
      </c>
      <c r="E56" s="5">
        <v>4.8000000000000001E-2</v>
      </c>
      <c r="F56" s="5">
        <v>5.87</v>
      </c>
      <c r="H56" s="30"/>
      <c r="I56" s="15">
        <f>LOG(D56)</f>
        <v>4.204119982655925</v>
      </c>
    </row>
    <row r="57" spans="1:11" x14ac:dyDescent="0.35">
      <c r="A57" s="14">
        <v>44629.340277777781</v>
      </c>
      <c r="B57" s="15">
        <f t="shared" si="2"/>
        <v>23.666666666802485</v>
      </c>
      <c r="C57" s="19"/>
      <c r="D57" s="21">
        <f>(2.26*10^6+2.85*10^6+2.26*10^6)/3</f>
        <v>2456666.6666666665</v>
      </c>
      <c r="E57" s="5">
        <v>7.0000000000000001E-3</v>
      </c>
      <c r="F57" s="5">
        <v>5.84</v>
      </c>
      <c r="H57" s="30"/>
      <c r="I57" s="15">
        <f>LOG(D57)</f>
        <v>6.3903462331393888</v>
      </c>
    </row>
    <row r="58" spans="1:11" x14ac:dyDescent="0.35">
      <c r="A58" s="14">
        <v>44629.461805555555</v>
      </c>
      <c r="B58" s="15">
        <f t="shared" si="2"/>
        <v>26.583333333372138</v>
      </c>
      <c r="C58" s="19"/>
      <c r="D58" s="19"/>
      <c r="E58" s="5">
        <v>-5.0000000000000001E-3</v>
      </c>
      <c r="F58" s="5">
        <v>5.85</v>
      </c>
      <c r="H58" s="30"/>
      <c r="I58" s="30"/>
    </row>
    <row r="59" spans="1:11" x14ac:dyDescent="0.35">
      <c r="A59" s="14">
        <v>44629.586805555555</v>
      </c>
      <c r="B59" s="15">
        <f t="shared" si="2"/>
        <v>29.583333333372138</v>
      </c>
      <c r="C59" s="19"/>
      <c r="D59" s="19"/>
      <c r="E59" s="5">
        <v>2.8000000000000001E-2</v>
      </c>
      <c r="F59" s="5">
        <v>5.82</v>
      </c>
      <c r="H59" s="30"/>
      <c r="I59" s="30"/>
    </row>
    <row r="60" spans="1:11" x14ac:dyDescent="0.35">
      <c r="A60" s="14">
        <v>44629.715277777781</v>
      </c>
      <c r="B60" s="15">
        <f t="shared" si="2"/>
        <v>32.666666666802485</v>
      </c>
      <c r="C60" s="19"/>
      <c r="D60" s="19"/>
      <c r="E60" s="5">
        <v>4.5999999999999999E-2</v>
      </c>
      <c r="F60" s="5">
        <v>5.76</v>
      </c>
      <c r="H60" s="20"/>
      <c r="I60" s="30"/>
    </row>
    <row r="61" spans="1:11" x14ac:dyDescent="0.35">
      <c r="A61" s="14">
        <v>44629.840277777781</v>
      </c>
      <c r="B61" s="15">
        <f t="shared" si="2"/>
        <v>35.666666666802485</v>
      </c>
      <c r="C61" s="19"/>
      <c r="D61" s="21">
        <f>4.1*10^7</f>
        <v>41000000</v>
      </c>
      <c r="E61" s="16">
        <v>0.17</v>
      </c>
      <c r="F61" s="5">
        <v>5.64</v>
      </c>
      <c r="H61" s="30"/>
      <c r="I61" s="15">
        <f>LOG(D61)</f>
        <v>7.6127838567197355</v>
      </c>
    </row>
    <row r="62" spans="1:11" x14ac:dyDescent="0.35">
      <c r="A62" s="14">
        <v>44630.34375</v>
      </c>
      <c r="B62" s="15">
        <f t="shared" si="2"/>
        <v>47.750000000058208</v>
      </c>
      <c r="C62" s="19"/>
      <c r="D62" s="21">
        <f>188*20*10^5</f>
        <v>376000000</v>
      </c>
      <c r="E62" s="5">
        <v>0.34899999999999998</v>
      </c>
      <c r="F62" s="5">
        <v>4.72</v>
      </c>
      <c r="H62" s="30"/>
      <c r="I62" s="15">
        <f>LOG(D62)</f>
        <v>8.5751878449276617</v>
      </c>
    </row>
    <row r="63" spans="1:11" x14ac:dyDescent="0.35">
      <c r="A63" s="14">
        <v>44630.625</v>
      </c>
      <c r="B63" s="15">
        <f t="shared" si="2"/>
        <v>54.500000000058208</v>
      </c>
      <c r="C63" s="20"/>
      <c r="D63" s="21">
        <f>236*20*10^5</f>
        <v>472000000</v>
      </c>
      <c r="E63" s="5">
        <v>0.39300000000000002</v>
      </c>
      <c r="F63" s="5">
        <v>4.5199999999999996</v>
      </c>
      <c r="H63" s="30"/>
      <c r="I63" s="15">
        <f>LOG(D63)</f>
        <v>8.6739419986340884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44628.354166666664</v>
      </c>
      <c r="B73" s="15">
        <f>0*24</f>
        <v>0</v>
      </c>
      <c r="C73" s="21">
        <f>(1.1*10^6+1.1*10^6)/2</f>
        <v>1100000</v>
      </c>
      <c r="D73" s="21">
        <f>9*20*10</f>
        <v>1800</v>
      </c>
      <c r="E73" s="5">
        <v>7.0000000000000001E-3</v>
      </c>
      <c r="F73" s="5">
        <v>5.74</v>
      </c>
      <c r="H73" s="15">
        <f t="shared" ref="H73:H84" si="3">LOG(C73)</f>
        <v>6.0413926851582254</v>
      </c>
      <c r="I73" s="15">
        <f t="shared" ref="I73:I84" si="4">LOG(D73)</f>
        <v>3.255272505103306</v>
      </c>
    </row>
    <row r="74" spans="1:11" x14ac:dyDescent="0.35">
      <c r="A74" s="14">
        <v>44628.472222222219</v>
      </c>
      <c r="B74" s="15">
        <f t="shared" ref="B74:B84" si="5">(A74-$A$73)*24</f>
        <v>2.8333333333139308</v>
      </c>
      <c r="C74" s="21">
        <f>(2.2*10^6+2.7*10^6)/2</f>
        <v>2450000</v>
      </c>
      <c r="D74" s="21">
        <f>8*20*10</f>
        <v>1600</v>
      </c>
      <c r="E74" s="5">
        <v>4.1000000000000002E-2</v>
      </c>
      <c r="F74" s="5">
        <v>5.76</v>
      </c>
      <c r="H74" s="15">
        <f t="shared" si="3"/>
        <v>6.3891660843645326</v>
      </c>
      <c r="I74" s="15">
        <f t="shared" si="4"/>
        <v>3.2041199826559246</v>
      </c>
    </row>
    <row r="75" spans="1:11" x14ac:dyDescent="0.35">
      <c r="A75" s="14">
        <v>44628.586805555555</v>
      </c>
      <c r="B75" s="15">
        <f t="shared" si="5"/>
        <v>5.5833333333721384</v>
      </c>
      <c r="C75" s="21">
        <f>(4.5*10^6+4.5*10^6)/2</f>
        <v>4500000</v>
      </c>
      <c r="D75" s="21">
        <f>6*20*10</f>
        <v>1200</v>
      </c>
      <c r="E75" s="5">
        <v>2.4E-2</v>
      </c>
      <c r="F75" s="5">
        <v>5.8</v>
      </c>
      <c r="H75" s="15">
        <f t="shared" si="3"/>
        <v>6.653212513775344</v>
      </c>
      <c r="I75" s="15">
        <f t="shared" si="4"/>
        <v>3.0791812460476247</v>
      </c>
    </row>
    <row r="76" spans="1:11" x14ac:dyDescent="0.35">
      <c r="A76" s="14">
        <v>44628.715277777781</v>
      </c>
      <c r="B76" s="15">
        <f t="shared" si="5"/>
        <v>8.6666666668024845</v>
      </c>
      <c r="C76" s="21">
        <f>(1.8*10^7+3.4*10^7)/2</f>
        <v>26000000</v>
      </c>
      <c r="D76" s="21">
        <f>4*20*10</f>
        <v>800</v>
      </c>
      <c r="E76" s="5">
        <v>6.0999999999999999E-2</v>
      </c>
      <c r="F76" s="5">
        <v>5.37</v>
      </c>
      <c r="H76" s="15">
        <f t="shared" si="3"/>
        <v>7.4149733479708182</v>
      </c>
      <c r="I76" s="15">
        <f t="shared" si="4"/>
        <v>2.9030899869919438</v>
      </c>
    </row>
    <row r="77" spans="1:11" x14ac:dyDescent="0.35">
      <c r="A77" s="14">
        <v>44628.840277777781</v>
      </c>
      <c r="B77" s="15">
        <f t="shared" si="5"/>
        <v>11.666666666802485</v>
      </c>
      <c r="C77" s="21">
        <f>(6.7*10^7+8.7*10^7+7.4*10^7)/3</f>
        <v>76000000</v>
      </c>
      <c r="D77" s="21">
        <f>5*20*10</f>
        <v>1000</v>
      </c>
      <c r="E77" s="5">
        <v>0.217</v>
      </c>
      <c r="F77" s="5">
        <v>4.88</v>
      </c>
      <c r="H77" s="15">
        <f t="shared" si="3"/>
        <v>7.8808135922807914</v>
      </c>
      <c r="I77" s="15">
        <f t="shared" si="4"/>
        <v>3</v>
      </c>
    </row>
    <row r="78" spans="1:11" x14ac:dyDescent="0.35">
      <c r="A78" s="14">
        <v>44629.340277777781</v>
      </c>
      <c r="B78" s="15">
        <f t="shared" si="5"/>
        <v>23.666666666802485</v>
      </c>
      <c r="C78" s="21">
        <f>2.6*10^8</f>
        <v>260000000</v>
      </c>
      <c r="D78" s="22">
        <v>90</v>
      </c>
      <c r="E78" s="5">
        <v>0.749</v>
      </c>
      <c r="F78" s="5">
        <v>4.04</v>
      </c>
      <c r="H78" s="15">
        <f t="shared" si="3"/>
        <v>8.4149733479708182</v>
      </c>
      <c r="I78" s="17">
        <f t="shared" si="4"/>
        <v>1.954242509439325</v>
      </c>
    </row>
    <row r="79" spans="1:11" x14ac:dyDescent="0.35">
      <c r="A79" s="14">
        <v>44629.461805555555</v>
      </c>
      <c r="B79" s="15">
        <f t="shared" si="5"/>
        <v>26.583333333372138</v>
      </c>
      <c r="C79" s="21">
        <f>12*20*10^5</f>
        <v>24000000</v>
      </c>
      <c r="D79" s="22">
        <v>90</v>
      </c>
      <c r="E79" s="5">
        <v>0.91600000000000004</v>
      </c>
      <c r="F79" s="5">
        <v>3.99</v>
      </c>
      <c r="H79" s="15">
        <f t="shared" si="3"/>
        <v>7.3802112417116064</v>
      </c>
      <c r="I79" s="17">
        <f t="shared" si="4"/>
        <v>1.954242509439325</v>
      </c>
    </row>
    <row r="80" spans="1:11" x14ac:dyDescent="0.35">
      <c r="A80" s="14">
        <v>44629.586805555555</v>
      </c>
      <c r="B80" s="15">
        <f t="shared" si="5"/>
        <v>29.583333333372138</v>
      </c>
      <c r="C80" s="21">
        <f>74*20*10^5</f>
        <v>148000000</v>
      </c>
      <c r="D80" s="22">
        <v>90</v>
      </c>
      <c r="E80" s="5">
        <v>1.032</v>
      </c>
      <c r="F80" s="5">
        <v>3.97</v>
      </c>
      <c r="H80" s="15">
        <f t="shared" si="3"/>
        <v>8.1702617153949575</v>
      </c>
      <c r="I80" s="17">
        <f t="shared" si="4"/>
        <v>1.954242509439325</v>
      </c>
    </row>
    <row r="81" spans="1:11" x14ac:dyDescent="0.35">
      <c r="A81" s="14">
        <v>44629.715277777781</v>
      </c>
      <c r="B81" s="15">
        <f t="shared" si="5"/>
        <v>32.666666666802485</v>
      </c>
      <c r="C81" s="21">
        <f>87*20*10^5</f>
        <v>174000000</v>
      </c>
      <c r="D81" s="22">
        <v>90</v>
      </c>
      <c r="E81" s="5">
        <v>1.0640000000000001</v>
      </c>
      <c r="F81" s="5">
        <v>3.93</v>
      </c>
      <c r="H81" s="15">
        <f t="shared" si="3"/>
        <v>8.2405492482825995</v>
      </c>
      <c r="I81" s="17">
        <f t="shared" si="4"/>
        <v>1.954242509439325</v>
      </c>
    </row>
    <row r="82" spans="1:11" x14ac:dyDescent="0.35">
      <c r="A82" s="14">
        <v>44629.840277777781</v>
      </c>
      <c r="B82" s="15">
        <f t="shared" si="5"/>
        <v>35.666666666802485</v>
      </c>
      <c r="C82" s="21">
        <f>109*20*10^5</f>
        <v>218000000</v>
      </c>
      <c r="D82" s="22">
        <v>90</v>
      </c>
      <c r="E82" s="5">
        <v>1.1249</v>
      </c>
      <c r="F82" s="5">
        <v>3.9</v>
      </c>
      <c r="H82" s="15">
        <f t="shared" si="3"/>
        <v>8.3384564936046051</v>
      </c>
      <c r="I82" s="17">
        <f t="shared" si="4"/>
        <v>1.954242509439325</v>
      </c>
    </row>
    <row r="83" spans="1:11" x14ac:dyDescent="0.35">
      <c r="A83" s="14">
        <v>44630.34375</v>
      </c>
      <c r="B83" s="15">
        <f t="shared" si="5"/>
        <v>47.750000000058208</v>
      </c>
      <c r="C83" s="21">
        <f>85*20*10^5</f>
        <v>170000000</v>
      </c>
      <c r="D83" s="22">
        <v>90</v>
      </c>
      <c r="E83" s="5">
        <v>1.1919999999999999</v>
      </c>
      <c r="F83" s="5">
        <v>3.83</v>
      </c>
      <c r="H83" s="15">
        <f t="shared" si="3"/>
        <v>8.2304489213782741</v>
      </c>
      <c r="I83" s="17">
        <f t="shared" si="4"/>
        <v>1.954242509439325</v>
      </c>
    </row>
    <row r="84" spans="1:11" x14ac:dyDescent="0.35">
      <c r="A84" s="14">
        <v>44630.625</v>
      </c>
      <c r="B84" s="15">
        <f t="shared" si="5"/>
        <v>54.500000000058208</v>
      </c>
      <c r="C84" s="21">
        <f>70*20*10^5</f>
        <v>140000000</v>
      </c>
      <c r="D84" s="22">
        <v>90</v>
      </c>
      <c r="E84" s="5">
        <v>1.3240000000000001</v>
      </c>
      <c r="F84" s="5">
        <v>3.81</v>
      </c>
      <c r="H84" s="15">
        <f t="shared" si="3"/>
        <v>8.1461280356782382</v>
      </c>
      <c r="I84" s="17">
        <f t="shared" si="4"/>
        <v>1.954242509439325</v>
      </c>
    </row>
    <row r="85" spans="1:11" x14ac:dyDescent="0.35">
      <c r="C85" s="5"/>
    </row>
    <row r="86" spans="1:11" x14ac:dyDescent="0.35">
      <c r="C86" s="5"/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44628.354166666664</v>
      </c>
      <c r="B95" s="15">
        <f>0*24</f>
        <v>0</v>
      </c>
      <c r="C95" s="21">
        <f>95*20*100</f>
        <v>190000</v>
      </c>
      <c r="D95" s="21">
        <f>4*20*10</f>
        <v>800</v>
      </c>
      <c r="E95" s="5">
        <v>3.7999999999999999E-2</v>
      </c>
      <c r="F95" s="5">
        <v>5.8</v>
      </c>
      <c r="H95" s="15">
        <f t="shared" ref="H95:H106" si="6">LOG(C95)</f>
        <v>5.2787536009528289</v>
      </c>
      <c r="I95" s="15">
        <f t="shared" ref="I95:I106" si="7">LOG(D95)</f>
        <v>2.9030899869919438</v>
      </c>
      <c r="J95" s="5"/>
      <c r="K95" s="5"/>
    </row>
    <row r="96" spans="1:11" x14ac:dyDescent="0.35">
      <c r="A96" s="14">
        <v>44628.472222222219</v>
      </c>
      <c r="B96" s="15">
        <f>(A96-$A$95)*24</f>
        <v>2.8333333333139308</v>
      </c>
      <c r="C96" s="21">
        <f>(3.5*10^5+3.7*10^5)/2</f>
        <v>360000</v>
      </c>
      <c r="D96" s="21">
        <f>6*20*10</f>
        <v>1200</v>
      </c>
      <c r="E96" s="5">
        <v>0.04</v>
      </c>
      <c r="F96" s="5">
        <v>5.82</v>
      </c>
      <c r="H96" s="15">
        <f t="shared" si="6"/>
        <v>5.5563025007672868</v>
      </c>
      <c r="I96" s="15">
        <f t="shared" si="7"/>
        <v>3.0791812460476247</v>
      </c>
      <c r="J96" s="5"/>
      <c r="K96" s="5"/>
    </row>
    <row r="97" spans="1:11" x14ac:dyDescent="0.35">
      <c r="A97" s="14">
        <v>44628.586805555555</v>
      </c>
      <c r="B97" s="15">
        <f t="shared" ref="B97:B106" si="8">(A97-$A$73)*24</f>
        <v>5.5833333333721384</v>
      </c>
      <c r="C97" s="21">
        <f>(1.7*10^6+3.9*10^6)/2</f>
        <v>2800000</v>
      </c>
      <c r="D97" s="21">
        <f>8*20*10</f>
        <v>1600</v>
      </c>
      <c r="E97" s="5">
        <v>2.4E-2</v>
      </c>
      <c r="F97" s="5">
        <v>5.8</v>
      </c>
      <c r="H97" s="15">
        <f t="shared" si="6"/>
        <v>6.4471580313422194</v>
      </c>
      <c r="I97" s="15">
        <f t="shared" si="7"/>
        <v>3.2041199826559246</v>
      </c>
      <c r="J97" s="5"/>
      <c r="K97" s="5"/>
    </row>
    <row r="98" spans="1:11" x14ac:dyDescent="0.35">
      <c r="A98" s="14">
        <v>44628.715277777781</v>
      </c>
      <c r="B98" s="15">
        <f t="shared" si="8"/>
        <v>8.6666666668024845</v>
      </c>
      <c r="C98" s="21">
        <f>(3.7*10^6+3.7*10^6)/2</f>
        <v>3700000</v>
      </c>
      <c r="D98" s="21">
        <f>29*20*10</f>
        <v>5800</v>
      </c>
      <c r="E98" s="5">
        <v>2.5000000000000001E-2</v>
      </c>
      <c r="F98" s="5">
        <v>5.74</v>
      </c>
      <c r="H98" s="15">
        <f t="shared" si="6"/>
        <v>6.568201724066995</v>
      </c>
      <c r="I98" s="15">
        <f t="shared" si="7"/>
        <v>3.7634279935629373</v>
      </c>
      <c r="J98" s="5"/>
      <c r="K98" s="5"/>
    </row>
    <row r="99" spans="1:11" x14ac:dyDescent="0.35">
      <c r="A99" s="14">
        <v>44628.840277777781</v>
      </c>
      <c r="B99" s="15">
        <f t="shared" si="8"/>
        <v>11.666666666802485</v>
      </c>
      <c r="C99" s="21">
        <f>(1.8*10^7+1.9*10^7)/2</f>
        <v>18500000</v>
      </c>
      <c r="D99" s="21">
        <f>88*20*10</f>
        <v>17600</v>
      </c>
      <c r="E99" s="5">
        <v>5.8000000000000003E-2</v>
      </c>
      <c r="F99" s="5">
        <v>5.69</v>
      </c>
      <c r="H99" s="15">
        <f t="shared" si="6"/>
        <v>7.2671717284030137</v>
      </c>
      <c r="I99" s="15">
        <f t="shared" si="7"/>
        <v>4.2455126678141495</v>
      </c>
      <c r="J99" s="5"/>
      <c r="K99" s="5"/>
    </row>
    <row r="100" spans="1:11" x14ac:dyDescent="0.35">
      <c r="A100" s="14">
        <v>44629.340277777781</v>
      </c>
      <c r="B100" s="15">
        <f t="shared" si="8"/>
        <v>23.666666666802485</v>
      </c>
      <c r="C100" s="21">
        <f>3.3*10^8</f>
        <v>330000000</v>
      </c>
      <c r="D100" s="21">
        <f>(4.38*10^5+2.61*10^5+3.36*10^5)/3</f>
        <v>345000</v>
      </c>
      <c r="E100" s="5">
        <v>0.41099999999999998</v>
      </c>
      <c r="F100" s="5">
        <v>4.38</v>
      </c>
      <c r="H100" s="15">
        <f t="shared" si="6"/>
        <v>8.518513939877888</v>
      </c>
      <c r="I100" s="15">
        <f t="shared" si="7"/>
        <v>5.5378190950732744</v>
      </c>
      <c r="J100" s="5"/>
      <c r="K100" s="5"/>
    </row>
    <row r="101" spans="1:11" x14ac:dyDescent="0.35">
      <c r="A101" s="14">
        <v>44629.461805555555</v>
      </c>
      <c r="B101" s="15">
        <f t="shared" si="8"/>
        <v>26.583333333372138</v>
      </c>
      <c r="C101" s="22">
        <v>0</v>
      </c>
      <c r="D101" s="21">
        <f>(2.17*10^5+1.93+1^5+1.74*10^5)/3</f>
        <v>130334.31</v>
      </c>
      <c r="E101" s="5">
        <v>0.58399999999999996</v>
      </c>
      <c r="F101" s="5">
        <v>4.22</v>
      </c>
      <c r="H101" s="17" t="e">
        <f t="shared" si="6"/>
        <v>#NUM!</v>
      </c>
      <c r="I101" s="15">
        <f t="shared" si="7"/>
        <v>5.1150587570958059</v>
      </c>
      <c r="J101" s="5"/>
      <c r="K101" s="5"/>
    </row>
    <row r="102" spans="1:11" x14ac:dyDescent="0.35">
      <c r="A102" s="14">
        <v>44629.586805555555</v>
      </c>
      <c r="B102" s="15">
        <f t="shared" si="8"/>
        <v>29.583333333372138</v>
      </c>
      <c r="C102" s="21">
        <f>103*20*10^5</f>
        <v>206000000</v>
      </c>
      <c r="D102" s="21">
        <f>77*20*100</f>
        <v>154000</v>
      </c>
      <c r="E102" s="5">
        <v>0.77800000000000002</v>
      </c>
      <c r="F102" s="5">
        <v>4.09</v>
      </c>
      <c r="H102" s="15">
        <f t="shared" si="6"/>
        <v>8.3138672203691542</v>
      </c>
      <c r="I102" s="15">
        <f t="shared" si="7"/>
        <v>5.1875207208364627</v>
      </c>
      <c r="J102" s="5"/>
      <c r="K102" s="5"/>
    </row>
    <row r="103" spans="1:11" x14ac:dyDescent="0.35">
      <c r="A103" s="14">
        <v>44629.715277777781</v>
      </c>
      <c r="B103" s="15">
        <f t="shared" si="8"/>
        <v>32.666666666802485</v>
      </c>
      <c r="C103" s="21">
        <f>103*20*10^5</f>
        <v>206000000</v>
      </c>
      <c r="D103" s="21">
        <f>114*20*100</f>
        <v>228000</v>
      </c>
      <c r="E103" s="5">
        <v>0.873</v>
      </c>
      <c r="F103" s="5">
        <v>3.97</v>
      </c>
      <c r="H103" s="15">
        <f t="shared" si="6"/>
        <v>8.3138672203691542</v>
      </c>
      <c r="I103" s="15">
        <f t="shared" si="7"/>
        <v>5.357934847000454</v>
      </c>
      <c r="J103" s="5"/>
      <c r="K103" s="5"/>
    </row>
    <row r="104" spans="1:11" x14ac:dyDescent="0.35">
      <c r="A104" s="14">
        <v>44629.840277777781</v>
      </c>
      <c r="B104" s="15">
        <f t="shared" si="8"/>
        <v>35.666666666802485</v>
      </c>
      <c r="C104" s="21">
        <f>106*20*10^5</f>
        <v>212000000</v>
      </c>
      <c r="D104" s="21">
        <f>(2.48*10^6+1.78*10^6+2.01*10^6)/3</f>
        <v>2090000</v>
      </c>
      <c r="E104" s="5">
        <v>1.119</v>
      </c>
      <c r="F104" s="5">
        <v>3.94</v>
      </c>
      <c r="H104" s="15">
        <f t="shared" si="6"/>
        <v>8.3263358609287508</v>
      </c>
      <c r="I104" s="15">
        <f t="shared" si="7"/>
        <v>6.3201462861110542</v>
      </c>
      <c r="J104" s="5"/>
      <c r="K104" s="5"/>
    </row>
    <row r="105" spans="1:11" x14ac:dyDescent="0.35">
      <c r="A105" s="14">
        <v>44630.34375</v>
      </c>
      <c r="B105" s="15">
        <f t="shared" si="8"/>
        <v>47.750000000058208</v>
      </c>
      <c r="C105" s="22">
        <v>0</v>
      </c>
      <c r="D105" s="21">
        <f>(1.74*10^5+2.23*10^5+1.82*10^5)/3</f>
        <v>193000</v>
      </c>
      <c r="E105" s="5">
        <v>1.1930000000000001</v>
      </c>
      <c r="F105" s="15">
        <v>3.8</v>
      </c>
      <c r="H105" s="17" t="e">
        <f t="shared" si="6"/>
        <v>#NUM!</v>
      </c>
      <c r="I105" s="15">
        <f t="shared" si="7"/>
        <v>5.2855573090077739</v>
      </c>
      <c r="J105" s="5"/>
      <c r="K105" s="5"/>
    </row>
    <row r="106" spans="1:11" x14ac:dyDescent="0.35">
      <c r="A106" s="14">
        <v>44630.625</v>
      </c>
      <c r="B106" s="15">
        <f t="shared" si="8"/>
        <v>54.500000000058208</v>
      </c>
      <c r="C106" s="21">
        <f>122*20*10^5</f>
        <v>244000000</v>
      </c>
      <c r="D106" s="21">
        <f>85*20*10^2</f>
        <v>170000</v>
      </c>
      <c r="E106" s="5">
        <v>1.2949999999999999</v>
      </c>
      <c r="F106" s="5">
        <v>3.78</v>
      </c>
      <c r="H106" s="18">
        <f t="shared" si="6"/>
        <v>8.3873898263387296</v>
      </c>
      <c r="I106" s="15">
        <f t="shared" si="7"/>
        <v>5.2304489213782741</v>
      </c>
      <c r="J106" s="5"/>
      <c r="K106" s="5"/>
    </row>
    <row r="107" spans="1:11" x14ac:dyDescent="0.35">
      <c r="H107" s="5"/>
      <c r="I107" s="5"/>
      <c r="J107" s="5"/>
      <c r="K107" s="5"/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55E-41C7-4ADD-86F5-37161F6BA0DA}">
  <dimension ref="A1:Q128"/>
  <sheetViews>
    <sheetView topLeftCell="D85" zoomScale="80" zoomScaleNormal="80" workbookViewId="0">
      <selection activeCell="I93" sqref="I93:I100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  <col min="14" max="14" width="11.7265625" bestFit="1" customWidth="1"/>
    <col min="15" max="15" width="12.453125" customWidth="1"/>
  </cols>
  <sheetData>
    <row r="1" spans="1:17" ht="15.5" x14ac:dyDescent="0.35">
      <c r="A1" s="4" t="s">
        <v>0</v>
      </c>
      <c r="B1" s="2" t="s">
        <v>1</v>
      </c>
    </row>
    <row r="2" spans="1:17" ht="18.5" x14ac:dyDescent="0.45">
      <c r="A2" s="4" t="s">
        <v>2</v>
      </c>
      <c r="B2" s="3" t="s">
        <v>20</v>
      </c>
      <c r="O2" t="s">
        <v>43</v>
      </c>
      <c r="P2" t="s">
        <v>42</v>
      </c>
    </row>
    <row r="3" spans="1:17" x14ac:dyDescent="0.35">
      <c r="A3" s="4" t="s">
        <v>4</v>
      </c>
      <c r="B3" t="s">
        <v>21</v>
      </c>
      <c r="M3" t="s">
        <v>44</v>
      </c>
    </row>
    <row r="4" spans="1:17" x14ac:dyDescent="0.35">
      <c r="A4" s="4" t="s">
        <v>6</v>
      </c>
      <c r="B4" t="s">
        <v>7</v>
      </c>
      <c r="J4" t="s">
        <v>16</v>
      </c>
      <c r="M4">
        <v>0</v>
      </c>
      <c r="N4">
        <v>494</v>
      </c>
      <c r="O4" s="24">
        <v>150000000</v>
      </c>
      <c r="P4" s="24">
        <f>(O4/1000)*2</f>
        <v>300000</v>
      </c>
      <c r="Q4" s="35">
        <f>LOG(P4)</f>
        <v>5.4771212547196626</v>
      </c>
    </row>
    <row r="5" spans="1:17" x14ac:dyDescent="0.35">
      <c r="J5" t="s">
        <v>17</v>
      </c>
      <c r="K5" t="s">
        <v>18</v>
      </c>
      <c r="L5" t="s">
        <v>19</v>
      </c>
      <c r="N5">
        <v>23</v>
      </c>
      <c r="O5" s="24">
        <v>280000000</v>
      </c>
      <c r="P5" s="24">
        <f>O5/1000</f>
        <v>280000</v>
      </c>
      <c r="Q5" s="35">
        <f t="shared" ref="Q5:Q6" si="0">LOG(P5)</f>
        <v>5.4471580313422194</v>
      </c>
    </row>
    <row r="6" spans="1:17" x14ac:dyDescent="0.35">
      <c r="J6">
        <v>0.26636492622740687</v>
      </c>
      <c r="K6">
        <v>1.8135538261997375E-2</v>
      </c>
      <c r="L6">
        <v>0.99977484526713334</v>
      </c>
      <c r="N6">
        <v>1034</v>
      </c>
      <c r="O6" s="24">
        <v>140000000</v>
      </c>
      <c r="P6" s="24">
        <f>O6/100000</f>
        <v>1400</v>
      </c>
      <c r="Q6" s="35">
        <f t="shared" si="0"/>
        <v>3.1461280356782382</v>
      </c>
    </row>
    <row r="8" spans="1:17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7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  <c r="L9" t="s">
        <v>45</v>
      </c>
      <c r="N9" s="5" t="s">
        <v>46</v>
      </c>
    </row>
    <row r="10" spans="1:17" x14ac:dyDescent="0.35">
      <c r="A10" s="14">
        <v>44649.354166666664</v>
      </c>
      <c r="B10" s="15">
        <f>0*24+1</f>
        <v>1</v>
      </c>
      <c r="C10" s="21">
        <f>71*20*100</f>
        <v>142000</v>
      </c>
      <c r="D10" s="28"/>
      <c r="E10" s="16">
        <v>-8.4000000000000005E-2</v>
      </c>
      <c r="F10" s="5">
        <v>5.86</v>
      </c>
      <c r="H10" s="15">
        <f>LOG(C10)</f>
        <v>5.1522883443830567</v>
      </c>
      <c r="J10">
        <f t="shared" ref="J10:J25" si="1">(E10-$K$6)/$J$6</f>
        <v>-0.38344214348551281</v>
      </c>
      <c r="L10" s="58">
        <v>0</v>
      </c>
      <c r="N10" s="35">
        <f t="shared" ref="N10:N25" si="2">H10-$H$10</f>
        <v>0</v>
      </c>
    </row>
    <row r="11" spans="1:17" x14ac:dyDescent="0.35">
      <c r="A11" s="14">
        <v>44649.4375</v>
      </c>
      <c r="B11" s="15">
        <f>(A11-$A$10)*24+1</f>
        <v>3.0000000000582077</v>
      </c>
      <c r="C11" s="21">
        <f>122*20*100</f>
        <v>244000</v>
      </c>
      <c r="D11" s="28"/>
      <c r="E11" s="16">
        <v>1.4999999999999999E-2</v>
      </c>
      <c r="F11" s="5">
        <v>5.86</v>
      </c>
      <c r="H11" s="15">
        <f t="shared" ref="H11:H25" si="3">LOG(C11)</f>
        <v>5.3873898263387296</v>
      </c>
      <c r="J11">
        <f t="shared" si="1"/>
        <v>-1.1771588348386512E-2</v>
      </c>
      <c r="L11" s="58">
        <v>0</v>
      </c>
      <c r="N11" s="35">
        <f>H11-$H$10</f>
        <v>0.23510148195567293</v>
      </c>
    </row>
    <row r="12" spans="1:17" x14ac:dyDescent="0.35">
      <c r="A12" s="14">
        <v>44649.5625</v>
      </c>
      <c r="B12" s="15">
        <f>(A12-$A$10)*24+1</f>
        <v>6.0000000000582077</v>
      </c>
      <c r="C12" s="21">
        <f>42*20*1000</f>
        <v>840000</v>
      </c>
      <c r="D12" s="28"/>
      <c r="E12" s="16">
        <v>0.01</v>
      </c>
      <c r="F12" s="5">
        <v>5.8</v>
      </c>
      <c r="H12" s="15">
        <f t="shared" si="3"/>
        <v>5.924279286061882</v>
      </c>
      <c r="J12">
        <f t="shared" si="1"/>
        <v>-3.0542828506827231E-2</v>
      </c>
      <c r="L12" s="58">
        <v>0</v>
      </c>
      <c r="N12" s="35">
        <f t="shared" si="2"/>
        <v>0.77199094167882532</v>
      </c>
    </row>
    <row r="13" spans="1:17" x14ac:dyDescent="0.35">
      <c r="A13" s="14">
        <v>44649.6875</v>
      </c>
      <c r="B13" s="15">
        <f>(A13-$A$10)*24+1</f>
        <v>9.0000000000582077</v>
      </c>
      <c r="C13" s="21">
        <f>141*20*1000</f>
        <v>2820000</v>
      </c>
      <c r="D13" s="28"/>
      <c r="E13" s="16">
        <v>-3.5000000000000003E-2</v>
      </c>
      <c r="F13" s="5">
        <v>5.78</v>
      </c>
      <c r="H13" s="15">
        <f t="shared" si="3"/>
        <v>6.4502491083193609</v>
      </c>
      <c r="J13">
        <f t="shared" si="1"/>
        <v>-0.19948398993279373</v>
      </c>
      <c r="L13" s="58">
        <v>0</v>
      </c>
      <c r="N13" s="35">
        <f t="shared" si="2"/>
        <v>1.2979607639363042</v>
      </c>
    </row>
    <row r="14" spans="1:17" x14ac:dyDescent="0.35">
      <c r="A14" s="14">
        <v>44649.819444444445</v>
      </c>
      <c r="B14" s="15">
        <f t="shared" ref="B14:B25" si="4">(A14-$A$10)*24+1</f>
        <v>12.166666666744277</v>
      </c>
      <c r="C14" s="21">
        <f>32*20*10000</f>
        <v>6400000</v>
      </c>
      <c r="D14" s="28"/>
      <c r="E14" s="16">
        <v>1.0999999999999999E-2</v>
      </c>
      <c r="F14" s="5">
        <v>5.71</v>
      </c>
      <c r="H14" s="15">
        <f t="shared" si="3"/>
        <v>6.8061799739838875</v>
      </c>
      <c r="J14">
        <f t="shared" si="1"/>
        <v>-2.6788580475139087E-2</v>
      </c>
      <c r="L14" s="58">
        <v>0</v>
      </c>
      <c r="N14" s="35">
        <f t="shared" si="2"/>
        <v>1.6538916296008308</v>
      </c>
    </row>
    <row r="15" spans="1:17" x14ac:dyDescent="0.35">
      <c r="A15" s="37">
        <v>44692.375</v>
      </c>
      <c r="B15" s="38">
        <v>15</v>
      </c>
      <c r="C15" s="39">
        <f>233*20*10000</f>
        <v>46600000</v>
      </c>
      <c r="D15" s="40"/>
      <c r="E15" s="41">
        <v>0.13500000000000001</v>
      </c>
      <c r="F15" s="42">
        <v>4.7300000000000004</v>
      </c>
      <c r="G15" s="40"/>
      <c r="H15" s="43">
        <f>LOG(C15)</f>
        <v>7.6683859166900001</v>
      </c>
      <c r="I15" s="40"/>
      <c r="J15" s="40">
        <f t="shared" si="1"/>
        <v>0.43873817545419086</v>
      </c>
      <c r="K15" s="40"/>
      <c r="L15" s="59"/>
      <c r="N15" s="35">
        <f>H15-$Q$4</f>
        <v>2.1912646619703375</v>
      </c>
    </row>
    <row r="16" spans="1:17" x14ac:dyDescent="0.35">
      <c r="A16" s="37">
        <v>44692.5</v>
      </c>
      <c r="B16" s="38">
        <v>18</v>
      </c>
      <c r="C16" s="39">
        <f>473*20*10000</f>
        <v>94600000</v>
      </c>
      <c r="D16" s="40"/>
      <c r="E16" s="41">
        <v>0.32200000000000001</v>
      </c>
      <c r="F16" s="42">
        <v>4.4800000000000004</v>
      </c>
      <c r="G16" s="40"/>
      <c r="H16" s="43">
        <f t="shared" si="3"/>
        <v>7.9758911364017928</v>
      </c>
      <c r="I16" s="40"/>
      <c r="J16" s="40">
        <f t="shared" si="1"/>
        <v>1.1407825573798738</v>
      </c>
      <c r="K16" s="40"/>
      <c r="L16" s="59"/>
      <c r="N16" s="35">
        <f>H16-$Q$4</f>
        <v>2.4987698816821302</v>
      </c>
    </row>
    <row r="17" spans="1:14" x14ac:dyDescent="0.35">
      <c r="A17" s="37">
        <v>44692.625</v>
      </c>
      <c r="B17" s="38">
        <v>21</v>
      </c>
      <c r="C17" s="39">
        <v>0</v>
      </c>
      <c r="D17" s="40"/>
      <c r="E17" s="41">
        <v>0.48099999999999998</v>
      </c>
      <c r="F17" s="42">
        <v>4.2</v>
      </c>
      <c r="G17" s="40"/>
      <c r="H17" s="44" t="e">
        <f t="shared" si="3"/>
        <v>#NUM!</v>
      </c>
      <c r="I17" s="40"/>
      <c r="J17" s="40">
        <f t="shared" si="1"/>
        <v>1.7377079944182887</v>
      </c>
      <c r="K17" s="40"/>
      <c r="L17" s="59"/>
      <c r="N17" s="35" t="e">
        <f>H17-$Q$4</f>
        <v>#NUM!</v>
      </c>
    </row>
    <row r="18" spans="1:14" x14ac:dyDescent="0.35">
      <c r="A18" s="14">
        <v>44650.319444444445</v>
      </c>
      <c r="B18" s="15">
        <f t="shared" si="4"/>
        <v>24.166666666744277</v>
      </c>
      <c r="C18" s="21">
        <f>94*20*100000</f>
        <v>188000000</v>
      </c>
      <c r="D18" s="28"/>
      <c r="E18" s="16">
        <v>0.47699999999999998</v>
      </c>
      <c r="F18" s="5">
        <v>4.22</v>
      </c>
      <c r="H18" s="15">
        <f t="shared" si="3"/>
        <v>8.2741578492636805</v>
      </c>
      <c r="J18">
        <f t="shared" si="1"/>
        <v>1.722691002291536</v>
      </c>
      <c r="L18" s="58">
        <v>3.2</v>
      </c>
      <c r="N18" s="35">
        <f t="shared" si="2"/>
        <v>3.1218695048806238</v>
      </c>
    </row>
    <row r="19" spans="1:14" x14ac:dyDescent="0.35">
      <c r="A19" s="14">
        <v>44650.440972222219</v>
      </c>
      <c r="B19" s="15">
        <f t="shared" si="4"/>
        <v>27.083333333313931</v>
      </c>
      <c r="C19" s="21">
        <f>116*20*100000</f>
        <v>232000000</v>
      </c>
      <c r="D19" s="28"/>
      <c r="E19" s="16">
        <v>0.64500000000000002</v>
      </c>
      <c r="F19" s="5">
        <v>4.08</v>
      </c>
      <c r="H19" s="15">
        <f t="shared" si="3"/>
        <v>8.3654879848908994</v>
      </c>
      <c r="J19">
        <f t="shared" si="1"/>
        <v>2.3534046716151442</v>
      </c>
      <c r="L19" s="58">
        <v>3.2</v>
      </c>
      <c r="N19" s="35">
        <f t="shared" si="2"/>
        <v>3.2131996405078427</v>
      </c>
    </row>
    <row r="20" spans="1:14" x14ac:dyDescent="0.35">
      <c r="A20" s="14">
        <v>44650.565972222219</v>
      </c>
      <c r="B20" s="15">
        <f t="shared" si="4"/>
        <v>30.083333333313931</v>
      </c>
      <c r="C20" s="21">
        <f>112*20*100000</f>
        <v>224000000</v>
      </c>
      <c r="D20" s="28"/>
      <c r="E20" s="16">
        <v>0.84299999999999997</v>
      </c>
      <c r="F20" s="5">
        <v>4</v>
      </c>
      <c r="H20" s="15">
        <f t="shared" si="3"/>
        <v>8.3502480183341632</v>
      </c>
      <c r="J20">
        <f t="shared" si="1"/>
        <v>3.0967457818893966</v>
      </c>
      <c r="L20" s="58">
        <v>1.6</v>
      </c>
      <c r="N20" s="35">
        <f t="shared" si="2"/>
        <v>3.1979596739511065</v>
      </c>
    </row>
    <row r="21" spans="1:14" x14ac:dyDescent="0.35">
      <c r="A21" s="14">
        <v>44650.690972222219</v>
      </c>
      <c r="B21" s="15">
        <f t="shared" si="4"/>
        <v>33.083333333313931</v>
      </c>
      <c r="C21" s="21">
        <f>105*20*100000</f>
        <v>210000000</v>
      </c>
      <c r="D21" s="28"/>
      <c r="E21" s="5">
        <v>0.89</v>
      </c>
      <c r="F21" s="5">
        <v>3.93</v>
      </c>
      <c r="H21" s="15">
        <f t="shared" si="3"/>
        <v>8.3222192947339195</v>
      </c>
      <c r="J21">
        <f t="shared" si="1"/>
        <v>3.2731954393787399</v>
      </c>
      <c r="L21" s="58">
        <v>3.2</v>
      </c>
      <c r="N21" s="35">
        <f t="shared" si="2"/>
        <v>3.1699309503508628</v>
      </c>
    </row>
    <row r="22" spans="1:14" x14ac:dyDescent="0.35">
      <c r="A22" s="14">
        <v>44650.805555555555</v>
      </c>
      <c r="B22" s="15">
        <f t="shared" si="4"/>
        <v>35.833333333372138</v>
      </c>
      <c r="C22" s="21">
        <f>109*20*100000</f>
        <v>218000000</v>
      </c>
      <c r="D22" s="28"/>
      <c r="E22" s="5">
        <v>0.96899999999999997</v>
      </c>
      <c r="F22" s="5">
        <v>3.91</v>
      </c>
      <c r="H22" s="15">
        <f t="shared" si="3"/>
        <v>8.3384564936046051</v>
      </c>
      <c r="J22">
        <f t="shared" si="1"/>
        <v>3.5697810338821032</v>
      </c>
      <c r="L22" s="58">
        <v>3.2</v>
      </c>
      <c r="N22" s="35">
        <f t="shared" si="2"/>
        <v>3.1861681492215483</v>
      </c>
    </row>
    <row r="23" spans="1:14" x14ac:dyDescent="0.35">
      <c r="A23" s="37">
        <v>44693.5</v>
      </c>
      <c r="B23" s="38">
        <v>42</v>
      </c>
      <c r="C23" s="45">
        <f>74*20*100000</f>
        <v>148000000</v>
      </c>
      <c r="D23" s="46"/>
      <c r="E23" s="47">
        <v>1.054</v>
      </c>
      <c r="F23" s="47">
        <v>3.78</v>
      </c>
      <c r="G23" s="46"/>
      <c r="H23" s="38">
        <f t="shared" si="3"/>
        <v>8.1702617153949575</v>
      </c>
      <c r="I23" s="46"/>
      <c r="J23" s="46">
        <f t="shared" si="1"/>
        <v>3.8888921165755952</v>
      </c>
      <c r="K23" s="46"/>
      <c r="L23" s="60"/>
      <c r="M23" s="46"/>
      <c r="N23" s="48">
        <f>H23-Q4</f>
        <v>2.6931404606752949</v>
      </c>
    </row>
    <row r="24" spans="1:14" x14ac:dyDescent="0.35">
      <c r="A24" s="14">
        <v>44651.322916666664</v>
      </c>
      <c r="B24" s="15">
        <f t="shared" si="4"/>
        <v>48.25</v>
      </c>
      <c r="C24" s="21">
        <f>88*20*100000</f>
        <v>176000000</v>
      </c>
      <c r="D24" s="28"/>
      <c r="E24" s="5">
        <v>1.119</v>
      </c>
      <c r="F24" s="5">
        <v>3.82</v>
      </c>
      <c r="H24" s="15">
        <f t="shared" si="3"/>
        <v>8.2455126678141504</v>
      </c>
      <c r="J24">
        <f t="shared" si="1"/>
        <v>4.1329182386353249</v>
      </c>
      <c r="L24" s="58">
        <v>3.2</v>
      </c>
      <c r="N24" s="35">
        <f t="shared" si="2"/>
        <v>3.0932243234310937</v>
      </c>
    </row>
    <row r="25" spans="1:14" x14ac:dyDescent="0.35">
      <c r="A25" s="14">
        <v>44651.565972222219</v>
      </c>
      <c r="B25" s="15">
        <f t="shared" si="4"/>
        <v>54.083333333313931</v>
      </c>
      <c r="C25" s="21">
        <f>81*20*100000</f>
        <v>162000000</v>
      </c>
      <c r="D25" s="28"/>
      <c r="E25" s="5">
        <v>1.169</v>
      </c>
      <c r="F25" s="5">
        <v>3.81</v>
      </c>
      <c r="H25" s="15">
        <f t="shared" si="3"/>
        <v>8.2095150145426317</v>
      </c>
      <c r="J25">
        <f t="shared" si="1"/>
        <v>4.3206306402197319</v>
      </c>
      <c r="L25" s="58">
        <v>1.6</v>
      </c>
      <c r="N25" s="35">
        <f t="shared" si="2"/>
        <v>3.0572266701595749</v>
      </c>
    </row>
    <row r="26" spans="1:14" x14ac:dyDescent="0.35">
      <c r="B26" s="5"/>
      <c r="C26" s="5"/>
    </row>
    <row r="27" spans="1:14" x14ac:dyDescent="0.35">
      <c r="B27" s="5"/>
      <c r="C27" s="5"/>
      <c r="E27" t="s">
        <v>31</v>
      </c>
      <c r="F27">
        <f>MIN(F10:F14,F18:F22,F24:F25)</f>
        <v>3.81</v>
      </c>
    </row>
    <row r="28" spans="1:14" x14ac:dyDescent="0.35">
      <c r="C28" s="5"/>
    </row>
    <row r="34" spans="1:13" ht="18.5" x14ac:dyDescent="0.45">
      <c r="A34" s="12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3" x14ac:dyDescent="0.35">
      <c r="A35" t="s">
        <v>23</v>
      </c>
      <c r="B35" s="5" t="s">
        <v>24</v>
      </c>
      <c r="C35" s="5" t="s">
        <v>25</v>
      </c>
      <c r="D35" s="5" t="s">
        <v>26</v>
      </c>
      <c r="E35" s="5" t="s">
        <v>27</v>
      </c>
      <c r="F35" s="5" t="s">
        <v>28</v>
      </c>
      <c r="G35" s="5"/>
      <c r="H35" s="5" t="s">
        <v>29</v>
      </c>
      <c r="I35" s="5" t="s">
        <v>30</v>
      </c>
      <c r="J35" s="5" t="s">
        <v>13</v>
      </c>
      <c r="K35" s="5" t="s">
        <v>28</v>
      </c>
      <c r="M35" s="5" t="s">
        <v>46</v>
      </c>
    </row>
    <row r="36" spans="1:13" x14ac:dyDescent="0.35">
      <c r="A36" s="14">
        <v>44649.354166666664</v>
      </c>
      <c r="B36" s="15">
        <f>0*(24)+1</f>
        <v>1</v>
      </c>
      <c r="C36" s="21">
        <f>115*20*100</f>
        <v>230000</v>
      </c>
      <c r="D36" s="28"/>
      <c r="E36" s="5">
        <v>-1.4E-2</v>
      </c>
      <c r="F36" s="5">
        <v>5.87</v>
      </c>
      <c r="H36" s="15">
        <f>LOG(C36)</f>
        <v>5.3617278360175931</v>
      </c>
      <c r="I36" s="5"/>
      <c r="J36">
        <f t="shared" ref="J36:J51" si="5">(E36-$K$6)/$J$6</f>
        <v>-0.12064478126734268</v>
      </c>
      <c r="K36" s="5"/>
      <c r="M36" s="35">
        <f>H36-$H$36</f>
        <v>0</v>
      </c>
    </row>
    <row r="37" spans="1:13" x14ac:dyDescent="0.35">
      <c r="A37" s="14">
        <v>44649.4375</v>
      </c>
      <c r="B37" s="15">
        <f>(A37-$A$10)*(24)+1</f>
        <v>3.0000000000582077</v>
      </c>
      <c r="C37" s="21">
        <f>200*20*100</f>
        <v>400000</v>
      </c>
      <c r="D37" s="28"/>
      <c r="E37" s="5">
        <v>-6.0000000000000001E-3</v>
      </c>
      <c r="F37" s="5">
        <v>5.8</v>
      </c>
      <c r="H37" s="15">
        <f t="shared" ref="H37:H51" si="6">LOG(C37)</f>
        <v>5.6020599913279625</v>
      </c>
      <c r="I37" s="5"/>
      <c r="J37">
        <f t="shared" si="5"/>
        <v>-9.0610797013837535E-2</v>
      </c>
      <c r="K37" s="5"/>
      <c r="M37" s="35">
        <f t="shared" ref="M37:M51" si="7">H37-$H$36</f>
        <v>0.24033215531036944</v>
      </c>
    </row>
    <row r="38" spans="1:13" x14ac:dyDescent="0.35">
      <c r="A38" s="14">
        <v>44649.5625</v>
      </c>
      <c r="B38" s="15">
        <f>(A38-$A$10)*(24)+1</f>
        <v>6.0000000000582077</v>
      </c>
      <c r="C38" s="21">
        <f>65*20*1000</f>
        <v>1300000</v>
      </c>
      <c r="D38" s="28"/>
      <c r="E38" s="5">
        <v>-8.0000000000000002E-3</v>
      </c>
      <c r="F38" s="5">
        <v>5.79</v>
      </c>
      <c r="H38" s="15">
        <f t="shared" si="6"/>
        <v>6.1139433523068369</v>
      </c>
      <c r="I38" s="5"/>
      <c r="J38">
        <f t="shared" si="5"/>
        <v>-9.8119293077213829E-2</v>
      </c>
      <c r="K38" s="5"/>
      <c r="M38" s="35">
        <f t="shared" si="7"/>
        <v>0.75221551628924388</v>
      </c>
    </row>
    <row r="39" spans="1:13" x14ac:dyDescent="0.35">
      <c r="A39" s="14">
        <v>44649.6875</v>
      </c>
      <c r="B39" s="15">
        <f>(A39-$A$10)*(24)+1</f>
        <v>9.0000000000582077</v>
      </c>
      <c r="C39" s="21">
        <f>186*20*1000</f>
        <v>3720000</v>
      </c>
      <c r="D39" s="28"/>
      <c r="E39" s="5">
        <v>-0.113</v>
      </c>
      <c r="F39" s="5">
        <v>5.75</v>
      </c>
      <c r="H39" s="15">
        <f t="shared" si="6"/>
        <v>6.5705429398818973</v>
      </c>
      <c r="I39" s="5"/>
      <c r="J39">
        <f t="shared" si="5"/>
        <v>-0.49231533640446895</v>
      </c>
      <c r="K39" s="5"/>
      <c r="M39" s="35">
        <f t="shared" si="7"/>
        <v>1.2088151038643042</v>
      </c>
    </row>
    <row r="40" spans="1:13" x14ac:dyDescent="0.35">
      <c r="A40" s="14">
        <v>44649.819444444445</v>
      </c>
      <c r="B40" s="15">
        <f>(A40-$A$10)*(24)+1</f>
        <v>12.166666666744277</v>
      </c>
      <c r="C40" s="21">
        <f>40*20*10000</f>
        <v>8000000</v>
      </c>
      <c r="D40" s="28"/>
      <c r="E40" s="5">
        <v>-8.9999999999999993E-3</v>
      </c>
      <c r="F40" s="5">
        <v>5.69</v>
      </c>
      <c r="H40" s="15">
        <f>LOG(C40)</f>
        <v>6.9030899869919438</v>
      </c>
      <c r="I40" s="5"/>
      <c r="J40">
        <f>(E40-$K$6)/$J$6</f>
        <v>-0.10187354110890197</v>
      </c>
      <c r="K40" s="5"/>
      <c r="M40" s="35">
        <f t="shared" si="7"/>
        <v>1.5413621509743507</v>
      </c>
    </row>
    <row r="41" spans="1:13" x14ac:dyDescent="0.35">
      <c r="A41" s="37">
        <v>44692.375</v>
      </c>
      <c r="B41" s="38">
        <v>15</v>
      </c>
      <c r="C41" s="39">
        <f>206*20*10000</f>
        <v>41200000</v>
      </c>
      <c r="D41" s="40"/>
      <c r="E41" s="42">
        <v>7.0000000000000007E-2</v>
      </c>
      <c r="F41" s="42">
        <v>5.15</v>
      </c>
      <c r="G41" s="40"/>
      <c r="H41" s="43">
        <f>LOG(C41)</f>
        <v>7.6148972160331345</v>
      </c>
      <c r="I41" s="42"/>
      <c r="J41" s="40">
        <f t="shared" si="5"/>
        <v>0.19471205339446146</v>
      </c>
      <c r="K41" s="5"/>
      <c r="M41" s="35">
        <f>H41-$Q$5</f>
        <v>2.1677391846909151</v>
      </c>
    </row>
    <row r="42" spans="1:13" x14ac:dyDescent="0.35">
      <c r="A42" s="37">
        <v>44692.5</v>
      </c>
      <c r="B42" s="38">
        <v>18</v>
      </c>
      <c r="C42" s="39">
        <f>374*20*10000</f>
        <v>74800000</v>
      </c>
      <c r="D42" s="40"/>
      <c r="E42" s="42">
        <v>0.17299999999999999</v>
      </c>
      <c r="F42" s="42">
        <v>4.8600000000000003</v>
      </c>
      <c r="G42" s="40"/>
      <c r="H42" s="43">
        <f t="shared" si="6"/>
        <v>7.8739015978644611</v>
      </c>
      <c r="I42" s="42"/>
      <c r="J42" s="40">
        <f t="shared" si="5"/>
        <v>0.58139960065834018</v>
      </c>
      <c r="K42" s="5"/>
      <c r="M42" s="35">
        <f t="shared" ref="M42" si="8">H42-$Q$5</f>
        <v>2.4267435665222417</v>
      </c>
    </row>
    <row r="43" spans="1:13" x14ac:dyDescent="0.35">
      <c r="A43" s="37">
        <v>44692.625</v>
      </c>
      <c r="B43" s="38">
        <v>21</v>
      </c>
      <c r="C43" s="39">
        <v>0</v>
      </c>
      <c r="D43" s="40"/>
      <c r="E43" s="42">
        <v>0.313</v>
      </c>
      <c r="F43" s="42">
        <v>4.3899999999999997</v>
      </c>
      <c r="G43" s="40"/>
      <c r="H43" s="43" t="e">
        <f t="shared" si="6"/>
        <v>#NUM!</v>
      </c>
      <c r="I43" s="42"/>
      <c r="J43" s="40">
        <f t="shared" si="5"/>
        <v>1.1069943250946805</v>
      </c>
      <c r="K43" s="5"/>
      <c r="M43" s="35" t="e">
        <f>H43-$Q$5</f>
        <v>#NUM!</v>
      </c>
    </row>
    <row r="44" spans="1:13" x14ac:dyDescent="0.35">
      <c r="A44" s="14">
        <v>44650.319444444445</v>
      </c>
      <c r="B44" s="15">
        <f t="shared" ref="B44:B51" si="9">(A44-$A$10)*(24)+1</f>
        <v>24.166666666744277</v>
      </c>
      <c r="C44" s="21">
        <f>56*20*100000</f>
        <v>112000000</v>
      </c>
      <c r="D44" s="28"/>
      <c r="E44" s="5">
        <v>0.32300000000000001</v>
      </c>
      <c r="F44" s="5">
        <v>4.43</v>
      </c>
      <c r="H44" s="15">
        <f t="shared" si="6"/>
        <v>8.0492180226701819</v>
      </c>
      <c r="I44" s="5"/>
      <c r="J44">
        <f t="shared" si="5"/>
        <v>1.1445368054115619</v>
      </c>
      <c r="K44" s="5"/>
      <c r="M44" s="35">
        <f t="shared" si="7"/>
        <v>2.6874901866525889</v>
      </c>
    </row>
    <row r="45" spans="1:13" x14ac:dyDescent="0.35">
      <c r="A45" s="14">
        <v>44650.440972222219</v>
      </c>
      <c r="B45" s="15">
        <f t="shared" si="9"/>
        <v>27.083333333313931</v>
      </c>
      <c r="C45" s="21">
        <f>118*20*100000</f>
        <v>236000000</v>
      </c>
      <c r="D45" s="28"/>
      <c r="E45" s="5">
        <v>0.51100000000000001</v>
      </c>
      <c r="F45" s="5">
        <v>4.18</v>
      </c>
      <c r="H45" s="15">
        <f t="shared" si="6"/>
        <v>8.3729120029701072</v>
      </c>
      <c r="I45" s="5"/>
      <c r="J45">
        <f t="shared" si="5"/>
        <v>1.850335435368933</v>
      </c>
      <c r="K45" s="5"/>
      <c r="M45" s="35">
        <f t="shared" si="7"/>
        <v>3.0111841669525141</v>
      </c>
    </row>
    <row r="46" spans="1:13" x14ac:dyDescent="0.35">
      <c r="A46" s="14">
        <v>44650.565972222219</v>
      </c>
      <c r="B46" s="15">
        <f t="shared" si="9"/>
        <v>30.083333333313931</v>
      </c>
      <c r="C46" s="21">
        <f>117*20*100000</f>
        <v>234000000</v>
      </c>
      <c r="D46" s="28"/>
      <c r="E46" s="5">
        <v>0.72899999999999998</v>
      </c>
      <c r="F46" s="5">
        <v>4.0599999999999996</v>
      </c>
      <c r="H46" s="15">
        <f t="shared" si="6"/>
        <v>8.3692158574101434</v>
      </c>
      <c r="I46" s="5"/>
      <c r="J46">
        <f t="shared" si="5"/>
        <v>2.6687615062769487</v>
      </c>
      <c r="K46" s="5"/>
      <c r="M46" s="35">
        <f t="shared" si="7"/>
        <v>3.0074880213925503</v>
      </c>
    </row>
    <row r="47" spans="1:13" x14ac:dyDescent="0.35">
      <c r="A47" s="14">
        <v>44650.690972222219</v>
      </c>
      <c r="B47" s="15">
        <f t="shared" si="9"/>
        <v>33.083333333313931</v>
      </c>
      <c r="C47" s="21">
        <f>103*20*100000</f>
        <v>206000000</v>
      </c>
      <c r="D47" s="28"/>
      <c r="E47" s="5">
        <v>0.79400000000000004</v>
      </c>
      <c r="F47" s="5">
        <v>3.98</v>
      </c>
      <c r="H47" s="15">
        <f t="shared" si="6"/>
        <v>8.3138672203691542</v>
      </c>
      <c r="I47" s="5"/>
      <c r="J47">
        <f t="shared" si="5"/>
        <v>2.9127876283366776</v>
      </c>
      <c r="K47" s="5"/>
      <c r="M47" s="35">
        <f t="shared" si="7"/>
        <v>2.9521393843515611</v>
      </c>
    </row>
    <row r="48" spans="1:13" x14ac:dyDescent="0.35">
      <c r="A48" s="14">
        <v>44650.805555555555</v>
      </c>
      <c r="B48" s="15">
        <f t="shared" si="9"/>
        <v>35.833333333372138</v>
      </c>
      <c r="C48" s="21">
        <f>90*20*100000</f>
        <v>180000000</v>
      </c>
      <c r="D48" s="28"/>
      <c r="E48" s="5">
        <v>0.93100000000000005</v>
      </c>
      <c r="F48" s="5">
        <v>3.91</v>
      </c>
      <c r="H48" s="15">
        <f t="shared" si="6"/>
        <v>8.2552725051033065</v>
      </c>
      <c r="I48" s="5"/>
      <c r="J48">
        <f t="shared" si="5"/>
        <v>3.4271196086779536</v>
      </c>
      <c r="K48" s="5"/>
      <c r="M48" s="35">
        <f t="shared" si="7"/>
        <v>2.8935446690857134</v>
      </c>
    </row>
    <row r="49" spans="1:13" x14ac:dyDescent="0.35">
      <c r="A49" s="37">
        <v>44693.5</v>
      </c>
      <c r="B49" s="38">
        <v>42</v>
      </c>
      <c r="C49" s="45">
        <f>130*20*100000</f>
        <v>260000000</v>
      </c>
      <c r="D49" s="46"/>
      <c r="E49" s="47">
        <v>1.0680000000000001</v>
      </c>
      <c r="F49" s="47">
        <v>3.75</v>
      </c>
      <c r="G49" s="46"/>
      <c r="H49" s="38">
        <f t="shared" si="6"/>
        <v>8.4149733479708182</v>
      </c>
      <c r="I49" s="47"/>
      <c r="J49" s="46">
        <f t="shared" si="5"/>
        <v>3.9414515890192292</v>
      </c>
      <c r="K49" s="5"/>
      <c r="M49" s="35">
        <f>H49-Q5</f>
        <v>2.9678153166285988</v>
      </c>
    </row>
    <row r="50" spans="1:13" x14ac:dyDescent="0.35">
      <c r="A50" s="14">
        <v>44651.322916666664</v>
      </c>
      <c r="B50" s="15">
        <f t="shared" si="9"/>
        <v>48.25</v>
      </c>
      <c r="C50" s="21">
        <f>90*20*100000</f>
        <v>180000000</v>
      </c>
      <c r="D50" s="28"/>
      <c r="E50" s="5">
        <v>1.113</v>
      </c>
      <c r="F50" s="5">
        <v>3.78</v>
      </c>
      <c r="H50" s="15">
        <f t="shared" si="6"/>
        <v>8.2552725051033065</v>
      </c>
      <c r="I50" s="5"/>
      <c r="J50">
        <f t="shared" si="5"/>
        <v>4.1103927504451958</v>
      </c>
      <c r="K50" s="5"/>
      <c r="M50" s="35">
        <f t="shared" si="7"/>
        <v>2.8935446690857134</v>
      </c>
    </row>
    <row r="51" spans="1:13" x14ac:dyDescent="0.35">
      <c r="A51" s="14">
        <v>44651.565972222219</v>
      </c>
      <c r="B51" s="15">
        <f t="shared" si="9"/>
        <v>54.083333333313931</v>
      </c>
      <c r="C51" s="21">
        <f>106*20*100000</f>
        <v>212000000</v>
      </c>
      <c r="D51" s="28"/>
      <c r="E51" s="5">
        <v>1.198</v>
      </c>
      <c r="F51" s="5">
        <v>3.73</v>
      </c>
      <c r="H51" s="15">
        <f t="shared" si="6"/>
        <v>8.3263358609287508</v>
      </c>
      <c r="I51" s="5"/>
      <c r="J51">
        <f t="shared" si="5"/>
        <v>4.4295038331386873</v>
      </c>
      <c r="K51" s="5"/>
      <c r="M51" s="35">
        <f t="shared" si="7"/>
        <v>2.9646080249111577</v>
      </c>
    </row>
    <row r="52" spans="1:13" x14ac:dyDescent="0.35">
      <c r="H52" s="5"/>
      <c r="I52" s="5"/>
      <c r="J52" s="5"/>
      <c r="K52" s="5"/>
    </row>
    <row r="53" spans="1:13" x14ac:dyDescent="0.35">
      <c r="E53" t="s">
        <v>31</v>
      </c>
      <c r="F53">
        <f>MIN(F36:F40,F44:F48,F50:F51)</f>
        <v>3.73</v>
      </c>
      <c r="H53" s="5"/>
      <c r="I53" s="5"/>
      <c r="J53" s="5"/>
      <c r="K53" s="5"/>
    </row>
    <row r="58" spans="1:13" ht="18.5" x14ac:dyDescent="0.45">
      <c r="A58" s="13" t="s">
        <v>34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3" x14ac:dyDescent="0.35">
      <c r="A59" t="s">
        <v>23</v>
      </c>
      <c r="B59" s="5" t="s">
        <v>24</v>
      </c>
      <c r="C59" s="5" t="s">
        <v>25</v>
      </c>
      <c r="D59" s="5" t="s">
        <v>26</v>
      </c>
      <c r="E59" s="5" t="s">
        <v>27</v>
      </c>
      <c r="F59" s="5" t="s">
        <v>28</v>
      </c>
      <c r="G59" s="5"/>
      <c r="H59" s="5" t="s">
        <v>29</v>
      </c>
      <c r="I59" s="5" t="s">
        <v>30</v>
      </c>
      <c r="J59" s="5" t="s">
        <v>13</v>
      </c>
      <c r="K59" s="5" t="s">
        <v>28</v>
      </c>
      <c r="L59" s="5" t="s">
        <v>46</v>
      </c>
    </row>
    <row r="60" spans="1:13" x14ac:dyDescent="0.35">
      <c r="A60" s="14">
        <v>44649.354166666664</v>
      </c>
      <c r="B60" s="15">
        <v>1</v>
      </c>
      <c r="C60" s="29"/>
      <c r="D60" s="21">
        <f>22*100</f>
        <v>2200</v>
      </c>
      <c r="E60" s="5">
        <v>-9.0999999999999998E-2</v>
      </c>
      <c r="F60" s="5">
        <v>5.85</v>
      </c>
      <c r="H60" s="51"/>
      <c r="I60">
        <f>LOG(D60)</f>
        <v>3.3424226808222062</v>
      </c>
      <c r="J60">
        <f t="shared" ref="J60:J75" si="10">(E60-$K$6)/$J$6</f>
        <v>-0.40972187970732982</v>
      </c>
      <c r="L60" s="35">
        <f>I60-$I$60</f>
        <v>0</v>
      </c>
    </row>
    <row r="61" spans="1:13" x14ac:dyDescent="0.35">
      <c r="A61" s="14">
        <v>44649.4375</v>
      </c>
      <c r="B61" s="15">
        <f>(A61-$A$10)*(24)+1</f>
        <v>3.0000000000582077</v>
      </c>
      <c r="C61" s="29"/>
      <c r="D61" s="21">
        <f>28*100</f>
        <v>2800</v>
      </c>
      <c r="E61" s="5">
        <v>1.0999999999999999E-2</v>
      </c>
      <c r="F61" s="5">
        <v>5.8</v>
      </c>
      <c r="H61" s="29"/>
      <c r="I61">
        <f t="shared" ref="I61:I75" si="11">LOG(D61)</f>
        <v>3.4471580313422194</v>
      </c>
      <c r="J61">
        <f t="shared" si="10"/>
        <v>-2.6788580475139087E-2</v>
      </c>
      <c r="L61" s="35">
        <f t="shared" ref="L61:L75" si="12">I61-$I$60</f>
        <v>0.10473535052001326</v>
      </c>
    </row>
    <row r="62" spans="1:13" x14ac:dyDescent="0.35">
      <c r="A62" s="14">
        <v>44649.5625</v>
      </c>
      <c r="B62" s="15">
        <f>(A62-$A$10)*(24)+1</f>
        <v>6.0000000000582077</v>
      </c>
      <c r="C62" s="29"/>
      <c r="D62" s="21">
        <f>51*20*10</f>
        <v>10200</v>
      </c>
      <c r="E62" s="5">
        <v>2.1000000000000001E-2</v>
      </c>
      <c r="F62" s="5">
        <v>5.8</v>
      </c>
      <c r="H62" s="29"/>
      <c r="I62">
        <f t="shared" si="11"/>
        <v>4.008600171761918</v>
      </c>
      <c r="J62">
        <f t="shared" si="10"/>
        <v>1.0753899841742361E-2</v>
      </c>
      <c r="L62" s="35">
        <f t="shared" si="12"/>
        <v>0.66617749093971179</v>
      </c>
    </row>
    <row r="63" spans="1:13" x14ac:dyDescent="0.35">
      <c r="A63" s="14">
        <v>44649.6875</v>
      </c>
      <c r="B63" s="15">
        <f>(A63-$A$10)*(24)+1</f>
        <v>9.0000000000582077</v>
      </c>
      <c r="C63" s="29"/>
      <c r="D63" s="21">
        <f>106*20*10</f>
        <v>21200</v>
      </c>
      <c r="E63" s="5">
        <v>0.19</v>
      </c>
      <c r="F63" s="5">
        <v>5.82</v>
      </c>
      <c r="H63" s="29"/>
      <c r="I63">
        <f t="shared" si="11"/>
        <v>4.3263358609287517</v>
      </c>
      <c r="J63">
        <f t="shared" si="10"/>
        <v>0.64522181719703875</v>
      </c>
      <c r="L63" s="35">
        <f t="shared" si="12"/>
        <v>0.98391318010654549</v>
      </c>
    </row>
    <row r="64" spans="1:13" x14ac:dyDescent="0.35">
      <c r="A64" s="14">
        <v>44649.819444444445</v>
      </c>
      <c r="B64" s="15">
        <f t="shared" ref="B64:B75" si="13">(A64-$A$10)*(24)+1</f>
        <v>12.166666666744277</v>
      </c>
      <c r="C64" s="29"/>
      <c r="D64" s="21">
        <f>33*20*100</f>
        <v>66000</v>
      </c>
      <c r="E64" s="5">
        <v>-3.7999999999999999E-2</v>
      </c>
      <c r="F64" s="5">
        <v>5.82</v>
      </c>
      <c r="H64" s="51"/>
      <c r="I64">
        <f t="shared" si="11"/>
        <v>4.8195439355418683</v>
      </c>
      <c r="J64">
        <f t="shared" si="10"/>
        <v>-0.21074673402785815</v>
      </c>
      <c r="L64" s="35">
        <f t="shared" si="12"/>
        <v>1.4771212547196622</v>
      </c>
    </row>
    <row r="65" spans="1:12" x14ac:dyDescent="0.35">
      <c r="A65" s="37">
        <v>44692.375</v>
      </c>
      <c r="B65" s="38">
        <v>15</v>
      </c>
      <c r="C65" s="42"/>
      <c r="D65" s="39">
        <f>115*20*100</f>
        <v>230000</v>
      </c>
      <c r="E65" s="42">
        <v>0</v>
      </c>
      <c r="F65" s="42">
        <v>5.79</v>
      </c>
      <c r="G65" s="40"/>
      <c r="H65" s="43"/>
      <c r="I65" s="40">
        <f>LOG(D65)</f>
        <v>5.3617278360175931</v>
      </c>
      <c r="J65" s="40">
        <f t="shared" si="10"/>
        <v>-6.8085308823708668E-2</v>
      </c>
      <c r="L65" s="35">
        <f>I65-$Q$6</f>
        <v>2.2155998003393549</v>
      </c>
    </row>
    <row r="66" spans="1:12" x14ac:dyDescent="0.35">
      <c r="A66" s="37">
        <v>44692.5</v>
      </c>
      <c r="B66" s="38">
        <v>18</v>
      </c>
      <c r="C66" s="42"/>
      <c r="D66" s="39">
        <f>((920000)+(1050000)+(720000))/3</f>
        <v>896666.66666666663</v>
      </c>
      <c r="E66" s="42">
        <v>4.0000000000000001E-3</v>
      </c>
      <c r="F66" s="42">
        <v>5.81</v>
      </c>
      <c r="G66" s="40"/>
      <c r="H66" s="43"/>
      <c r="I66" s="40">
        <f t="shared" si="11"/>
        <v>5.9526310252827459</v>
      </c>
      <c r="J66" s="40">
        <f t="shared" si="10"/>
        <v>-5.3068316696956094E-2</v>
      </c>
      <c r="L66" s="35">
        <f t="shared" ref="L66:L67" si="14">I66-$Q$6</f>
        <v>2.8065029896045077</v>
      </c>
    </row>
    <row r="67" spans="1:12" x14ac:dyDescent="0.35">
      <c r="A67" s="37">
        <v>44692.625</v>
      </c>
      <c r="B67" s="38">
        <v>21</v>
      </c>
      <c r="C67" s="42"/>
      <c r="D67" s="39">
        <v>0</v>
      </c>
      <c r="E67" s="42">
        <v>-2.1999999999999999E-2</v>
      </c>
      <c r="F67" s="42">
        <v>5.78</v>
      </c>
      <c r="G67" s="40"/>
      <c r="H67" s="43"/>
      <c r="I67" s="40" t="e">
        <f t="shared" si="11"/>
        <v>#NUM!</v>
      </c>
      <c r="J67" s="40">
        <f t="shared" si="10"/>
        <v>-0.15067876552084783</v>
      </c>
      <c r="L67" s="35" t="e">
        <f t="shared" si="14"/>
        <v>#NUM!</v>
      </c>
    </row>
    <row r="68" spans="1:12" ht="14.25" customHeight="1" x14ac:dyDescent="0.35">
      <c r="A68" s="14">
        <v>44650.319444444445</v>
      </c>
      <c r="B68" s="15">
        <f t="shared" si="13"/>
        <v>24.166666666744277</v>
      </c>
      <c r="C68" s="29"/>
      <c r="D68" s="21">
        <f>14*20*10000</f>
        <v>2800000</v>
      </c>
      <c r="E68" s="5">
        <v>-5.0999999999999997E-2</v>
      </c>
      <c r="F68" s="5">
        <v>5.77</v>
      </c>
      <c r="H68" s="51"/>
      <c r="I68">
        <f t="shared" si="11"/>
        <v>6.4471580313422194</v>
      </c>
      <c r="J68">
        <f t="shared" si="10"/>
        <v>-0.259551958439804</v>
      </c>
      <c r="L68" s="35">
        <f t="shared" si="12"/>
        <v>3.1047353505200133</v>
      </c>
    </row>
    <row r="69" spans="1:12" x14ac:dyDescent="0.35">
      <c r="A69" s="14">
        <v>44650.440972222219</v>
      </c>
      <c r="B69" s="15">
        <f t="shared" si="13"/>
        <v>27.083333333313931</v>
      </c>
      <c r="C69" s="29"/>
      <c r="D69" s="21">
        <f>80*10000*20</f>
        <v>16000000</v>
      </c>
      <c r="E69" s="5">
        <v>0</v>
      </c>
      <c r="F69" s="5">
        <v>5.75</v>
      </c>
      <c r="H69" s="29"/>
      <c r="I69">
        <f t="shared" si="11"/>
        <v>7.204119982655925</v>
      </c>
      <c r="J69">
        <f t="shared" si="10"/>
        <v>-6.8085308823708668E-2</v>
      </c>
      <c r="L69" s="35">
        <f t="shared" si="12"/>
        <v>3.8616973018337188</v>
      </c>
    </row>
    <row r="70" spans="1:12" x14ac:dyDescent="0.35">
      <c r="A70" s="14">
        <v>44650.565972222219</v>
      </c>
      <c r="B70" s="15">
        <f t="shared" si="13"/>
        <v>30.083333333313931</v>
      </c>
      <c r="C70" s="29"/>
      <c r="D70" s="21">
        <f>26*20*100000</f>
        <v>52000000</v>
      </c>
      <c r="E70" s="5">
        <v>2.7E-2</v>
      </c>
      <c r="F70" s="5">
        <v>5.69</v>
      </c>
      <c r="H70" s="29"/>
      <c r="I70">
        <f t="shared" si="11"/>
        <v>7.7160033436347994</v>
      </c>
      <c r="J70">
        <f t="shared" si="10"/>
        <v>3.3279388031871221E-2</v>
      </c>
      <c r="L70" s="35">
        <f t="shared" si="12"/>
        <v>4.3735806628125928</v>
      </c>
    </row>
    <row r="71" spans="1:12" x14ac:dyDescent="0.35">
      <c r="A71" s="14">
        <v>44650.690972222219</v>
      </c>
      <c r="B71" s="15">
        <f t="shared" si="13"/>
        <v>33.083333333313931</v>
      </c>
      <c r="C71" s="29"/>
      <c r="D71" s="21">
        <f>62*20*100000</f>
        <v>124000000</v>
      </c>
      <c r="E71" s="5">
        <v>-1.9E-2</v>
      </c>
      <c r="F71" s="5">
        <v>5.57</v>
      </c>
      <c r="H71" s="29"/>
      <c r="I71">
        <f t="shared" si="11"/>
        <v>8.0934216851622356</v>
      </c>
      <c r="J71">
        <f t="shared" si="10"/>
        <v>-0.13941602142578344</v>
      </c>
      <c r="L71" s="35">
        <f t="shared" si="12"/>
        <v>4.750999004340029</v>
      </c>
    </row>
    <row r="72" spans="1:12" x14ac:dyDescent="0.35">
      <c r="A72" s="14">
        <v>44650.805555555555</v>
      </c>
      <c r="B72" s="15">
        <f t="shared" si="13"/>
        <v>35.833333333372138</v>
      </c>
      <c r="C72" s="29"/>
      <c r="D72" s="21">
        <f>86*20*100000</f>
        <v>172000000</v>
      </c>
      <c r="E72" s="16">
        <v>0.04</v>
      </c>
      <c r="F72" s="5">
        <v>5.3</v>
      </c>
      <c r="H72" s="51"/>
      <c r="I72">
        <f t="shared" si="11"/>
        <v>8.2355284469075496</v>
      </c>
      <c r="J72">
        <f t="shared" si="10"/>
        <v>8.2084612443817095E-2</v>
      </c>
      <c r="L72" s="35">
        <f t="shared" si="12"/>
        <v>4.893105766085343</v>
      </c>
    </row>
    <row r="73" spans="1:12" x14ac:dyDescent="0.35">
      <c r="A73" s="37">
        <v>44693.5</v>
      </c>
      <c r="B73" s="38">
        <v>42</v>
      </c>
      <c r="C73" s="29"/>
      <c r="D73" s="45">
        <f>((600000000)+(448000000)+(408000000))/3</f>
        <v>485333333.33333331</v>
      </c>
      <c r="E73" s="53">
        <v>0.28699999999999998</v>
      </c>
      <c r="F73" s="47">
        <v>4.71</v>
      </c>
      <c r="G73" s="46"/>
      <c r="H73" s="38"/>
      <c r="I73" s="46">
        <f t="shared" si="11"/>
        <v>8.6860401202573563</v>
      </c>
      <c r="J73" s="46">
        <f t="shared" si="10"/>
        <v>1.0093838762707887</v>
      </c>
      <c r="K73" s="46"/>
      <c r="L73" s="48">
        <f>I73-Q6</f>
        <v>5.5399120845791181</v>
      </c>
    </row>
    <row r="74" spans="1:12" x14ac:dyDescent="0.35">
      <c r="A74" s="14">
        <v>44651.322916666664</v>
      </c>
      <c r="B74" s="15">
        <f t="shared" si="13"/>
        <v>48.25</v>
      </c>
      <c r="C74" s="29"/>
      <c r="D74" s="21">
        <f>(840000000+933000000+973000000)/3</f>
        <v>915333333.33333337</v>
      </c>
      <c r="E74" s="5">
        <v>0.23899999999999999</v>
      </c>
      <c r="F74" s="5">
        <v>4.55</v>
      </c>
      <c r="H74" s="51"/>
      <c r="I74">
        <f t="shared" si="11"/>
        <v>8.9615792781810732</v>
      </c>
      <c r="J74">
        <f t="shared" si="10"/>
        <v>0.8291799707497578</v>
      </c>
      <c r="L74" s="35">
        <f t="shared" si="12"/>
        <v>5.6191565973588666</v>
      </c>
    </row>
    <row r="75" spans="1:12" x14ac:dyDescent="0.35">
      <c r="A75" s="14">
        <v>44651.565972222219</v>
      </c>
      <c r="B75" s="15">
        <f t="shared" si="13"/>
        <v>54.083333333313931</v>
      </c>
      <c r="C75" s="28"/>
      <c r="D75" s="21">
        <f>(853000000+773000000+667000000)/3</f>
        <v>764333333.33333337</v>
      </c>
      <c r="E75" s="5">
        <v>0.35499999999999998</v>
      </c>
      <c r="F75" s="5">
        <v>4.38</v>
      </c>
      <c r="H75" s="51"/>
      <c r="I75">
        <f t="shared" si="11"/>
        <v>8.8832828000102761</v>
      </c>
      <c r="J75">
        <f t="shared" si="10"/>
        <v>1.2646727424255824</v>
      </c>
      <c r="L75" s="35">
        <f t="shared" si="12"/>
        <v>5.5408601191880695</v>
      </c>
    </row>
    <row r="77" spans="1:12" x14ac:dyDescent="0.35">
      <c r="E77" t="s">
        <v>31</v>
      </c>
      <c r="F77">
        <f>MIN(F60:F64,F68:F72,F74:F75)</f>
        <v>4.38</v>
      </c>
    </row>
    <row r="83" spans="1:15" ht="18.5" x14ac:dyDescent="0.45">
      <c r="A83" s="33" t="s">
        <v>35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 spans="1:15" x14ac:dyDescent="0.35">
      <c r="A84" t="s">
        <v>23</v>
      </c>
      <c r="B84" s="5" t="s">
        <v>24</v>
      </c>
      <c r="C84" s="5" t="s">
        <v>25</v>
      </c>
      <c r="D84" s="5" t="s">
        <v>26</v>
      </c>
      <c r="E84" s="5" t="s">
        <v>27</v>
      </c>
      <c r="F84" s="5" t="s">
        <v>28</v>
      </c>
      <c r="G84" s="5"/>
      <c r="H84" s="5" t="s">
        <v>29</v>
      </c>
      <c r="I84" s="5" t="s">
        <v>30</v>
      </c>
      <c r="J84" s="5" t="s">
        <v>13</v>
      </c>
      <c r="K84" s="5" t="s">
        <v>28</v>
      </c>
      <c r="L84" t="s">
        <v>45</v>
      </c>
      <c r="N84" s="5" t="s">
        <v>46</v>
      </c>
      <c r="O84" s="5" t="s">
        <v>46</v>
      </c>
    </row>
    <row r="85" spans="1:15" x14ac:dyDescent="0.35">
      <c r="A85" s="14">
        <v>44649.354166666664</v>
      </c>
      <c r="B85" s="15">
        <f>0*24+1</f>
        <v>1</v>
      </c>
      <c r="C85" s="21">
        <f>45*20*100</f>
        <v>90000</v>
      </c>
      <c r="D85" s="21">
        <f>20*100</f>
        <v>2000</v>
      </c>
      <c r="E85" s="5">
        <v>-8.8999999999999996E-2</v>
      </c>
      <c r="F85" s="5">
        <v>5.84</v>
      </c>
      <c r="H85" s="15">
        <f>LOG(C85)</f>
        <v>4.9542425094393252</v>
      </c>
      <c r="I85" s="15">
        <f>LOG(D85)</f>
        <v>3.3010299956639813</v>
      </c>
      <c r="J85">
        <f t="shared" ref="J85:J100" si="15">(E85-$K$6)/$J$6</f>
        <v>-0.40221338364395348</v>
      </c>
      <c r="L85" s="61">
        <v>0</v>
      </c>
      <c r="N85" s="35">
        <f>H85-$H$85</f>
        <v>0</v>
      </c>
      <c r="O85" s="35">
        <f>I85-$I$85</f>
        <v>0</v>
      </c>
    </row>
    <row r="86" spans="1:15" x14ac:dyDescent="0.35">
      <c r="A86" s="14">
        <v>44649.4375</v>
      </c>
      <c r="B86" s="15">
        <f>(A86-$A$10)*24+1</f>
        <v>3.0000000000582077</v>
      </c>
      <c r="C86" s="21">
        <f>102*20*100</f>
        <v>204000</v>
      </c>
      <c r="D86" s="21">
        <f>43*100</f>
        <v>4300</v>
      </c>
      <c r="E86" s="5">
        <v>4.0000000000000001E-3</v>
      </c>
      <c r="F86" s="5">
        <v>5.86</v>
      </c>
      <c r="H86" s="15">
        <f t="shared" ref="H86:I100" si="16">LOG(C86)</f>
        <v>5.3096301674258983</v>
      </c>
      <c r="I86" s="15">
        <f t="shared" si="16"/>
        <v>3.6334684555795866</v>
      </c>
      <c r="J86">
        <f t="shared" si="15"/>
        <v>-5.3068316696956094E-2</v>
      </c>
      <c r="L86" s="61">
        <v>0</v>
      </c>
      <c r="N86" s="35">
        <f t="shared" ref="N86:N100" si="17">H86-$H$85</f>
        <v>0.35538765798657312</v>
      </c>
      <c r="O86" s="35">
        <f t="shared" ref="O86:O100" si="18">I86-$I$85</f>
        <v>0.33243845991560539</v>
      </c>
    </row>
    <row r="87" spans="1:15" x14ac:dyDescent="0.35">
      <c r="A87" s="14">
        <v>44649.5625</v>
      </c>
      <c r="B87" s="15">
        <f>(A87-$A$10)*24+1</f>
        <v>6.0000000000582077</v>
      </c>
      <c r="C87" s="21">
        <f>34*20*1000</f>
        <v>680000</v>
      </c>
      <c r="D87" s="21">
        <f>38*20*10</f>
        <v>7600</v>
      </c>
      <c r="E87" s="5">
        <v>7.0000000000000001E-3</v>
      </c>
      <c r="F87" s="5">
        <v>5.81</v>
      </c>
      <c r="H87" s="15">
        <f t="shared" si="16"/>
        <v>5.8325089127062366</v>
      </c>
      <c r="I87" s="15">
        <f t="shared" si="16"/>
        <v>3.8808135922807914</v>
      </c>
      <c r="J87">
        <f t="shared" si="15"/>
        <v>-4.1805572601891668E-2</v>
      </c>
      <c r="L87" s="61">
        <v>0</v>
      </c>
      <c r="N87" s="35">
        <f t="shared" si="17"/>
        <v>0.87826640326691141</v>
      </c>
      <c r="O87" s="35">
        <f t="shared" si="18"/>
        <v>0.57978359661681012</v>
      </c>
    </row>
    <row r="88" spans="1:15" x14ac:dyDescent="0.35">
      <c r="A88" s="14">
        <v>44649.6875</v>
      </c>
      <c r="B88" s="15">
        <f>(A88-$A$10)*24+1</f>
        <v>9.0000000000582077</v>
      </c>
      <c r="C88" s="21">
        <f>115*20*1000</f>
        <v>2300000</v>
      </c>
      <c r="D88" s="21">
        <f>95*20*10</f>
        <v>19000</v>
      </c>
      <c r="E88" s="5">
        <v>-0.13900000000000001</v>
      </c>
      <c r="F88" s="5">
        <v>5.77</v>
      </c>
      <c r="H88" s="15">
        <f t="shared" si="16"/>
        <v>6.3617278360175931</v>
      </c>
      <c r="I88" s="15">
        <f t="shared" si="16"/>
        <v>4.2787536009528289</v>
      </c>
      <c r="J88">
        <f t="shared" si="15"/>
        <v>-0.58992578522836081</v>
      </c>
      <c r="L88" s="61">
        <v>0</v>
      </c>
      <c r="N88" s="35">
        <f t="shared" si="17"/>
        <v>1.4074853265782679</v>
      </c>
      <c r="O88" s="35">
        <f t="shared" si="18"/>
        <v>0.97772360528884761</v>
      </c>
    </row>
    <row r="89" spans="1:15" x14ac:dyDescent="0.35">
      <c r="A89" s="14">
        <v>44649.819444444445</v>
      </c>
      <c r="B89" s="15">
        <f t="shared" ref="B89:B100" si="19">(A89-$A$10)*24+1</f>
        <v>12.166666666744277</v>
      </c>
      <c r="C89" s="21">
        <f>37*20*10000</f>
        <v>7400000</v>
      </c>
      <c r="D89" s="21">
        <f>36*20*100</f>
        <v>72000</v>
      </c>
      <c r="E89" s="5">
        <v>2.1000000000000001E-2</v>
      </c>
      <c r="F89" s="5">
        <v>5.72</v>
      </c>
      <c r="H89" s="15">
        <f t="shared" si="16"/>
        <v>6.8692317197309762</v>
      </c>
      <c r="I89" s="15">
        <f t="shared" si="16"/>
        <v>4.8573324964312681</v>
      </c>
      <c r="J89">
        <f t="shared" si="15"/>
        <v>1.0753899841742361E-2</v>
      </c>
      <c r="L89" s="61">
        <v>0</v>
      </c>
      <c r="N89" s="35">
        <f t="shared" si="17"/>
        <v>1.914989210291651</v>
      </c>
      <c r="O89" s="35">
        <f t="shared" si="18"/>
        <v>1.5563025007672868</v>
      </c>
    </row>
    <row r="90" spans="1:15" x14ac:dyDescent="0.35">
      <c r="A90" s="37">
        <v>44692.375</v>
      </c>
      <c r="B90" s="38">
        <v>15</v>
      </c>
      <c r="C90" s="39">
        <f>260*20*10000</f>
        <v>52000000</v>
      </c>
      <c r="D90" s="39">
        <f>37*20*100</f>
        <v>74000</v>
      </c>
      <c r="E90" s="42">
        <v>0.154</v>
      </c>
      <c r="F90" s="42">
        <v>5.8</v>
      </c>
      <c r="G90" s="40"/>
      <c r="H90" s="43">
        <f>LOG(C90)</f>
        <v>7.7160033436347994</v>
      </c>
      <c r="I90" s="43">
        <f>LOG(D90)</f>
        <v>4.8692317197309762</v>
      </c>
      <c r="J90" s="40">
        <f t="shared" si="15"/>
        <v>0.51006888805626549</v>
      </c>
      <c r="L90" s="61"/>
      <c r="N90" s="35">
        <f>H90-$Q$4</f>
        <v>2.2388820889151368</v>
      </c>
      <c r="O90" s="35">
        <f>I90-$Q$6</f>
        <v>1.7231036840527381</v>
      </c>
    </row>
    <row r="91" spans="1:15" x14ac:dyDescent="0.35">
      <c r="A91" s="37">
        <v>44692.5</v>
      </c>
      <c r="B91" s="38">
        <v>18</v>
      </c>
      <c r="C91" s="39">
        <f>190000000</f>
        <v>190000000</v>
      </c>
      <c r="D91" s="39">
        <f>35*20*10</f>
        <v>7000</v>
      </c>
      <c r="E91" s="42">
        <v>0.28899999999999998</v>
      </c>
      <c r="F91" s="42">
        <v>4.47</v>
      </c>
      <c r="G91" s="40"/>
      <c r="H91" s="43">
        <f t="shared" si="16"/>
        <v>8.2787536009528289</v>
      </c>
      <c r="I91" s="43">
        <f t="shared" si="16"/>
        <v>3.8450980400142569</v>
      </c>
      <c r="J91" s="40">
        <f t="shared" si="15"/>
        <v>1.016892372334165</v>
      </c>
      <c r="L91" s="61"/>
      <c r="N91" s="35">
        <f t="shared" ref="N91:N92" si="20">H91-$Q$4</f>
        <v>2.8016323462331663</v>
      </c>
      <c r="O91" s="35">
        <f t="shared" ref="O91:O92" si="21">I91-$Q$6</f>
        <v>0.69897000433601875</v>
      </c>
    </row>
    <row r="92" spans="1:15" x14ac:dyDescent="0.35">
      <c r="A92" s="37">
        <v>44692.625</v>
      </c>
      <c r="B92" s="38">
        <v>21</v>
      </c>
      <c r="C92" s="39">
        <v>0</v>
      </c>
      <c r="D92" s="39">
        <v>0</v>
      </c>
      <c r="E92" s="42">
        <v>0.53200000000000003</v>
      </c>
      <c r="F92" s="42">
        <v>4.1900000000000004</v>
      </c>
      <c r="G92" s="40"/>
      <c r="H92" s="43" t="e">
        <f t="shared" si="16"/>
        <v>#NUM!</v>
      </c>
      <c r="I92" s="43" t="e">
        <f t="shared" si="16"/>
        <v>#NUM!</v>
      </c>
      <c r="J92" s="40">
        <f t="shared" si="15"/>
        <v>1.929174644034384</v>
      </c>
      <c r="L92" s="61"/>
      <c r="N92" s="35" t="e">
        <f t="shared" si="20"/>
        <v>#NUM!</v>
      </c>
      <c r="O92" s="35" t="e">
        <f t="shared" si="21"/>
        <v>#NUM!</v>
      </c>
    </row>
    <row r="93" spans="1:15" x14ac:dyDescent="0.35">
      <c r="A93" s="14">
        <v>44650.319444444445</v>
      </c>
      <c r="B93" s="15">
        <f t="shared" si="19"/>
        <v>24.166666666744277</v>
      </c>
      <c r="C93" s="21">
        <f>101*20*100000</f>
        <v>202000000</v>
      </c>
      <c r="D93" s="23">
        <f>26*20*10</f>
        <v>5200</v>
      </c>
      <c r="E93" s="5">
        <v>0.47399999999999998</v>
      </c>
      <c r="F93" s="5">
        <v>4.0999999999999996</v>
      </c>
      <c r="H93" s="15">
        <f t="shared" si="16"/>
        <v>8.3053513694466243</v>
      </c>
      <c r="I93" s="15">
        <f t="shared" si="16"/>
        <v>3.716003343634799</v>
      </c>
      <c r="J93">
        <f t="shared" si="15"/>
        <v>1.7114282581964717</v>
      </c>
      <c r="L93" s="61">
        <v>3.2</v>
      </c>
      <c r="N93" s="35">
        <f t="shared" si="17"/>
        <v>3.3511088600072991</v>
      </c>
      <c r="O93" s="35">
        <f t="shared" si="18"/>
        <v>0.41497334797081775</v>
      </c>
    </row>
    <row r="94" spans="1:15" x14ac:dyDescent="0.35">
      <c r="A94" s="14">
        <v>44650.440972222219</v>
      </c>
      <c r="B94" s="15">
        <f t="shared" si="19"/>
        <v>27.083333333313931</v>
      </c>
      <c r="C94" s="21">
        <f>111*20*100000</f>
        <v>222000000</v>
      </c>
      <c r="D94" s="23">
        <f>7*20*10</f>
        <v>1400</v>
      </c>
      <c r="E94" s="5">
        <v>0.63700000000000001</v>
      </c>
      <c r="F94" s="5">
        <v>4.1100000000000003</v>
      </c>
      <c r="H94" s="15">
        <f t="shared" si="16"/>
        <v>8.3463529744506388</v>
      </c>
      <c r="I94" s="15">
        <f t="shared" si="16"/>
        <v>3.1461280356782382</v>
      </c>
      <c r="J94">
        <f t="shared" si="15"/>
        <v>2.3233706873616389</v>
      </c>
      <c r="L94" s="61">
        <v>3.2</v>
      </c>
      <c r="N94" s="35">
        <f t="shared" si="17"/>
        <v>3.3921104650113136</v>
      </c>
      <c r="O94" s="35">
        <f t="shared" si="18"/>
        <v>-0.15490195998574308</v>
      </c>
    </row>
    <row r="95" spans="1:15" x14ac:dyDescent="0.35">
      <c r="A95" s="14">
        <v>44650.565972222219</v>
      </c>
      <c r="B95" s="15">
        <f t="shared" si="19"/>
        <v>30.083333333313931</v>
      </c>
      <c r="C95" s="21">
        <f>132*20*100000</f>
        <v>264000000</v>
      </c>
      <c r="D95" s="23">
        <f>AVERAGE(251*2,16*2*10)</f>
        <v>411</v>
      </c>
      <c r="E95" s="5">
        <v>0.71</v>
      </c>
      <c r="F95" s="5">
        <v>3.96</v>
      </c>
      <c r="H95" s="15">
        <f t="shared" si="16"/>
        <v>8.4216039268698317</v>
      </c>
      <c r="I95" s="15">
        <f t="shared" si="16"/>
        <v>2.6138418218760693</v>
      </c>
      <c r="J95">
        <f t="shared" si="15"/>
        <v>2.5974307936748735</v>
      </c>
      <c r="L95" s="61">
        <v>3.2</v>
      </c>
      <c r="N95" s="35">
        <f t="shared" si="17"/>
        <v>3.4673614174305065</v>
      </c>
      <c r="O95" s="35">
        <f t="shared" si="18"/>
        <v>-0.68718817378791197</v>
      </c>
    </row>
    <row r="96" spans="1:15" x14ac:dyDescent="0.35">
      <c r="A96" s="14">
        <v>44650.690972222219</v>
      </c>
      <c r="B96" s="15">
        <f t="shared" si="19"/>
        <v>33.083333333313931</v>
      </c>
      <c r="C96" s="21">
        <f>116*20*100000</f>
        <v>232000000</v>
      </c>
      <c r="D96" s="23">
        <f>AVERAGE(145*2,10*2*10)</f>
        <v>245</v>
      </c>
      <c r="E96" s="5">
        <v>0.84899999999999998</v>
      </c>
      <c r="F96" s="5">
        <v>3.93</v>
      </c>
      <c r="H96" s="15">
        <f t="shared" si="16"/>
        <v>8.3654879848908994</v>
      </c>
      <c r="I96" s="15">
        <f t="shared" si="16"/>
        <v>2.3891660843645326</v>
      </c>
      <c r="J96">
        <f t="shared" si="15"/>
        <v>3.1192712700795253</v>
      </c>
      <c r="L96" s="61">
        <v>3.2</v>
      </c>
      <c r="N96" s="35">
        <f t="shared" si="17"/>
        <v>3.4112454754515742</v>
      </c>
      <c r="O96" s="35">
        <f t="shared" si="18"/>
        <v>-0.91186391129944866</v>
      </c>
    </row>
    <row r="97" spans="1:15" x14ac:dyDescent="0.35">
      <c r="A97" s="14">
        <v>44650.805555555555</v>
      </c>
      <c r="B97" s="15">
        <f t="shared" si="19"/>
        <v>35.833333333372138</v>
      </c>
      <c r="C97" s="21">
        <f>138*20*100000</f>
        <v>276000000</v>
      </c>
      <c r="D97" s="23">
        <f>AVERAGE(26*2,2*2*10)</f>
        <v>46</v>
      </c>
      <c r="E97" s="5">
        <v>0.96899999999999997</v>
      </c>
      <c r="F97" s="5">
        <v>3.9</v>
      </c>
      <c r="H97" s="15">
        <f t="shared" si="16"/>
        <v>8.4409090820652182</v>
      </c>
      <c r="I97" s="15">
        <f t="shared" si="16"/>
        <v>1.6627578316815741</v>
      </c>
      <c r="J97">
        <f t="shared" si="15"/>
        <v>3.5697810338821032</v>
      </c>
      <c r="L97" s="61">
        <v>3.2</v>
      </c>
      <c r="N97" s="35">
        <f t="shared" si="17"/>
        <v>3.486666572625893</v>
      </c>
      <c r="O97" s="35">
        <f t="shared" si="18"/>
        <v>-1.6382721639824072</v>
      </c>
    </row>
    <row r="98" spans="1:15" x14ac:dyDescent="0.35">
      <c r="A98" s="37">
        <v>44693.5</v>
      </c>
      <c r="B98" s="38">
        <v>42</v>
      </c>
      <c r="C98" s="45">
        <f>98*20*100000</f>
        <v>196000000</v>
      </c>
      <c r="D98" s="52">
        <f>2/5</f>
        <v>0.4</v>
      </c>
      <c r="E98" s="47">
        <v>1.036</v>
      </c>
      <c r="F98" s="47">
        <v>3.79</v>
      </c>
      <c r="G98" s="46"/>
      <c r="H98" s="38">
        <f t="shared" si="16"/>
        <v>8.2922560713564764</v>
      </c>
      <c r="I98" s="38">
        <f t="shared" si="16"/>
        <v>-0.3979400086720376</v>
      </c>
      <c r="J98" s="46">
        <f t="shared" si="15"/>
        <v>3.8213156520052087</v>
      </c>
      <c r="K98" s="46"/>
      <c r="L98" s="62"/>
      <c r="M98" s="46"/>
      <c r="N98" s="48">
        <f>H98-Q4</f>
        <v>2.8151348166368138</v>
      </c>
      <c r="O98" s="48">
        <f>I98-Q6</f>
        <v>-3.5440680443502757</v>
      </c>
    </row>
    <row r="99" spans="1:15" x14ac:dyDescent="0.35">
      <c r="A99" s="14">
        <v>44651.322916666664</v>
      </c>
      <c r="B99" s="15">
        <f t="shared" si="19"/>
        <v>48.25</v>
      </c>
      <c r="C99" s="21">
        <f>94*20*100000</f>
        <v>188000000</v>
      </c>
      <c r="D99" s="22">
        <f>0.9/5</f>
        <v>0.18</v>
      </c>
      <c r="E99" s="5">
        <v>1.1459999999999999</v>
      </c>
      <c r="F99" s="5">
        <v>3.82</v>
      </c>
      <c r="H99" s="15">
        <f t="shared" si="16"/>
        <v>8.2741578492636805</v>
      </c>
      <c r="I99" s="15">
        <f t="shared" si="16"/>
        <v>-0.74472749489669399</v>
      </c>
      <c r="J99">
        <f t="shared" si="15"/>
        <v>4.2342829354909037</v>
      </c>
      <c r="L99" s="61">
        <v>3.2</v>
      </c>
      <c r="N99" s="35">
        <f t="shared" si="17"/>
        <v>3.3199153398243553</v>
      </c>
      <c r="O99" s="35">
        <f t="shared" si="18"/>
        <v>-4.0457574905606748</v>
      </c>
    </row>
    <row r="100" spans="1:15" x14ac:dyDescent="0.35">
      <c r="A100" s="14">
        <v>44651.565972222219</v>
      </c>
      <c r="B100" s="15">
        <f t="shared" si="19"/>
        <v>54.083333333313931</v>
      </c>
      <c r="C100" s="21">
        <f>90*20*100000</f>
        <v>180000000</v>
      </c>
      <c r="D100" s="22">
        <f>0.9/5</f>
        <v>0.18</v>
      </c>
      <c r="E100" s="5">
        <v>1.173</v>
      </c>
      <c r="F100" s="5">
        <v>3.76</v>
      </c>
      <c r="H100" s="15">
        <f t="shared" si="16"/>
        <v>8.2552725051033065</v>
      </c>
      <c r="I100" s="15">
        <f t="shared" si="16"/>
        <v>-0.74472749489669399</v>
      </c>
      <c r="J100">
        <f t="shared" si="15"/>
        <v>4.3356476323464843</v>
      </c>
      <c r="L100" s="61">
        <v>3.2</v>
      </c>
      <c r="N100" s="35">
        <f t="shared" si="17"/>
        <v>3.3010299956639813</v>
      </c>
      <c r="O100" s="35">
        <f t="shared" si="18"/>
        <v>-4.0457574905606748</v>
      </c>
    </row>
    <row r="101" spans="1:15" x14ac:dyDescent="0.35">
      <c r="C101" s="5"/>
    </row>
    <row r="102" spans="1:15" x14ac:dyDescent="0.35">
      <c r="C102" s="5"/>
      <c r="E102" t="s">
        <v>31</v>
      </c>
      <c r="F102">
        <f>MIN(F85:F89,F93:F97,F99:F100)</f>
        <v>3.76</v>
      </c>
    </row>
    <row r="109" spans="1:15" ht="18.5" x14ac:dyDescent="0.45">
      <c r="A109" s="33" t="s">
        <v>37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5" x14ac:dyDescent="0.35">
      <c r="A110" t="s">
        <v>23</v>
      </c>
      <c r="B110" s="5" t="s">
        <v>24</v>
      </c>
      <c r="C110" s="5" t="s">
        <v>25</v>
      </c>
      <c r="D110" s="5" t="s">
        <v>26</v>
      </c>
      <c r="E110" s="5" t="s">
        <v>27</v>
      </c>
      <c r="F110" s="5" t="s">
        <v>28</v>
      </c>
      <c r="G110" s="5"/>
      <c r="H110" s="5" t="s">
        <v>29</v>
      </c>
      <c r="I110" s="5" t="s">
        <v>30</v>
      </c>
      <c r="J110" s="5" t="s">
        <v>13</v>
      </c>
      <c r="K110" s="5" t="s">
        <v>28</v>
      </c>
      <c r="L110" s="5" t="s">
        <v>46</v>
      </c>
      <c r="M110" s="5" t="s">
        <v>46</v>
      </c>
    </row>
    <row r="111" spans="1:15" x14ac:dyDescent="0.35">
      <c r="A111" s="14">
        <v>44649.354166666664</v>
      </c>
      <c r="B111" s="15">
        <f>0*24+1</f>
        <v>1</v>
      </c>
      <c r="C111" s="23">
        <f>102*20*100</f>
        <v>204000</v>
      </c>
      <c r="D111" s="21">
        <f>2200</f>
        <v>2200</v>
      </c>
      <c r="E111" s="5">
        <v>-9.6000000000000002E-2</v>
      </c>
      <c r="F111" s="5">
        <v>5.86</v>
      </c>
      <c r="H111" s="18">
        <f>LOG(C111)</f>
        <v>5.3096301674258983</v>
      </c>
      <c r="I111" s="15">
        <f>LOG(D111)</f>
        <v>3.3424226808222062</v>
      </c>
      <c r="J111">
        <f t="shared" ref="J111:J126" si="22">(E111-$K$6)/$J$6</f>
        <v>-0.42849311986577054</v>
      </c>
      <c r="K111" s="5"/>
      <c r="L111" s="35">
        <f>H111-$H$111</f>
        <v>0</v>
      </c>
      <c r="M111" s="35">
        <f>I111-$I$111</f>
        <v>0</v>
      </c>
    </row>
    <row r="112" spans="1:15" x14ac:dyDescent="0.35">
      <c r="A112" s="14">
        <v>44649.4375</v>
      </c>
      <c r="B112" s="15">
        <f>(A112-$A$10)*24+1</f>
        <v>3.0000000000582077</v>
      </c>
      <c r="C112" s="21">
        <f>231*20*100</f>
        <v>462000</v>
      </c>
      <c r="D112" s="21">
        <f>31*100</f>
        <v>3100</v>
      </c>
      <c r="E112" s="5">
        <v>1.2E-2</v>
      </c>
      <c r="F112" s="5">
        <v>5.81</v>
      </c>
      <c r="H112" s="18">
        <f t="shared" ref="H112:I126" si="23">LOG(C112)</f>
        <v>5.6646419755561253</v>
      </c>
      <c r="I112" s="15">
        <f t="shared" si="23"/>
        <v>3.4913616938342726</v>
      </c>
      <c r="J112">
        <f t="shared" si="22"/>
        <v>-2.303433244345094E-2</v>
      </c>
      <c r="K112" s="5"/>
      <c r="L112" s="35">
        <f t="shared" ref="L112:L126" si="24">H112-$H$111</f>
        <v>0.35501180813022692</v>
      </c>
      <c r="M112" s="35">
        <f t="shared" ref="M112:M126" si="25">I112-$I$111</f>
        <v>0.14893901301206647</v>
      </c>
    </row>
    <row r="113" spans="1:13" x14ac:dyDescent="0.35">
      <c r="A113" s="14">
        <v>44649.5625</v>
      </c>
      <c r="B113" s="15">
        <f>(A113-$A$10)*24+1</f>
        <v>6.0000000000582077</v>
      </c>
      <c r="C113" s="21">
        <f>84*20*1000</f>
        <v>1680000</v>
      </c>
      <c r="D113" s="21">
        <f>46*20*10</f>
        <v>9200</v>
      </c>
      <c r="E113" s="5">
        <v>6.0000000000000001E-3</v>
      </c>
      <c r="F113" s="5">
        <v>5.77</v>
      </c>
      <c r="H113" s="18">
        <f t="shared" si="23"/>
        <v>6.2253092817258633</v>
      </c>
      <c r="I113" s="15">
        <f t="shared" si="23"/>
        <v>3.9637878273455551</v>
      </c>
      <c r="J113">
        <f t="shared" si="22"/>
        <v>-4.5559820633579808E-2</v>
      </c>
      <c r="K113" s="5"/>
      <c r="L113" s="35">
        <f t="shared" si="24"/>
        <v>0.91567911429996496</v>
      </c>
      <c r="M113" s="35">
        <f t="shared" si="25"/>
        <v>0.62136514652334895</v>
      </c>
    </row>
    <row r="114" spans="1:13" x14ac:dyDescent="0.35">
      <c r="A114" s="14">
        <v>44649.6875</v>
      </c>
      <c r="B114" s="15">
        <f>(A114-$A$10)*24+1</f>
        <v>9.0000000000582077</v>
      </c>
      <c r="C114" s="21">
        <f>185*20*1000</f>
        <v>3700000</v>
      </c>
      <c r="D114" s="21">
        <f>117*20*10</f>
        <v>23400</v>
      </c>
      <c r="E114" s="5">
        <v>-8.6999999999999994E-2</v>
      </c>
      <c r="F114" s="5">
        <v>5.76</v>
      </c>
      <c r="H114" s="18">
        <f t="shared" si="23"/>
        <v>6.568201724066995</v>
      </c>
      <c r="I114" s="15">
        <f t="shared" si="23"/>
        <v>4.3692158574101425</v>
      </c>
      <c r="J114">
        <f t="shared" si="22"/>
        <v>-0.3947048875805772</v>
      </c>
      <c r="K114" s="5"/>
      <c r="L114" s="35">
        <f t="shared" si="24"/>
        <v>1.2585715566410967</v>
      </c>
      <c r="M114" s="35">
        <f t="shared" si="25"/>
        <v>1.0267931765879363</v>
      </c>
    </row>
    <row r="115" spans="1:13" x14ac:dyDescent="0.35">
      <c r="A115" s="14">
        <v>44649.819444444445</v>
      </c>
      <c r="B115" s="15">
        <f t="shared" ref="B115:B126" si="26">(A115-$A$10)*24+1</f>
        <v>12.166666666744277</v>
      </c>
      <c r="C115" s="21">
        <f>44*20*10000</f>
        <v>8800000</v>
      </c>
      <c r="D115" s="21">
        <f>39*20*100</f>
        <v>78000</v>
      </c>
      <c r="E115" s="5">
        <v>2.1999999999999999E-2</v>
      </c>
      <c r="F115" s="5">
        <v>5.68</v>
      </c>
      <c r="H115" s="18">
        <f t="shared" si="23"/>
        <v>6.9444826721501682</v>
      </c>
      <c r="I115" s="15">
        <f t="shared" si="23"/>
        <v>4.8920946026904808</v>
      </c>
      <c r="J115">
        <f t="shared" si="22"/>
        <v>1.4508147873430495E-2</v>
      </c>
      <c r="K115" s="5"/>
      <c r="L115" s="35">
        <f t="shared" si="24"/>
        <v>1.6348525047242699</v>
      </c>
      <c r="M115" s="35">
        <f t="shared" si="25"/>
        <v>1.5496719218682746</v>
      </c>
    </row>
    <row r="116" spans="1:13" x14ac:dyDescent="0.35">
      <c r="A116" s="37">
        <v>44692.375</v>
      </c>
      <c r="B116" s="38">
        <v>15</v>
      </c>
      <c r="C116" s="39">
        <f>219*20*10000</f>
        <v>43800000</v>
      </c>
      <c r="D116" s="39">
        <f>72*20*100</f>
        <v>144000</v>
      </c>
      <c r="E116" s="42">
        <v>9.2999999999999999E-2</v>
      </c>
      <c r="F116" s="42">
        <v>5.13</v>
      </c>
      <c r="G116" s="40"/>
      <c r="H116" s="54">
        <f>LOG(C116)</f>
        <v>7.6414741105040997</v>
      </c>
      <c r="I116" s="43">
        <f>LOG(D116)</f>
        <v>5.1583624920952493</v>
      </c>
      <c r="J116" s="40">
        <f t="shared" si="22"/>
        <v>0.28105975812328876</v>
      </c>
      <c r="K116" s="5"/>
      <c r="L116" s="35">
        <f>H116-$Q$5</f>
        <v>2.1943160791618803</v>
      </c>
      <c r="M116" s="35">
        <f>I116-$Q$6</f>
        <v>2.0122344564170112</v>
      </c>
    </row>
    <row r="117" spans="1:13" x14ac:dyDescent="0.35">
      <c r="A117" s="37">
        <v>44692.5</v>
      </c>
      <c r="B117" s="38">
        <v>18</v>
      </c>
      <c r="C117" s="39">
        <f>140000000</f>
        <v>140000000</v>
      </c>
      <c r="D117" s="39">
        <f>171*20*100</f>
        <v>342000</v>
      </c>
      <c r="E117" s="42">
        <v>0.22700000000000001</v>
      </c>
      <c r="F117" s="42">
        <v>4.84</v>
      </c>
      <c r="G117" s="40"/>
      <c r="H117" s="54">
        <f t="shared" si="23"/>
        <v>8.1461280356782382</v>
      </c>
      <c r="I117" s="43">
        <f t="shared" si="23"/>
        <v>5.5340261060561353</v>
      </c>
      <c r="J117" s="40">
        <f t="shared" si="22"/>
        <v>0.78412899436950012</v>
      </c>
      <c r="K117" s="5"/>
      <c r="L117" s="35">
        <f t="shared" ref="L117:L118" si="27">H117-$Q$5</f>
        <v>2.6989700043360187</v>
      </c>
      <c r="M117" s="35">
        <f t="shared" ref="M117:M118" si="28">I117-$Q$6</f>
        <v>2.3878980703778971</v>
      </c>
    </row>
    <row r="118" spans="1:13" x14ac:dyDescent="0.35">
      <c r="A118" s="37">
        <v>44692.625</v>
      </c>
      <c r="B118" s="38">
        <v>21</v>
      </c>
      <c r="C118" s="39">
        <v>0</v>
      </c>
      <c r="D118" s="39">
        <v>0</v>
      </c>
      <c r="E118" s="42">
        <v>0.36199999999999999</v>
      </c>
      <c r="F118" s="42">
        <v>4.3600000000000003</v>
      </c>
      <c r="G118" s="40"/>
      <c r="H118" s="54" t="e">
        <f t="shared" si="23"/>
        <v>#NUM!</v>
      </c>
      <c r="I118" s="43" t="e">
        <f t="shared" si="23"/>
        <v>#NUM!</v>
      </c>
      <c r="J118" s="40">
        <f t="shared" si="22"/>
        <v>1.2909524786473996</v>
      </c>
      <c r="K118" s="5"/>
      <c r="L118" s="35" t="e">
        <f t="shared" si="27"/>
        <v>#NUM!</v>
      </c>
      <c r="M118" s="35" t="e">
        <f t="shared" si="28"/>
        <v>#NUM!</v>
      </c>
    </row>
    <row r="119" spans="1:13" x14ac:dyDescent="0.35">
      <c r="A119" s="14">
        <v>44650.319444444445</v>
      </c>
      <c r="B119" s="15">
        <f t="shared" si="26"/>
        <v>24.166666666744277</v>
      </c>
      <c r="C119" s="21">
        <f>83*20*100000</f>
        <v>166000000</v>
      </c>
      <c r="D119" s="21">
        <f>48*20*1000</f>
        <v>960000</v>
      </c>
      <c r="E119" s="5">
        <v>0.33300000000000002</v>
      </c>
      <c r="F119" s="5">
        <v>4.3499999999999996</v>
      </c>
      <c r="H119" s="18">
        <f t="shared" si="23"/>
        <v>8.220108088040055</v>
      </c>
      <c r="I119" s="15">
        <f t="shared" si="23"/>
        <v>5.982271233039568</v>
      </c>
      <c r="J119">
        <f t="shared" si="22"/>
        <v>1.1820792857284435</v>
      </c>
      <c r="K119" s="5"/>
      <c r="L119" s="35">
        <f t="shared" si="24"/>
        <v>2.9104779206141567</v>
      </c>
      <c r="M119" s="35">
        <f t="shared" si="25"/>
        <v>2.6398485522173618</v>
      </c>
    </row>
    <row r="120" spans="1:13" x14ac:dyDescent="0.35">
      <c r="A120" s="14">
        <v>44650.440972222219</v>
      </c>
      <c r="B120" s="15">
        <f t="shared" si="26"/>
        <v>27.083333333313931</v>
      </c>
      <c r="C120" s="22">
        <f>230000000</f>
        <v>230000000</v>
      </c>
      <c r="D120" s="21">
        <f>51*20*1000</f>
        <v>1020000</v>
      </c>
      <c r="E120" s="5">
        <v>0.56299999999999994</v>
      </c>
      <c r="F120" s="5">
        <v>4.1399999999999997</v>
      </c>
      <c r="H120" s="18">
        <f t="shared" si="23"/>
        <v>8.3617278360175931</v>
      </c>
      <c r="I120" s="15">
        <f t="shared" si="23"/>
        <v>6.008600171761918</v>
      </c>
      <c r="J120">
        <f t="shared" si="22"/>
        <v>2.0455563330167159</v>
      </c>
      <c r="K120" s="5"/>
      <c r="L120" s="35">
        <f t="shared" si="24"/>
        <v>3.0520976685916947</v>
      </c>
      <c r="M120" s="35">
        <f t="shared" si="25"/>
        <v>2.6661774909397118</v>
      </c>
    </row>
    <row r="121" spans="1:13" x14ac:dyDescent="0.35">
      <c r="A121" s="14">
        <v>44650.565972222219</v>
      </c>
      <c r="B121" s="15">
        <f t="shared" si="26"/>
        <v>30.083333333313931</v>
      </c>
      <c r="C121" s="21">
        <f>108*20*100000</f>
        <v>216000000</v>
      </c>
      <c r="D121" s="21">
        <f>48*20*1000</f>
        <v>960000</v>
      </c>
      <c r="E121" s="5">
        <v>0.74399999999999999</v>
      </c>
      <c r="F121" s="5">
        <v>4.04</v>
      </c>
      <c r="H121" s="18">
        <f t="shared" si="23"/>
        <v>8.3344537511509316</v>
      </c>
      <c r="I121" s="15">
        <f t="shared" si="23"/>
        <v>5.982271233039568</v>
      </c>
      <c r="J121">
        <f t="shared" si="22"/>
        <v>2.7250752267522702</v>
      </c>
      <c r="K121" s="5"/>
      <c r="L121" s="35">
        <f t="shared" si="24"/>
        <v>3.0248235837250332</v>
      </c>
      <c r="M121" s="35">
        <f t="shared" si="25"/>
        <v>2.6398485522173618</v>
      </c>
    </row>
    <row r="122" spans="1:13" x14ac:dyDescent="0.35">
      <c r="A122" s="14">
        <v>44650.690972222219</v>
      </c>
      <c r="B122" s="15">
        <f t="shared" si="26"/>
        <v>33.083333333313931</v>
      </c>
      <c r="C122" s="21">
        <f>90*20*100000</f>
        <v>180000000</v>
      </c>
      <c r="D122" s="21">
        <f>49*20*1000</f>
        <v>980000</v>
      </c>
      <c r="E122" s="5">
        <v>0.86499999999999999</v>
      </c>
      <c r="F122" s="5">
        <v>3.95</v>
      </c>
      <c r="H122" s="18">
        <f t="shared" si="23"/>
        <v>8.2552725051033065</v>
      </c>
      <c r="I122" s="15">
        <f t="shared" si="23"/>
        <v>5.9912260756924951</v>
      </c>
      <c r="J122">
        <f t="shared" si="22"/>
        <v>3.179339238586536</v>
      </c>
      <c r="K122" s="5"/>
      <c r="L122" s="35">
        <f t="shared" si="24"/>
        <v>2.9456423376774081</v>
      </c>
      <c r="M122" s="35">
        <f t="shared" si="25"/>
        <v>2.6488033948702889</v>
      </c>
    </row>
    <row r="123" spans="1:13" x14ac:dyDescent="0.35">
      <c r="A123" s="14">
        <v>44650.805555555555</v>
      </c>
      <c r="B123" s="15">
        <f t="shared" si="26"/>
        <v>35.833333333372138</v>
      </c>
      <c r="C123" s="21">
        <f>94*20*100000</f>
        <v>188000000</v>
      </c>
      <c r="D123" s="21">
        <f>37*20*1000</f>
        <v>740000</v>
      </c>
      <c r="E123" s="5">
        <v>0.97299999999999998</v>
      </c>
      <c r="F123" s="5">
        <v>3.88</v>
      </c>
      <c r="H123" s="18">
        <f t="shared" si="23"/>
        <v>8.2741578492636805</v>
      </c>
      <c r="I123" s="15">
        <f t="shared" si="23"/>
        <v>5.8692317197309762</v>
      </c>
      <c r="J123">
        <f t="shared" si="22"/>
        <v>3.5847980260088557</v>
      </c>
      <c r="K123" s="5"/>
      <c r="L123" s="35">
        <f t="shared" si="24"/>
        <v>2.9645276818377821</v>
      </c>
      <c r="M123" s="35">
        <f t="shared" si="25"/>
        <v>2.5268090389087701</v>
      </c>
    </row>
    <row r="124" spans="1:13" x14ac:dyDescent="0.35">
      <c r="A124" s="37">
        <v>44693.5</v>
      </c>
      <c r="B124" s="38">
        <v>42</v>
      </c>
      <c r="C124" s="45">
        <f>99*20*100000</f>
        <v>198000000</v>
      </c>
      <c r="D124" s="45">
        <f>24*20*1000</f>
        <v>480000</v>
      </c>
      <c r="E124" s="47">
        <v>1.0669999999999999</v>
      </c>
      <c r="F124" s="47">
        <v>3.75</v>
      </c>
      <c r="G124" s="46"/>
      <c r="H124" s="55">
        <f t="shared" si="23"/>
        <v>8.2966651902615318</v>
      </c>
      <c r="I124" s="38">
        <f t="shared" si="23"/>
        <v>5.6812412373755876</v>
      </c>
      <c r="J124" s="46">
        <f t="shared" si="22"/>
        <v>3.9376973409875409</v>
      </c>
      <c r="K124" s="47"/>
      <c r="L124" s="48">
        <f>H124-Q5</f>
        <v>2.8495071589193124</v>
      </c>
      <c r="M124" s="48">
        <f>Q6</f>
        <v>3.1461280356782382</v>
      </c>
    </row>
    <row r="125" spans="1:13" x14ac:dyDescent="0.35">
      <c r="A125" s="14">
        <v>44651.322916666664</v>
      </c>
      <c r="B125" s="15">
        <f t="shared" si="26"/>
        <v>48.25</v>
      </c>
      <c r="C125" s="23">
        <f>116*20*100000</f>
        <v>232000000</v>
      </c>
      <c r="D125" s="21">
        <f>49*20*1000</f>
        <v>980000</v>
      </c>
      <c r="E125" s="5">
        <v>1.1359999999999999</v>
      </c>
      <c r="F125" s="5">
        <v>3.76</v>
      </c>
      <c r="H125" s="18">
        <f t="shared" si="23"/>
        <v>8.3654879848908994</v>
      </c>
      <c r="I125" s="15">
        <f t="shared" si="23"/>
        <v>5.9912260756924951</v>
      </c>
      <c r="J125">
        <f t="shared" si="22"/>
        <v>4.1967404551740222</v>
      </c>
      <c r="K125" s="5"/>
      <c r="L125" s="35">
        <f t="shared" si="24"/>
        <v>3.0558578174650011</v>
      </c>
      <c r="M125" s="35">
        <f t="shared" si="25"/>
        <v>2.6488033948702889</v>
      </c>
    </row>
    <row r="126" spans="1:13" x14ac:dyDescent="0.35">
      <c r="A126" s="14">
        <v>44651.565972222219</v>
      </c>
      <c r="B126" s="15">
        <f t="shared" si="26"/>
        <v>54.083333333313931</v>
      </c>
      <c r="C126" s="21">
        <f>84*20*100000</f>
        <v>168000000</v>
      </c>
      <c r="D126" s="21">
        <f>43*20*1000</f>
        <v>860000</v>
      </c>
      <c r="E126" s="5">
        <v>1.17</v>
      </c>
      <c r="F126" s="5">
        <v>3.72</v>
      </c>
      <c r="H126" s="18">
        <f t="shared" si="23"/>
        <v>8.2253092817258633</v>
      </c>
      <c r="I126" s="15">
        <f t="shared" si="23"/>
        <v>5.9344984512435675</v>
      </c>
      <c r="J126">
        <f t="shared" si="22"/>
        <v>4.3243848882514193</v>
      </c>
      <c r="K126" s="5"/>
      <c r="L126" s="35">
        <f t="shared" si="24"/>
        <v>2.915679114299965</v>
      </c>
      <c r="M126" s="35">
        <f t="shared" si="25"/>
        <v>2.5920757704213613</v>
      </c>
    </row>
    <row r="127" spans="1:13" x14ac:dyDescent="0.35">
      <c r="H127" s="5"/>
      <c r="I127" s="5"/>
      <c r="J127" s="5"/>
      <c r="K127" s="5"/>
    </row>
    <row r="128" spans="1:13" x14ac:dyDescent="0.35">
      <c r="E128" t="s">
        <v>31</v>
      </c>
      <c r="F128">
        <f>MIN(F111:F115,F119:F123,F125:F126)</f>
        <v>3.72</v>
      </c>
    </row>
  </sheetData>
  <mergeCells count="2">
    <mergeCell ref="A83:K83"/>
    <mergeCell ref="A109:K109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F17B-C2F2-4D6E-B3D6-B603E50A5E33}">
  <dimension ref="A1:K127"/>
  <sheetViews>
    <sheetView topLeftCell="A32" zoomScale="110" zoomScaleNormal="110" workbookViewId="0">
      <selection activeCell="J65" sqref="J65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44635.354166666664</v>
      </c>
      <c r="B10" s="15">
        <f>0*24+1</f>
        <v>1</v>
      </c>
      <c r="C10" s="21">
        <f>85*20*100</f>
        <v>170000</v>
      </c>
      <c r="D10" s="20"/>
      <c r="E10" s="16">
        <v>0.01</v>
      </c>
      <c r="F10" s="5">
        <v>5.83</v>
      </c>
      <c r="H10" s="15">
        <f>LOG(C10)</f>
        <v>5.2304489213782741</v>
      </c>
    </row>
    <row r="11" spans="1:11" x14ac:dyDescent="0.35">
      <c r="A11" s="14">
        <v>44635.447916666664</v>
      </c>
      <c r="B11" s="15">
        <f>(A11-$A$10)*24+1</f>
        <v>3.25</v>
      </c>
      <c r="C11" s="20"/>
      <c r="D11" s="20"/>
      <c r="E11" s="5">
        <v>2E-3</v>
      </c>
      <c r="F11" s="5">
        <v>5.83</v>
      </c>
      <c r="H11" s="20"/>
    </row>
    <row r="12" spans="1:11" x14ac:dyDescent="0.35">
      <c r="A12" s="14">
        <v>44635.5625</v>
      </c>
      <c r="B12" s="15">
        <f t="shared" ref="B12:B21" si="0">(A12-$A$10)*24+1</f>
        <v>6.0000000000582077</v>
      </c>
      <c r="C12" s="20"/>
      <c r="D12" s="20"/>
      <c r="E12" s="5">
        <v>-1.4999999999999999E-2</v>
      </c>
      <c r="F12" s="5">
        <v>5.8</v>
      </c>
      <c r="H12" s="20"/>
    </row>
    <row r="13" spans="1:11" x14ac:dyDescent="0.35">
      <c r="A13" s="14">
        <v>44635.6875</v>
      </c>
      <c r="B13" s="15">
        <f t="shared" si="0"/>
        <v>9.0000000000582077</v>
      </c>
      <c r="C13" s="20"/>
      <c r="D13" s="20"/>
      <c r="E13" s="5">
        <v>2.3E-2</v>
      </c>
      <c r="F13" s="5">
        <v>5.78</v>
      </c>
      <c r="H13" s="20"/>
    </row>
    <row r="14" spans="1:11" x14ac:dyDescent="0.35">
      <c r="A14" s="14">
        <v>44635.8125</v>
      </c>
      <c r="B14" s="15">
        <f t="shared" si="0"/>
        <v>12.000000000058208</v>
      </c>
      <c r="C14" s="21">
        <f>24*20*10000</f>
        <v>4800000</v>
      </c>
      <c r="D14" s="20"/>
      <c r="E14" s="5">
        <v>1.2E-2</v>
      </c>
      <c r="F14" s="5">
        <v>5.74</v>
      </c>
      <c r="H14" s="15">
        <f>LOG(C14)</f>
        <v>6.6812412373755876</v>
      </c>
    </row>
    <row r="15" spans="1:11" x14ac:dyDescent="0.35">
      <c r="A15" s="14">
        <v>44636.329861111109</v>
      </c>
      <c r="B15" s="15">
        <f t="shared" si="0"/>
        <v>24.416666666686069</v>
      </c>
      <c r="C15" s="21">
        <f>73*20*100000</f>
        <v>146000000</v>
      </c>
      <c r="D15" s="20"/>
      <c r="E15" s="16">
        <v>0.31</v>
      </c>
      <c r="F15" s="5">
        <v>4.38</v>
      </c>
      <c r="H15" s="15">
        <f>LOG(C15)</f>
        <v>8.1643528557844363</v>
      </c>
    </row>
    <row r="16" spans="1:11" x14ac:dyDescent="0.35">
      <c r="A16" s="14">
        <v>44636.447916666664</v>
      </c>
      <c r="B16" s="15">
        <f t="shared" si="0"/>
        <v>27.25</v>
      </c>
      <c r="C16" s="20"/>
      <c r="D16" s="20"/>
      <c r="E16" s="5">
        <v>0.55500000000000005</v>
      </c>
      <c r="F16" s="15">
        <v>4.2</v>
      </c>
      <c r="H16" s="20"/>
    </row>
    <row r="17" spans="1:11" x14ac:dyDescent="0.35">
      <c r="A17" s="14">
        <v>44636.5625</v>
      </c>
      <c r="B17" s="15">
        <f t="shared" si="0"/>
        <v>30.000000000058208</v>
      </c>
      <c r="C17" s="20"/>
      <c r="D17" s="20"/>
      <c r="E17" s="5">
        <v>0.66400000000000003</v>
      </c>
      <c r="F17" s="5">
        <v>4.08</v>
      </c>
      <c r="H17" s="20"/>
    </row>
    <row r="18" spans="1:11" x14ac:dyDescent="0.35">
      <c r="A18" s="14">
        <v>44636.6875</v>
      </c>
      <c r="B18" s="15">
        <f t="shared" si="0"/>
        <v>33.000000000058208</v>
      </c>
      <c r="C18" s="20"/>
      <c r="D18" s="20"/>
      <c r="E18" s="5">
        <v>0.71399999999999997</v>
      </c>
      <c r="F18" s="15">
        <v>4</v>
      </c>
      <c r="H18" s="20"/>
    </row>
    <row r="19" spans="1:11" x14ac:dyDescent="0.35">
      <c r="A19" s="14">
        <v>44636.805555555555</v>
      </c>
      <c r="B19" s="15">
        <f t="shared" si="0"/>
        <v>35.833333333372138</v>
      </c>
      <c r="C19" s="21">
        <f>131*20*100000</f>
        <v>262000000</v>
      </c>
      <c r="D19" s="20"/>
      <c r="E19" s="5">
        <v>0.82599999999999996</v>
      </c>
      <c r="F19" s="5">
        <v>3.99</v>
      </c>
      <c r="H19" s="15">
        <f>LOG(C19)</f>
        <v>8.4183012913197448</v>
      </c>
    </row>
    <row r="20" spans="1:11" x14ac:dyDescent="0.35">
      <c r="A20" s="14">
        <v>44637.333333333336</v>
      </c>
      <c r="B20" s="15">
        <f t="shared" si="0"/>
        <v>48.500000000116415</v>
      </c>
      <c r="C20" s="21">
        <f>82*20*100000</f>
        <v>164000000</v>
      </c>
      <c r="D20" s="20"/>
      <c r="E20" s="5">
        <v>1.026</v>
      </c>
      <c r="F20" s="5">
        <v>3.76</v>
      </c>
      <c r="H20" s="15">
        <f>LOG(C20)</f>
        <v>8.214843848047698</v>
      </c>
    </row>
    <row r="21" spans="1:11" x14ac:dyDescent="0.35">
      <c r="A21" s="14">
        <v>44637.5625</v>
      </c>
      <c r="B21" s="15">
        <f t="shared" si="0"/>
        <v>54.000000000058208</v>
      </c>
      <c r="C21" s="21">
        <f>100*20*100000</f>
        <v>200000000</v>
      </c>
      <c r="D21" s="20"/>
      <c r="E21" s="5">
        <v>1.081</v>
      </c>
      <c r="F21" s="15">
        <v>3.7</v>
      </c>
      <c r="H21" s="15">
        <f>LOG(C21)</f>
        <v>8.3010299956639813</v>
      </c>
    </row>
    <row r="22" spans="1:11" x14ac:dyDescent="0.35">
      <c r="B22" s="5"/>
      <c r="C22" s="5"/>
    </row>
    <row r="23" spans="1:11" x14ac:dyDescent="0.35">
      <c r="B23" s="5"/>
      <c r="C23" s="5"/>
      <c r="E23" t="s">
        <v>31</v>
      </c>
      <c r="F23">
        <f>MIN(F10:F21)</f>
        <v>3.7</v>
      </c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44635.354166666664</v>
      </c>
      <c r="B32" s="15">
        <f>0*24+1</f>
        <v>1</v>
      </c>
      <c r="C32" s="21">
        <f>3*20*100</f>
        <v>6000</v>
      </c>
      <c r="D32" s="20"/>
      <c r="E32" s="16">
        <v>2.7E-2</v>
      </c>
      <c r="F32" s="5">
        <v>5.81</v>
      </c>
      <c r="H32" s="15">
        <f>LOG(C32)</f>
        <v>3.7781512503836434</v>
      </c>
      <c r="I32" s="5"/>
      <c r="J32" s="5"/>
      <c r="K32" s="5"/>
    </row>
    <row r="33" spans="1:11" x14ac:dyDescent="0.35">
      <c r="A33" s="14">
        <v>44635.447916666664</v>
      </c>
      <c r="B33" s="15">
        <f>(A33-$A$32)*24+1</f>
        <v>3.25</v>
      </c>
      <c r="C33" s="20"/>
      <c r="D33" s="20"/>
      <c r="E33" s="16">
        <v>-1.2E-2</v>
      </c>
      <c r="F33" s="5">
        <v>5.83</v>
      </c>
      <c r="H33" s="20"/>
      <c r="I33" s="5"/>
      <c r="J33" s="5"/>
      <c r="K33" s="5"/>
    </row>
    <row r="34" spans="1:11" x14ac:dyDescent="0.35">
      <c r="A34" s="14">
        <v>44635.5625</v>
      </c>
      <c r="B34" s="15">
        <f t="shared" ref="B34:B43" si="1">(A34-$A$32)*24+1</f>
        <v>6.0000000000582077</v>
      </c>
      <c r="C34" s="20"/>
      <c r="D34" s="20"/>
      <c r="E34" s="5">
        <v>-1.2E-2</v>
      </c>
      <c r="F34" s="5">
        <v>5.83</v>
      </c>
      <c r="H34" s="20"/>
      <c r="I34" s="5"/>
      <c r="J34" s="5"/>
      <c r="K34" s="5"/>
    </row>
    <row r="35" spans="1:11" x14ac:dyDescent="0.35">
      <c r="A35" s="14">
        <v>44635.6875</v>
      </c>
      <c r="B35" s="15">
        <f t="shared" si="1"/>
        <v>9.0000000000582077</v>
      </c>
      <c r="C35" s="20"/>
      <c r="D35" s="20"/>
      <c r="E35" s="5">
        <v>-3.1E-2</v>
      </c>
      <c r="F35" s="5">
        <v>5.84</v>
      </c>
      <c r="H35" s="20"/>
      <c r="I35" s="5"/>
      <c r="J35" s="5"/>
      <c r="K35" s="5"/>
    </row>
    <row r="36" spans="1:11" x14ac:dyDescent="0.35">
      <c r="A36" s="14">
        <v>44635.8125</v>
      </c>
      <c r="B36" s="15">
        <f t="shared" si="1"/>
        <v>12.000000000058208</v>
      </c>
      <c r="C36" s="21" t="s">
        <v>33</v>
      </c>
      <c r="D36" s="20"/>
      <c r="E36" s="5">
        <v>4.0000000000000001E-3</v>
      </c>
      <c r="F36" s="15">
        <v>5.8</v>
      </c>
      <c r="H36" s="15" t="e">
        <f>LOG(C36)</f>
        <v>#VALUE!</v>
      </c>
      <c r="I36" s="5"/>
      <c r="J36" s="5"/>
      <c r="K36" s="5"/>
    </row>
    <row r="37" spans="1:11" x14ac:dyDescent="0.35">
      <c r="A37" s="14">
        <v>44636.329861111109</v>
      </c>
      <c r="B37" s="15">
        <f t="shared" si="1"/>
        <v>24.416666666686069</v>
      </c>
      <c r="C37" s="21">
        <f>235*20*1000</f>
        <v>4700000</v>
      </c>
      <c r="D37" s="20"/>
      <c r="E37" s="5">
        <v>-8.5000000000000006E-2</v>
      </c>
      <c r="F37" s="5">
        <v>5.77</v>
      </c>
      <c r="H37" s="15">
        <f>LOG(C37)</f>
        <v>6.6720978579357171</v>
      </c>
      <c r="I37" s="5"/>
      <c r="J37" s="5"/>
      <c r="K37" s="5"/>
    </row>
    <row r="38" spans="1:11" x14ac:dyDescent="0.35">
      <c r="A38" s="14">
        <v>44636.447916666664</v>
      </c>
      <c r="B38" s="15">
        <f t="shared" si="1"/>
        <v>27.25</v>
      </c>
      <c r="C38" s="20"/>
      <c r="D38" s="20"/>
      <c r="E38" s="5">
        <v>6.8000000000000005E-2</v>
      </c>
      <c r="F38" s="5">
        <v>5.66</v>
      </c>
      <c r="H38" s="20"/>
      <c r="I38" s="5"/>
      <c r="J38" s="5"/>
      <c r="K38" s="5"/>
    </row>
    <row r="39" spans="1:11" x14ac:dyDescent="0.35">
      <c r="A39" s="14">
        <v>44636.5625</v>
      </c>
      <c r="B39" s="15">
        <f t="shared" si="1"/>
        <v>30.000000000058208</v>
      </c>
      <c r="C39" s="20"/>
      <c r="D39" s="20"/>
      <c r="E39" s="5">
        <v>5.6000000000000001E-2</v>
      </c>
      <c r="F39" s="5">
        <v>5.53</v>
      </c>
      <c r="H39" s="20"/>
      <c r="I39" s="5"/>
      <c r="J39" s="5"/>
      <c r="K39" s="5"/>
    </row>
    <row r="40" spans="1:11" x14ac:dyDescent="0.35">
      <c r="A40" s="14">
        <v>44636.6875</v>
      </c>
      <c r="B40" s="15">
        <f t="shared" si="1"/>
        <v>33.000000000058208</v>
      </c>
      <c r="C40" s="20"/>
      <c r="D40" s="20"/>
      <c r="E40" s="16">
        <v>5.8999999999999997E-2</v>
      </c>
      <c r="F40" s="15">
        <v>5.19</v>
      </c>
      <c r="H40" s="20"/>
      <c r="I40" s="5"/>
      <c r="J40" s="5"/>
      <c r="K40" s="5"/>
    </row>
    <row r="41" spans="1:11" x14ac:dyDescent="0.35">
      <c r="A41" s="14">
        <v>44636.805555555555</v>
      </c>
      <c r="B41" s="15">
        <f t="shared" si="1"/>
        <v>35.833333333372138</v>
      </c>
      <c r="C41" s="21">
        <f>41*20*100000</f>
        <v>82000000</v>
      </c>
      <c r="D41" s="20"/>
      <c r="E41" s="5">
        <v>9.7000000000000003E-2</v>
      </c>
      <c r="F41" s="5">
        <v>4.83</v>
      </c>
      <c r="H41" s="15">
        <f>LOG(C41)</f>
        <v>7.9138138523837167</v>
      </c>
      <c r="I41" s="5"/>
      <c r="J41" s="5"/>
      <c r="K41" s="5"/>
    </row>
    <row r="42" spans="1:11" x14ac:dyDescent="0.35">
      <c r="A42" s="14">
        <v>44637.333333333336</v>
      </c>
      <c r="B42" s="15">
        <f t="shared" si="1"/>
        <v>48.500000000116415</v>
      </c>
      <c r="C42" s="21">
        <f>91*20*100000</f>
        <v>182000000</v>
      </c>
      <c r="D42" s="20"/>
      <c r="E42" s="5">
        <v>0.64700000000000002</v>
      </c>
      <c r="F42" s="15">
        <v>3.98</v>
      </c>
      <c r="H42" s="15">
        <f>LOG(C42)</f>
        <v>8.2600713879850751</v>
      </c>
      <c r="I42" s="5"/>
      <c r="J42" s="5"/>
      <c r="K42" s="5"/>
    </row>
    <row r="43" spans="1:11" x14ac:dyDescent="0.35">
      <c r="A43" s="14">
        <v>44637.5625</v>
      </c>
      <c r="B43" s="15">
        <f t="shared" si="1"/>
        <v>54.000000000058208</v>
      </c>
      <c r="C43" s="21">
        <f>82*20*100000</f>
        <v>164000000</v>
      </c>
      <c r="D43" s="20"/>
      <c r="E43" s="5">
        <v>0.84599999999999997</v>
      </c>
      <c r="F43" s="5">
        <v>3.79</v>
      </c>
      <c r="H43" s="15">
        <f>LOG(C43)</f>
        <v>8.214843848047698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E45" t="s">
        <v>31</v>
      </c>
      <c r="F45">
        <f>MIN(F32:F43)</f>
        <v>3.79</v>
      </c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44635.354166666664</v>
      </c>
      <c r="B52" s="15">
        <f>0*24+1</f>
        <v>1</v>
      </c>
      <c r="C52" s="19"/>
      <c r="D52" s="21">
        <f>35*20*10</f>
        <v>7000</v>
      </c>
      <c r="E52" s="5">
        <v>1.7999999999999999E-2</v>
      </c>
      <c r="F52" s="5">
        <v>5.83</v>
      </c>
      <c r="H52" s="15">
        <f>LOG(D52)</f>
        <v>3.8450980400142569</v>
      </c>
    </row>
    <row r="53" spans="1:11" x14ac:dyDescent="0.35">
      <c r="A53" s="14">
        <v>44635.447916666664</v>
      </c>
      <c r="B53" s="15">
        <f>(A53-$A$52)*24+1</f>
        <v>3.25</v>
      </c>
      <c r="C53" s="19"/>
      <c r="D53" s="19"/>
      <c r="E53" s="16">
        <v>-1.4E-2</v>
      </c>
      <c r="F53" s="5">
        <v>5.82</v>
      </c>
      <c r="H53" s="19"/>
    </row>
    <row r="54" spans="1:11" x14ac:dyDescent="0.35">
      <c r="A54" s="14">
        <v>44635.5625</v>
      </c>
      <c r="B54" s="15">
        <f t="shared" ref="B54:B63" si="2">(A54-$A$52)*24+1</f>
        <v>6.0000000000582077</v>
      </c>
      <c r="C54" s="19"/>
      <c r="D54" s="19"/>
      <c r="E54" s="5">
        <v>1.7000000000000001E-2</v>
      </c>
      <c r="F54" s="5">
        <v>5.82</v>
      </c>
      <c r="H54" s="19"/>
    </row>
    <row r="55" spans="1:11" x14ac:dyDescent="0.35">
      <c r="A55" s="14">
        <v>44635.6875</v>
      </c>
      <c r="B55" s="15">
        <f t="shared" si="2"/>
        <v>9.0000000000582077</v>
      </c>
      <c r="C55" s="19"/>
      <c r="D55" s="19"/>
      <c r="E55" s="5">
        <v>-4.2000000000000003E-2</v>
      </c>
      <c r="F55" s="5">
        <v>5.83</v>
      </c>
      <c r="H55" s="19"/>
    </row>
    <row r="56" spans="1:11" x14ac:dyDescent="0.35">
      <c r="A56" s="14">
        <v>44635.8125</v>
      </c>
      <c r="B56" s="15">
        <f t="shared" si="2"/>
        <v>12.000000000058208</v>
      </c>
      <c r="C56" s="19"/>
      <c r="D56" s="21">
        <f>204*20*10</f>
        <v>40800</v>
      </c>
      <c r="E56" s="5">
        <v>3.0000000000000001E-3</v>
      </c>
      <c r="F56" s="15">
        <v>5.8</v>
      </c>
      <c r="H56" s="15">
        <f>LOG(D56)</f>
        <v>4.6106601630898796</v>
      </c>
    </row>
    <row r="57" spans="1:11" x14ac:dyDescent="0.35">
      <c r="A57" s="14">
        <v>44636.329861111109</v>
      </c>
      <c r="B57" s="15">
        <f t="shared" si="2"/>
        <v>24.416666666686069</v>
      </c>
      <c r="C57" s="19"/>
      <c r="D57" s="21">
        <f>10*20*10000</f>
        <v>2000000</v>
      </c>
      <c r="E57" s="5">
        <v>-0.111</v>
      </c>
      <c r="F57" s="15">
        <v>5.8</v>
      </c>
      <c r="H57" s="15">
        <f>LOG(D57)</f>
        <v>6.3010299956639813</v>
      </c>
    </row>
    <row r="58" spans="1:11" x14ac:dyDescent="0.35">
      <c r="A58" s="14">
        <v>44636.447916666664</v>
      </c>
      <c r="B58" s="15">
        <f t="shared" si="2"/>
        <v>27.25</v>
      </c>
      <c r="C58" s="19"/>
      <c r="D58" s="19"/>
      <c r="E58" s="5">
        <v>6.3E-2</v>
      </c>
      <c r="F58" s="5">
        <v>5.81</v>
      </c>
      <c r="H58" s="19"/>
    </row>
    <row r="59" spans="1:11" x14ac:dyDescent="0.35">
      <c r="A59" s="14">
        <v>44636.5625</v>
      </c>
      <c r="B59" s="15">
        <f t="shared" si="2"/>
        <v>30.000000000058208</v>
      </c>
      <c r="C59" s="19"/>
      <c r="D59" s="19"/>
      <c r="E59" s="5">
        <v>4.1000000000000002E-2</v>
      </c>
      <c r="F59" s="5">
        <v>5.79</v>
      </c>
      <c r="H59" s="19"/>
    </row>
    <row r="60" spans="1:11" x14ac:dyDescent="0.35">
      <c r="A60" s="14">
        <v>44636.6875</v>
      </c>
      <c r="B60" s="15">
        <f t="shared" si="2"/>
        <v>33.000000000058208</v>
      </c>
      <c r="C60" s="19"/>
      <c r="D60" s="19"/>
      <c r="E60" s="5">
        <v>0</v>
      </c>
      <c r="F60" s="5">
        <v>5.76</v>
      </c>
      <c r="H60" s="19"/>
    </row>
    <row r="61" spans="1:11" x14ac:dyDescent="0.35">
      <c r="A61" s="14">
        <v>44636.805555555555</v>
      </c>
      <c r="B61" s="15">
        <f t="shared" si="2"/>
        <v>35.833333333372138</v>
      </c>
      <c r="C61" s="19"/>
      <c r="D61" s="21">
        <f>269*20*10000</f>
        <v>53800000</v>
      </c>
      <c r="E61" s="5">
        <v>-2.7E-2</v>
      </c>
      <c r="F61" s="15">
        <v>5.67</v>
      </c>
      <c r="H61" s="15">
        <f>LOG(D61)</f>
        <v>7.7307822756663889</v>
      </c>
    </row>
    <row r="62" spans="1:11" x14ac:dyDescent="0.35">
      <c r="A62" s="14">
        <v>44637.333333333336</v>
      </c>
      <c r="B62" s="15">
        <f t="shared" si="2"/>
        <v>48.500000000116415</v>
      </c>
      <c r="C62" s="19"/>
      <c r="D62" s="21">
        <f>207*20*100000</f>
        <v>414000000</v>
      </c>
      <c r="E62" s="5">
        <v>0.121</v>
      </c>
      <c r="F62" s="15">
        <v>4.78</v>
      </c>
      <c r="H62" s="15">
        <f>LOG(D62)</f>
        <v>8.6170003411208995</v>
      </c>
    </row>
    <row r="63" spans="1:11" x14ac:dyDescent="0.35">
      <c r="A63" s="14">
        <v>44637.5625</v>
      </c>
      <c r="B63" s="15">
        <f t="shared" si="2"/>
        <v>54.000000000058208</v>
      </c>
      <c r="C63" s="20"/>
      <c r="D63" s="21">
        <f>283*20*100000</f>
        <v>566000000</v>
      </c>
      <c r="E63" s="5">
        <v>0.19800000000000001</v>
      </c>
      <c r="F63" s="5">
        <v>4.49</v>
      </c>
      <c r="H63" s="15">
        <f>LOG(D63)</f>
        <v>8.7528164311882719</v>
      </c>
    </row>
    <row r="65" spans="1:11" x14ac:dyDescent="0.35">
      <c r="E65" t="s">
        <v>31</v>
      </c>
      <c r="F65">
        <f>MIN(F52:F63)</f>
        <v>4.49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44635.354166666664</v>
      </c>
      <c r="B73" s="15">
        <f>0*24+1</f>
        <v>1</v>
      </c>
      <c r="C73" s="21">
        <f>98*20*100</f>
        <v>196000</v>
      </c>
      <c r="D73" s="21">
        <f>29*20*10</f>
        <v>5800</v>
      </c>
      <c r="E73" s="5">
        <v>4.4999999999999998E-2</v>
      </c>
      <c r="F73" s="5">
        <v>5.81</v>
      </c>
      <c r="H73" s="15">
        <f>LOG(C73)</f>
        <v>5.2922560713564764</v>
      </c>
      <c r="I73" s="15">
        <f>LOG(D73)</f>
        <v>3.7634279935629373</v>
      </c>
    </row>
    <row r="74" spans="1:11" x14ac:dyDescent="0.35">
      <c r="A74" s="14">
        <v>44635.447916666664</v>
      </c>
      <c r="B74" s="15">
        <f>(A74-$A$73)*24+1</f>
        <v>3.25</v>
      </c>
      <c r="C74" s="21">
        <f>149*20*100</f>
        <v>298000</v>
      </c>
      <c r="D74" s="21">
        <f>30*20*10</f>
        <v>6000</v>
      </c>
      <c r="E74" s="5">
        <v>4.1000000000000002E-2</v>
      </c>
      <c r="F74" s="5">
        <v>5.84</v>
      </c>
      <c r="H74" s="15">
        <f t="shared" ref="H74:I81" si="3">LOG(C74)</f>
        <v>5.4742162640762553</v>
      </c>
      <c r="I74" s="15">
        <f t="shared" si="3"/>
        <v>3.7781512503836434</v>
      </c>
    </row>
    <row r="75" spans="1:11" x14ac:dyDescent="0.35">
      <c r="A75" s="14">
        <v>44635.5625</v>
      </c>
      <c r="B75" s="15">
        <f t="shared" ref="B75:B84" si="4">(A75-$A$73)*24+1</f>
        <v>6.0000000000582077</v>
      </c>
      <c r="C75" s="21">
        <f>42*20*10^3</f>
        <v>840000</v>
      </c>
      <c r="D75" s="21">
        <f>66*20*10</f>
        <v>13200</v>
      </c>
      <c r="E75" s="5">
        <v>8.9999999999999993E-3</v>
      </c>
      <c r="F75" s="5">
        <v>5.81</v>
      </c>
      <c r="H75" s="15">
        <f t="shared" si="3"/>
        <v>5.924279286061882</v>
      </c>
      <c r="I75" s="15">
        <f t="shared" si="3"/>
        <v>4.1205739312058496</v>
      </c>
    </row>
    <row r="76" spans="1:11" x14ac:dyDescent="0.35">
      <c r="A76" s="14">
        <v>44635.6875</v>
      </c>
      <c r="B76" s="15">
        <f t="shared" si="4"/>
        <v>9.0000000000582077</v>
      </c>
      <c r="C76" s="21">
        <f>129*20*10^3</f>
        <v>2580000</v>
      </c>
      <c r="D76" s="21">
        <f>180*20*10</f>
        <v>36000</v>
      </c>
      <c r="E76" s="16">
        <v>-0.02</v>
      </c>
      <c r="F76" s="15">
        <v>5.8</v>
      </c>
      <c r="H76" s="15">
        <f t="shared" si="3"/>
        <v>6.4116197059632301</v>
      </c>
      <c r="I76" s="15">
        <f t="shared" si="3"/>
        <v>4.5563025007672868</v>
      </c>
    </row>
    <row r="77" spans="1:11" x14ac:dyDescent="0.35">
      <c r="A77" s="14">
        <v>44635.8125</v>
      </c>
      <c r="B77" s="15">
        <f t="shared" si="4"/>
        <v>12.000000000058208</v>
      </c>
      <c r="C77" s="21">
        <f>41*20*10000</f>
        <v>8200000</v>
      </c>
      <c r="D77" s="21">
        <f>452*10*10</f>
        <v>45200</v>
      </c>
      <c r="E77" s="5">
        <v>3.4000000000000002E-2</v>
      </c>
      <c r="F77" s="5">
        <v>5.73</v>
      </c>
      <c r="H77" s="15">
        <f t="shared" si="3"/>
        <v>6.9138138523837167</v>
      </c>
      <c r="I77" s="15">
        <f t="shared" si="3"/>
        <v>4.6551384348113825</v>
      </c>
    </row>
    <row r="78" spans="1:11" x14ac:dyDescent="0.35">
      <c r="A78" s="14">
        <v>44636.329861111109</v>
      </c>
      <c r="B78" s="15">
        <f t="shared" si="4"/>
        <v>24.416666666686069</v>
      </c>
      <c r="C78" s="21">
        <f>69*20*100000</f>
        <v>138000000</v>
      </c>
      <c r="D78" s="23">
        <f>AVERAGE(788*2,136*2*10)</f>
        <v>2148</v>
      </c>
      <c r="E78" s="5">
        <v>0.42499999999999999</v>
      </c>
      <c r="F78" s="5">
        <v>4.34</v>
      </c>
      <c r="H78" s="15">
        <f t="shared" si="3"/>
        <v>8.1398790864012369</v>
      </c>
      <c r="I78" s="15">
        <f t="shared" si="3"/>
        <v>3.332034277027518</v>
      </c>
    </row>
    <row r="79" spans="1:11" x14ac:dyDescent="0.35">
      <c r="A79" s="14">
        <v>44636.447916666664</v>
      </c>
      <c r="B79" s="15">
        <f t="shared" si="4"/>
        <v>27.25</v>
      </c>
      <c r="C79" s="21">
        <f>102*20*100000</f>
        <v>204000000</v>
      </c>
      <c r="D79" s="23">
        <f>AVERAGE(622*2,92*2*10)</f>
        <v>1542</v>
      </c>
      <c r="E79" s="5">
        <v>0.622</v>
      </c>
      <c r="F79" s="5">
        <v>4.1500000000000004</v>
      </c>
      <c r="H79" s="15">
        <f t="shared" si="3"/>
        <v>8.3096301674258992</v>
      </c>
      <c r="I79" s="15">
        <f t="shared" si="3"/>
        <v>3.188084373714938</v>
      </c>
    </row>
    <row r="80" spans="1:11" x14ac:dyDescent="0.35">
      <c r="A80" s="14">
        <v>44636.5625</v>
      </c>
      <c r="B80" s="15">
        <f t="shared" si="4"/>
        <v>30.000000000058208</v>
      </c>
      <c r="C80" s="21">
        <f>107*20*100000</f>
        <v>214000000</v>
      </c>
      <c r="D80" s="23">
        <f>AVERAGE(72*2)</f>
        <v>144</v>
      </c>
      <c r="E80" s="5">
        <v>0.69099999999999995</v>
      </c>
      <c r="F80" s="5">
        <v>3.98</v>
      </c>
      <c r="H80" s="15">
        <f t="shared" si="3"/>
        <v>8.330413773349191</v>
      </c>
      <c r="I80" s="15">
        <f t="shared" si="3"/>
        <v>2.1583624920952498</v>
      </c>
    </row>
    <row r="81" spans="1:11" x14ac:dyDescent="0.35">
      <c r="A81" s="14">
        <v>44636.6875</v>
      </c>
      <c r="B81" s="15">
        <f t="shared" si="4"/>
        <v>33.000000000058208</v>
      </c>
      <c r="C81" s="21">
        <f>97*20*100000</f>
        <v>194000000</v>
      </c>
      <c r="D81" s="23">
        <f>AVERAGE(4*2,46/5)</f>
        <v>8.6</v>
      </c>
      <c r="E81" s="5">
        <v>0.71899999999999997</v>
      </c>
      <c r="F81" s="15">
        <v>4</v>
      </c>
      <c r="H81" s="15">
        <f t="shared" si="3"/>
        <v>8.2878017299302265</v>
      </c>
      <c r="I81" s="15">
        <f t="shared" si="3"/>
        <v>0.93449845124356767</v>
      </c>
    </row>
    <row r="82" spans="1:11" x14ac:dyDescent="0.35">
      <c r="A82" s="14">
        <v>44636.805555555555</v>
      </c>
      <c r="B82" s="15">
        <f t="shared" si="4"/>
        <v>35.833333333372138</v>
      </c>
      <c r="C82" s="21">
        <f>104*20*100000</f>
        <v>208000000</v>
      </c>
      <c r="D82" s="23">
        <f>AVERAGE(12*2,40/5)</f>
        <v>16</v>
      </c>
      <c r="E82" s="5">
        <v>0.86099999999999999</v>
      </c>
      <c r="F82" s="5">
        <v>3.99</v>
      </c>
      <c r="H82" s="15">
        <f t="shared" ref="H82:H84" si="5">LOG(C82)</f>
        <v>8.318063334962762</v>
      </c>
      <c r="I82" s="15">
        <f t="shared" ref="I82:I84" si="6">LOG(D82)</f>
        <v>1.2041199826559248</v>
      </c>
    </row>
    <row r="83" spans="1:11" x14ac:dyDescent="0.35">
      <c r="A83" s="14">
        <v>44637.333333333336</v>
      </c>
      <c r="B83" s="15">
        <f>(A83-$A$73)*24+1</f>
        <v>48.500000000116415</v>
      </c>
      <c r="C83" s="21">
        <f>97*20*100000</f>
        <v>194000000</v>
      </c>
      <c r="D83" s="22" t="s">
        <v>33</v>
      </c>
      <c r="E83" s="5">
        <v>1.0569999999999999</v>
      </c>
      <c r="F83" s="5">
        <v>3.79</v>
      </c>
      <c r="H83" s="15">
        <f t="shared" si="5"/>
        <v>8.2878017299302265</v>
      </c>
      <c r="I83" s="15" t="e">
        <f t="shared" si="6"/>
        <v>#VALUE!</v>
      </c>
    </row>
    <row r="84" spans="1:11" x14ac:dyDescent="0.35">
      <c r="A84" s="14">
        <v>44637.5625</v>
      </c>
      <c r="B84" s="15">
        <f t="shared" si="4"/>
        <v>54.000000000058208</v>
      </c>
      <c r="C84" s="21">
        <f>82*20*100000</f>
        <v>164000000</v>
      </c>
      <c r="D84" s="22" t="s">
        <v>38</v>
      </c>
      <c r="E84" s="16">
        <v>1.071</v>
      </c>
      <c r="F84" s="5">
        <v>3.71</v>
      </c>
      <c r="H84" s="15">
        <f t="shared" si="5"/>
        <v>8.214843848047698</v>
      </c>
      <c r="I84" s="15" t="e">
        <f t="shared" si="6"/>
        <v>#VALUE!</v>
      </c>
    </row>
    <row r="86" spans="1:11" x14ac:dyDescent="0.35">
      <c r="E86" t="s">
        <v>31</v>
      </c>
      <c r="F86">
        <f>MIN(F73:F84)</f>
        <v>3.71</v>
      </c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44635.354166666664</v>
      </c>
      <c r="B95" s="15">
        <f>0*24+1</f>
        <v>1</v>
      </c>
      <c r="C95" s="21">
        <f>4*20*100</f>
        <v>8000</v>
      </c>
      <c r="D95" s="21">
        <f>19*20*10</f>
        <v>3800</v>
      </c>
      <c r="E95" s="5">
        <v>4.7E-2</v>
      </c>
      <c r="F95" s="5">
        <v>5.52</v>
      </c>
      <c r="H95" s="15">
        <f>LOG(C95)</f>
        <v>3.9030899869919438</v>
      </c>
      <c r="I95" s="15">
        <f>LOG(D95)</f>
        <v>3.5797835966168101</v>
      </c>
      <c r="J95" s="5"/>
      <c r="K95" s="5"/>
    </row>
    <row r="96" spans="1:11" x14ac:dyDescent="0.35">
      <c r="A96" s="14">
        <v>44635.447916666664</v>
      </c>
      <c r="B96" s="15">
        <f>(A96-$A$95)*24+1</f>
        <v>3.25</v>
      </c>
      <c r="C96" s="21">
        <f>8*20*100</f>
        <v>16000</v>
      </c>
      <c r="D96" s="21">
        <f>26*20*10</f>
        <v>5200</v>
      </c>
      <c r="E96" s="5">
        <v>8.9999999999999993E-3</v>
      </c>
      <c r="F96" s="5">
        <v>5.81</v>
      </c>
      <c r="H96" s="15">
        <f t="shared" ref="H96:I106" si="7">LOG(C96)</f>
        <v>4.204119982655925</v>
      </c>
      <c r="I96" s="15">
        <f t="shared" si="7"/>
        <v>3.716003343634799</v>
      </c>
      <c r="J96" s="5"/>
      <c r="K96" s="5"/>
    </row>
    <row r="97" spans="1:11" x14ac:dyDescent="0.35">
      <c r="A97" s="14">
        <v>44635.5625</v>
      </c>
      <c r="B97" s="15">
        <f t="shared" ref="B97:B106" si="8">(A97-$A$95)*24+1</f>
        <v>6.0000000000582077</v>
      </c>
      <c r="C97" s="21">
        <f>1*20*10^2</f>
        <v>2000</v>
      </c>
      <c r="D97" s="21">
        <f>70*20*10</f>
        <v>14000</v>
      </c>
      <c r="E97" s="5">
        <v>4.0000000000000001E-3</v>
      </c>
      <c r="F97" s="5">
        <v>5.82</v>
      </c>
      <c r="H97" s="15">
        <f t="shared" si="7"/>
        <v>3.3010299956639813</v>
      </c>
      <c r="I97" s="15">
        <f t="shared" si="7"/>
        <v>4.1461280356782382</v>
      </c>
      <c r="J97" s="5"/>
      <c r="K97" s="5"/>
    </row>
    <row r="98" spans="1:11" x14ac:dyDescent="0.35">
      <c r="A98" s="14">
        <v>44635.6875</v>
      </c>
      <c r="B98" s="15">
        <f t="shared" si="8"/>
        <v>9.0000000000582077</v>
      </c>
      <c r="C98" s="21">
        <f>3*20*10^3</f>
        <v>60000</v>
      </c>
      <c r="D98" s="21">
        <f>188*20*10</f>
        <v>37600</v>
      </c>
      <c r="E98" s="5">
        <v>-2.4E-2</v>
      </c>
      <c r="F98" s="5">
        <v>5.82</v>
      </c>
      <c r="H98" s="15">
        <f t="shared" si="7"/>
        <v>4.7781512503836439</v>
      </c>
      <c r="I98" s="15">
        <f t="shared" si="7"/>
        <v>4.5751878449276608</v>
      </c>
      <c r="J98" s="5"/>
      <c r="K98" s="5"/>
    </row>
    <row r="99" spans="1:11" x14ac:dyDescent="0.35">
      <c r="A99" s="14">
        <v>44635.8125</v>
      </c>
      <c r="B99" s="15">
        <f t="shared" si="8"/>
        <v>12.000000000058208</v>
      </c>
      <c r="C99" s="21" t="s">
        <v>33</v>
      </c>
      <c r="D99" s="21">
        <f>220*10*10</f>
        <v>22000</v>
      </c>
      <c r="E99" s="5">
        <v>-5.0000000000000001E-3</v>
      </c>
      <c r="F99" s="5">
        <v>5.84</v>
      </c>
      <c r="H99" s="15" t="e">
        <f t="shared" si="7"/>
        <v>#VALUE!</v>
      </c>
      <c r="I99" s="15">
        <f t="shared" si="7"/>
        <v>4.3424226808222066</v>
      </c>
      <c r="J99" s="5"/>
      <c r="K99" s="5"/>
    </row>
    <row r="100" spans="1:11" x14ac:dyDescent="0.35">
      <c r="A100" s="14">
        <v>44636.329861111109</v>
      </c>
      <c r="B100" s="15">
        <f t="shared" si="8"/>
        <v>24.416666666686069</v>
      </c>
      <c r="C100" s="21">
        <f>4*20*100000</f>
        <v>8000000</v>
      </c>
      <c r="D100" s="21">
        <f>1700000</f>
        <v>1700000</v>
      </c>
      <c r="E100" s="5">
        <v>-9.5000000000000001E-2</v>
      </c>
      <c r="F100" s="5">
        <v>5.74</v>
      </c>
      <c r="H100" s="15">
        <f t="shared" si="7"/>
        <v>6.9030899869919438</v>
      </c>
      <c r="I100" s="15">
        <f t="shared" si="7"/>
        <v>6.2304489213782741</v>
      </c>
      <c r="J100" s="5"/>
      <c r="K100" s="5"/>
    </row>
    <row r="101" spans="1:11" x14ac:dyDescent="0.35">
      <c r="A101" s="14">
        <v>44636.447916666664</v>
      </c>
      <c r="B101" s="15">
        <f t="shared" si="8"/>
        <v>27.25</v>
      </c>
      <c r="C101" s="23">
        <f>5*20*100000</f>
        <v>10000000</v>
      </c>
      <c r="D101" s="21">
        <f>AVERAGE(5180000,5330000,5590000)</f>
        <v>5366666.666666667</v>
      </c>
      <c r="E101" s="5">
        <v>8.5000000000000006E-2</v>
      </c>
      <c r="F101" s="5">
        <v>5.66</v>
      </c>
      <c r="H101" s="15">
        <f t="shared" si="7"/>
        <v>7</v>
      </c>
      <c r="I101" s="15">
        <f t="shared" si="7"/>
        <v>6.7297046213121874</v>
      </c>
      <c r="J101" s="5"/>
      <c r="K101" s="5"/>
    </row>
    <row r="102" spans="1:11" x14ac:dyDescent="0.35">
      <c r="A102" s="14">
        <v>44636.5625</v>
      </c>
      <c r="B102" s="15">
        <f t="shared" si="8"/>
        <v>30.000000000058208</v>
      </c>
      <c r="C102" s="21">
        <f>15*20*100000</f>
        <v>30000000</v>
      </c>
      <c r="D102" s="21">
        <f>AVERAGE(13300000,15000000,16300000)</f>
        <v>14866666.666666666</v>
      </c>
      <c r="E102" s="5">
        <v>0.109</v>
      </c>
      <c r="F102" s="15">
        <v>5.47</v>
      </c>
      <c r="H102" s="15">
        <f t="shared" si="7"/>
        <v>7.4771212547196626</v>
      </c>
      <c r="I102" s="15">
        <f t="shared" si="7"/>
        <v>7.1722136039924793</v>
      </c>
      <c r="J102" s="5"/>
      <c r="K102" s="5"/>
    </row>
    <row r="103" spans="1:11" x14ac:dyDescent="0.35">
      <c r="A103" s="14">
        <v>44636.6875</v>
      </c>
      <c r="B103" s="15">
        <f t="shared" si="8"/>
        <v>33.000000000058208</v>
      </c>
      <c r="C103" s="21">
        <f>36*20*100000</f>
        <v>72000000</v>
      </c>
      <c r="D103" s="21">
        <f>AVERAGE(18700000,23900000,19800000)</f>
        <v>20800000</v>
      </c>
      <c r="E103" s="16">
        <v>0.10299999999999999</v>
      </c>
      <c r="F103" s="15">
        <v>5.0199999999999996</v>
      </c>
      <c r="H103" s="15">
        <f t="shared" si="7"/>
        <v>7.8573324964312681</v>
      </c>
      <c r="I103" s="15">
        <f t="shared" si="7"/>
        <v>7.318063334962762</v>
      </c>
      <c r="J103" s="5"/>
      <c r="K103" s="5"/>
    </row>
    <row r="104" spans="1:11" x14ac:dyDescent="0.35">
      <c r="A104" s="14">
        <v>44636.805555555555</v>
      </c>
      <c r="B104" s="15">
        <f t="shared" si="8"/>
        <v>35.833333333372138</v>
      </c>
      <c r="C104" s="21">
        <f>48*20*100000</f>
        <v>96000000</v>
      </c>
      <c r="D104" s="21">
        <f>AVERAGE(25200000,30700000,27400000)</f>
        <v>27766666.666666668</v>
      </c>
      <c r="E104" s="5">
        <v>0.184</v>
      </c>
      <c r="F104" s="5">
        <v>4.6900000000000004</v>
      </c>
      <c r="H104" s="15">
        <f t="shared" si="7"/>
        <v>7.982271233039568</v>
      </c>
      <c r="I104" s="15">
        <f t="shared" si="7"/>
        <v>7.4435237466871254</v>
      </c>
      <c r="J104" s="5"/>
      <c r="K104" s="5"/>
    </row>
    <row r="105" spans="1:11" x14ac:dyDescent="0.35">
      <c r="A105" s="14">
        <v>44637.333333333336</v>
      </c>
      <c r="B105" s="15">
        <f t="shared" si="8"/>
        <v>48.500000000116415</v>
      </c>
      <c r="C105" s="21">
        <f>104*20*100000</f>
        <v>208000000</v>
      </c>
      <c r="D105" s="21">
        <f>AVERAGE(25700000,22600000,23000000)</f>
        <v>23766666.666666668</v>
      </c>
      <c r="E105" s="16">
        <v>0.79800000000000004</v>
      </c>
      <c r="F105" s="5">
        <v>3.87</v>
      </c>
      <c r="H105" s="15">
        <f t="shared" si="7"/>
        <v>8.318063334962762</v>
      </c>
      <c r="I105" s="15">
        <f t="shared" si="7"/>
        <v>7.3759682751322035</v>
      </c>
      <c r="J105" s="5"/>
      <c r="K105" s="5"/>
    </row>
    <row r="106" spans="1:11" x14ac:dyDescent="0.35">
      <c r="A106" s="14">
        <v>44637.5625</v>
      </c>
      <c r="B106" s="15">
        <f t="shared" si="8"/>
        <v>54.000000000058208</v>
      </c>
      <c r="C106" s="21">
        <f>92*20*100000</f>
        <v>184000000</v>
      </c>
      <c r="D106" s="25">
        <f>223*20*1000</f>
        <v>4460000</v>
      </c>
      <c r="E106" s="16">
        <v>0.93200000000000005</v>
      </c>
      <c r="F106" s="5">
        <v>3.76</v>
      </c>
      <c r="H106" s="15">
        <f t="shared" si="7"/>
        <v>8.2648178230095368</v>
      </c>
      <c r="I106" s="15">
        <f t="shared" si="7"/>
        <v>6.6493348587121419</v>
      </c>
      <c r="J106" s="5"/>
      <c r="K106" s="5"/>
    </row>
    <row r="107" spans="1:11" x14ac:dyDescent="0.35">
      <c r="H107" s="5"/>
      <c r="I107" s="5"/>
      <c r="J107" s="5"/>
      <c r="K107" s="5"/>
    </row>
    <row r="113" spans="1:11" x14ac:dyDescent="0.35">
      <c r="A113" t="s">
        <v>23</v>
      </c>
      <c r="B113" s="5" t="s">
        <v>24</v>
      </c>
      <c r="C113" s="5" t="s">
        <v>25</v>
      </c>
      <c r="D113" s="5" t="s">
        <v>26</v>
      </c>
      <c r="E113" s="5" t="s">
        <v>27</v>
      </c>
      <c r="F113" s="5" t="s">
        <v>28</v>
      </c>
      <c r="G113" s="5"/>
      <c r="H113" s="5" t="s">
        <v>29</v>
      </c>
      <c r="I113" s="5" t="s">
        <v>30</v>
      </c>
      <c r="J113" s="5" t="s">
        <v>13</v>
      </c>
      <c r="K113" s="5" t="s">
        <v>28</v>
      </c>
    </row>
    <row r="114" spans="1:11" x14ac:dyDescent="0.35">
      <c r="A114" s="14">
        <v>44635.354166666664</v>
      </c>
      <c r="B114" s="15">
        <f>0*24+1</f>
        <v>1</v>
      </c>
      <c r="C114" s="21">
        <f>133*20*100</f>
        <v>266000</v>
      </c>
      <c r="D114" s="21">
        <f>16*100</f>
        <v>1600</v>
      </c>
      <c r="E114" s="5">
        <v>6.0000000000000001E-3</v>
      </c>
      <c r="F114" s="5">
        <v>6.02</v>
      </c>
      <c r="H114" s="15">
        <f>LOG(C114)</f>
        <v>5.424881636631067</v>
      </c>
      <c r="I114" s="15">
        <f>LOG(D114)</f>
        <v>3.2041199826559246</v>
      </c>
      <c r="J114" s="5"/>
      <c r="K114" s="5"/>
    </row>
    <row r="115" spans="1:11" x14ac:dyDescent="0.35">
      <c r="A115" s="14">
        <v>44635.447916666664</v>
      </c>
      <c r="B115" s="15">
        <f>(A115-$A$95)*24+1</f>
        <v>3.25</v>
      </c>
      <c r="C115" s="21">
        <f>167*20*100</f>
        <v>334000</v>
      </c>
      <c r="D115" s="21">
        <f>57*100</f>
        <v>5700</v>
      </c>
      <c r="E115" s="5">
        <v>2.8000000000000001E-2</v>
      </c>
      <c r="F115" s="5">
        <v>6.02</v>
      </c>
      <c r="H115" s="15">
        <f t="shared" ref="H115:H125" si="9">LOG(C115)</f>
        <v>5.5237464668115646</v>
      </c>
      <c r="I115" s="15">
        <f t="shared" ref="I115:I125" si="10">LOG(D115)</f>
        <v>3.7558748556724915</v>
      </c>
      <c r="J115" s="5"/>
      <c r="K115" s="5"/>
    </row>
    <row r="116" spans="1:11" x14ac:dyDescent="0.35">
      <c r="A116" s="14">
        <v>44635.5625</v>
      </c>
      <c r="B116" s="15">
        <f t="shared" ref="B116:B125" si="11">(A116-$A$95)*24+1</f>
        <v>6.0000000000582077</v>
      </c>
      <c r="C116" s="21">
        <f>140*20*1000</f>
        <v>2800000</v>
      </c>
      <c r="D116" s="21">
        <f>122*100</f>
        <v>12200</v>
      </c>
      <c r="E116" s="5">
        <v>0.03</v>
      </c>
      <c r="F116" s="5">
        <v>5.96</v>
      </c>
      <c r="H116" s="15">
        <f t="shared" si="9"/>
        <v>6.4471580313422194</v>
      </c>
      <c r="I116" s="15">
        <f t="shared" si="10"/>
        <v>4.0863598306747484</v>
      </c>
      <c r="J116" s="5"/>
      <c r="K116" s="5"/>
    </row>
    <row r="117" spans="1:11" x14ac:dyDescent="0.35">
      <c r="A117" s="14">
        <v>44635.6875</v>
      </c>
      <c r="B117" s="15">
        <f t="shared" si="11"/>
        <v>9.0000000000582077</v>
      </c>
      <c r="C117" s="23">
        <f>36*20*10000</f>
        <v>7200000</v>
      </c>
      <c r="D117" s="21">
        <f>15*20*100</f>
        <v>30000</v>
      </c>
      <c r="E117" s="5">
        <v>2.1000000000000001E-2</v>
      </c>
      <c r="F117" s="5">
        <v>5.9</v>
      </c>
      <c r="H117" s="15">
        <f t="shared" si="9"/>
        <v>6.8573324964312681</v>
      </c>
      <c r="I117" s="15">
        <f t="shared" si="10"/>
        <v>4.4771212547196626</v>
      </c>
      <c r="J117" s="5"/>
      <c r="K117" s="5"/>
    </row>
    <row r="118" spans="1:11" x14ac:dyDescent="0.35">
      <c r="A118" s="14">
        <v>44635.8125</v>
      </c>
      <c r="B118" s="18">
        <f t="shared" si="11"/>
        <v>12.000000000058208</v>
      </c>
      <c r="C118" s="21">
        <f>20000000</f>
        <v>20000000</v>
      </c>
      <c r="D118" s="21">
        <f>48*20*100</f>
        <v>96000</v>
      </c>
      <c r="E118" s="5">
        <v>5.5E-2</v>
      </c>
      <c r="F118" s="5">
        <v>5.62</v>
      </c>
      <c r="H118" s="15">
        <f t="shared" si="9"/>
        <v>7.3010299956639813</v>
      </c>
      <c r="I118" s="15">
        <f t="shared" si="10"/>
        <v>4.982271233039568</v>
      </c>
      <c r="J118" s="5"/>
      <c r="K118" s="5"/>
    </row>
    <row r="119" spans="1:11" x14ac:dyDescent="0.35">
      <c r="A119" s="14">
        <v>44636.329861111109</v>
      </c>
      <c r="B119" s="15">
        <f t="shared" si="11"/>
        <v>24.416666666686069</v>
      </c>
      <c r="C119" s="21">
        <f>116*20*100000</f>
        <v>232000000</v>
      </c>
      <c r="D119" s="21">
        <f>34*20*1000</f>
        <v>680000</v>
      </c>
      <c r="E119" s="5">
        <v>0.64600000000000002</v>
      </c>
      <c r="F119" s="5">
        <v>4.12</v>
      </c>
      <c r="H119" s="15">
        <f t="shared" si="9"/>
        <v>8.3654879848908994</v>
      </c>
      <c r="I119" s="15">
        <f t="shared" si="10"/>
        <v>5.8325089127062366</v>
      </c>
      <c r="J119" s="5"/>
      <c r="K119" s="5"/>
    </row>
    <row r="120" spans="1:11" x14ac:dyDescent="0.35">
      <c r="A120" s="14">
        <v>44636.447916666664</v>
      </c>
      <c r="B120" s="15">
        <f t="shared" si="11"/>
        <v>27.25</v>
      </c>
      <c r="C120" s="23">
        <f>87*20*100000</f>
        <v>174000000</v>
      </c>
      <c r="D120" s="21">
        <f>21*20*1000</f>
        <v>420000</v>
      </c>
      <c r="E120" s="5">
        <v>0.71599999999999997</v>
      </c>
      <c r="F120" s="5">
        <v>4.0199999999999996</v>
      </c>
      <c r="H120" s="15">
        <f t="shared" si="9"/>
        <v>8.2405492482825995</v>
      </c>
      <c r="I120" s="15">
        <f t="shared" si="10"/>
        <v>5.6232492903979008</v>
      </c>
      <c r="J120" s="5"/>
      <c r="K120" s="5"/>
    </row>
    <row r="121" spans="1:11" x14ac:dyDescent="0.35">
      <c r="A121" s="14">
        <v>44636.5625</v>
      </c>
      <c r="B121" s="15">
        <f t="shared" si="11"/>
        <v>30.000000000058208</v>
      </c>
      <c r="C121" s="21">
        <f>98*20*100000</f>
        <v>196000000</v>
      </c>
      <c r="D121" s="21">
        <f>33*20*1000</f>
        <v>660000</v>
      </c>
      <c r="E121" s="5">
        <v>0.91</v>
      </c>
      <c r="F121" s="15">
        <v>3.91</v>
      </c>
      <c r="H121" s="15">
        <f t="shared" si="9"/>
        <v>8.2922560713564764</v>
      </c>
      <c r="I121" s="15">
        <f t="shared" si="10"/>
        <v>5.8195439355418683</v>
      </c>
      <c r="J121" s="5"/>
      <c r="K121" s="5"/>
    </row>
    <row r="122" spans="1:11" x14ac:dyDescent="0.35">
      <c r="A122" s="14">
        <v>44636.6875</v>
      </c>
      <c r="B122" s="15">
        <f t="shared" si="11"/>
        <v>33.000000000058208</v>
      </c>
      <c r="C122" s="21">
        <f>85*20*100000</f>
        <v>170000000</v>
      </c>
      <c r="D122" s="21">
        <f>20*20*1000</f>
        <v>400000</v>
      </c>
      <c r="E122" s="16">
        <v>0.997</v>
      </c>
      <c r="F122" s="15">
        <v>3.81</v>
      </c>
      <c r="H122" s="15">
        <f t="shared" si="9"/>
        <v>8.2304489213782741</v>
      </c>
      <c r="I122" s="15">
        <f t="shared" si="10"/>
        <v>5.6020599913279625</v>
      </c>
      <c r="J122" s="5"/>
      <c r="K122" s="5"/>
    </row>
    <row r="123" spans="1:11" x14ac:dyDescent="0.35">
      <c r="A123" s="14">
        <v>44636.805555555555</v>
      </c>
      <c r="B123" s="15">
        <f t="shared" si="11"/>
        <v>35.833333333372138</v>
      </c>
      <c r="C123" s="21">
        <f>103*20*100000</f>
        <v>206000000</v>
      </c>
      <c r="D123" s="21">
        <f>18*20*1000</f>
        <v>360000</v>
      </c>
      <c r="E123" s="5">
        <v>1.0349999999999999</v>
      </c>
      <c r="F123" s="5">
        <v>3.79</v>
      </c>
      <c r="H123" s="15">
        <f t="shared" si="9"/>
        <v>8.3138672203691542</v>
      </c>
      <c r="I123" s="15">
        <f t="shared" si="10"/>
        <v>5.5563025007672868</v>
      </c>
      <c r="J123" s="5"/>
      <c r="K123" s="5"/>
    </row>
    <row r="124" spans="1:11" x14ac:dyDescent="0.35">
      <c r="A124" s="14">
        <v>44637.333333333336</v>
      </c>
      <c r="B124" s="15">
        <f t="shared" si="11"/>
        <v>48.500000000116415</v>
      </c>
      <c r="C124" s="23">
        <v>140000000</v>
      </c>
      <c r="D124" s="23">
        <f>216*20*100</f>
        <v>432000</v>
      </c>
      <c r="E124" s="16">
        <v>1.2130000000000001</v>
      </c>
      <c r="F124" s="5">
        <v>3.72</v>
      </c>
      <c r="H124" s="15">
        <f t="shared" si="9"/>
        <v>8.1461280356782382</v>
      </c>
      <c r="I124" s="15">
        <f t="shared" si="10"/>
        <v>5.6354837468149119</v>
      </c>
      <c r="J124" s="5"/>
      <c r="K124" s="5"/>
    </row>
    <row r="125" spans="1:11" x14ac:dyDescent="0.35">
      <c r="A125" s="14">
        <v>44637.5625</v>
      </c>
      <c r="B125" s="15">
        <f t="shared" si="11"/>
        <v>54.000000000058208</v>
      </c>
      <c r="C125" s="21">
        <f>123*20*100000</f>
        <v>246000000</v>
      </c>
      <c r="D125" s="21">
        <f>19*20*1000</f>
        <v>380000</v>
      </c>
      <c r="E125" s="16">
        <v>1.2370000000000001</v>
      </c>
      <c r="F125" s="5">
        <v>3.71</v>
      </c>
      <c r="H125" s="15">
        <f t="shared" si="9"/>
        <v>8.3909351071033793</v>
      </c>
      <c r="I125" s="15">
        <f t="shared" si="10"/>
        <v>5.5797835966168101</v>
      </c>
      <c r="J125" s="5"/>
      <c r="K125" s="5"/>
    </row>
    <row r="127" spans="1:11" x14ac:dyDescent="0.35">
      <c r="E127" t="s">
        <v>31</v>
      </c>
      <c r="F127">
        <f>MIN(F114:F125)</f>
        <v>3.71</v>
      </c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F24C-EEBF-41F4-9010-2D8A224020FA}">
  <dimension ref="A1:K129"/>
  <sheetViews>
    <sheetView zoomScale="110" zoomScaleNormal="110" workbookViewId="0">
      <selection activeCell="I116" sqref="I116:I127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3" width="12.26953125" bestFit="1" customWidth="1"/>
    <col min="4" max="4" width="11.54296875" bestFit="1" customWidth="1"/>
    <col min="5" max="5" width="16.7265625" bestFit="1" customWidth="1"/>
    <col min="7" max="7" width="4.453125" customWidth="1"/>
    <col min="8" max="8" width="8.453125" bestFit="1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44635.354166666664</v>
      </c>
      <c r="B10" s="15">
        <f>0*(24)+1</f>
        <v>1</v>
      </c>
      <c r="C10" s="21">
        <f>96*20*100</f>
        <v>192000</v>
      </c>
      <c r="D10" s="20"/>
      <c r="E10" s="5">
        <v>6.0000000000000001E-3</v>
      </c>
      <c r="F10" s="5">
        <v>5.85</v>
      </c>
      <c r="H10" s="15">
        <f>LOG(C10)</f>
        <v>5.2833012287035492</v>
      </c>
    </row>
    <row r="11" spans="1:11" x14ac:dyDescent="0.35">
      <c r="A11" s="14">
        <v>44635.447916666664</v>
      </c>
      <c r="B11" s="15">
        <f>(A11-$A$10)*(24)+1</f>
        <v>3.25</v>
      </c>
      <c r="C11" s="20"/>
      <c r="D11" s="20"/>
      <c r="E11" s="5">
        <v>-8.0000000000000002E-3</v>
      </c>
      <c r="F11" s="5">
        <v>5.83</v>
      </c>
      <c r="H11" s="20"/>
    </row>
    <row r="12" spans="1:11" x14ac:dyDescent="0.35">
      <c r="A12" s="14">
        <v>44635.5625</v>
      </c>
      <c r="B12" s="15">
        <f t="shared" ref="B12:B21" si="0">(A12-$A$10)*(24)+1</f>
        <v>6.0000000000582077</v>
      </c>
      <c r="C12" s="20"/>
      <c r="D12" s="20"/>
      <c r="E12" s="5">
        <v>-1E-3</v>
      </c>
      <c r="F12" s="5">
        <v>5.84</v>
      </c>
      <c r="H12" s="20"/>
    </row>
    <row r="13" spans="1:11" x14ac:dyDescent="0.35">
      <c r="A13" s="14">
        <v>44635.6875</v>
      </c>
      <c r="B13" s="15">
        <f t="shared" si="0"/>
        <v>9.0000000000582077</v>
      </c>
      <c r="C13" s="20"/>
      <c r="D13" s="20"/>
      <c r="E13" s="5">
        <v>3.0000000000000001E-3</v>
      </c>
      <c r="F13" s="5">
        <v>5.81</v>
      </c>
      <c r="H13" s="20"/>
    </row>
    <row r="14" spans="1:11" x14ac:dyDescent="0.35">
      <c r="A14" s="14">
        <v>44635.8125</v>
      </c>
      <c r="B14" s="15">
        <f t="shared" si="0"/>
        <v>12.000000000058208</v>
      </c>
      <c r="C14" s="23">
        <f>23*20*10000</f>
        <v>4600000</v>
      </c>
      <c r="D14" s="20"/>
      <c r="E14" s="5">
        <v>4.2000000000000003E-2</v>
      </c>
      <c r="F14" s="5">
        <v>5.71</v>
      </c>
      <c r="H14" s="15">
        <f>LOG(C14)</f>
        <v>6.6627578316815743</v>
      </c>
    </row>
    <row r="15" spans="1:11" x14ac:dyDescent="0.35">
      <c r="A15" s="14">
        <v>44636.329861111109</v>
      </c>
      <c r="B15" s="15">
        <f t="shared" si="0"/>
        <v>24.416666666686069</v>
      </c>
      <c r="C15" s="21">
        <f>72*20*100000</f>
        <v>144000000</v>
      </c>
      <c r="D15" s="20"/>
      <c r="E15" s="5">
        <v>0.47899999999999998</v>
      </c>
      <c r="F15" s="5">
        <v>4.3600000000000003</v>
      </c>
      <c r="H15" s="15">
        <f>LOG(C15)</f>
        <v>8.1583624920952502</v>
      </c>
    </row>
    <row r="16" spans="1:11" x14ac:dyDescent="0.35">
      <c r="A16" s="14">
        <v>44636.447916666664</v>
      </c>
      <c r="B16" s="15">
        <f t="shared" si="0"/>
        <v>27.25</v>
      </c>
      <c r="C16" s="20"/>
      <c r="D16" s="20"/>
      <c r="E16" s="5">
        <v>0.57899999999999996</v>
      </c>
      <c r="F16" s="5">
        <v>4.21</v>
      </c>
      <c r="H16" s="20"/>
    </row>
    <row r="17" spans="1:11" x14ac:dyDescent="0.35">
      <c r="A17" s="14">
        <v>44636.5625</v>
      </c>
      <c r="B17" s="15">
        <f t="shared" si="0"/>
        <v>30.000000000058208</v>
      </c>
      <c r="C17" s="20"/>
      <c r="D17" s="20"/>
      <c r="E17" s="5">
        <v>0.61699999999999999</v>
      </c>
      <c r="F17" s="5">
        <v>4.08</v>
      </c>
      <c r="H17" s="20"/>
    </row>
    <row r="18" spans="1:11" x14ac:dyDescent="0.35">
      <c r="A18" s="14">
        <v>44636.6875</v>
      </c>
      <c r="B18" s="15">
        <f t="shared" si="0"/>
        <v>33.000000000058208</v>
      </c>
      <c r="C18" s="20"/>
      <c r="D18" s="20"/>
      <c r="E18" s="16">
        <v>0.77</v>
      </c>
      <c r="F18" s="5">
        <v>4.01</v>
      </c>
      <c r="H18" s="20"/>
    </row>
    <row r="19" spans="1:11" x14ac:dyDescent="0.35">
      <c r="A19" s="14">
        <v>44636.805555555555</v>
      </c>
      <c r="B19" s="15">
        <f t="shared" si="0"/>
        <v>35.833333333372138</v>
      </c>
      <c r="C19" s="21">
        <f>90*20*100000</f>
        <v>180000000</v>
      </c>
      <c r="D19" s="20"/>
      <c r="E19" s="5">
        <v>0.80700000000000005</v>
      </c>
      <c r="F19" s="5">
        <v>3.96</v>
      </c>
      <c r="H19" s="15">
        <f>LOG(C19)</f>
        <v>8.2552725051033065</v>
      </c>
    </row>
    <row r="20" spans="1:11" x14ac:dyDescent="0.35">
      <c r="A20" s="14">
        <v>44637.333333333336</v>
      </c>
      <c r="B20" s="15">
        <f t="shared" si="0"/>
        <v>48.500000000116415</v>
      </c>
      <c r="C20" s="21">
        <f>87*20*100000</f>
        <v>174000000</v>
      </c>
      <c r="D20" s="20"/>
      <c r="E20" s="5">
        <v>1.008</v>
      </c>
      <c r="F20" s="5">
        <v>3.75</v>
      </c>
      <c r="H20" s="15">
        <f>LOG(C20)</f>
        <v>8.2405492482825995</v>
      </c>
    </row>
    <row r="21" spans="1:11" x14ac:dyDescent="0.35">
      <c r="A21" s="14">
        <v>44637.5625</v>
      </c>
      <c r="B21" s="15">
        <f t="shared" si="0"/>
        <v>54.000000000058208</v>
      </c>
      <c r="C21" s="21">
        <f>76*20*100000</f>
        <v>152000000</v>
      </c>
      <c r="D21" s="20"/>
      <c r="E21" s="5">
        <v>1.139</v>
      </c>
      <c r="F21" s="15">
        <v>3.7</v>
      </c>
      <c r="H21" s="15">
        <f t="shared" ref="H21" si="1">LOG(C21)</f>
        <v>8.1818435879447726</v>
      </c>
    </row>
    <row r="22" spans="1:11" x14ac:dyDescent="0.35">
      <c r="B22" s="5"/>
      <c r="C22" s="5"/>
    </row>
    <row r="23" spans="1:11" x14ac:dyDescent="0.35">
      <c r="B23" s="5"/>
      <c r="C23" s="5"/>
      <c r="E23" t="s">
        <v>31</v>
      </c>
      <c r="F23">
        <f>MIN(F10:F21)</f>
        <v>3.7</v>
      </c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44635.354166666664</v>
      </c>
      <c r="B32" s="15">
        <f>0*(24)+1</f>
        <v>1</v>
      </c>
      <c r="C32" s="21">
        <f>2*20*10^2</f>
        <v>4000</v>
      </c>
      <c r="D32" s="20"/>
      <c r="E32" s="5">
        <v>7.0000000000000001E-3</v>
      </c>
      <c r="F32" s="5">
        <v>5.84</v>
      </c>
      <c r="H32" s="15">
        <f>LOG(C32)</f>
        <v>3.6020599913279625</v>
      </c>
      <c r="I32" s="5"/>
      <c r="J32" s="5"/>
      <c r="K32" s="5"/>
    </row>
    <row r="33" spans="1:11" x14ac:dyDescent="0.35">
      <c r="A33" s="14">
        <v>44635.447916666664</v>
      </c>
      <c r="B33" s="15">
        <f>(A33-$A$10)*(24)+1</f>
        <v>3.25</v>
      </c>
      <c r="C33" s="20"/>
      <c r="D33" s="20"/>
      <c r="E33" s="16">
        <v>-2.1000000000000001E-2</v>
      </c>
      <c r="F33" s="5">
        <v>5.83</v>
      </c>
      <c r="H33" s="20"/>
      <c r="I33" s="5"/>
      <c r="J33" s="5"/>
      <c r="K33" s="5"/>
    </row>
    <row r="34" spans="1:11" x14ac:dyDescent="0.35">
      <c r="A34" s="14">
        <v>44635.5625</v>
      </c>
      <c r="B34" s="15">
        <f t="shared" ref="B34:B43" si="2">(A34-$A$10)*(24)+1</f>
        <v>6.0000000000582077</v>
      </c>
      <c r="C34" s="20"/>
      <c r="D34" s="20"/>
      <c r="E34" s="5">
        <v>-2.1000000000000001E-2</v>
      </c>
      <c r="F34" s="5">
        <v>5.86</v>
      </c>
      <c r="H34" s="20"/>
      <c r="I34" s="5"/>
      <c r="J34" s="5"/>
      <c r="K34" s="5"/>
    </row>
    <row r="35" spans="1:11" x14ac:dyDescent="0.35">
      <c r="A35" s="14">
        <v>44635.6875</v>
      </c>
      <c r="B35" s="15">
        <f t="shared" si="2"/>
        <v>9.0000000000582077</v>
      </c>
      <c r="C35" s="20"/>
      <c r="D35" s="20"/>
      <c r="E35" s="5">
        <v>0.01</v>
      </c>
      <c r="F35" s="5">
        <v>5.87</v>
      </c>
      <c r="H35" s="20"/>
      <c r="I35" s="5"/>
      <c r="J35" s="5"/>
      <c r="K35" s="5"/>
    </row>
    <row r="36" spans="1:11" x14ac:dyDescent="0.35">
      <c r="A36" s="14">
        <v>44635.8125</v>
      </c>
      <c r="B36" s="15">
        <f t="shared" si="2"/>
        <v>12.000000000058208</v>
      </c>
      <c r="C36" s="22" t="s">
        <v>33</v>
      </c>
      <c r="D36" s="20"/>
      <c r="E36" s="5">
        <v>-6.0000000000000001E-3</v>
      </c>
      <c r="F36" s="5">
        <v>5.83</v>
      </c>
      <c r="H36" s="17" t="e">
        <f>LOG(C36)</f>
        <v>#VALUE!</v>
      </c>
      <c r="I36" s="5"/>
      <c r="J36" s="5"/>
      <c r="K36" s="5"/>
    </row>
    <row r="37" spans="1:11" x14ac:dyDescent="0.35">
      <c r="A37" s="14">
        <v>44636.329861111109</v>
      </c>
      <c r="B37" s="15">
        <f t="shared" si="2"/>
        <v>24.416666666686069</v>
      </c>
      <c r="C37" s="21">
        <f>233*20*1000</f>
        <v>4660000</v>
      </c>
      <c r="D37" s="20"/>
      <c r="E37" s="5">
        <v>6.9000000000000006E-2</v>
      </c>
      <c r="F37" s="5">
        <v>5.78</v>
      </c>
      <c r="H37" s="15">
        <f>LOG(C37)</f>
        <v>6.6683859166900001</v>
      </c>
      <c r="I37" s="5"/>
      <c r="J37" s="5"/>
      <c r="K37" s="5"/>
    </row>
    <row r="38" spans="1:11" x14ac:dyDescent="0.35">
      <c r="A38" s="14">
        <v>44636.447916666664</v>
      </c>
      <c r="B38" s="15">
        <f t="shared" si="2"/>
        <v>27.25</v>
      </c>
      <c r="C38" s="20"/>
      <c r="D38" s="20"/>
      <c r="E38" s="16">
        <v>0.14000000000000001</v>
      </c>
      <c r="F38" s="5">
        <v>5.69</v>
      </c>
      <c r="H38" s="20"/>
      <c r="I38" s="5"/>
      <c r="J38" s="5"/>
      <c r="K38" s="5"/>
    </row>
    <row r="39" spans="1:11" x14ac:dyDescent="0.35">
      <c r="A39" s="14">
        <v>44636.5625</v>
      </c>
      <c r="B39" s="15">
        <f t="shared" si="2"/>
        <v>30.000000000058208</v>
      </c>
      <c r="C39" s="20"/>
      <c r="D39" s="20"/>
      <c r="E39" s="16">
        <v>0.03</v>
      </c>
      <c r="F39" s="5">
        <v>5.53</v>
      </c>
      <c r="H39" s="20"/>
      <c r="I39" s="5"/>
      <c r="J39" s="5"/>
      <c r="K39" s="5"/>
    </row>
    <row r="40" spans="1:11" x14ac:dyDescent="0.35">
      <c r="A40" s="14">
        <v>44636.6875</v>
      </c>
      <c r="B40" s="15">
        <f t="shared" si="2"/>
        <v>33.000000000058208</v>
      </c>
      <c r="C40" s="20"/>
      <c r="D40" s="20"/>
      <c r="E40" s="16">
        <v>8.3000000000000004E-2</v>
      </c>
      <c r="F40" s="5">
        <v>5.18</v>
      </c>
      <c r="H40" s="20"/>
      <c r="I40" s="5"/>
      <c r="J40" s="5"/>
      <c r="K40" s="5"/>
    </row>
    <row r="41" spans="1:11" x14ac:dyDescent="0.35">
      <c r="A41" s="14">
        <v>44636.805555555555</v>
      </c>
      <c r="B41" s="15">
        <f t="shared" si="2"/>
        <v>35.833333333372138</v>
      </c>
      <c r="C41" s="21">
        <f>55*20*100000</f>
        <v>110000000</v>
      </c>
      <c r="D41" s="20"/>
      <c r="E41" s="5">
        <v>0.17100000000000001</v>
      </c>
      <c r="F41" s="15">
        <v>4.8</v>
      </c>
      <c r="H41" s="15">
        <f>LOG(C41)</f>
        <v>8.0413926851582254</v>
      </c>
      <c r="I41" s="5"/>
      <c r="J41" s="5"/>
      <c r="K41" s="5"/>
    </row>
    <row r="42" spans="1:11" x14ac:dyDescent="0.35">
      <c r="A42" s="14">
        <v>44637.333333333336</v>
      </c>
      <c r="B42" s="15">
        <f t="shared" si="2"/>
        <v>48.500000000116415</v>
      </c>
      <c r="C42" s="21">
        <f>102*20*100000</f>
        <v>204000000</v>
      </c>
      <c r="D42" s="20"/>
      <c r="E42" s="5">
        <v>0.63500000000000001</v>
      </c>
      <c r="F42" s="5">
        <v>3.92</v>
      </c>
      <c r="H42" s="15">
        <f>LOG(C42)</f>
        <v>8.3096301674258992</v>
      </c>
      <c r="I42" s="5"/>
      <c r="J42" s="5"/>
      <c r="K42" s="5"/>
    </row>
    <row r="43" spans="1:11" x14ac:dyDescent="0.35">
      <c r="A43" s="14">
        <v>44637.5625</v>
      </c>
      <c r="B43" s="15">
        <f t="shared" si="2"/>
        <v>54.000000000058208</v>
      </c>
      <c r="C43" s="21">
        <f>110*20*100000</f>
        <v>220000000</v>
      </c>
      <c r="D43" s="20"/>
      <c r="E43" s="5">
        <v>0.93700000000000006</v>
      </c>
      <c r="F43" s="15">
        <v>3.78</v>
      </c>
      <c r="H43" s="15">
        <f>LOG(C43)</f>
        <v>8.3424226808222066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E45" t="s">
        <v>31</v>
      </c>
      <c r="F45">
        <f>MIN(F32:F43)</f>
        <v>3.78</v>
      </c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44635.354166666664</v>
      </c>
      <c r="B52" s="15">
        <f>0*(24)+1</f>
        <v>1</v>
      </c>
      <c r="C52" s="19"/>
      <c r="D52" s="21">
        <f>26*20*10</f>
        <v>5200</v>
      </c>
      <c r="E52" s="5">
        <v>-1E-3</v>
      </c>
      <c r="F52" s="5">
        <v>5.85</v>
      </c>
      <c r="H52" s="15">
        <f>LOG(D52)</f>
        <v>3.716003343634799</v>
      </c>
    </row>
    <row r="53" spans="1:11" x14ac:dyDescent="0.35">
      <c r="A53" s="14">
        <v>44635.447916666664</v>
      </c>
      <c r="B53" s="15">
        <f>(A53-$A$10)*(24)+1</f>
        <v>3.25</v>
      </c>
      <c r="C53" s="19"/>
      <c r="D53" s="19"/>
      <c r="E53" s="5">
        <v>-1.7000000000000001E-2</v>
      </c>
      <c r="F53" s="5">
        <v>5.85</v>
      </c>
      <c r="H53" s="19"/>
    </row>
    <row r="54" spans="1:11" x14ac:dyDescent="0.35">
      <c r="A54" s="14">
        <v>44635.5625</v>
      </c>
      <c r="B54" s="15">
        <f t="shared" ref="B54:B63" si="3">(A54-$A$10)*(24)+1</f>
        <v>6.0000000000582077</v>
      </c>
      <c r="C54" s="19"/>
      <c r="D54" s="19"/>
      <c r="E54" s="5">
        <v>-8.9999999999999993E-3</v>
      </c>
      <c r="F54" s="5">
        <v>5.85</v>
      </c>
      <c r="H54" s="19"/>
    </row>
    <row r="55" spans="1:11" x14ac:dyDescent="0.35">
      <c r="A55" s="14">
        <v>44635.6875</v>
      </c>
      <c r="B55" s="15">
        <f t="shared" si="3"/>
        <v>9.0000000000582077</v>
      </c>
      <c r="C55" s="19"/>
      <c r="D55" s="19"/>
      <c r="E55" s="5">
        <v>-1.6E-2</v>
      </c>
      <c r="F55" s="5">
        <v>5.84</v>
      </c>
      <c r="H55" s="19"/>
    </row>
    <row r="56" spans="1:11" x14ac:dyDescent="0.35">
      <c r="A56" s="14">
        <v>44635.8125</v>
      </c>
      <c r="B56" s="15">
        <f t="shared" si="3"/>
        <v>12.000000000058208</v>
      </c>
      <c r="C56" s="19"/>
      <c r="D56" s="21">
        <f>192*10*20</f>
        <v>38400</v>
      </c>
      <c r="E56" s="5">
        <v>-7.0000000000000001E-3</v>
      </c>
      <c r="F56" s="5">
        <v>5.82</v>
      </c>
      <c r="H56" s="15">
        <f>LOG(D56)</f>
        <v>4.5843312243675305</v>
      </c>
    </row>
    <row r="57" spans="1:11" x14ac:dyDescent="0.35">
      <c r="A57" s="14">
        <v>44636.329861111109</v>
      </c>
      <c r="B57" s="15">
        <f t="shared" si="3"/>
        <v>24.416666666686069</v>
      </c>
      <c r="C57" s="19"/>
      <c r="D57" s="21">
        <f>5*20*10000</f>
        <v>1000000</v>
      </c>
      <c r="E57" s="5">
        <v>4.7E-2</v>
      </c>
      <c r="F57" s="5">
        <v>5.84</v>
      </c>
      <c r="H57" s="15">
        <f>LOG(D57)</f>
        <v>6</v>
      </c>
    </row>
    <row r="58" spans="1:11" x14ac:dyDescent="0.35">
      <c r="A58" s="14">
        <v>44636.447916666664</v>
      </c>
      <c r="B58" s="15">
        <f t="shared" si="3"/>
        <v>27.25</v>
      </c>
      <c r="C58" s="19"/>
      <c r="D58" s="19"/>
      <c r="E58" s="16">
        <v>8.9999999999999993E-3</v>
      </c>
      <c r="F58" s="5">
        <v>5.85</v>
      </c>
      <c r="H58" s="19"/>
    </row>
    <row r="59" spans="1:11" x14ac:dyDescent="0.35">
      <c r="A59" s="14">
        <v>44636.5625</v>
      </c>
      <c r="B59" s="15">
        <f t="shared" si="3"/>
        <v>30.000000000058208</v>
      </c>
      <c r="C59" s="19"/>
      <c r="D59" s="19"/>
      <c r="E59" s="5">
        <v>-5.0000000000000001E-3</v>
      </c>
      <c r="F59" s="5">
        <v>5.83</v>
      </c>
      <c r="H59" s="19"/>
    </row>
    <row r="60" spans="1:11" x14ac:dyDescent="0.35">
      <c r="A60" s="14">
        <v>44636.6875</v>
      </c>
      <c r="B60" s="15">
        <f t="shared" si="3"/>
        <v>33.000000000058208</v>
      </c>
      <c r="C60" s="19"/>
      <c r="D60" s="19"/>
      <c r="E60" s="5">
        <v>3.0000000000000001E-3</v>
      </c>
      <c r="F60" s="15">
        <v>5.79</v>
      </c>
      <c r="H60" s="19"/>
    </row>
    <row r="61" spans="1:11" x14ac:dyDescent="0.35">
      <c r="A61" s="14">
        <v>44636.805555555555</v>
      </c>
      <c r="B61" s="15">
        <f t="shared" si="3"/>
        <v>35.833333333372138</v>
      </c>
      <c r="C61" s="19"/>
      <c r="D61" s="22" t="s">
        <v>41</v>
      </c>
      <c r="E61" s="5">
        <v>4.2999999999999997E-2</v>
      </c>
      <c r="F61" s="15">
        <v>5.67</v>
      </c>
      <c r="H61" s="17" t="e">
        <f>LOG(D61)</f>
        <v>#VALUE!</v>
      </c>
    </row>
    <row r="62" spans="1:11" x14ac:dyDescent="0.35">
      <c r="A62" s="14">
        <v>44637.333333333336</v>
      </c>
      <c r="B62" s="15">
        <f t="shared" si="3"/>
        <v>48.500000000116415</v>
      </c>
      <c r="C62" s="19"/>
      <c r="D62" s="24">
        <f>206*20*100000</f>
        <v>412000000</v>
      </c>
      <c r="E62" s="16">
        <v>0.46</v>
      </c>
      <c r="F62" s="5">
        <v>4.7300000000000004</v>
      </c>
      <c r="H62" s="15">
        <f>LOG(D62)</f>
        <v>8.6148972160331354</v>
      </c>
    </row>
    <row r="63" spans="1:11" x14ac:dyDescent="0.35">
      <c r="A63" s="14">
        <v>44637.5625</v>
      </c>
      <c r="B63" s="15">
        <f t="shared" si="3"/>
        <v>54.000000000058208</v>
      </c>
      <c r="C63" s="20"/>
      <c r="D63" s="23">
        <f>301*20*100000</f>
        <v>602000000</v>
      </c>
      <c r="E63" s="5">
        <v>0.26100000000000001</v>
      </c>
      <c r="F63" s="15">
        <v>4.46</v>
      </c>
      <c r="H63" s="27">
        <f>LOG(D63)</f>
        <v>8.7795964912578253</v>
      </c>
    </row>
    <row r="65" spans="1:11" x14ac:dyDescent="0.35">
      <c r="E65" t="s">
        <v>31</v>
      </c>
      <c r="F65">
        <f>MIN(F52:F63)</f>
        <v>4.46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44635.354166666664</v>
      </c>
      <c r="B73" s="15">
        <f>0*(24)+1</f>
        <v>1</v>
      </c>
      <c r="C73" s="21">
        <f>79*20*100</f>
        <v>158000</v>
      </c>
      <c r="D73" s="21">
        <f>30*20*10</f>
        <v>6000</v>
      </c>
      <c r="E73" s="5">
        <v>4.0000000000000001E-3</v>
      </c>
      <c r="F73" s="15">
        <v>5.8</v>
      </c>
      <c r="H73" s="15">
        <f>LOG(C73)</f>
        <v>5.1986570869544222</v>
      </c>
      <c r="I73" s="15">
        <f>LOG(D73)</f>
        <v>3.7781512503836434</v>
      </c>
    </row>
    <row r="74" spans="1:11" x14ac:dyDescent="0.35">
      <c r="A74" s="14">
        <v>44635.447916666664</v>
      </c>
      <c r="B74" s="15">
        <f>(A74-$A$10)*(24)+1</f>
        <v>3.25</v>
      </c>
      <c r="C74" s="21">
        <f>179*20*100</f>
        <v>358000</v>
      </c>
      <c r="D74" s="21">
        <f>34*20*10</f>
        <v>6800</v>
      </c>
      <c r="E74" s="5">
        <v>-3.1E-2</v>
      </c>
      <c r="F74" s="5">
        <v>5.86</v>
      </c>
      <c r="H74" s="15">
        <f t="shared" ref="H74:I84" si="4">LOG(C74)</f>
        <v>5.5538830266438746</v>
      </c>
      <c r="I74" s="15">
        <f t="shared" si="4"/>
        <v>3.8325089127062362</v>
      </c>
    </row>
    <row r="75" spans="1:11" x14ac:dyDescent="0.35">
      <c r="A75" s="14">
        <v>44635.5625</v>
      </c>
      <c r="B75" s="15">
        <f t="shared" ref="B75:B84" si="5">(A75-$A$10)*(24)+1</f>
        <v>6.0000000000582077</v>
      </c>
      <c r="C75" s="21">
        <f>60*20*10^3</f>
        <v>1200000</v>
      </c>
      <c r="D75" s="21">
        <f>66*20*10</f>
        <v>13200</v>
      </c>
      <c r="E75" s="16">
        <v>4.0000000000000001E-3</v>
      </c>
      <c r="F75" s="15">
        <v>5.83</v>
      </c>
      <c r="H75" s="15">
        <f t="shared" si="4"/>
        <v>6.0791812460476251</v>
      </c>
      <c r="I75" s="15">
        <f t="shared" si="4"/>
        <v>4.1205739312058496</v>
      </c>
    </row>
    <row r="76" spans="1:11" x14ac:dyDescent="0.35">
      <c r="A76" s="14">
        <v>44635.6875</v>
      </c>
      <c r="B76" s="15">
        <f t="shared" si="5"/>
        <v>9.0000000000582077</v>
      </c>
      <c r="C76" s="21">
        <f>136*20*10^3</f>
        <v>2720000</v>
      </c>
      <c r="D76" s="21">
        <f>153*20*10</f>
        <v>30600</v>
      </c>
      <c r="E76" s="5">
        <v>5.0000000000000001E-3</v>
      </c>
      <c r="F76" s="5">
        <v>5.81</v>
      </c>
      <c r="H76" s="15">
        <f t="shared" si="4"/>
        <v>6.4345689040341991</v>
      </c>
      <c r="I76" s="15">
        <f t="shared" si="4"/>
        <v>4.4857214264815797</v>
      </c>
    </row>
    <row r="77" spans="1:11" x14ac:dyDescent="0.35">
      <c r="A77" s="14">
        <v>44635.8125</v>
      </c>
      <c r="B77" s="15">
        <f t="shared" si="5"/>
        <v>12.000000000058208</v>
      </c>
      <c r="C77" s="21">
        <f>33*20*10000</f>
        <v>6600000</v>
      </c>
      <c r="D77" s="21">
        <f>425*10*10</f>
        <v>42500</v>
      </c>
      <c r="E77" s="5">
        <v>-4.0000000000000001E-3</v>
      </c>
      <c r="F77" s="5">
        <v>5.75</v>
      </c>
      <c r="H77" s="15">
        <f t="shared" si="4"/>
        <v>6.8195439355418683</v>
      </c>
      <c r="I77" s="15">
        <f t="shared" si="4"/>
        <v>4.6283889300503116</v>
      </c>
    </row>
    <row r="78" spans="1:11" x14ac:dyDescent="0.35">
      <c r="A78" s="14">
        <v>44636.329861111109</v>
      </c>
      <c r="B78" s="15">
        <f t="shared" si="5"/>
        <v>24.416666666686069</v>
      </c>
      <c r="C78" s="21">
        <f>48*20*100000</f>
        <v>96000000</v>
      </c>
      <c r="D78" s="23">
        <f>AVERAGE(1264*2,134*2*10)</f>
        <v>2604</v>
      </c>
      <c r="E78" s="5">
        <v>0.54900000000000004</v>
      </c>
      <c r="F78" s="5">
        <v>4.37</v>
      </c>
      <c r="H78" s="15">
        <f t="shared" si="4"/>
        <v>7.982271233039568</v>
      </c>
      <c r="I78" s="15">
        <f t="shared" si="4"/>
        <v>3.4156409798961542</v>
      </c>
    </row>
    <row r="79" spans="1:11" x14ac:dyDescent="0.35">
      <c r="A79" s="14">
        <v>44636.447916666664</v>
      </c>
      <c r="B79" s="15">
        <f t="shared" si="5"/>
        <v>27.25</v>
      </c>
      <c r="C79" s="21">
        <f>91*20*100000</f>
        <v>182000000</v>
      </c>
      <c r="D79" s="23">
        <f>AVERAGE(597*2,68*2*10)</f>
        <v>1277</v>
      </c>
      <c r="E79" s="16">
        <v>0.56999999999999995</v>
      </c>
      <c r="F79" s="5">
        <v>4.17</v>
      </c>
      <c r="H79" s="15">
        <f t="shared" si="4"/>
        <v>8.2600713879850751</v>
      </c>
      <c r="I79" s="15">
        <f t="shared" si="4"/>
        <v>3.1061908972634154</v>
      </c>
    </row>
    <row r="80" spans="1:11" x14ac:dyDescent="0.35">
      <c r="A80" s="14">
        <v>44636.5625</v>
      </c>
      <c r="B80" s="15">
        <f t="shared" si="5"/>
        <v>30.000000000058208</v>
      </c>
      <c r="C80" s="21">
        <f>106*20*100000</f>
        <v>212000000</v>
      </c>
      <c r="D80" s="23">
        <f>70*2</f>
        <v>140</v>
      </c>
      <c r="E80" s="5">
        <v>0.65300000000000002</v>
      </c>
      <c r="F80" s="5">
        <v>4.01</v>
      </c>
      <c r="H80" s="15">
        <f t="shared" si="4"/>
        <v>8.3263358609287508</v>
      </c>
      <c r="I80" s="15">
        <f t="shared" si="4"/>
        <v>2.1461280356782382</v>
      </c>
    </row>
    <row r="81" spans="1:11" x14ac:dyDescent="0.35">
      <c r="A81" s="14">
        <v>44636.6875</v>
      </c>
      <c r="B81" s="15">
        <f t="shared" si="5"/>
        <v>33.000000000058208</v>
      </c>
      <c r="C81" s="21">
        <f>108*20*100000</f>
        <v>216000000</v>
      </c>
      <c r="D81" s="23">
        <f>24*2</f>
        <v>48</v>
      </c>
      <c r="E81" s="5">
        <v>0.749</v>
      </c>
      <c r="F81" s="5">
        <v>4.01</v>
      </c>
      <c r="H81" s="15">
        <f t="shared" si="4"/>
        <v>8.3344537511509316</v>
      </c>
      <c r="I81" s="15">
        <f t="shared" si="4"/>
        <v>1.6812412373755872</v>
      </c>
    </row>
    <row r="82" spans="1:11" x14ac:dyDescent="0.35">
      <c r="A82" s="14">
        <v>44636.805555555555</v>
      </c>
      <c r="B82" s="15">
        <f t="shared" si="5"/>
        <v>35.833333333372138</v>
      </c>
      <c r="C82" s="21">
        <f>102*20*100000</f>
        <v>204000000</v>
      </c>
      <c r="D82" s="23">
        <f>17*2</f>
        <v>34</v>
      </c>
      <c r="E82" s="5">
        <v>0.83099999999999996</v>
      </c>
      <c r="F82" s="5">
        <v>3.97</v>
      </c>
      <c r="H82" s="15">
        <f t="shared" si="4"/>
        <v>8.3096301674258992</v>
      </c>
      <c r="I82" s="15">
        <f t="shared" si="4"/>
        <v>1.5314789170422551</v>
      </c>
    </row>
    <row r="83" spans="1:11" x14ac:dyDescent="0.35">
      <c r="A83" s="14">
        <v>44637.333333333336</v>
      </c>
      <c r="B83" s="15">
        <f t="shared" si="5"/>
        <v>48.500000000116415</v>
      </c>
      <c r="C83" s="21">
        <f>81*20*100000</f>
        <v>162000000</v>
      </c>
      <c r="D83" s="22" t="s">
        <v>33</v>
      </c>
      <c r="E83" s="5">
        <v>1.0309999999999999</v>
      </c>
      <c r="F83" s="5">
        <v>3.74</v>
      </c>
      <c r="H83" s="15">
        <f t="shared" si="4"/>
        <v>8.2095150145426317</v>
      </c>
      <c r="I83" s="17" t="e">
        <f t="shared" si="4"/>
        <v>#VALUE!</v>
      </c>
    </row>
    <row r="84" spans="1:11" x14ac:dyDescent="0.35">
      <c r="A84" s="14">
        <v>44637.5625</v>
      </c>
      <c r="B84" s="15">
        <f t="shared" si="5"/>
        <v>54.000000000058208</v>
      </c>
      <c r="C84" s="21">
        <f>83*20*100000</f>
        <v>166000000</v>
      </c>
      <c r="D84" s="22" t="s">
        <v>38</v>
      </c>
      <c r="E84" s="5">
        <v>1.125</v>
      </c>
      <c r="F84" s="5">
        <v>3.72</v>
      </c>
      <c r="H84" s="15">
        <f t="shared" si="4"/>
        <v>8.220108088040055</v>
      </c>
      <c r="I84" s="17" t="e">
        <f t="shared" si="4"/>
        <v>#VALUE!</v>
      </c>
    </row>
    <row r="85" spans="1:11" x14ac:dyDescent="0.35">
      <c r="C85" s="5"/>
    </row>
    <row r="86" spans="1:11" x14ac:dyDescent="0.35">
      <c r="C86" s="5"/>
      <c r="E86" t="s">
        <v>31</v>
      </c>
      <c r="F86">
        <f>MIN(F73:F84)</f>
        <v>3.72</v>
      </c>
    </row>
    <row r="87" spans="1:11" x14ac:dyDescent="0.35">
      <c r="C87" s="5"/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44635.354166666664</v>
      </c>
      <c r="B95" s="15">
        <f>0*(24)+1</f>
        <v>1</v>
      </c>
      <c r="C95" s="23">
        <f>5*20*100</f>
        <v>10000</v>
      </c>
      <c r="D95" s="21">
        <f>17*20*10</f>
        <v>3400</v>
      </c>
      <c r="E95" s="5">
        <v>-3.5000000000000003E-2</v>
      </c>
      <c r="F95" s="15">
        <v>5.84</v>
      </c>
      <c r="H95" s="18">
        <f>LOG(C95)</f>
        <v>4</v>
      </c>
      <c r="I95" s="15">
        <f>LOG(D95)</f>
        <v>3.5314789170422549</v>
      </c>
      <c r="J95" s="5"/>
      <c r="K95" s="5"/>
    </row>
    <row r="96" spans="1:11" x14ac:dyDescent="0.35">
      <c r="A96" s="14">
        <v>44635.447916666664</v>
      </c>
      <c r="B96" s="15">
        <f>(A96-$A$10)*(24)+1</f>
        <v>3.25</v>
      </c>
      <c r="C96" s="21">
        <f>6*20*100</f>
        <v>12000</v>
      </c>
      <c r="D96" s="21">
        <f>32*20*10</f>
        <v>6400</v>
      </c>
      <c r="E96" s="5">
        <v>-1.6E-2</v>
      </c>
      <c r="F96" s="15">
        <v>5.83</v>
      </c>
      <c r="H96" s="15">
        <f t="shared" ref="H96:I106" si="6">LOG(C96)</f>
        <v>4.0791812460476251</v>
      </c>
      <c r="I96" s="15">
        <f t="shared" si="6"/>
        <v>3.8061799739838871</v>
      </c>
      <c r="J96" s="5"/>
      <c r="K96" s="5"/>
    </row>
    <row r="97" spans="1:11" x14ac:dyDescent="0.35">
      <c r="A97" s="14">
        <v>44635.5625</v>
      </c>
      <c r="B97" s="15">
        <f t="shared" ref="B97:B106" si="7">(A97-$A$10)*(24)+1</f>
        <v>6.0000000000582077</v>
      </c>
      <c r="C97" s="21">
        <f>2*20*10^3</f>
        <v>40000</v>
      </c>
      <c r="D97" s="21">
        <f>71*20*10</f>
        <v>14200</v>
      </c>
      <c r="E97" s="16">
        <v>2E-3</v>
      </c>
      <c r="F97" s="5">
        <v>5.85</v>
      </c>
      <c r="H97" s="15">
        <f t="shared" si="6"/>
        <v>4.6020599913279625</v>
      </c>
      <c r="I97" s="15">
        <f t="shared" si="6"/>
        <v>4.1522883443830567</v>
      </c>
      <c r="J97" s="5"/>
      <c r="K97" s="5"/>
    </row>
    <row r="98" spans="1:11" x14ac:dyDescent="0.35">
      <c r="A98" s="14">
        <v>44635.6875</v>
      </c>
      <c r="B98" s="15">
        <f t="shared" si="7"/>
        <v>9.0000000000582077</v>
      </c>
      <c r="C98" s="21">
        <f>7*20*10^3</f>
        <v>140000</v>
      </c>
      <c r="D98" s="21">
        <f>176*20*10</f>
        <v>35200</v>
      </c>
      <c r="E98" s="5">
        <v>-1.4999999999999999E-2</v>
      </c>
      <c r="F98" s="5">
        <v>5.85</v>
      </c>
      <c r="H98" s="15">
        <f t="shared" si="6"/>
        <v>5.1461280356782382</v>
      </c>
      <c r="I98" s="15">
        <f t="shared" si="6"/>
        <v>4.5465426634781307</v>
      </c>
      <c r="J98" s="5"/>
      <c r="K98" s="5"/>
    </row>
    <row r="99" spans="1:11" x14ac:dyDescent="0.35">
      <c r="A99" s="14">
        <v>44635.8125</v>
      </c>
      <c r="B99" s="15">
        <f t="shared" si="7"/>
        <v>12.000000000058208</v>
      </c>
      <c r="C99" s="21">
        <f>1*20*10000</f>
        <v>200000</v>
      </c>
      <c r="D99" s="21">
        <f>231*20*10</f>
        <v>46200</v>
      </c>
      <c r="E99" s="5">
        <v>5.0000000000000001E-3</v>
      </c>
      <c r="F99" s="5">
        <v>5.86</v>
      </c>
      <c r="H99" s="15">
        <f t="shared" si="6"/>
        <v>5.3010299956639813</v>
      </c>
      <c r="I99" s="15">
        <f t="shared" si="6"/>
        <v>4.6646419755561253</v>
      </c>
      <c r="J99" s="5"/>
      <c r="K99" s="5"/>
    </row>
    <row r="100" spans="1:11" x14ac:dyDescent="0.35">
      <c r="A100" s="14">
        <v>44636.329861111109</v>
      </c>
      <c r="B100" s="15">
        <f t="shared" si="7"/>
        <v>24.416666666686069</v>
      </c>
      <c r="C100" s="21">
        <f>3*20*100000</f>
        <v>6000000</v>
      </c>
      <c r="D100" s="21">
        <f>2300000</f>
        <v>2300000</v>
      </c>
      <c r="E100" s="5">
        <v>7.9000000000000001E-2</v>
      </c>
      <c r="F100" s="5">
        <v>5.81</v>
      </c>
      <c r="H100" s="15">
        <f t="shared" si="6"/>
        <v>6.7781512503836439</v>
      </c>
      <c r="I100" s="15">
        <f t="shared" si="6"/>
        <v>6.3617278360175931</v>
      </c>
      <c r="J100" s="5"/>
      <c r="K100" s="5"/>
    </row>
    <row r="101" spans="1:11" x14ac:dyDescent="0.35">
      <c r="A101" s="14">
        <v>44636.447916666664</v>
      </c>
      <c r="B101" s="15">
        <f t="shared" si="7"/>
        <v>27.25</v>
      </c>
      <c r="C101" s="23">
        <f>6*20*100000</f>
        <v>12000000</v>
      </c>
      <c r="D101" s="21">
        <f>AVERAGE(3580000,4530000,3500000)</f>
        <v>3870000</v>
      </c>
      <c r="E101" s="5">
        <v>3.5999999999999997E-2</v>
      </c>
      <c r="F101" s="5">
        <v>5.69</v>
      </c>
      <c r="H101" s="17">
        <f t="shared" si="6"/>
        <v>7.0791812460476251</v>
      </c>
      <c r="I101" s="15">
        <f t="shared" si="6"/>
        <v>6.5877109650189114</v>
      </c>
      <c r="J101" s="5"/>
      <c r="K101" s="5"/>
    </row>
    <row r="102" spans="1:11" x14ac:dyDescent="0.35">
      <c r="A102" s="14">
        <v>44636.5625</v>
      </c>
      <c r="B102" s="15">
        <f t="shared" si="7"/>
        <v>30.000000000058208</v>
      </c>
      <c r="C102" s="21">
        <f>14*20*100000</f>
        <v>28000000</v>
      </c>
      <c r="D102" s="25">
        <f>AVERAGE(12400000,16900000,90700000)</f>
        <v>40000000</v>
      </c>
      <c r="E102" s="5">
        <v>6.2E-2</v>
      </c>
      <c r="F102" s="5">
        <v>5.51</v>
      </c>
      <c r="H102" s="15">
        <f t="shared" si="6"/>
        <v>7.4471580313422194</v>
      </c>
      <c r="I102" s="15">
        <f t="shared" si="6"/>
        <v>7.6020599913279625</v>
      </c>
      <c r="J102" s="5"/>
      <c r="K102" s="5"/>
    </row>
    <row r="103" spans="1:11" x14ac:dyDescent="0.35">
      <c r="A103" s="14">
        <v>44636.6875</v>
      </c>
      <c r="B103" s="15">
        <f t="shared" si="7"/>
        <v>33.000000000058208</v>
      </c>
      <c r="C103" s="21">
        <f>34*20*100000</f>
        <v>68000000</v>
      </c>
      <c r="D103" s="21">
        <f>AVERAGE(25000000,26300000,30000000)</f>
        <v>27100000</v>
      </c>
      <c r="E103" s="5">
        <v>9.4E-2</v>
      </c>
      <c r="F103" s="5">
        <v>5.08</v>
      </c>
      <c r="H103" s="15">
        <f t="shared" si="6"/>
        <v>7.8325089127062366</v>
      </c>
      <c r="I103" s="15">
        <f t="shared" si="6"/>
        <v>7.4329692908744054</v>
      </c>
      <c r="J103" s="5"/>
      <c r="K103" s="5"/>
    </row>
    <row r="104" spans="1:11" x14ac:dyDescent="0.35">
      <c r="A104" s="14">
        <v>44636.805555555555</v>
      </c>
      <c r="B104" s="15">
        <f t="shared" si="7"/>
        <v>35.833333333372138</v>
      </c>
      <c r="C104" s="21">
        <f>40*20*100000</f>
        <v>80000000</v>
      </c>
      <c r="D104" s="21">
        <f>AVERAGE(32000000,33300000,30900000)</f>
        <v>32066666.666666668</v>
      </c>
      <c r="E104" s="5">
        <v>0.155</v>
      </c>
      <c r="F104" s="5">
        <v>4.72</v>
      </c>
      <c r="H104" s="15">
        <f t="shared" si="6"/>
        <v>7.9030899869919438</v>
      </c>
      <c r="I104" s="15">
        <f t="shared" si="6"/>
        <v>7.5060538173181506</v>
      </c>
      <c r="J104" s="5"/>
      <c r="K104" s="5"/>
    </row>
    <row r="105" spans="1:11" x14ac:dyDescent="0.35">
      <c r="A105" s="14">
        <v>44637.333333333336</v>
      </c>
      <c r="B105" s="15">
        <f t="shared" si="7"/>
        <v>48.500000000116415</v>
      </c>
      <c r="C105" s="21">
        <f>111*20*100000</f>
        <v>222000000</v>
      </c>
      <c r="D105" s="21">
        <f>AVERAGE(30700000,27000000,28900000)</f>
        <v>28866666.666666668</v>
      </c>
      <c r="E105" s="16">
        <v>0.71</v>
      </c>
      <c r="F105" s="5">
        <v>3.88</v>
      </c>
      <c r="H105" s="15">
        <f t="shared" si="6"/>
        <v>8.3463529744506388</v>
      </c>
      <c r="I105" s="15">
        <f t="shared" si="6"/>
        <v>7.4603966372976842</v>
      </c>
      <c r="J105" s="5"/>
      <c r="K105" s="5"/>
    </row>
    <row r="106" spans="1:11" x14ac:dyDescent="0.35">
      <c r="A106" s="14">
        <v>44637.5625</v>
      </c>
      <c r="B106" s="15">
        <f t="shared" si="7"/>
        <v>54.000000000058208</v>
      </c>
      <c r="C106" s="21">
        <f>2300000000</f>
        <v>2300000000</v>
      </c>
      <c r="D106" s="21">
        <f>202*20*100</f>
        <v>404000</v>
      </c>
      <c r="E106" s="5">
        <v>0.96599999999999997</v>
      </c>
      <c r="F106" s="5">
        <v>3.76</v>
      </c>
      <c r="H106" s="15">
        <f t="shared" si="6"/>
        <v>9.3617278360175931</v>
      </c>
      <c r="I106" s="15">
        <f t="shared" si="6"/>
        <v>5.6063813651106047</v>
      </c>
      <c r="J106" s="5"/>
      <c r="K106" s="5"/>
    </row>
    <row r="107" spans="1:11" x14ac:dyDescent="0.35">
      <c r="H107" s="5"/>
      <c r="I107" s="5"/>
      <c r="J107" s="5"/>
      <c r="K107" s="5"/>
    </row>
    <row r="115" spans="1:11" x14ac:dyDescent="0.35">
      <c r="A115" t="s">
        <v>23</v>
      </c>
      <c r="B115" s="5" t="s">
        <v>24</v>
      </c>
      <c r="C115" s="5" t="s">
        <v>25</v>
      </c>
      <c r="D115" s="5" t="s">
        <v>26</v>
      </c>
      <c r="E115" s="5" t="s">
        <v>27</v>
      </c>
      <c r="F115" s="5" t="s">
        <v>28</v>
      </c>
      <c r="G115" s="5"/>
      <c r="H115" s="5" t="s">
        <v>29</v>
      </c>
      <c r="I115" s="5" t="s">
        <v>30</v>
      </c>
      <c r="J115" s="5" t="s">
        <v>13</v>
      </c>
      <c r="K115" s="5" t="s">
        <v>28</v>
      </c>
    </row>
    <row r="116" spans="1:11" x14ac:dyDescent="0.35">
      <c r="A116" s="14">
        <v>44635.354166666664</v>
      </c>
      <c r="B116" s="15">
        <f>0*(24)+1</f>
        <v>1</v>
      </c>
      <c r="C116" s="23">
        <f>123*20*100</f>
        <v>246000</v>
      </c>
      <c r="D116" s="21">
        <f>20*100</f>
        <v>2000</v>
      </c>
      <c r="E116" s="5">
        <v>-0.01</v>
      </c>
      <c r="F116" s="15">
        <v>6.06</v>
      </c>
      <c r="H116" s="18">
        <f>LOG(C116)</f>
        <v>5.3909351071033793</v>
      </c>
      <c r="I116" s="15">
        <f>LOG(D116)</f>
        <v>3.3010299956639813</v>
      </c>
      <c r="J116" s="5"/>
      <c r="K116" s="5"/>
    </row>
    <row r="117" spans="1:11" x14ac:dyDescent="0.35">
      <c r="A117" s="14">
        <v>44635.447916666664</v>
      </c>
      <c r="B117" s="15">
        <f>(A117-$A$10)*(24)+1</f>
        <v>3.25</v>
      </c>
      <c r="C117" s="21">
        <f>155*20*100</f>
        <v>310000</v>
      </c>
      <c r="D117" s="21">
        <f>43*100</f>
        <v>4300</v>
      </c>
      <c r="E117" s="5">
        <v>-2.1000000000000001E-2</v>
      </c>
      <c r="F117" s="15">
        <v>6.01</v>
      </c>
      <c r="H117" s="15">
        <f t="shared" ref="H117:H127" si="8">LOG(C117)</f>
        <v>5.4913616938342731</v>
      </c>
      <c r="I117" s="15">
        <f t="shared" ref="I117:I127" si="9">LOG(D117)</f>
        <v>3.6334684555795866</v>
      </c>
      <c r="J117" s="5"/>
      <c r="K117" s="5"/>
    </row>
    <row r="118" spans="1:11" x14ac:dyDescent="0.35">
      <c r="A118" s="14">
        <v>44635.5625</v>
      </c>
      <c r="B118" s="15">
        <f t="shared" ref="B118:B127" si="10">(A118-$A$10)*(24)+1</f>
        <v>6.0000000000582077</v>
      </c>
      <c r="C118" s="21">
        <f>92*20*1000</f>
        <v>1840000</v>
      </c>
      <c r="D118" s="21">
        <f>133*100</f>
        <v>13300</v>
      </c>
      <c r="E118" s="16">
        <v>1.0999999999999999E-2</v>
      </c>
      <c r="F118" s="5">
        <v>6</v>
      </c>
      <c r="H118" s="15">
        <f t="shared" si="8"/>
        <v>6.2648178230095368</v>
      </c>
      <c r="I118" s="15">
        <f t="shared" si="9"/>
        <v>4.1238516409670858</v>
      </c>
      <c r="J118" s="5"/>
      <c r="K118" s="5"/>
    </row>
    <row r="119" spans="1:11" x14ac:dyDescent="0.35">
      <c r="A119" s="14">
        <v>44635.6875</v>
      </c>
      <c r="B119" s="15">
        <f t="shared" si="10"/>
        <v>9.0000000000582077</v>
      </c>
      <c r="C119" s="23">
        <f>44*20*10000</f>
        <v>8800000</v>
      </c>
      <c r="D119" s="21">
        <f>17*20*100</f>
        <v>34000</v>
      </c>
      <c r="E119" s="5">
        <v>1.4999999999999999E-2</v>
      </c>
      <c r="F119" s="5">
        <v>5.94</v>
      </c>
      <c r="H119" s="15">
        <f t="shared" si="8"/>
        <v>6.9444826721501682</v>
      </c>
      <c r="I119" s="15">
        <f t="shared" si="9"/>
        <v>4.5314789170422554</v>
      </c>
      <c r="J119" s="5"/>
      <c r="K119" s="5"/>
    </row>
    <row r="120" spans="1:11" x14ac:dyDescent="0.35">
      <c r="A120" s="14">
        <v>44635.8125</v>
      </c>
      <c r="B120" s="15">
        <f t="shared" si="10"/>
        <v>12.000000000058208</v>
      </c>
      <c r="C120" s="21">
        <f>23000000</f>
        <v>23000000</v>
      </c>
      <c r="D120" s="21">
        <f>42*20*100</f>
        <v>84000</v>
      </c>
      <c r="E120" s="5">
        <v>6.2E-2</v>
      </c>
      <c r="F120" s="5">
        <v>5.64</v>
      </c>
      <c r="H120" s="15">
        <f t="shared" si="8"/>
        <v>7.3617278360175931</v>
      </c>
      <c r="I120" s="15">
        <f t="shared" si="9"/>
        <v>4.924279286061882</v>
      </c>
      <c r="J120" s="5"/>
      <c r="K120" s="5"/>
    </row>
    <row r="121" spans="1:11" x14ac:dyDescent="0.35">
      <c r="A121" s="14">
        <v>44636.329861111109</v>
      </c>
      <c r="B121" s="15">
        <f t="shared" si="10"/>
        <v>24.416666666686069</v>
      </c>
      <c r="C121" s="21">
        <f>95*20*100000</f>
        <v>190000000</v>
      </c>
      <c r="D121" s="21">
        <f>16*20*1000</f>
        <v>320000</v>
      </c>
      <c r="E121" s="5">
        <v>0.64</v>
      </c>
      <c r="F121" s="5">
        <v>4.16</v>
      </c>
      <c r="H121" s="15">
        <f t="shared" si="8"/>
        <v>8.2787536009528289</v>
      </c>
      <c r="I121" s="15">
        <f t="shared" si="9"/>
        <v>5.5051499783199063</v>
      </c>
      <c r="J121" s="5"/>
      <c r="K121" s="5"/>
    </row>
    <row r="122" spans="1:11" x14ac:dyDescent="0.35">
      <c r="A122" s="14">
        <v>44636.447916666664</v>
      </c>
      <c r="B122" s="15">
        <f t="shared" si="10"/>
        <v>27.25</v>
      </c>
      <c r="C122" s="23">
        <f>95*20*100000</f>
        <v>190000000</v>
      </c>
      <c r="D122" s="21">
        <f>17*20*1000</f>
        <v>340000</v>
      </c>
      <c r="E122" s="5">
        <v>0.749</v>
      </c>
      <c r="F122" s="5">
        <v>4.04</v>
      </c>
      <c r="H122" s="17">
        <f t="shared" si="8"/>
        <v>8.2787536009528289</v>
      </c>
      <c r="I122" s="15">
        <f t="shared" si="9"/>
        <v>5.5314789170422554</v>
      </c>
      <c r="J122" s="5"/>
      <c r="K122" s="5"/>
    </row>
    <row r="123" spans="1:11" x14ac:dyDescent="0.35">
      <c r="A123" s="14">
        <v>44636.5625</v>
      </c>
      <c r="B123" s="15">
        <f t="shared" si="10"/>
        <v>30.000000000058208</v>
      </c>
      <c r="C123" s="21">
        <f>110*20*100000</f>
        <v>220000000</v>
      </c>
      <c r="D123" s="21">
        <f>16*20*1000</f>
        <v>320000</v>
      </c>
      <c r="E123" s="5">
        <v>0.83599999999999997</v>
      </c>
      <c r="F123" s="5">
        <v>3.93</v>
      </c>
      <c r="H123" s="15">
        <f t="shared" si="8"/>
        <v>8.3424226808222066</v>
      </c>
      <c r="I123" s="15">
        <f t="shared" si="9"/>
        <v>5.5051499783199063</v>
      </c>
      <c r="J123" s="5"/>
      <c r="K123" s="5"/>
    </row>
    <row r="124" spans="1:11" x14ac:dyDescent="0.35">
      <c r="A124" s="14">
        <v>44636.6875</v>
      </c>
      <c r="B124" s="15">
        <f t="shared" si="10"/>
        <v>33.000000000058208</v>
      </c>
      <c r="C124" s="21">
        <f>124*20*100000</f>
        <v>248000000</v>
      </c>
      <c r="D124" s="21">
        <f>33*20*1000</f>
        <v>660000</v>
      </c>
      <c r="E124" s="5">
        <v>1.204</v>
      </c>
      <c r="F124" s="5">
        <v>3.82</v>
      </c>
      <c r="H124" s="15">
        <f t="shared" si="8"/>
        <v>8.3944516808262168</v>
      </c>
      <c r="I124" s="15">
        <f t="shared" si="9"/>
        <v>5.8195439355418683</v>
      </c>
      <c r="J124" s="5"/>
      <c r="K124" s="5"/>
    </row>
    <row r="125" spans="1:11" x14ac:dyDescent="0.35">
      <c r="A125" s="14">
        <v>44636.805555555555</v>
      </c>
      <c r="B125" s="15">
        <f t="shared" si="10"/>
        <v>35.833333333372138</v>
      </c>
      <c r="C125" s="21">
        <f>99*20*100000</f>
        <v>198000000</v>
      </c>
      <c r="D125" s="21">
        <f>26*20*1000</f>
        <v>520000</v>
      </c>
      <c r="E125" s="5">
        <v>1.0189999999999999</v>
      </c>
      <c r="F125" s="5">
        <v>3.8</v>
      </c>
      <c r="H125" s="15">
        <f t="shared" si="8"/>
        <v>8.2966651902615318</v>
      </c>
      <c r="I125" s="15">
        <f t="shared" si="9"/>
        <v>5.7160033436347994</v>
      </c>
      <c r="J125" s="5"/>
      <c r="K125" s="5"/>
    </row>
    <row r="126" spans="1:11" x14ac:dyDescent="0.35">
      <c r="A126" s="14">
        <v>44637.333333333336</v>
      </c>
      <c r="B126" s="15">
        <f t="shared" si="10"/>
        <v>48.500000000116415</v>
      </c>
      <c r="C126" s="23">
        <f>150000000</f>
        <v>150000000</v>
      </c>
      <c r="D126" s="23">
        <f>AVERAGE(640000,613000,613000)</f>
        <v>622000</v>
      </c>
      <c r="E126" s="16">
        <v>1.1870000000000001</v>
      </c>
      <c r="F126" s="5">
        <v>3.73</v>
      </c>
      <c r="H126" s="15">
        <f t="shared" si="8"/>
        <v>8.1760912590556813</v>
      </c>
      <c r="I126" s="15">
        <f t="shared" si="9"/>
        <v>5.7937903846908183</v>
      </c>
      <c r="J126" s="5"/>
      <c r="K126" s="5"/>
    </row>
    <row r="127" spans="1:11" x14ac:dyDescent="0.35">
      <c r="A127" s="14">
        <v>44637.5625</v>
      </c>
      <c r="B127" s="15">
        <f t="shared" si="10"/>
        <v>54.000000000058208</v>
      </c>
      <c r="C127" s="21">
        <f>88*20*100000</f>
        <v>176000000</v>
      </c>
      <c r="D127" s="21">
        <f>23*20*1000</f>
        <v>460000</v>
      </c>
      <c r="E127" s="5">
        <v>1.2230000000000001</v>
      </c>
      <c r="F127" s="5">
        <v>3.71</v>
      </c>
      <c r="H127" s="15">
        <f t="shared" si="8"/>
        <v>8.2455126678141504</v>
      </c>
      <c r="I127" s="15">
        <f t="shared" si="9"/>
        <v>5.6627578316815743</v>
      </c>
      <c r="J127" s="5"/>
      <c r="K127" s="5"/>
    </row>
    <row r="129" spans="5:6" x14ac:dyDescent="0.35">
      <c r="E129" t="s">
        <v>31</v>
      </c>
      <c r="F129">
        <f>MIN(F116:F127)</f>
        <v>3.71</v>
      </c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84E0-C670-41CF-8055-588FD5A8F4E8}">
  <dimension ref="A1:K128"/>
  <sheetViews>
    <sheetView topLeftCell="A105" zoomScale="115" zoomScaleNormal="115" workbookViewId="0">
      <selection activeCell="I115" sqref="I115:I126"/>
    </sheetView>
  </sheetViews>
  <sheetFormatPr baseColWidth="10" defaultColWidth="9.1796875" defaultRowHeight="14.5" x14ac:dyDescent="0.35"/>
  <cols>
    <col min="1" max="1" width="19.54296875" customWidth="1"/>
    <col min="2" max="2" width="13.81640625" bestFit="1" customWidth="1"/>
    <col min="3" max="4" width="12.26953125" bestFit="1" customWidth="1"/>
    <col min="5" max="5" width="16.7265625" bestFit="1" customWidth="1"/>
    <col min="7" max="7" width="4.453125" customWidth="1"/>
  </cols>
  <sheetData>
    <row r="1" spans="1:11" ht="15.5" x14ac:dyDescent="0.35">
      <c r="A1" s="4" t="s">
        <v>0</v>
      </c>
      <c r="B1" s="2" t="s">
        <v>1</v>
      </c>
    </row>
    <row r="2" spans="1:11" ht="18.5" x14ac:dyDescent="0.45">
      <c r="A2" s="4" t="s">
        <v>2</v>
      </c>
      <c r="B2" s="3" t="s">
        <v>20</v>
      </c>
    </row>
    <row r="3" spans="1:11" x14ac:dyDescent="0.35">
      <c r="A3" s="4" t="s">
        <v>4</v>
      </c>
      <c r="B3" t="s">
        <v>21</v>
      </c>
    </row>
    <row r="4" spans="1:11" x14ac:dyDescent="0.35">
      <c r="A4" s="4" t="s">
        <v>6</v>
      </c>
      <c r="B4" t="s">
        <v>7</v>
      </c>
    </row>
    <row r="8" spans="1:11" ht="18.5" x14ac:dyDescent="0.45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 t="s">
        <v>29</v>
      </c>
      <c r="I9" s="5" t="s">
        <v>30</v>
      </c>
      <c r="J9" s="5" t="s">
        <v>13</v>
      </c>
      <c r="K9" s="5" t="s">
        <v>28</v>
      </c>
    </row>
    <row r="10" spans="1:11" x14ac:dyDescent="0.35">
      <c r="A10" s="14">
        <v>44635.354166666664</v>
      </c>
      <c r="B10" s="15">
        <f>0*24+1</f>
        <v>1</v>
      </c>
      <c r="C10" s="21">
        <f>73*20*100</f>
        <v>146000</v>
      </c>
      <c r="D10" s="20"/>
      <c r="E10" s="16">
        <v>-1.7000000000000001E-2</v>
      </c>
      <c r="F10" s="5">
        <v>5.84</v>
      </c>
      <c r="H10" s="15">
        <f>LOG(C10)</f>
        <v>5.1643528557844371</v>
      </c>
    </row>
    <row r="11" spans="1:11" x14ac:dyDescent="0.35">
      <c r="A11" s="14">
        <v>44635.447916666664</v>
      </c>
      <c r="B11" s="15">
        <f>(A11-$A$32)*24+1</f>
        <v>3.25</v>
      </c>
      <c r="C11" s="20"/>
      <c r="D11" s="20"/>
      <c r="E11" s="16">
        <v>-0.01</v>
      </c>
      <c r="F11" s="5">
        <v>5.84</v>
      </c>
      <c r="H11" s="20"/>
    </row>
    <row r="12" spans="1:11" x14ac:dyDescent="0.35">
      <c r="A12" s="14">
        <v>44635.5625</v>
      </c>
      <c r="B12" s="15">
        <f t="shared" ref="B12:B21" si="0">(A12-$A$32)*24+1</f>
        <v>6.0000000000582077</v>
      </c>
      <c r="C12" s="20"/>
      <c r="D12" s="20"/>
      <c r="E12" s="16">
        <v>-1.0999999999999999E-2</v>
      </c>
      <c r="F12" s="5">
        <v>5.81</v>
      </c>
      <c r="H12" s="20"/>
    </row>
    <row r="13" spans="1:11" x14ac:dyDescent="0.35">
      <c r="A13" s="14">
        <v>44635.6875</v>
      </c>
      <c r="B13" s="15">
        <f t="shared" si="0"/>
        <v>9.0000000000582077</v>
      </c>
      <c r="C13" s="20"/>
      <c r="D13" s="20"/>
      <c r="E13" s="16">
        <v>1.4999999999999999E-2</v>
      </c>
      <c r="F13" s="15">
        <v>5.8</v>
      </c>
      <c r="H13" s="20"/>
    </row>
    <row r="14" spans="1:11" x14ac:dyDescent="0.35">
      <c r="A14" s="14">
        <v>44635.8125</v>
      </c>
      <c r="B14" s="15">
        <f t="shared" si="0"/>
        <v>12.000000000058208</v>
      </c>
      <c r="C14" s="21">
        <f>33*20*10000</f>
        <v>6600000</v>
      </c>
      <c r="D14" s="20"/>
      <c r="E14" s="16">
        <v>2.3E-2</v>
      </c>
      <c r="F14" s="5">
        <v>5.72</v>
      </c>
      <c r="H14" s="15">
        <f>LOG(C14)</f>
        <v>6.8195439355418683</v>
      </c>
    </row>
    <row r="15" spans="1:11" x14ac:dyDescent="0.35">
      <c r="A15" s="14">
        <v>44636.329861111109</v>
      </c>
      <c r="B15" s="15">
        <f t="shared" si="0"/>
        <v>24.416666666686069</v>
      </c>
      <c r="C15" s="21">
        <f>54*20*100000</f>
        <v>108000000</v>
      </c>
      <c r="D15" s="20"/>
      <c r="E15" s="16">
        <v>1.4E-2</v>
      </c>
      <c r="F15" s="5">
        <v>4.33</v>
      </c>
      <c r="H15" s="15">
        <f>LOG(C15)</f>
        <v>8.0334237554869503</v>
      </c>
    </row>
    <row r="16" spans="1:11" x14ac:dyDescent="0.35">
      <c r="A16" s="14">
        <v>44636.447916666664</v>
      </c>
      <c r="B16" s="15">
        <f t="shared" si="0"/>
        <v>27.25</v>
      </c>
      <c r="C16" s="20"/>
      <c r="D16" s="20"/>
      <c r="E16" s="16">
        <v>0.49199999999999999</v>
      </c>
      <c r="F16" s="5">
        <v>4.17</v>
      </c>
      <c r="H16" s="20"/>
    </row>
    <row r="17" spans="1:11" x14ac:dyDescent="0.35">
      <c r="A17" s="14">
        <v>44636.5625</v>
      </c>
      <c r="B17" s="15">
        <f t="shared" si="0"/>
        <v>30.000000000058208</v>
      </c>
      <c r="C17" s="20"/>
      <c r="D17" s="20"/>
      <c r="E17" s="16">
        <v>0.54600000000000004</v>
      </c>
      <c r="F17" s="5">
        <v>4.07</v>
      </c>
      <c r="H17" s="20"/>
    </row>
    <row r="18" spans="1:11" x14ac:dyDescent="0.35">
      <c r="A18" s="14">
        <v>44636.6875</v>
      </c>
      <c r="B18" s="15">
        <f t="shared" si="0"/>
        <v>33.000000000058208</v>
      </c>
      <c r="C18" s="20"/>
      <c r="D18" s="20"/>
      <c r="E18" s="5">
        <v>0.63600000000000001</v>
      </c>
      <c r="F18" s="5">
        <v>3.99</v>
      </c>
      <c r="H18" s="20"/>
    </row>
    <row r="19" spans="1:11" x14ac:dyDescent="0.35">
      <c r="A19" s="14">
        <v>44636.805555555555</v>
      </c>
      <c r="B19" s="15">
        <f t="shared" si="0"/>
        <v>35.833333333372138</v>
      </c>
      <c r="C19" s="21">
        <f>110*20*100000</f>
        <v>220000000</v>
      </c>
      <c r="D19" s="20"/>
      <c r="E19" s="5">
        <v>0.71299999999999997</v>
      </c>
      <c r="F19" s="5">
        <v>3.96</v>
      </c>
      <c r="H19" s="15">
        <f>LOG(C19)</f>
        <v>8.3424226808222066</v>
      </c>
    </row>
    <row r="20" spans="1:11" x14ac:dyDescent="0.35">
      <c r="A20" s="14">
        <v>44637.333333333336</v>
      </c>
      <c r="B20" s="15">
        <f t="shared" si="0"/>
        <v>48.500000000116415</v>
      </c>
      <c r="C20" s="21">
        <f>77*20*100000</f>
        <v>154000000</v>
      </c>
      <c r="D20" s="20"/>
      <c r="E20" s="5">
        <v>0.82399999999999995</v>
      </c>
      <c r="F20" s="5">
        <v>3.74</v>
      </c>
      <c r="H20" s="15">
        <f>LOG(C20)</f>
        <v>8.1875207208364635</v>
      </c>
    </row>
    <row r="21" spans="1:11" x14ac:dyDescent="0.35">
      <c r="A21" s="14">
        <v>44637.5625</v>
      </c>
      <c r="B21" s="15">
        <f t="shared" si="0"/>
        <v>54.000000000058208</v>
      </c>
      <c r="C21" s="21">
        <f>64*20*100000</f>
        <v>128000000</v>
      </c>
      <c r="D21" s="20"/>
      <c r="E21" s="5">
        <v>0.92700000000000005</v>
      </c>
      <c r="F21" s="5">
        <v>3.72</v>
      </c>
      <c r="H21" s="15">
        <f>LOG(C21)</f>
        <v>8.1072099696478688</v>
      </c>
    </row>
    <row r="22" spans="1:11" x14ac:dyDescent="0.35">
      <c r="B22" s="5"/>
      <c r="C22" s="5"/>
    </row>
    <row r="23" spans="1:11" x14ac:dyDescent="0.35">
      <c r="B23" s="5"/>
      <c r="C23" s="5"/>
      <c r="E23" t="s">
        <v>31</v>
      </c>
      <c r="F23">
        <f>MIN(F10:F21)</f>
        <v>3.72</v>
      </c>
    </row>
    <row r="24" spans="1:11" x14ac:dyDescent="0.35">
      <c r="C24" s="5"/>
    </row>
    <row r="30" spans="1:11" ht="18.5" x14ac:dyDescent="0.45">
      <c r="A30" s="12" t="s">
        <v>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5">
      <c r="A31" t="s">
        <v>23</v>
      </c>
      <c r="B31" s="5" t="s">
        <v>24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 t="s">
        <v>29</v>
      </c>
      <c r="I31" s="5" t="s">
        <v>30</v>
      </c>
      <c r="J31" s="5" t="s">
        <v>13</v>
      </c>
      <c r="K31" s="5" t="s">
        <v>28</v>
      </c>
    </row>
    <row r="32" spans="1:11" x14ac:dyDescent="0.35">
      <c r="A32" s="14">
        <v>44635.354166666664</v>
      </c>
      <c r="B32" s="15">
        <f>0*24+1</f>
        <v>1</v>
      </c>
      <c r="C32" s="21">
        <f>4*20*100</f>
        <v>8000</v>
      </c>
      <c r="D32" s="20"/>
      <c r="E32" s="5">
        <v>-0.02</v>
      </c>
      <c r="F32" s="5">
        <v>5.83</v>
      </c>
      <c r="H32" s="15">
        <f>LOG(C32)</f>
        <v>3.9030899869919438</v>
      </c>
      <c r="I32" s="5"/>
      <c r="J32" s="5"/>
      <c r="K32" s="5"/>
    </row>
    <row r="33" spans="1:11" x14ac:dyDescent="0.35">
      <c r="A33" s="14">
        <v>44635.447916666664</v>
      </c>
      <c r="B33" s="15">
        <f>(A33-$A$32)*24+1</f>
        <v>3.25</v>
      </c>
      <c r="C33" s="20"/>
      <c r="D33" s="20"/>
      <c r="E33" s="5">
        <v>3.0000000000000001E-3</v>
      </c>
      <c r="F33" s="5">
        <v>5.83</v>
      </c>
      <c r="H33" s="20"/>
      <c r="I33" s="5"/>
      <c r="J33" s="5"/>
      <c r="K33" s="5"/>
    </row>
    <row r="34" spans="1:11" x14ac:dyDescent="0.35">
      <c r="A34" s="14">
        <v>44635.5625</v>
      </c>
      <c r="B34" s="15">
        <f t="shared" ref="B34:B43" si="1">(A34-$A$32)*24+1</f>
        <v>6.0000000000582077</v>
      </c>
      <c r="C34" s="20"/>
      <c r="D34" s="20"/>
      <c r="E34" s="5">
        <v>-1E-3</v>
      </c>
      <c r="F34" s="5">
        <v>5.83</v>
      </c>
      <c r="H34" s="20"/>
      <c r="I34" s="5"/>
      <c r="J34" s="5"/>
      <c r="K34" s="5"/>
    </row>
    <row r="35" spans="1:11" x14ac:dyDescent="0.35">
      <c r="A35" s="14">
        <v>44635.6875</v>
      </c>
      <c r="B35" s="15">
        <f t="shared" si="1"/>
        <v>9.0000000000582077</v>
      </c>
      <c r="C35" s="20"/>
      <c r="D35" s="20"/>
      <c r="E35" s="5">
        <v>8.9999999999999993E-3</v>
      </c>
      <c r="F35" s="5">
        <v>5.82</v>
      </c>
      <c r="H35" s="20"/>
      <c r="I35" s="5"/>
      <c r="J35" s="5"/>
      <c r="K35" s="5"/>
    </row>
    <row r="36" spans="1:11" x14ac:dyDescent="0.35">
      <c r="A36" s="14">
        <v>44635.8125</v>
      </c>
      <c r="B36" s="15">
        <f t="shared" si="1"/>
        <v>12.000000000058208</v>
      </c>
      <c r="C36" s="22" t="s">
        <v>33</v>
      </c>
      <c r="D36" s="20"/>
      <c r="E36" s="5">
        <v>-3.1E-2</v>
      </c>
      <c r="F36" s="5">
        <v>5.81</v>
      </c>
      <c r="H36" s="17" t="e">
        <f>LOG(C36)</f>
        <v>#VALUE!</v>
      </c>
      <c r="I36" s="5"/>
      <c r="J36" s="5"/>
      <c r="K36" s="5"/>
    </row>
    <row r="37" spans="1:11" x14ac:dyDescent="0.35">
      <c r="A37" s="14">
        <v>44636.329861111109</v>
      </c>
      <c r="B37" s="15">
        <f t="shared" si="1"/>
        <v>24.416666666686069</v>
      </c>
      <c r="C37" s="21">
        <f>234*20*1000</f>
        <v>4680000</v>
      </c>
      <c r="D37" s="20"/>
      <c r="E37" s="5">
        <v>-2.8000000000000001E-2</v>
      </c>
      <c r="F37" s="5">
        <v>5.83</v>
      </c>
      <c r="H37" s="15">
        <f>LOG(C37)</f>
        <v>6.6702458530741238</v>
      </c>
      <c r="I37" s="5"/>
      <c r="J37" s="5"/>
      <c r="K37" s="5"/>
    </row>
    <row r="38" spans="1:11" x14ac:dyDescent="0.35">
      <c r="A38" s="14">
        <v>44636.447916666664</v>
      </c>
      <c r="B38" s="15">
        <f t="shared" si="1"/>
        <v>27.25</v>
      </c>
      <c r="C38" s="20"/>
      <c r="D38" s="20"/>
      <c r="E38" s="5">
        <v>7.4999999999999997E-2</v>
      </c>
      <c r="F38" s="5">
        <v>5.66</v>
      </c>
      <c r="H38" s="20"/>
      <c r="I38" s="5"/>
      <c r="J38" s="5"/>
      <c r="K38" s="5"/>
    </row>
    <row r="39" spans="1:11" x14ac:dyDescent="0.35">
      <c r="A39" s="14">
        <v>44636.5625</v>
      </c>
      <c r="B39" s="15">
        <f t="shared" si="1"/>
        <v>30.000000000058208</v>
      </c>
      <c r="C39" s="20"/>
      <c r="D39" s="20"/>
      <c r="E39" s="5">
        <v>4.2999999999999997E-2</v>
      </c>
      <c r="F39" s="5">
        <v>5.44</v>
      </c>
      <c r="H39" s="20"/>
      <c r="I39" s="5"/>
      <c r="J39" s="5"/>
      <c r="K39" s="5"/>
    </row>
    <row r="40" spans="1:11" x14ac:dyDescent="0.35">
      <c r="A40" s="14">
        <v>44636.6875</v>
      </c>
      <c r="B40" s="15">
        <f t="shared" si="1"/>
        <v>33.000000000058208</v>
      </c>
      <c r="C40" s="20"/>
      <c r="D40" s="20"/>
      <c r="E40" s="5">
        <v>0.105</v>
      </c>
      <c r="F40" s="5">
        <v>5.0199999999999996</v>
      </c>
      <c r="H40" s="20"/>
      <c r="I40" s="5"/>
      <c r="J40" s="5"/>
      <c r="K40" s="5"/>
    </row>
    <row r="41" spans="1:11" x14ac:dyDescent="0.35">
      <c r="A41" s="14">
        <v>44636.805555555555</v>
      </c>
      <c r="B41" s="15">
        <f t="shared" si="1"/>
        <v>35.833333333372138</v>
      </c>
      <c r="C41" s="21">
        <f>46*20*100000</f>
        <v>92000000</v>
      </c>
      <c r="D41" s="20"/>
      <c r="E41" s="5">
        <v>0.16400000000000001</v>
      </c>
      <c r="F41" s="5">
        <v>4.71</v>
      </c>
      <c r="H41" s="15">
        <f>LOG(C41)</f>
        <v>7.9637878273455556</v>
      </c>
      <c r="I41" s="5"/>
      <c r="J41" s="5"/>
      <c r="K41" s="5"/>
    </row>
    <row r="42" spans="1:11" x14ac:dyDescent="0.35">
      <c r="A42" s="14">
        <v>44637.333333333336</v>
      </c>
      <c r="B42" s="15">
        <f t="shared" si="1"/>
        <v>48.500000000116415</v>
      </c>
      <c r="C42" s="21">
        <f>71*20*100000</f>
        <v>142000000</v>
      </c>
      <c r="D42" s="20"/>
      <c r="E42" s="5">
        <v>0.624</v>
      </c>
      <c r="F42" s="5">
        <v>3.88</v>
      </c>
      <c r="H42" s="15">
        <f>LOG(C42)</f>
        <v>8.1522883443830558</v>
      </c>
      <c r="I42" s="5"/>
      <c r="J42" s="5"/>
      <c r="K42" s="5"/>
    </row>
    <row r="43" spans="1:11" x14ac:dyDescent="0.35">
      <c r="A43" s="14">
        <v>44637.5625</v>
      </c>
      <c r="B43" s="15">
        <f t="shared" si="1"/>
        <v>54.000000000058208</v>
      </c>
      <c r="C43" s="21">
        <f>81*20*100000</f>
        <v>162000000</v>
      </c>
      <c r="D43" s="20"/>
      <c r="E43" s="5">
        <v>0.84599999999999997</v>
      </c>
      <c r="F43" s="5">
        <v>3.72</v>
      </c>
      <c r="H43" s="15">
        <f>LOG(C43)</f>
        <v>8.2095150145426317</v>
      </c>
      <c r="I43" s="5"/>
      <c r="J43" s="5"/>
      <c r="K43" s="5"/>
    </row>
    <row r="44" spans="1:11" x14ac:dyDescent="0.35">
      <c r="H44" s="5"/>
      <c r="I44" s="5"/>
      <c r="J44" s="5"/>
      <c r="K44" s="5"/>
    </row>
    <row r="45" spans="1:11" x14ac:dyDescent="0.35">
      <c r="E45" t="s">
        <v>31</v>
      </c>
      <c r="F45">
        <f>MIN(F32:F43)</f>
        <v>3.72</v>
      </c>
      <c r="H45" s="5"/>
      <c r="I45" s="5"/>
      <c r="J45" s="5"/>
      <c r="K45" s="5"/>
    </row>
    <row r="50" spans="1:11" ht="18.5" x14ac:dyDescent="0.45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x14ac:dyDescent="0.35">
      <c r="A51" t="s">
        <v>23</v>
      </c>
      <c r="B51" s="5" t="s">
        <v>24</v>
      </c>
      <c r="C51" s="5" t="s">
        <v>25</v>
      </c>
      <c r="D51" s="5" t="s">
        <v>26</v>
      </c>
      <c r="E51" s="5" t="s">
        <v>27</v>
      </c>
      <c r="F51" s="5" t="s">
        <v>28</v>
      </c>
      <c r="G51" s="5"/>
      <c r="H51" s="5" t="s">
        <v>29</v>
      </c>
      <c r="I51" s="5" t="s">
        <v>30</v>
      </c>
      <c r="J51" s="5" t="s">
        <v>13</v>
      </c>
      <c r="K51" s="5" t="s">
        <v>28</v>
      </c>
    </row>
    <row r="52" spans="1:11" x14ac:dyDescent="0.35">
      <c r="A52" s="14">
        <v>44635.354166666664</v>
      </c>
      <c r="B52" s="15">
        <f>0*24+1</f>
        <v>1</v>
      </c>
      <c r="C52" s="19"/>
      <c r="D52" s="21">
        <f>32*20*10</f>
        <v>6400</v>
      </c>
      <c r="E52" s="5">
        <v>-5.0000000000000001E-3</v>
      </c>
      <c r="F52" s="5">
        <v>5.84</v>
      </c>
      <c r="H52" s="15">
        <f>LOG(D52)</f>
        <v>3.8061799739838871</v>
      </c>
    </row>
    <row r="53" spans="1:11" x14ac:dyDescent="0.35">
      <c r="A53" s="14">
        <v>44635.447916666664</v>
      </c>
      <c r="B53" s="15">
        <f>(A53-$A$32)*24+1</f>
        <v>3.25</v>
      </c>
      <c r="C53" s="19"/>
      <c r="D53" s="19"/>
      <c r="E53" s="5">
        <v>2E-3</v>
      </c>
      <c r="F53" s="5">
        <v>5.81</v>
      </c>
      <c r="H53" s="19"/>
    </row>
    <row r="54" spans="1:11" x14ac:dyDescent="0.35">
      <c r="A54" s="14">
        <v>44635.5625</v>
      </c>
      <c r="B54" s="15">
        <f t="shared" ref="B54:B63" si="2">(A54-$A$32)*24+1</f>
        <v>6.0000000000582077</v>
      </c>
      <c r="C54" s="19"/>
      <c r="D54" s="19"/>
      <c r="E54" s="5">
        <v>-1.4E-2</v>
      </c>
      <c r="F54" s="5">
        <v>5.82</v>
      </c>
      <c r="H54" s="19"/>
    </row>
    <row r="55" spans="1:11" x14ac:dyDescent="0.35">
      <c r="A55" s="14">
        <v>44635.6875</v>
      </c>
      <c r="B55" s="15">
        <f t="shared" si="2"/>
        <v>9.0000000000582077</v>
      </c>
      <c r="C55" s="19"/>
      <c r="D55" s="19"/>
      <c r="E55" s="5">
        <v>8.9999999999999993E-3</v>
      </c>
      <c r="F55" s="5">
        <v>5.85</v>
      </c>
      <c r="H55" s="19"/>
    </row>
    <row r="56" spans="1:11" x14ac:dyDescent="0.35">
      <c r="A56" s="14">
        <v>44635.8125</v>
      </c>
      <c r="B56" s="15">
        <f t="shared" si="2"/>
        <v>12.000000000058208</v>
      </c>
      <c r="C56" s="19"/>
      <c r="D56" s="21">
        <f>195*20*10</f>
        <v>39000</v>
      </c>
      <c r="E56" s="5">
        <v>-1.2999999999999999E-2</v>
      </c>
      <c r="F56" s="5">
        <v>5.82</v>
      </c>
      <c r="H56" s="15">
        <f>LOG(D56)</f>
        <v>4.5910646070264995</v>
      </c>
    </row>
    <row r="57" spans="1:11" x14ac:dyDescent="0.35">
      <c r="A57" s="14">
        <v>44636.329861111109</v>
      </c>
      <c r="B57" s="15">
        <f t="shared" si="2"/>
        <v>24.416666666686069</v>
      </c>
      <c r="C57" s="19"/>
      <c r="D57" s="21">
        <f>9*20*10000</f>
        <v>1800000</v>
      </c>
      <c r="E57" s="5">
        <v>-5.7000000000000002E-2</v>
      </c>
      <c r="F57" s="5">
        <v>5.83</v>
      </c>
      <c r="H57" s="15">
        <f>LOG(D57)</f>
        <v>6.2552725051033065</v>
      </c>
    </row>
    <row r="58" spans="1:11" x14ac:dyDescent="0.35">
      <c r="A58" s="14">
        <v>44636.447916666664</v>
      </c>
      <c r="B58" s="15">
        <f t="shared" si="2"/>
        <v>27.25</v>
      </c>
      <c r="C58" s="19"/>
      <c r="D58" s="19"/>
      <c r="E58" s="5">
        <v>2.5000000000000001E-2</v>
      </c>
      <c r="F58" s="5">
        <v>5.84</v>
      </c>
      <c r="H58" s="19"/>
    </row>
    <row r="59" spans="1:11" x14ac:dyDescent="0.35">
      <c r="A59" s="14">
        <v>44636.5625</v>
      </c>
      <c r="B59" s="15">
        <f t="shared" si="2"/>
        <v>30.000000000058208</v>
      </c>
      <c r="C59" s="19"/>
      <c r="D59" s="19"/>
      <c r="E59" s="5">
        <v>2E-3</v>
      </c>
      <c r="F59" s="5">
        <v>5.79</v>
      </c>
      <c r="H59" s="19"/>
    </row>
    <row r="60" spans="1:11" x14ac:dyDescent="0.35">
      <c r="A60" s="14">
        <v>44636.6875</v>
      </c>
      <c r="B60" s="15">
        <f t="shared" si="2"/>
        <v>33.000000000058208</v>
      </c>
      <c r="C60" s="19"/>
      <c r="D60" s="19"/>
      <c r="E60" s="5">
        <v>6.0000000000000001E-3</v>
      </c>
      <c r="F60" s="5">
        <v>5.73</v>
      </c>
      <c r="H60" s="19"/>
    </row>
    <row r="61" spans="1:11" x14ac:dyDescent="0.35">
      <c r="A61" s="14">
        <v>44636.805555555555</v>
      </c>
      <c r="B61" s="15">
        <f t="shared" si="2"/>
        <v>35.833333333372138</v>
      </c>
      <c r="C61" s="19"/>
      <c r="D61" s="21">
        <f>333*20*10000</f>
        <v>66600000</v>
      </c>
      <c r="E61" s="16">
        <v>-1.7000000000000001E-2</v>
      </c>
      <c r="F61" s="5">
        <v>5.62</v>
      </c>
      <c r="H61" s="15">
        <f>LOG(D61)</f>
        <v>7.8234742291703014</v>
      </c>
    </row>
    <row r="62" spans="1:11" x14ac:dyDescent="0.35">
      <c r="A62" s="14">
        <v>44637.333333333336</v>
      </c>
      <c r="B62" s="15">
        <f t="shared" si="2"/>
        <v>48.500000000116415</v>
      </c>
      <c r="C62" s="19"/>
      <c r="D62" s="21">
        <f>225*20*100000</f>
        <v>450000000</v>
      </c>
      <c r="E62" s="5">
        <v>9.1999999999999998E-2</v>
      </c>
      <c r="F62" s="5">
        <v>3.73</v>
      </c>
      <c r="H62" s="15">
        <f>LOG(D62)</f>
        <v>8.653212513775344</v>
      </c>
    </row>
    <row r="63" spans="1:11" x14ac:dyDescent="0.35">
      <c r="A63" s="14">
        <v>44637.5625</v>
      </c>
      <c r="B63" s="15">
        <f t="shared" si="2"/>
        <v>54.000000000058208</v>
      </c>
      <c r="C63" s="20"/>
      <c r="D63" s="21">
        <f>289*20*100000</f>
        <v>578000000</v>
      </c>
      <c r="E63" s="5">
        <v>0.20100000000000001</v>
      </c>
      <c r="F63" s="5">
        <v>4.41</v>
      </c>
      <c r="H63" s="15">
        <f>LOG(D63)</f>
        <v>8.7619278384205295</v>
      </c>
    </row>
    <row r="65" spans="1:11" x14ac:dyDescent="0.35">
      <c r="E65" t="s">
        <v>31</v>
      </c>
      <c r="F65">
        <f>MIN(F52:F63)</f>
        <v>3.73</v>
      </c>
    </row>
    <row r="71" spans="1:11" ht="18.5" x14ac:dyDescent="0.45">
      <c r="A71" s="33" t="s">
        <v>35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x14ac:dyDescent="0.35">
      <c r="A72" t="s">
        <v>23</v>
      </c>
      <c r="B72" s="5" t="s">
        <v>24</v>
      </c>
      <c r="C72" s="5" t="s">
        <v>25</v>
      </c>
      <c r="D72" s="5" t="s">
        <v>26</v>
      </c>
      <c r="E72" s="5" t="s">
        <v>27</v>
      </c>
      <c r="F72" s="5" t="s">
        <v>28</v>
      </c>
      <c r="G72" s="5"/>
      <c r="H72" s="5" t="s">
        <v>29</v>
      </c>
      <c r="I72" s="5" t="s">
        <v>30</v>
      </c>
      <c r="J72" s="5" t="s">
        <v>13</v>
      </c>
      <c r="K72" s="5" t="s">
        <v>28</v>
      </c>
    </row>
    <row r="73" spans="1:11" x14ac:dyDescent="0.35">
      <c r="A73" s="14">
        <v>44635.354166666664</v>
      </c>
      <c r="B73" s="15">
        <f>0*24+1</f>
        <v>1</v>
      </c>
      <c r="C73" s="21">
        <f>92*20*100</f>
        <v>184000</v>
      </c>
      <c r="D73" s="21">
        <f>22*20*10</f>
        <v>4400</v>
      </c>
      <c r="E73" s="5">
        <v>0.02</v>
      </c>
      <c r="F73" s="5">
        <v>5.81</v>
      </c>
      <c r="H73" s="15">
        <f>LOG(C73)</f>
        <v>5.2648178230095368</v>
      </c>
      <c r="I73" s="15">
        <f>LOG(D73)</f>
        <v>3.6434526764861874</v>
      </c>
    </row>
    <row r="74" spans="1:11" x14ac:dyDescent="0.35">
      <c r="A74" s="14">
        <v>44635.447916666664</v>
      </c>
      <c r="B74" s="15">
        <f>(A74-$A$32)*24+1</f>
        <v>3.25</v>
      </c>
      <c r="C74" s="21">
        <f>185*20*100</f>
        <v>370000</v>
      </c>
      <c r="D74" s="21">
        <f>26*20*10</f>
        <v>5200</v>
      </c>
      <c r="E74" s="5">
        <v>1.6E-2</v>
      </c>
      <c r="F74" s="5">
        <v>5.85</v>
      </c>
      <c r="H74" s="15">
        <f t="shared" ref="H74:I84" si="3">LOG(C74)</f>
        <v>5.568201724066995</v>
      </c>
      <c r="I74" s="15">
        <f t="shared" si="3"/>
        <v>3.716003343634799</v>
      </c>
    </row>
    <row r="75" spans="1:11" x14ac:dyDescent="0.35">
      <c r="A75" s="14">
        <v>44635.5625</v>
      </c>
      <c r="B75" s="15">
        <f t="shared" ref="B75:B84" si="4">(A75-$A$32)*24+1</f>
        <v>6.0000000000582077</v>
      </c>
      <c r="C75" s="21">
        <f>41*20*10^3</f>
        <v>820000</v>
      </c>
      <c r="D75" s="21">
        <f>70*20*10</f>
        <v>14000</v>
      </c>
      <c r="E75" s="5">
        <v>-1.0999999999999999E-2</v>
      </c>
      <c r="F75" s="15">
        <v>5.81</v>
      </c>
      <c r="H75" s="15">
        <f t="shared" si="3"/>
        <v>5.9138138523837167</v>
      </c>
      <c r="I75" s="15">
        <f t="shared" si="3"/>
        <v>4.1461280356782382</v>
      </c>
    </row>
    <row r="76" spans="1:11" x14ac:dyDescent="0.35">
      <c r="A76" s="14">
        <v>44635.6875</v>
      </c>
      <c r="B76" s="15">
        <f t="shared" si="4"/>
        <v>9.0000000000582077</v>
      </c>
      <c r="C76" s="21">
        <f>129*20*10^3</f>
        <v>2580000</v>
      </c>
      <c r="D76" s="21">
        <f>143*20*10</f>
        <v>28600</v>
      </c>
      <c r="E76" s="5">
        <v>3.1E-2</v>
      </c>
      <c r="F76" s="5">
        <v>5.79</v>
      </c>
      <c r="H76" s="15">
        <f t="shared" si="3"/>
        <v>6.4116197059632301</v>
      </c>
      <c r="I76" s="15">
        <f t="shared" si="3"/>
        <v>4.4563660331290427</v>
      </c>
    </row>
    <row r="77" spans="1:11" x14ac:dyDescent="0.35">
      <c r="A77" s="14">
        <v>44635.8125</v>
      </c>
      <c r="B77" s="15">
        <f t="shared" si="4"/>
        <v>12.000000000058208</v>
      </c>
      <c r="C77" s="21">
        <f>24*20*10000</f>
        <v>4800000</v>
      </c>
      <c r="D77" s="21">
        <f>356*10*10</f>
        <v>35600</v>
      </c>
      <c r="E77" s="5">
        <v>8.0000000000000002E-3</v>
      </c>
      <c r="F77" s="5">
        <v>5.72</v>
      </c>
      <c r="H77" s="15">
        <f t="shared" si="3"/>
        <v>6.6812412373755876</v>
      </c>
      <c r="I77" s="15">
        <f t="shared" si="3"/>
        <v>4.5514499979728749</v>
      </c>
    </row>
    <row r="78" spans="1:11" x14ac:dyDescent="0.35">
      <c r="A78" s="14">
        <v>44636.329861111109</v>
      </c>
      <c r="B78" s="15">
        <f t="shared" si="4"/>
        <v>24.416666666686069</v>
      </c>
      <c r="C78" s="21">
        <f>69*20*100000</f>
        <v>138000000</v>
      </c>
      <c r="D78" s="23">
        <f>AVERAGE(952*2,99*2*10)</f>
        <v>1942</v>
      </c>
      <c r="E78" s="16">
        <v>0.39</v>
      </c>
      <c r="F78" s="5">
        <v>4.2699999999999996</v>
      </c>
      <c r="H78" s="15">
        <f t="shared" si="3"/>
        <v>8.1398790864012369</v>
      </c>
      <c r="I78" s="15">
        <f t="shared" si="3"/>
        <v>3.288249225571986</v>
      </c>
    </row>
    <row r="79" spans="1:11" x14ac:dyDescent="0.35">
      <c r="A79" s="14">
        <v>44636.447916666664</v>
      </c>
      <c r="B79" s="15">
        <f t="shared" si="4"/>
        <v>27.25</v>
      </c>
      <c r="C79" s="21">
        <f>78*20*100000</f>
        <v>156000000</v>
      </c>
      <c r="D79" s="23">
        <f>AVERAGE(743*2,102*2*10)</f>
        <v>1763</v>
      </c>
      <c r="E79" s="5">
        <v>0.47399999999999998</v>
      </c>
      <c r="F79" s="5">
        <v>4.16</v>
      </c>
      <c r="H79" s="15">
        <f t="shared" si="3"/>
        <v>8.1931245983544621</v>
      </c>
      <c r="I79" s="15">
        <f t="shared" si="3"/>
        <v>3.2462523122993221</v>
      </c>
    </row>
    <row r="80" spans="1:11" x14ac:dyDescent="0.35">
      <c r="A80" s="14">
        <v>44636.5625</v>
      </c>
      <c r="B80" s="15">
        <f t="shared" si="4"/>
        <v>30.000000000058208</v>
      </c>
      <c r="C80" s="21">
        <f>100*20*100000</f>
        <v>200000000</v>
      </c>
      <c r="D80" s="23">
        <f>AVERAGE(360*2,26*2*10)</f>
        <v>620</v>
      </c>
      <c r="E80" s="5">
        <v>0.54900000000000004</v>
      </c>
      <c r="F80" s="5">
        <v>3.99</v>
      </c>
      <c r="H80" s="15">
        <f t="shared" si="3"/>
        <v>8.3010299956639813</v>
      </c>
      <c r="I80" s="15">
        <f t="shared" si="3"/>
        <v>2.7923916894982539</v>
      </c>
    </row>
    <row r="81" spans="1:11" x14ac:dyDescent="0.35">
      <c r="A81" s="14">
        <v>44636.6875</v>
      </c>
      <c r="B81" s="15">
        <f t="shared" si="4"/>
        <v>33.000000000058208</v>
      </c>
      <c r="C81" s="22" t="s">
        <v>33</v>
      </c>
      <c r="D81" s="23">
        <f>AVERAGE(139*2,5*2*10)</f>
        <v>189</v>
      </c>
      <c r="E81" s="5">
        <v>0.67900000000000005</v>
      </c>
      <c r="F81" s="15">
        <v>4</v>
      </c>
      <c r="H81" s="17" t="e">
        <f t="shared" si="3"/>
        <v>#VALUE!</v>
      </c>
      <c r="I81" s="15">
        <f t="shared" si="3"/>
        <v>2.2764618041732443</v>
      </c>
    </row>
    <row r="82" spans="1:11" x14ac:dyDescent="0.35">
      <c r="A82" s="14">
        <v>44636.805555555555</v>
      </c>
      <c r="B82" s="15">
        <f t="shared" si="4"/>
        <v>35.833333333372138</v>
      </c>
      <c r="C82" s="21">
        <f>87*20*100000</f>
        <v>174000000</v>
      </c>
      <c r="D82" s="23">
        <f>AVERAGE(119*2,3*2*10)</f>
        <v>149</v>
      </c>
      <c r="E82" s="16">
        <v>0.71</v>
      </c>
      <c r="F82" s="5">
        <v>3.96</v>
      </c>
      <c r="H82" s="15">
        <f t="shared" si="3"/>
        <v>8.2405492482825995</v>
      </c>
      <c r="I82" s="15">
        <f t="shared" si="3"/>
        <v>2.173186268412274</v>
      </c>
    </row>
    <row r="83" spans="1:11" x14ac:dyDescent="0.35">
      <c r="A83" s="14">
        <v>44637.333333333336</v>
      </c>
      <c r="B83" s="15">
        <f t="shared" si="4"/>
        <v>48.500000000116415</v>
      </c>
      <c r="C83" s="21">
        <f>71*20*100000</f>
        <v>142000000</v>
      </c>
      <c r="D83" s="23">
        <f>2*2</f>
        <v>4</v>
      </c>
      <c r="E83" s="5">
        <v>0.91700000000000004</v>
      </c>
      <c r="F83" s="5">
        <v>3.73</v>
      </c>
      <c r="H83" s="15">
        <f t="shared" si="3"/>
        <v>8.1522883443830558</v>
      </c>
      <c r="I83" s="15">
        <f t="shared" si="3"/>
        <v>0.6020599913279624</v>
      </c>
    </row>
    <row r="84" spans="1:11" x14ac:dyDescent="0.35">
      <c r="A84" s="14">
        <v>44637.5625</v>
      </c>
      <c r="B84" s="15">
        <f t="shared" si="4"/>
        <v>54.000000000058208</v>
      </c>
      <c r="C84" s="21">
        <f>79*20*100000</f>
        <v>158000000</v>
      </c>
      <c r="D84" s="26">
        <f>AVERAGE(1*2,3)</f>
        <v>2.5</v>
      </c>
      <c r="E84" s="5">
        <v>0.95899999999999996</v>
      </c>
      <c r="F84" s="5">
        <v>3.77</v>
      </c>
      <c r="H84" s="15">
        <f t="shared" si="3"/>
        <v>8.1986570869544231</v>
      </c>
      <c r="I84" s="15">
        <f t="shared" si="3"/>
        <v>0.3979400086720376</v>
      </c>
    </row>
    <row r="85" spans="1:11" x14ac:dyDescent="0.35">
      <c r="C85" s="5"/>
    </row>
    <row r="86" spans="1:11" x14ac:dyDescent="0.35">
      <c r="C86" s="5"/>
      <c r="E86" t="s">
        <v>31</v>
      </c>
      <c r="F86">
        <f>MIN(F73:F84)</f>
        <v>3.73</v>
      </c>
    </row>
    <row r="93" spans="1:11" ht="18.5" x14ac:dyDescent="0.45">
      <c r="A93" s="33" t="s">
        <v>37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x14ac:dyDescent="0.35">
      <c r="A94" t="s">
        <v>23</v>
      </c>
      <c r="B94" s="5" t="s">
        <v>24</v>
      </c>
      <c r="C94" s="5" t="s">
        <v>25</v>
      </c>
      <c r="D94" s="5" t="s">
        <v>26</v>
      </c>
      <c r="E94" s="5" t="s">
        <v>27</v>
      </c>
      <c r="F94" s="5" t="s">
        <v>28</v>
      </c>
      <c r="G94" s="5"/>
      <c r="H94" s="5" t="s">
        <v>29</v>
      </c>
      <c r="I94" s="5" t="s">
        <v>30</v>
      </c>
      <c r="J94" s="5" t="s">
        <v>13</v>
      </c>
      <c r="K94" s="5" t="s">
        <v>28</v>
      </c>
    </row>
    <row r="95" spans="1:11" x14ac:dyDescent="0.35">
      <c r="A95" s="14">
        <v>44635.354166666664</v>
      </c>
      <c r="B95" s="15">
        <f>0*24+1</f>
        <v>1</v>
      </c>
      <c r="C95" s="23">
        <f>7*20*100</f>
        <v>14000</v>
      </c>
      <c r="D95" s="21">
        <f>13*20*10</f>
        <v>2600</v>
      </c>
      <c r="E95" s="5">
        <v>-3.0000000000000001E-3</v>
      </c>
      <c r="F95" s="5">
        <v>5.83</v>
      </c>
      <c r="H95" s="18">
        <f>LOG(C95)</f>
        <v>4.1461280356782382</v>
      </c>
      <c r="I95" s="15">
        <f>LOG(D95)</f>
        <v>3.4149733479708178</v>
      </c>
      <c r="J95" s="5"/>
      <c r="K95" s="5"/>
    </row>
    <row r="96" spans="1:11" x14ac:dyDescent="0.35">
      <c r="A96" s="14">
        <v>44635.447916666664</v>
      </c>
      <c r="B96" s="15">
        <f>(A96-$A$32)*24+1</f>
        <v>3.25</v>
      </c>
      <c r="C96" s="21">
        <f>6*20*100</f>
        <v>12000</v>
      </c>
      <c r="D96" s="21">
        <f>53*20*10</f>
        <v>10600</v>
      </c>
      <c r="E96" s="5">
        <v>4.0000000000000001E-3</v>
      </c>
      <c r="F96" s="15">
        <v>5.81</v>
      </c>
      <c r="H96" s="15">
        <f t="shared" ref="H96:I106" si="5">LOG(C96)</f>
        <v>4.0791812460476251</v>
      </c>
      <c r="I96" s="15">
        <f t="shared" si="5"/>
        <v>4.0253058652647704</v>
      </c>
      <c r="J96" s="5"/>
      <c r="K96" s="5"/>
    </row>
    <row r="97" spans="1:11" x14ac:dyDescent="0.35">
      <c r="A97" s="14">
        <v>44635.5625</v>
      </c>
      <c r="B97" s="15">
        <f t="shared" ref="B97:B106" si="6">(A97-$A$32)*24+1</f>
        <v>6.0000000000582077</v>
      </c>
      <c r="C97" s="21">
        <f>2*20*10^3</f>
        <v>40000</v>
      </c>
      <c r="D97" s="21">
        <f>72*20*10</f>
        <v>14400</v>
      </c>
      <c r="E97" s="5">
        <v>-1.0999999999999999E-2</v>
      </c>
      <c r="F97" s="5">
        <v>1.7999999999999999E-2</v>
      </c>
      <c r="H97" s="15">
        <f t="shared" si="5"/>
        <v>4.6020599913279625</v>
      </c>
      <c r="I97" s="15">
        <f t="shared" si="5"/>
        <v>4.1583624920952493</v>
      </c>
      <c r="J97" s="5"/>
      <c r="K97" s="5"/>
    </row>
    <row r="98" spans="1:11" x14ac:dyDescent="0.35">
      <c r="A98" s="14">
        <v>44635.6875</v>
      </c>
      <c r="B98" s="15">
        <f t="shared" si="6"/>
        <v>9.0000000000582077</v>
      </c>
      <c r="C98" s="22">
        <f>0.9*20*100</f>
        <v>1800</v>
      </c>
      <c r="D98" s="21">
        <f>123*20*10</f>
        <v>24600</v>
      </c>
      <c r="E98" s="5">
        <v>4.2999999999999997E-2</v>
      </c>
      <c r="F98" s="5">
        <v>5.83</v>
      </c>
      <c r="H98" s="17">
        <f t="shared" si="5"/>
        <v>3.255272505103306</v>
      </c>
      <c r="I98" s="15">
        <f t="shared" si="5"/>
        <v>4.3909351071033793</v>
      </c>
      <c r="J98" s="5"/>
      <c r="K98" s="5"/>
    </row>
    <row r="99" spans="1:11" x14ac:dyDescent="0.35">
      <c r="A99" s="14">
        <v>44635.8125</v>
      </c>
      <c r="B99" s="15">
        <f t="shared" si="6"/>
        <v>12.000000000058208</v>
      </c>
      <c r="C99" s="22" t="s">
        <v>33</v>
      </c>
      <c r="D99" s="21">
        <f>195*20*10</f>
        <v>39000</v>
      </c>
      <c r="E99" s="5">
        <v>2E-3</v>
      </c>
      <c r="F99" s="5">
        <v>5.85</v>
      </c>
      <c r="H99" s="17" t="e">
        <f t="shared" si="5"/>
        <v>#VALUE!</v>
      </c>
      <c r="I99" s="15">
        <f t="shared" si="5"/>
        <v>4.5910646070264995</v>
      </c>
      <c r="J99" s="5"/>
      <c r="K99" s="5"/>
    </row>
    <row r="100" spans="1:11" x14ac:dyDescent="0.35">
      <c r="A100" s="14">
        <v>44636.329861111109</v>
      </c>
      <c r="B100" s="15">
        <f t="shared" si="6"/>
        <v>24.416666666686069</v>
      </c>
      <c r="C100" s="21">
        <f>3*20*100000</f>
        <v>6000000</v>
      </c>
      <c r="D100" s="21">
        <f>1800000</f>
        <v>1800000</v>
      </c>
      <c r="E100" s="5">
        <v>-2.8000000000000001E-2</v>
      </c>
      <c r="F100" s="5">
        <v>5.75</v>
      </c>
      <c r="H100" s="15">
        <f t="shared" si="5"/>
        <v>6.7781512503836439</v>
      </c>
      <c r="I100" s="15">
        <f t="shared" si="5"/>
        <v>6.2552725051033065</v>
      </c>
      <c r="J100" s="5"/>
      <c r="K100" s="5"/>
    </row>
    <row r="101" spans="1:11" x14ac:dyDescent="0.35">
      <c r="A101" s="14">
        <v>44636.447916666664</v>
      </c>
      <c r="B101" s="15">
        <f t="shared" si="6"/>
        <v>27.25</v>
      </c>
      <c r="C101" s="23">
        <f>7*20*100000</f>
        <v>14000000</v>
      </c>
      <c r="D101" s="21">
        <f>AVERAGE(5560000,5690000,4380000)</f>
        <v>5210000</v>
      </c>
      <c r="E101" s="5">
        <v>4.2999999999999997E-2</v>
      </c>
      <c r="F101" s="5">
        <v>5.84</v>
      </c>
      <c r="H101" s="17">
        <f t="shared" si="5"/>
        <v>7.1461280356782382</v>
      </c>
      <c r="I101" s="15">
        <f t="shared" si="5"/>
        <v>6.7168377232995242</v>
      </c>
      <c r="J101" s="5"/>
      <c r="K101" s="5"/>
    </row>
    <row r="102" spans="1:11" x14ac:dyDescent="0.35">
      <c r="A102" s="14">
        <v>44636.5625</v>
      </c>
      <c r="B102" s="15">
        <f t="shared" si="6"/>
        <v>30.000000000058208</v>
      </c>
      <c r="C102" s="21">
        <f>23*20*100000</f>
        <v>46000000</v>
      </c>
      <c r="D102" s="21">
        <f>AVERAGE(10600000,10600000,13000000)</f>
        <v>11400000</v>
      </c>
      <c r="E102" s="5">
        <v>4.2999999999999997E-2</v>
      </c>
      <c r="F102" s="5">
        <v>5.45</v>
      </c>
      <c r="H102" s="15">
        <f t="shared" si="5"/>
        <v>7.6627578316815743</v>
      </c>
      <c r="I102" s="15">
        <f t="shared" si="5"/>
        <v>7.0569048513364727</v>
      </c>
      <c r="J102" s="5"/>
      <c r="K102" s="5"/>
    </row>
    <row r="103" spans="1:11" x14ac:dyDescent="0.35">
      <c r="A103" s="14">
        <v>44636.6875</v>
      </c>
      <c r="B103" s="15">
        <f t="shared" si="6"/>
        <v>33.000000000058208</v>
      </c>
      <c r="C103" s="21">
        <f>29*20*100000</f>
        <v>58000000</v>
      </c>
      <c r="D103" s="21">
        <f>AVERAGE(23000000,21100000,19800000)</f>
        <v>21300000</v>
      </c>
      <c r="E103" s="5">
        <v>6.6000000000000003E-2</v>
      </c>
      <c r="F103" s="5">
        <v>5.01</v>
      </c>
      <c r="H103" s="15">
        <f t="shared" si="5"/>
        <v>7.7634279935629369</v>
      </c>
      <c r="I103" s="15">
        <f t="shared" si="5"/>
        <v>7.3283796034387381</v>
      </c>
      <c r="J103" s="5"/>
      <c r="K103" s="5"/>
    </row>
    <row r="104" spans="1:11" x14ac:dyDescent="0.35">
      <c r="A104" s="14">
        <v>44636.805555555555</v>
      </c>
      <c r="B104" s="15">
        <f t="shared" si="6"/>
        <v>35.833333333372138</v>
      </c>
      <c r="C104" s="21">
        <f>44*20*100000</f>
        <v>88000000</v>
      </c>
      <c r="D104" s="21">
        <f>AVERAGE(21500000,19100000,22400000)</f>
        <v>21000000</v>
      </c>
      <c r="E104" s="5">
        <v>0.16900000000000001</v>
      </c>
      <c r="F104" s="5">
        <v>4.66</v>
      </c>
      <c r="H104" s="15">
        <f t="shared" si="5"/>
        <v>7.9444826721501682</v>
      </c>
      <c r="I104" s="15">
        <f>LOG(D104)</f>
        <v>7.3222192947339195</v>
      </c>
      <c r="J104" s="5"/>
      <c r="K104" s="5"/>
    </row>
    <row r="105" spans="1:11" x14ac:dyDescent="0.35">
      <c r="A105" s="14">
        <v>44637.333333333336</v>
      </c>
      <c r="B105" s="15">
        <f t="shared" si="6"/>
        <v>48.500000000116415</v>
      </c>
      <c r="C105" s="23">
        <f>82*20*100000</f>
        <v>164000000</v>
      </c>
      <c r="D105" s="21">
        <f>AVERAGE(22800000,23500000,23700000)</f>
        <v>23333333.333333332</v>
      </c>
      <c r="E105" s="5">
        <v>0.72699999999999998</v>
      </c>
      <c r="F105" s="15">
        <v>3.85</v>
      </c>
      <c r="H105" s="18">
        <f t="shared" si="5"/>
        <v>8.214843848047698</v>
      </c>
      <c r="I105" s="15">
        <f t="shared" si="5"/>
        <v>7.3679767852945943</v>
      </c>
      <c r="J105" s="5"/>
      <c r="K105" s="5"/>
    </row>
    <row r="106" spans="1:11" x14ac:dyDescent="0.35">
      <c r="A106" s="14">
        <v>44637.5625</v>
      </c>
      <c r="B106" s="15">
        <f t="shared" si="6"/>
        <v>54.000000000058208</v>
      </c>
      <c r="C106" s="21">
        <f>102*20*100000</f>
        <v>204000000</v>
      </c>
      <c r="D106" s="21">
        <f>193*20*100</f>
        <v>386000</v>
      </c>
      <c r="E106" s="5">
        <v>0.82499999999999996</v>
      </c>
      <c r="F106" s="5">
        <v>3.74</v>
      </c>
      <c r="H106" s="18">
        <f t="shared" si="5"/>
        <v>8.3096301674258992</v>
      </c>
      <c r="I106" s="15">
        <f t="shared" si="5"/>
        <v>5.5865873046717551</v>
      </c>
      <c r="J106" s="5"/>
      <c r="K106" s="5"/>
    </row>
    <row r="107" spans="1:11" x14ac:dyDescent="0.35">
      <c r="H107" s="5"/>
      <c r="I107" s="5"/>
      <c r="J107" s="5"/>
      <c r="K107" s="5"/>
    </row>
    <row r="114" spans="1:11" x14ac:dyDescent="0.35">
      <c r="A114" t="s">
        <v>23</v>
      </c>
      <c r="B114" s="5" t="s">
        <v>24</v>
      </c>
      <c r="C114" s="5" t="s">
        <v>25</v>
      </c>
      <c r="D114" s="5" t="s">
        <v>26</v>
      </c>
      <c r="E114" s="5" t="s">
        <v>27</v>
      </c>
      <c r="F114" s="5" t="s">
        <v>28</v>
      </c>
      <c r="G114" s="5"/>
      <c r="H114" s="5" t="s">
        <v>29</v>
      </c>
      <c r="I114" s="5" t="s">
        <v>30</v>
      </c>
      <c r="J114" s="5" t="s">
        <v>13</v>
      </c>
      <c r="K114" s="5" t="s">
        <v>28</v>
      </c>
    </row>
    <row r="115" spans="1:11" x14ac:dyDescent="0.35">
      <c r="A115" s="14">
        <v>44635.354166666664</v>
      </c>
      <c r="B115" s="15">
        <f>0*24+1</f>
        <v>1</v>
      </c>
      <c r="C115" s="23">
        <f>127*20*100</f>
        <v>254000</v>
      </c>
      <c r="D115" s="21">
        <f>28*100</f>
        <v>2800</v>
      </c>
      <c r="E115" s="5">
        <v>-1.6E-2</v>
      </c>
      <c r="F115" s="5">
        <v>6.09</v>
      </c>
      <c r="H115" s="18">
        <f>LOG(C115)</f>
        <v>5.4048337166199385</v>
      </c>
      <c r="I115" s="15">
        <f>LOG(D115)</f>
        <v>3.4471580313422194</v>
      </c>
      <c r="J115" s="5"/>
      <c r="K115" s="5"/>
    </row>
    <row r="116" spans="1:11" x14ac:dyDescent="0.35">
      <c r="A116" s="14">
        <v>44635.447916666664</v>
      </c>
      <c r="B116" s="15">
        <f>(A116-$A$32)*24+1</f>
        <v>3.25</v>
      </c>
      <c r="C116" s="21">
        <f>145*20*100</f>
        <v>290000</v>
      </c>
      <c r="D116" s="21">
        <f>49*100</f>
        <v>4900</v>
      </c>
      <c r="E116" s="5">
        <v>-1.2999999999999999E-2</v>
      </c>
      <c r="F116" s="15">
        <v>6.01</v>
      </c>
      <c r="H116" s="15">
        <f t="shared" ref="H116:H126" si="7">LOG(C116)</f>
        <v>5.4623979978989565</v>
      </c>
      <c r="I116" s="15">
        <f t="shared" ref="I116:I123" si="8">LOG(D116)</f>
        <v>3.6901960800285138</v>
      </c>
      <c r="J116" s="5"/>
      <c r="K116" s="5"/>
    </row>
    <row r="117" spans="1:11" x14ac:dyDescent="0.35">
      <c r="A117" s="14">
        <v>44635.5625</v>
      </c>
      <c r="B117" s="15">
        <f t="shared" ref="B117:B126" si="9">(A117-$A$32)*24+1</f>
        <v>6.0000000000582077</v>
      </c>
      <c r="C117" s="23">
        <f>112*20*1000</f>
        <v>2240000</v>
      </c>
      <c r="D117" s="21">
        <f>112*100</f>
        <v>11200</v>
      </c>
      <c r="E117" s="5">
        <v>3.0000000000000001E-3</v>
      </c>
      <c r="F117" s="5">
        <v>6.04</v>
      </c>
      <c r="H117" s="18">
        <f t="shared" si="7"/>
        <v>6.3502480183341632</v>
      </c>
      <c r="I117" s="15">
        <f t="shared" si="8"/>
        <v>4.0492180226701819</v>
      </c>
      <c r="J117" s="5"/>
      <c r="K117" s="5"/>
    </row>
    <row r="118" spans="1:11" x14ac:dyDescent="0.35">
      <c r="A118" s="14">
        <v>44635.6875</v>
      </c>
      <c r="B118" s="15">
        <f t="shared" si="9"/>
        <v>9.0000000000582077</v>
      </c>
      <c r="C118" s="23">
        <f>39*20*10000</f>
        <v>7800000</v>
      </c>
      <c r="D118" s="21">
        <f>18*20*100</f>
        <v>36000</v>
      </c>
      <c r="E118" s="5">
        <v>-7.0000000000000001E-3</v>
      </c>
      <c r="F118" s="5">
        <v>5.96</v>
      </c>
      <c r="H118" s="18">
        <f t="shared" si="7"/>
        <v>6.8920946026904808</v>
      </c>
      <c r="I118" s="15">
        <f t="shared" si="8"/>
        <v>4.5563025007672868</v>
      </c>
      <c r="J118" s="5"/>
      <c r="K118" s="5"/>
    </row>
    <row r="119" spans="1:11" x14ac:dyDescent="0.35">
      <c r="A119" s="14">
        <v>44635.8125</v>
      </c>
      <c r="B119" s="15">
        <f t="shared" si="9"/>
        <v>12.000000000058208</v>
      </c>
      <c r="C119" s="23">
        <f>20400000</f>
        <v>20400000</v>
      </c>
      <c r="D119" s="21">
        <f>40*20*100</f>
        <v>80000</v>
      </c>
      <c r="E119" s="5">
        <v>8.5000000000000006E-2</v>
      </c>
      <c r="F119" s="5">
        <v>5.68</v>
      </c>
      <c r="H119" s="18">
        <f t="shared" si="7"/>
        <v>7.3096301674258983</v>
      </c>
      <c r="I119" s="15">
        <f t="shared" si="8"/>
        <v>4.9030899869919438</v>
      </c>
      <c r="J119" s="5"/>
      <c r="K119" s="5"/>
    </row>
    <row r="120" spans="1:11" x14ac:dyDescent="0.35">
      <c r="A120" s="14">
        <v>44636.329861111109</v>
      </c>
      <c r="B120" s="15">
        <f t="shared" si="9"/>
        <v>24.416666666686069</v>
      </c>
      <c r="C120" s="21">
        <f>92*20*100000</f>
        <v>184000000</v>
      </c>
      <c r="D120" s="21">
        <f>35*20*1000</f>
        <v>700000</v>
      </c>
      <c r="E120" s="5">
        <v>0.65200000000000002</v>
      </c>
      <c r="F120" s="5">
        <v>4.1500000000000004</v>
      </c>
      <c r="H120" s="18">
        <f t="shared" si="7"/>
        <v>8.2648178230095368</v>
      </c>
      <c r="I120" s="15">
        <f t="shared" si="8"/>
        <v>5.8450980400142569</v>
      </c>
      <c r="J120" s="5"/>
      <c r="K120" s="5"/>
    </row>
    <row r="121" spans="1:11" x14ac:dyDescent="0.35">
      <c r="A121" s="14">
        <v>44636.447916666664</v>
      </c>
      <c r="B121" s="15">
        <f t="shared" si="9"/>
        <v>27.25</v>
      </c>
      <c r="C121" s="23">
        <f>85*20*100000</f>
        <v>170000000</v>
      </c>
      <c r="D121" s="21">
        <f>27*20*1000</f>
        <v>540000</v>
      </c>
      <c r="E121" s="5">
        <v>0.78300000000000003</v>
      </c>
      <c r="F121" s="5">
        <v>4.03</v>
      </c>
      <c r="H121" s="18">
        <f t="shared" si="7"/>
        <v>8.2304489213782741</v>
      </c>
      <c r="I121" s="15">
        <f t="shared" si="8"/>
        <v>5.7323937598229682</v>
      </c>
      <c r="J121" s="5"/>
      <c r="K121" s="5"/>
    </row>
    <row r="122" spans="1:11" x14ac:dyDescent="0.35">
      <c r="A122" s="14">
        <v>44636.5625</v>
      </c>
      <c r="B122" s="15">
        <f t="shared" si="9"/>
        <v>30.000000000058208</v>
      </c>
      <c r="C122" s="21">
        <f>95*20*100000</f>
        <v>190000000</v>
      </c>
      <c r="D122" s="21">
        <f>26*20*1000</f>
        <v>520000</v>
      </c>
      <c r="E122" s="5">
        <v>0.86199999999999999</v>
      </c>
      <c r="F122" s="5">
        <v>3.92</v>
      </c>
      <c r="H122" s="18">
        <f t="shared" si="7"/>
        <v>8.2787536009528289</v>
      </c>
      <c r="I122" s="15">
        <f t="shared" si="8"/>
        <v>5.7160033436347994</v>
      </c>
      <c r="J122" s="5"/>
      <c r="K122" s="5"/>
    </row>
    <row r="123" spans="1:11" x14ac:dyDescent="0.35">
      <c r="A123" s="14">
        <v>44636.6875</v>
      </c>
      <c r="B123" s="15">
        <f t="shared" si="9"/>
        <v>33.000000000058208</v>
      </c>
      <c r="C123" s="21">
        <f>93*20*100000</f>
        <v>186000000</v>
      </c>
      <c r="D123" s="21">
        <f>38*20*1000</f>
        <v>760000</v>
      </c>
      <c r="E123" s="5">
        <v>0.94399999999999995</v>
      </c>
      <c r="F123" s="5">
        <v>3.84</v>
      </c>
      <c r="H123" s="18">
        <f t="shared" si="7"/>
        <v>8.2695129442179169</v>
      </c>
      <c r="I123" s="15">
        <f t="shared" si="8"/>
        <v>5.8808135922807914</v>
      </c>
      <c r="J123" s="5"/>
      <c r="K123" s="5"/>
    </row>
    <row r="124" spans="1:11" x14ac:dyDescent="0.35">
      <c r="A124" s="14">
        <v>44636.805555555555</v>
      </c>
      <c r="B124" s="15">
        <f t="shared" si="9"/>
        <v>35.833333333372138</v>
      </c>
      <c r="C124" s="21">
        <f>119*20*100000</f>
        <v>238000000</v>
      </c>
      <c r="D124" s="21">
        <f>25*20*1000</f>
        <v>500000</v>
      </c>
      <c r="E124" s="5">
        <v>1.0269999999999999</v>
      </c>
      <c r="F124" s="5">
        <v>3.8</v>
      </c>
      <c r="H124" s="18">
        <f t="shared" si="7"/>
        <v>8.3765769570565123</v>
      </c>
      <c r="I124" s="15">
        <f>LOG(D124)</f>
        <v>5.6989700043360187</v>
      </c>
      <c r="J124" s="5"/>
      <c r="K124" s="5"/>
    </row>
    <row r="125" spans="1:11" x14ac:dyDescent="0.35">
      <c r="A125" s="14">
        <v>44637.333333333336</v>
      </c>
      <c r="B125" s="15">
        <f t="shared" si="9"/>
        <v>48.500000000116415</v>
      </c>
      <c r="C125" s="23">
        <f>270000000</f>
        <v>270000000</v>
      </c>
      <c r="D125" s="23">
        <f>AVERAGE(80000,80000,680000)</f>
        <v>280000</v>
      </c>
      <c r="E125" s="5">
        <v>1.2110000000000001</v>
      </c>
      <c r="F125" s="15">
        <v>3.74</v>
      </c>
      <c r="H125" s="18">
        <f t="shared" si="7"/>
        <v>8.4313637641589878</v>
      </c>
      <c r="I125" s="15">
        <f t="shared" ref="I125:I126" si="10">LOG(D125)</f>
        <v>5.4471580313422194</v>
      </c>
      <c r="J125" s="5"/>
      <c r="K125" s="5"/>
    </row>
    <row r="126" spans="1:11" x14ac:dyDescent="0.35">
      <c r="A126" s="14">
        <v>44637.5625</v>
      </c>
      <c r="B126" s="15">
        <f t="shared" si="9"/>
        <v>54.000000000058208</v>
      </c>
      <c r="C126" s="23">
        <f>91*20*100000</f>
        <v>182000000</v>
      </c>
      <c r="D126" s="23">
        <f>24*20*1000</f>
        <v>480000</v>
      </c>
      <c r="E126" s="5">
        <v>1.256</v>
      </c>
      <c r="F126" s="5">
        <v>3.73</v>
      </c>
      <c r="H126" s="18">
        <f t="shared" si="7"/>
        <v>8.2600713879850751</v>
      </c>
      <c r="I126" s="15">
        <f t="shared" si="10"/>
        <v>5.6812412373755876</v>
      </c>
      <c r="J126" s="5"/>
      <c r="K126" s="5"/>
    </row>
    <row r="128" spans="1:11" x14ac:dyDescent="0.35">
      <c r="E128" t="s">
        <v>31</v>
      </c>
      <c r="F128">
        <f>MIN(F115:F126)</f>
        <v>3.73</v>
      </c>
    </row>
  </sheetData>
  <mergeCells count="2">
    <mergeCell ref="A71:K71"/>
    <mergeCell ref="A93:K9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4A43F4CEE8F44AB3F672C6858F9FEC" ma:contentTypeVersion="13" ma:contentTypeDescription="Crear nuevo documento." ma:contentTypeScope="" ma:versionID="a1f3bdb5630176c8fb3c5af50f4ed714">
  <xsd:schema xmlns:xsd="http://www.w3.org/2001/XMLSchema" xmlns:xs="http://www.w3.org/2001/XMLSchema" xmlns:p="http://schemas.microsoft.com/office/2006/metadata/properties" xmlns:ns2="aee63f0b-0245-449c-94ac-79c08434cfee" xmlns:ns3="7b6f0007-0847-4b3e-abb9-56539bb4002b" targetNamespace="http://schemas.microsoft.com/office/2006/metadata/properties" ma:root="true" ma:fieldsID="43bbe1d0c0cbe7f10c17b3fe8197c9b9" ns2:_="" ns3:_="">
    <xsd:import namespace="aee63f0b-0245-449c-94ac-79c08434cfee"/>
    <xsd:import namespace="7b6f0007-0847-4b3e-abb9-56539bb400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63f0b-0245-449c-94ac-79c08434cf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f0007-0847-4b3e-abb9-56539bb4002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B6C14E-09E7-43AD-B1E6-1ABB77FAEA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e63f0b-0245-449c-94ac-79c08434cfee"/>
    <ds:schemaRef ds:uri="7b6f0007-0847-4b3e-abb9-56539bb400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C29B90-DF1A-4A62-AC63-D5CC79E679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DB17C0-4750-488C-8108-3AF0C6AA452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LA_Calibration_curve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R9_rep</vt:lpstr>
      <vt:lpstr>R10</vt:lpstr>
      <vt:lpstr>R10_rep</vt:lpstr>
      <vt:lpstr>R11</vt:lpstr>
      <vt:lpstr>R12</vt:lpstr>
      <vt:lpstr>R13</vt:lpstr>
      <vt:lpstr>R14</vt:lpstr>
      <vt:lpstr>R15</vt:lpstr>
      <vt:lpstr>R15_rep</vt:lpstr>
      <vt:lpstr>R16</vt:lpstr>
      <vt:lpstr>R16_rep</vt:lpstr>
      <vt:lpstr>R17</vt:lpstr>
      <vt:lpstr>R17_rep</vt:lpstr>
      <vt:lpstr>R18</vt:lpstr>
      <vt:lpstr>R19</vt:lpstr>
      <vt:lpstr>R20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Ferrer, Nuria</dc:creator>
  <cp:keywords/>
  <dc:description/>
  <cp:lastModifiedBy>Jean Correia</cp:lastModifiedBy>
  <cp:revision/>
  <dcterms:created xsi:type="dcterms:W3CDTF">2022-03-09T14:31:12Z</dcterms:created>
  <dcterms:modified xsi:type="dcterms:W3CDTF">2026-06-19T19:39:17Z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0x010100E54A43F4CEE8F44AB3F672C6858F9FEC</vt:lpwstr>
  </property>
</Properties>
</file>