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X:\универ\что-то\гит\"/>
    </mc:Choice>
  </mc:AlternateContent>
  <xr:revisionPtr revIDLastSave="0" documentId="8_{7BD5C475-614D-4F16-B92E-EA1B55007A21}" xr6:coauthVersionLast="47" xr6:coauthVersionMax="47" xr10:uidLastSave="{00000000-0000-0000-0000-000000000000}"/>
  <bookViews>
    <workbookView xWindow="-108" yWindow="-108" windowWidth="23256" windowHeight="12456" activeTab="16" xr2:uid="{E2136C7F-A0A7-45AB-AB68-1E1E26FD123C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_1" sheetId="10" r:id="rId8"/>
    <sheet name="8_2" sheetId="11" r:id="rId9"/>
    <sheet name="8_3" sheetId="13" r:id="rId10"/>
    <sheet name="8_4" sheetId="12" r:id="rId11"/>
    <sheet name="8_5" sheetId="14" r:id="rId12"/>
    <sheet name="8_6" sheetId="15" r:id="rId13"/>
    <sheet name="8_7" sheetId="16" r:id="rId14"/>
    <sheet name="8_8" sheetId="17" r:id="rId15"/>
    <sheet name="8_9" sheetId="18" r:id="rId16"/>
    <sheet name="8_10" sheetId="19" r:id="rId17"/>
  </sheets>
  <definedNames>
    <definedName name="solver_adj" localSheetId="0" hidden="1">'1'!$C$94:$D$94</definedName>
    <definedName name="solver_adj" localSheetId="1" hidden="1">'2'!$B$231:$C$231</definedName>
    <definedName name="solver_adj" localSheetId="2" hidden="1">'3'!$B$123:$C$123</definedName>
    <definedName name="solver_adj" localSheetId="3" hidden="1">'4'!$B$249:$E$251</definedName>
    <definedName name="solver_adj" localSheetId="5" hidden="1">'6'!$J$2:$K$2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5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5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5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5" hidden="1">2147483647</definedName>
    <definedName name="solver_lhs1" localSheetId="0" hidden="1">'1'!$C$94:$D$94</definedName>
    <definedName name="solver_lhs1" localSheetId="1" hidden="1">'2'!$D$233</definedName>
    <definedName name="solver_lhs1" localSheetId="2" hidden="1">'3'!$B$123</definedName>
    <definedName name="solver_lhs1" localSheetId="3" hidden="1">'4'!$B$249:$E$251</definedName>
    <definedName name="solver_lhs1" localSheetId="5" hidden="1">'6'!$J$4</definedName>
    <definedName name="solver_lhs2" localSheetId="0" hidden="1">'1'!$C$94:$D$94</definedName>
    <definedName name="solver_lhs2" localSheetId="1" hidden="1">'2'!$D$234</definedName>
    <definedName name="solver_lhs2" localSheetId="2" hidden="1">'3'!$C$123</definedName>
    <definedName name="solver_lhs2" localSheetId="3" hidden="1">'4'!$B$252:$E$252</definedName>
    <definedName name="solver_lhs2" localSheetId="5" hidden="1">'6'!$J$5</definedName>
    <definedName name="solver_lhs3" localSheetId="0" hidden="1">'1'!$E$96</definedName>
    <definedName name="solver_lhs3" localSheetId="1" hidden="1">'2'!$D$235</definedName>
    <definedName name="solver_lhs3" localSheetId="2" hidden="1">'3'!$D$125</definedName>
    <definedName name="solver_lhs3" localSheetId="3" hidden="1">'4'!$F$249:$F$251</definedName>
    <definedName name="solver_lhs3" localSheetId="5" hidden="1">'6'!$J$6</definedName>
    <definedName name="solver_lhs4" localSheetId="0" hidden="1">'1'!$E$97</definedName>
    <definedName name="solver_lhs4" localSheetId="2" hidden="1">'3'!$D$126</definedName>
    <definedName name="solver_lhs5" localSheetId="0" hidden="1">'1'!$E$98</definedName>
    <definedName name="solver_lhs5" localSheetId="2" hidden="1">'3'!$D$116</definedName>
    <definedName name="solver_lhs6" localSheetId="2" hidden="1">'3'!$D$117</definedName>
    <definedName name="solver_lin" localSheetId="0" hidden="1">1</definedName>
    <definedName name="solver_lin" localSheetId="3" hidden="1">1</definedName>
    <definedName name="solver_lin" localSheetId="5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2</definedName>
    <definedName name="solver_neg" localSheetId="3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5" hidden="1">2147483647</definedName>
    <definedName name="solver_num" localSheetId="0" hidden="1">5</definedName>
    <definedName name="solver_num" localSheetId="1" hidden="1">3</definedName>
    <definedName name="solver_num" localSheetId="2" hidden="1">4</definedName>
    <definedName name="solver_num" localSheetId="3" hidden="1">3</definedName>
    <definedName name="solver_num" localSheetId="5" hidden="1">3</definedName>
    <definedName name="solver_nwt" localSheetId="1" hidden="1">1</definedName>
    <definedName name="solver_nwt" localSheetId="2" hidden="1">1</definedName>
    <definedName name="solver_opt" localSheetId="0" hidden="1">'1'!$E$95</definedName>
    <definedName name="solver_opt" localSheetId="1" hidden="1">'2'!$D$232</definedName>
    <definedName name="solver_opt" localSheetId="2" hidden="1">'3'!$D$124</definedName>
    <definedName name="solver_opt" localSheetId="3" hidden="1">'4'!$E$256</definedName>
    <definedName name="solver_opt" localSheetId="5" hidden="1">'6'!$J$3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5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5" hidden="1">1</definedName>
    <definedName name="solver_rel1" localSheetId="0" hidden="1">4</definedName>
    <definedName name="solver_rel1" localSheetId="1" hidden="1">3</definedName>
    <definedName name="solver_rel1" localSheetId="2" hidden="1">4</definedName>
    <definedName name="solver_rel1" localSheetId="3" hidden="1">3</definedName>
    <definedName name="solver_rel1" localSheetId="5" hidden="1">3</definedName>
    <definedName name="solver_rel2" localSheetId="0" hidden="1">3</definedName>
    <definedName name="solver_rel2" localSheetId="1" hidden="1">3</definedName>
    <definedName name="solver_rel2" localSheetId="2" hidden="1">4</definedName>
    <definedName name="solver_rel2" localSheetId="3" hidden="1">2</definedName>
    <definedName name="solver_rel2" localSheetId="5" hidden="1">3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3" localSheetId="3" hidden="1">2</definedName>
    <definedName name="solver_rel3" localSheetId="5" hidden="1">3</definedName>
    <definedName name="solver_rel4" localSheetId="0" hidden="1">1</definedName>
    <definedName name="solver_rel4" localSheetId="2" hidden="1">1</definedName>
    <definedName name="solver_rel5" localSheetId="0" hidden="1">1</definedName>
    <definedName name="solver_rel5" localSheetId="2" hidden="1">1</definedName>
    <definedName name="solver_rel6" localSheetId="2" hidden="1">3</definedName>
    <definedName name="solver_rhs1" localSheetId="0" hidden="1">"целое"</definedName>
    <definedName name="solver_rhs1" localSheetId="1" hidden="1">'2'!$F$233</definedName>
    <definedName name="solver_rhs1" localSheetId="2" hidden="1">"целое"</definedName>
    <definedName name="solver_rhs1" localSheetId="3" hidden="1">0</definedName>
    <definedName name="solver_rhs1" localSheetId="5" hidden="1">'6'!$L$4</definedName>
    <definedName name="solver_rhs2" localSheetId="0" hidden="1">0</definedName>
    <definedName name="solver_rhs2" localSheetId="1" hidden="1">'2'!$F$234</definedName>
    <definedName name="solver_rhs2" localSheetId="2" hidden="1">"целое"</definedName>
    <definedName name="solver_rhs2" localSheetId="3" hidden="1">'4'!$B$254:$E$254</definedName>
    <definedName name="solver_rhs2" localSheetId="5" hidden="1">'6'!$L$5</definedName>
    <definedName name="solver_rhs3" localSheetId="0" hidden="1">'1'!$G$96</definedName>
    <definedName name="solver_rhs3" localSheetId="1" hidden="1">'2'!$F$235</definedName>
    <definedName name="solver_rhs3" localSheetId="2" hidden="1">'3'!$F$125</definedName>
    <definedName name="solver_rhs3" localSheetId="3" hidden="1">'4'!$H$249:$H$251</definedName>
    <definedName name="solver_rhs3" localSheetId="5" hidden="1">'6'!$L$6</definedName>
    <definedName name="solver_rhs4" localSheetId="0" hidden="1">'1'!$G$97</definedName>
    <definedName name="solver_rhs4" localSheetId="2" hidden="1">'3'!$F$126</definedName>
    <definedName name="solver_rhs5" localSheetId="0" hidden="1">'1'!$G$98</definedName>
    <definedName name="solver_rhs5" localSheetId="2" hidden="1">'3'!$F$116</definedName>
    <definedName name="solver_rhs6" localSheetId="2" hidden="1">'3'!$F$117</definedName>
    <definedName name="solver_rlx" localSheetId="0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5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5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5" hidden="1">0.01</definedName>
    <definedName name="solver_typ" localSheetId="0" hidden="1">1</definedName>
    <definedName name="solver_typ" localSheetId="1" hidden="1">2</definedName>
    <definedName name="solver_typ" localSheetId="2" hidden="1">1</definedName>
    <definedName name="solver_typ" localSheetId="3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5" hidden="1">0</definedName>
    <definedName name="solver_ver" localSheetId="0" hidden="1">2</definedName>
    <definedName name="solver_ver" localSheetId="1" hidden="1">3</definedName>
    <definedName name="solver_ver" localSheetId="2" hidden="1">3</definedName>
    <definedName name="solver_ver" localSheetId="3" hidden="1">2</definedName>
    <definedName name="solver_ver" localSheetId="5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9" l="1"/>
  <c r="E4" i="19" s="1"/>
  <c r="C15" i="19"/>
  <c r="D15" i="19"/>
  <c r="B19" i="19"/>
  <c r="E8" i="19" s="1"/>
  <c r="C19" i="19"/>
  <c r="D19" i="19"/>
  <c r="C2" i="18"/>
  <c r="D2" i="18"/>
  <c r="E2" i="18"/>
  <c r="F2" i="18"/>
  <c r="G2" i="18"/>
  <c r="H2" i="18"/>
  <c r="D3" i="18"/>
  <c r="E3" i="18"/>
  <c r="F3" i="18"/>
  <c r="G3" i="18"/>
  <c r="H3" i="18"/>
  <c r="C4" i="18"/>
  <c r="D4" i="18"/>
  <c r="E4" i="18"/>
  <c r="F4" i="18"/>
  <c r="G4" i="18"/>
  <c r="H4" i="18"/>
  <c r="C5" i="18"/>
  <c r="D5" i="18"/>
  <c r="E5" i="18"/>
  <c r="F5" i="18"/>
  <c r="G5" i="18"/>
  <c r="H5" i="18"/>
  <c r="C6" i="18"/>
  <c r="D6" i="18"/>
  <c r="E6" i="18"/>
  <c r="F6" i="18"/>
  <c r="G6" i="18"/>
  <c r="H6" i="18"/>
  <c r="C7" i="18"/>
  <c r="D7" i="18"/>
  <c r="E7" i="18"/>
  <c r="F7" i="18"/>
  <c r="G7" i="18"/>
  <c r="H7" i="18"/>
  <c r="C8" i="18"/>
  <c r="D8" i="18"/>
  <c r="E8" i="18"/>
  <c r="F8" i="18"/>
  <c r="G8" i="18"/>
  <c r="H8" i="18"/>
  <c r="C9" i="18"/>
  <c r="D9" i="18"/>
  <c r="E9" i="18"/>
  <c r="F9" i="18"/>
  <c r="G9" i="18"/>
  <c r="H9" i="18"/>
  <c r="C10" i="18"/>
  <c r="D10" i="18"/>
  <c r="E10" i="18"/>
  <c r="F10" i="18"/>
  <c r="G10" i="18"/>
  <c r="H10" i="18"/>
  <c r="C11" i="18"/>
  <c r="D11" i="18"/>
  <c r="E11" i="18"/>
  <c r="F11" i="18"/>
  <c r="G11" i="18"/>
  <c r="H11" i="18"/>
  <c r="C12" i="18"/>
  <c r="D12" i="18"/>
  <c r="E12" i="18"/>
  <c r="F12" i="18"/>
  <c r="G12" i="18"/>
  <c r="H12" i="18"/>
  <c r="C13" i="18"/>
  <c r="F13" i="18"/>
  <c r="F14" i="18"/>
  <c r="B15" i="17"/>
  <c r="E4" i="17" s="1"/>
  <c r="C15" i="17"/>
  <c r="D15" i="17"/>
  <c r="B19" i="17"/>
  <c r="E8" i="17" s="1"/>
  <c r="C19" i="17"/>
  <c r="D19" i="17"/>
  <c r="C7" i="16"/>
  <c r="C22" i="16" s="1"/>
  <c r="C10" i="16"/>
  <c r="C15" i="16"/>
  <c r="C10" i="15"/>
  <c r="C13" i="15"/>
  <c r="C16" i="15"/>
  <c r="C26" i="15"/>
  <c r="C17" i="15" s="1"/>
  <c r="C18" i="15" s="1"/>
  <c r="C14" i="14"/>
  <c r="C17" i="14"/>
  <c r="C29" i="14"/>
  <c r="C30" i="14"/>
  <c r="C20" i="14" s="1"/>
  <c r="C31" i="14"/>
  <c r="C7" i="13"/>
  <c r="C10" i="13"/>
  <c r="C15" i="13"/>
  <c r="C22" i="13"/>
  <c r="C23" i="13"/>
  <c r="C13" i="13" s="1"/>
  <c r="C10" i="12"/>
  <c r="C13" i="12"/>
  <c r="C16" i="12"/>
  <c r="C26" i="12"/>
  <c r="C17" i="12" s="1"/>
  <c r="C18" i="12" s="1"/>
  <c r="C14" i="11"/>
  <c r="C17" i="11"/>
  <c r="C29" i="11"/>
  <c r="C30" i="11"/>
  <c r="C20" i="11" s="1"/>
  <c r="C31" i="11"/>
  <c r="E6" i="19" l="1"/>
  <c r="E22" i="19" s="1"/>
  <c r="C14" i="18" s="1"/>
  <c r="E6" i="17"/>
  <c r="E22" i="17" s="1"/>
  <c r="C23" i="16"/>
  <c r="C27" i="15"/>
  <c r="C20" i="15"/>
  <c r="C19" i="15"/>
  <c r="C21" i="15" s="1"/>
  <c r="C25" i="15" s="1"/>
  <c r="C23" i="14"/>
  <c r="C25" i="14" s="1"/>
  <c r="C24" i="14"/>
  <c r="C17" i="13"/>
  <c r="C16" i="13"/>
  <c r="C18" i="13" s="1"/>
  <c r="C27" i="12"/>
  <c r="C20" i="12"/>
  <c r="C19" i="12"/>
  <c r="C21" i="12" s="1"/>
  <c r="C25" i="12" s="1"/>
  <c r="C23" i="11"/>
  <c r="C25" i="11" s="1"/>
  <c r="C24" i="11"/>
  <c r="C13" i="16" l="1"/>
  <c r="C16" i="16"/>
  <c r="C18" i="16" s="1"/>
  <c r="C17" i="16"/>
  <c r="C22" i="15"/>
  <c r="C23" i="15"/>
  <c r="C24" i="15" s="1"/>
  <c r="C26" i="14"/>
  <c r="C27" i="14"/>
  <c r="C28" i="14" s="1"/>
  <c r="C19" i="13"/>
  <c r="C20" i="13"/>
  <c r="C21" i="13" s="1"/>
  <c r="C22" i="12"/>
  <c r="C23" i="12"/>
  <c r="C24" i="12" s="1"/>
  <c r="C26" i="11"/>
  <c r="C27" i="11"/>
  <c r="C28" i="11" s="1"/>
  <c r="C19" i="16" l="1"/>
  <c r="C20" i="16"/>
  <c r="C21" i="16" s="1"/>
  <c r="F29" i="9" l="1"/>
  <c r="F32" i="9"/>
  <c r="F35" i="9"/>
  <c r="F36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92" i="9"/>
  <c r="F93" i="9"/>
  <c r="F94" i="9"/>
  <c r="F95" i="9"/>
  <c r="F96" i="9"/>
  <c r="F97" i="9"/>
  <c r="H92" i="9" s="1"/>
  <c r="F98" i="9"/>
  <c r="D44" i="8"/>
  <c r="B70" i="8"/>
  <c r="I97" i="8"/>
  <c r="B98" i="8"/>
  <c r="I98" i="8"/>
  <c r="I99" i="8"/>
  <c r="I100" i="8"/>
  <c r="J62" i="6"/>
  <c r="N76" i="6"/>
  <c r="B77" i="6"/>
  <c r="E77" i="6"/>
  <c r="N77" i="6"/>
  <c r="B78" i="6"/>
  <c r="E78" i="6"/>
  <c r="N78" i="6"/>
  <c r="B79" i="6"/>
  <c r="E79" i="6"/>
  <c r="J79" i="6"/>
  <c r="K79" i="6"/>
  <c r="L79" i="6"/>
  <c r="M79" i="6"/>
  <c r="B80" i="6"/>
  <c r="E80" i="6"/>
  <c r="B81" i="6"/>
  <c r="E81" i="6"/>
  <c r="B82" i="6"/>
  <c r="E82" i="6"/>
  <c r="M83" i="6"/>
  <c r="F149" i="6"/>
  <c r="F153" i="6"/>
  <c r="J185" i="6"/>
  <c r="J186" i="6"/>
  <c r="J187" i="6"/>
  <c r="J188" i="6"/>
  <c r="J189" i="6"/>
  <c r="J190" i="6"/>
  <c r="J191" i="6"/>
  <c r="J192" i="6"/>
  <c r="F249" i="6"/>
  <c r="F250" i="6"/>
  <c r="F251" i="6"/>
  <c r="B252" i="6"/>
  <c r="C252" i="6"/>
  <c r="D252" i="6"/>
  <c r="E252" i="6"/>
  <c r="E256" i="6"/>
  <c r="D20" i="5"/>
  <c r="D21" i="5"/>
  <c r="D22" i="5"/>
  <c r="P24" i="5"/>
  <c r="D27" i="5"/>
  <c r="D28" i="5"/>
  <c r="D29" i="5"/>
  <c r="D30" i="5"/>
  <c r="L31" i="5"/>
  <c r="D35" i="5"/>
  <c r="T31" i="5" s="1"/>
  <c r="D36" i="5"/>
  <c r="D37" i="5"/>
  <c r="D38" i="5"/>
  <c r="J39" i="5"/>
  <c r="N39" i="5"/>
  <c r="D43" i="5"/>
  <c r="D44" i="5"/>
  <c r="D45" i="5"/>
  <c r="D46" i="5"/>
  <c r="D47" i="5"/>
  <c r="D52" i="5"/>
  <c r="D53" i="5"/>
  <c r="D54" i="5"/>
  <c r="D55" i="5"/>
  <c r="J55" i="5"/>
  <c r="N55" i="5"/>
  <c r="D56" i="5"/>
  <c r="D61" i="5"/>
  <c r="R39" i="5" s="1"/>
  <c r="D62" i="5"/>
  <c r="D63" i="5"/>
  <c r="D64" i="5"/>
  <c r="D65" i="5"/>
  <c r="D70" i="5"/>
  <c r="D71" i="5"/>
  <c r="D72" i="5"/>
  <c r="D73" i="5"/>
  <c r="D74" i="5"/>
  <c r="D79" i="5"/>
  <c r="L47" i="5" s="1"/>
  <c r="D80" i="5"/>
  <c r="D81" i="5"/>
  <c r="D82" i="5"/>
  <c r="D83" i="5"/>
  <c r="D84" i="5"/>
  <c r="D89" i="5"/>
  <c r="D90" i="5"/>
  <c r="D91" i="5"/>
  <c r="D92" i="5"/>
  <c r="D93" i="5"/>
  <c r="D94" i="5"/>
  <c r="D100" i="5"/>
  <c r="D101" i="5"/>
  <c r="D102" i="5"/>
  <c r="D103" i="5"/>
  <c r="D104" i="5"/>
  <c r="D105" i="5"/>
  <c r="D106" i="5"/>
  <c r="D111" i="5"/>
  <c r="D112" i="5"/>
  <c r="D113" i="5"/>
  <c r="D114" i="5"/>
  <c r="D115" i="5"/>
  <c r="D116" i="5"/>
  <c r="D117" i="5"/>
  <c r="D124" i="5"/>
  <c r="D125" i="5"/>
  <c r="D126" i="5"/>
  <c r="B44" i="4" l="1"/>
  <c r="B45" i="4"/>
  <c r="B46" i="4"/>
  <c r="C49" i="4"/>
  <c r="D49" i="4"/>
  <c r="E49" i="4"/>
  <c r="F49" i="4"/>
  <c r="G49" i="4"/>
  <c r="H49" i="4"/>
  <c r="I49" i="4"/>
  <c r="C50" i="4"/>
  <c r="B61" i="4" s="1"/>
  <c r="D50" i="4"/>
  <c r="D61" i="4" s="1"/>
  <c r="E50" i="4"/>
  <c r="E61" i="4" s="1"/>
  <c r="F50" i="4"/>
  <c r="F61" i="4" s="1"/>
  <c r="G50" i="4"/>
  <c r="G61" i="4" s="1"/>
  <c r="H50" i="4"/>
  <c r="H61" i="4" s="1"/>
  <c r="I50" i="4"/>
  <c r="C51" i="4"/>
  <c r="D51" i="4"/>
  <c r="E51" i="4"/>
  <c r="F51" i="4"/>
  <c r="G51" i="4"/>
  <c r="H51" i="4"/>
  <c r="I51" i="4"/>
  <c r="B52" i="4"/>
  <c r="C52" i="4"/>
  <c r="D52" i="4"/>
  <c r="E52" i="4"/>
  <c r="E63" i="4" s="1"/>
  <c r="F52" i="4"/>
  <c r="F63" i="4" s="1"/>
  <c r="G52" i="4"/>
  <c r="G63" i="4" s="1"/>
  <c r="H52" i="4"/>
  <c r="H63" i="4" s="1"/>
  <c r="I52" i="4"/>
  <c r="I63" i="4" s="1"/>
  <c r="C53" i="4"/>
  <c r="D53" i="4"/>
  <c r="E53" i="4"/>
  <c r="F53" i="4"/>
  <c r="G53" i="4"/>
  <c r="H53" i="4"/>
  <c r="I53" i="4"/>
  <c r="B56" i="4"/>
  <c r="B57" i="4"/>
  <c r="B60" i="4"/>
  <c r="D60" i="4"/>
  <c r="E60" i="4"/>
  <c r="F60" i="4"/>
  <c r="G60" i="4"/>
  <c r="H60" i="4"/>
  <c r="I60" i="4"/>
  <c r="B62" i="4"/>
  <c r="D62" i="4"/>
  <c r="E62" i="4"/>
  <c r="F62" i="4"/>
  <c r="G62" i="4"/>
  <c r="H62" i="4"/>
  <c r="I62" i="4"/>
  <c r="B63" i="4"/>
  <c r="D63" i="4"/>
  <c r="B64" i="4"/>
  <c r="C64" i="4"/>
  <c r="D64" i="4"/>
  <c r="E64" i="4"/>
  <c r="F64" i="4"/>
  <c r="G64" i="4"/>
  <c r="H64" i="4"/>
  <c r="I64" i="4"/>
  <c r="B86" i="4"/>
  <c r="B87" i="4"/>
  <c r="B90" i="4"/>
  <c r="C90" i="4"/>
  <c r="E90" i="4"/>
  <c r="F90" i="4"/>
  <c r="G90" i="4"/>
  <c r="B91" i="4"/>
  <c r="C91" i="4"/>
  <c r="D91" i="4"/>
  <c r="E91" i="4"/>
  <c r="F91" i="4"/>
  <c r="G91" i="4"/>
  <c r="B92" i="4"/>
  <c r="C92" i="4"/>
  <c r="E92" i="4"/>
  <c r="F92" i="4"/>
  <c r="G92" i="4"/>
  <c r="B93" i="4"/>
  <c r="C93" i="4"/>
  <c r="E93" i="4"/>
  <c r="F93" i="4"/>
  <c r="G93" i="4"/>
  <c r="B180" i="4"/>
  <c r="B183" i="4"/>
  <c r="B184" i="4"/>
  <c r="B185" i="4"/>
  <c r="B186" i="4"/>
  <c r="C192" i="4"/>
  <c r="C193" i="4"/>
  <c r="B198" i="4"/>
  <c r="B202" i="4"/>
  <c r="B203" i="4"/>
  <c r="B204" i="4"/>
  <c r="B205" i="4"/>
  <c r="C211" i="4"/>
  <c r="C212" i="4"/>
  <c r="B217" i="4"/>
  <c r="B219" i="4"/>
  <c r="B220" i="4"/>
  <c r="B221" i="4"/>
  <c r="C228" i="4"/>
  <c r="D232" i="4"/>
  <c r="D233" i="4"/>
  <c r="D234" i="4"/>
  <c r="D235" i="4"/>
  <c r="B244" i="4"/>
  <c r="B245" i="4"/>
  <c r="B246" i="4"/>
  <c r="I61" i="4" l="1"/>
  <c r="R114" i="1"/>
  <c r="R113" i="1"/>
  <c r="S106" i="1"/>
  <c r="E115" i="1"/>
  <c r="E114" i="1"/>
  <c r="T128" i="1"/>
  <c r="T127" i="1"/>
  <c r="H128" i="1"/>
  <c r="H129" i="1"/>
  <c r="O124" i="1"/>
  <c r="O125" i="1"/>
  <c r="O126" i="1"/>
  <c r="C127" i="1"/>
  <c r="C126" i="1"/>
  <c r="C125" i="1"/>
  <c r="D107" i="1"/>
  <c r="E98" i="1"/>
  <c r="E97" i="1"/>
  <c r="E96" i="1"/>
  <c r="E95" i="1"/>
  <c r="G69" i="1"/>
  <c r="E69" i="1" l="1"/>
  <c r="B69" i="1"/>
  <c r="C74" i="1" s="1"/>
  <c r="G67" i="1"/>
  <c r="C72" i="1" s="1"/>
  <c r="E67" i="1"/>
  <c r="B67" i="1"/>
  <c r="G66" i="1"/>
  <c r="E66" i="1"/>
  <c r="B66" i="1"/>
  <c r="G68" i="1"/>
  <c r="C73" i="1" s="1"/>
  <c r="E68" i="1"/>
  <c r="C68" i="1"/>
  <c r="C80" i="1" s="1"/>
  <c r="B68" i="1"/>
  <c r="C60" i="1"/>
  <c r="C62" i="1"/>
  <c r="C61" i="1"/>
  <c r="B34" i="1"/>
  <c r="B33" i="1"/>
  <c r="B32" i="1"/>
  <c r="B31" i="1"/>
  <c r="B30" i="1"/>
  <c r="E78" i="1" l="1"/>
  <c r="C81" i="1"/>
  <c r="B81" i="1"/>
  <c r="E79" i="1"/>
  <c r="G80" i="1"/>
  <c r="G79" i="1"/>
  <c r="G78" i="1"/>
  <c r="F81" i="1"/>
  <c r="F78" i="1"/>
  <c r="F80" i="1"/>
  <c r="F79" i="1"/>
  <c r="E80" i="1"/>
  <c r="G81" i="1"/>
  <c r="E81" i="1"/>
  <c r="S109" i="1" l="1"/>
  <c r="D110" i="1"/>
  <c r="D109" i="1"/>
  <c r="S108" i="1"/>
  <c r="S111" i="1"/>
  <c r="D112" i="1"/>
  <c r="S110" i="1"/>
  <c r="D111" i="1"/>
</calcChain>
</file>

<file path=xl/sharedStrings.xml><?xml version="1.0" encoding="utf-8"?>
<sst xmlns="http://schemas.openxmlformats.org/spreadsheetml/2006/main" count="1602" uniqueCount="683">
  <si>
    <t>Станки</t>
  </si>
  <si>
    <t>Затраты времени на выпуск одного изделия, мин</t>
  </si>
  <si>
    <t>Токарный</t>
  </si>
  <si>
    <t>Фрезерный</t>
  </si>
  <si>
    <t>Сверлильный</t>
  </si>
  <si>
    <t>Предприятие выпускает два вида изделий: валы и зубчатые колеса. При изготовлении каждого изделия необходима обработка на трех станках: токарном, фрезерном и сверлильном. Токарный станок может использоваться не более 10 часов в сутки, фрезерный - не более 8, сверлильный - не более 10 часов. Прибыль от продажи одного вала составляет 4 ден.ед., от одного зубчатого колеса - 5 ден.ед. Затраты времени на выпуск изделий на каждом из станков приведены в таблице.</t>
  </si>
  <si>
    <t>Вид изделия</t>
  </si>
  <si>
    <t>Вал</t>
  </si>
  <si>
    <t>Прибыль, ден.ед.</t>
  </si>
  <si>
    <t>Зубчатое колесо</t>
  </si>
  <si>
    <t>X1</t>
  </si>
  <si>
    <t>X2</t>
  </si>
  <si>
    <t>12*X1+5*X2&lt;=600</t>
  </si>
  <si>
    <t>X1&gt;=0</t>
  </si>
  <si>
    <t>X2&gt;=0</t>
  </si>
  <si>
    <t>E=</t>
  </si>
  <si>
    <t>4X1+5X2-&gt;max</t>
  </si>
  <si>
    <t>6*X1+11*X2&lt;=480</t>
  </si>
  <si>
    <t>10*X1+10*X2&lt;=600</t>
  </si>
  <si>
    <t>Время исп., не более мин в сутки</t>
  </si>
  <si>
    <t>Ограничения</t>
  </si>
  <si>
    <t>Математическая модель</t>
  </si>
  <si>
    <t>Целевая функция</t>
  </si>
  <si>
    <t>E(A)=</t>
  </si>
  <si>
    <t>E(B)=</t>
  </si>
  <si>
    <t>E(C)=</t>
  </si>
  <si>
    <t>E(E)=</t>
  </si>
  <si>
    <t>E(D)=</t>
  </si>
  <si>
    <t>Стандартная форма математической модели</t>
  </si>
  <si>
    <t>12*X1+5*X2+X3=</t>
  </si>
  <si>
    <t>&gt;=0; j=1,…,5</t>
  </si>
  <si>
    <t>Базисные переменные</t>
  </si>
  <si>
    <t>Не базисные переменные</t>
  </si>
  <si>
    <t>X3=</t>
  </si>
  <si>
    <t>X1=</t>
  </si>
  <si>
    <t>X4=</t>
  </si>
  <si>
    <t>X2=</t>
  </si>
  <si>
    <t>X5=</t>
  </si>
  <si>
    <t xml:space="preserve">Базис </t>
  </si>
  <si>
    <t>Х1</t>
  </si>
  <si>
    <t>Х2</t>
  </si>
  <si>
    <t>Х3</t>
  </si>
  <si>
    <t>Х4</t>
  </si>
  <si>
    <t>Х5</t>
  </si>
  <si>
    <t>Решение</t>
  </si>
  <si>
    <t>Е</t>
  </si>
  <si>
    <t>Симплексные отношения</t>
  </si>
  <si>
    <t>(минимальное)</t>
  </si>
  <si>
    <t>Симплекс-метод</t>
  </si>
  <si>
    <t>6*X1+11*X2+X4=</t>
  </si>
  <si>
    <t>10*X1+10*X2+X5=</t>
  </si>
  <si>
    <t>Х3: 600/5=</t>
  </si>
  <si>
    <t>Х4: 480/11=</t>
  </si>
  <si>
    <t>Х5: 600/10=</t>
  </si>
  <si>
    <t>Х3: 382/9,27=</t>
  </si>
  <si>
    <t>Х2: 44/0,55=</t>
  </si>
  <si>
    <t>Х5: 164/4,55=</t>
  </si>
  <si>
    <t>X2=24</t>
  </si>
  <si>
    <t>X4=0</t>
  </si>
  <si>
    <t>X5=0</t>
  </si>
  <si>
    <t>E=264</t>
  </si>
  <si>
    <t>X1=36</t>
  </si>
  <si>
    <t>max</t>
  </si>
  <si>
    <t>–&gt;</t>
  </si>
  <si>
    <t>&lt;=</t>
  </si>
  <si>
    <t xml:space="preserve">Анализ на чувствительность </t>
  </si>
  <si>
    <t>X1=36+0,22d&gt;=0</t>
  </si>
  <si>
    <t>X2=24-0,12d&gt;=0</t>
  </si>
  <si>
    <t>X3=48-2,04d&gt;=0</t>
  </si>
  <si>
    <t>Диапазон для x5</t>
  </si>
  <si>
    <t>.-163,8&lt;=d&lt;=23,4</t>
  </si>
  <si>
    <t>новый ресурс</t>
  </si>
  <si>
    <t>d=</t>
  </si>
  <si>
    <t>E=264+0,28d=</t>
  </si>
  <si>
    <t>X1=36+0,22d=</t>
  </si>
  <si>
    <t>X2=24-0,12d=</t>
  </si>
  <si>
    <t>X3=48-2,04d=</t>
  </si>
  <si>
    <t>Диапазон ресурса</t>
  </si>
  <si>
    <t>от</t>
  </si>
  <si>
    <t>до</t>
  </si>
  <si>
    <t>Диапазон для x4</t>
  </si>
  <si>
    <t>X1=36-0,2d&gt;=0</t>
  </si>
  <si>
    <t>X2=24+0,2d&gt;=0</t>
  </si>
  <si>
    <t>X3=48+1,4d&gt;=0</t>
  </si>
  <si>
    <t>E=264+0,2d=</t>
  </si>
  <si>
    <t>X1=36-0,2d=</t>
  </si>
  <si>
    <t>X2=24+0,2d=</t>
  </si>
  <si>
    <t>X3=48+1,4d=</t>
  </si>
  <si>
    <t>.-34,3&lt;=d&lt;=180</t>
  </si>
  <si>
    <t>к изменению прибыли от выпуска одного вала</t>
  </si>
  <si>
    <t xml:space="preserve">к изменению максимального времени работы сверлильного станка </t>
  </si>
  <si>
    <t xml:space="preserve">к изменению максимального времени работы фрезерного станка </t>
  </si>
  <si>
    <t>F4=0,2-0,2d=</t>
  </si>
  <si>
    <t>F5=0,28+0,22d=</t>
  </si>
  <si>
    <t>E=264+36d=</t>
  </si>
  <si>
    <t>F4=0,2-0,2d&gt;=0</t>
  </si>
  <si>
    <t>F5=0,28+0,22d&gt;=0</t>
  </si>
  <si>
    <t>.-1,27&lt;=d&lt;=1</t>
  </si>
  <si>
    <t>Диапазон прибыли</t>
  </si>
  <si>
    <t>к изменению прибыли от выпуска одного зубчатого колеса</t>
  </si>
  <si>
    <t>F4=0,2+0,2d=</t>
  </si>
  <si>
    <t>F5=0,28-0,12d=</t>
  </si>
  <si>
    <t>E=264+24d=</t>
  </si>
  <si>
    <t>F4=0,2+0,2d&gt;=0</t>
  </si>
  <si>
    <t>F5=0,28-0,12d&gt;=0</t>
  </si>
  <si>
    <t>.-1&lt;=d&lt;=2,33</t>
  </si>
  <si>
    <t>X3=48</t>
  </si>
  <si>
    <t xml:space="preserve">x1=0 </t>
  </si>
  <si>
    <t>x2=0</t>
  </si>
  <si>
    <t>x3=600</t>
  </si>
  <si>
    <t>x4=480</t>
  </si>
  <si>
    <t>x5=600</t>
  </si>
  <si>
    <t>E=0</t>
  </si>
  <si>
    <t>x1=0</t>
  </si>
  <si>
    <t>x2=44</t>
  </si>
  <si>
    <t>x3=382</t>
  </si>
  <si>
    <t>x4=0</t>
  </si>
  <si>
    <t>x5=164</t>
  </si>
  <si>
    <t>E=218</t>
  </si>
  <si>
    <t>x1=36</t>
  </si>
  <si>
    <t>x2=24</t>
  </si>
  <si>
    <t>x3=48</t>
  </si>
  <si>
    <t>x5=0</t>
  </si>
  <si>
    <t xml:space="preserve">
Таким образом, точка В является оптимальным решением задачи: ни в одной из смежных с ней угловых точек ОДР (т.е. в точках А и С) значение це- левой функции по сравнению с точкой В не улучшается. Оптимальные значе- ния переменных (координаты точки В) следующие: X1=36, Х2=24. Это означает, что требуется выпускать за смену 4 корпуса и 24 задвижки. Прибыль при этом составит Е(В) = 4*36+5*24 = 264 ден. ед.</t>
  </si>
  <si>
    <t xml:space="preserve">Это решение является допустимым, так как значения X1=X2=0 соответствуют системе ограничений. Таким образом, в качестве начальной угловой точки ОДР выбрано начало координат.
Выбранное решение явно не является оптимальным, так как целевая функция Е = 4Х1+5Х2 при этом равна нулю. По своему смыслу это решение означает, что никакие изделия не выпускаются. </t>
  </si>
  <si>
    <t>Решение оптимально, так как в Е-строке нет отрицательных элементов.</t>
  </si>
  <si>
    <t>Полученное решение соответствует угловой точке ОДР, обозначенной на графике как В (X1=36; Х2=24).</t>
  </si>
  <si>
    <t>Найденное для задачи решение (Х1=36; X1=24; Хз=48; Х4=0; Х5=0) оптимально, если прибыль от выпуска одного корпуса будет составлять от 5-1 до 5+2,33 ден.ед., т.е. от 4 до 7,33 ден.ед.
Если коэффициент целевой функции выходит за найденный диапазон, то для получения оптимального решения необходимо решить задачу заново (с новой целевой функцией), используя симплекс-метод. Новое оптимальное решение будет отличаться от прежнего не только значениями, но и составом переменных в оптимальном базисе. При этом прежнее решение (т.е. оптимальное решение исходной задачи) уже не будет оптимальным, но останется допустимым, так как оно удовлетворяет ограничениям задачи.</t>
  </si>
  <si>
    <t>E=100*Х1+250*Х2-&gt;min</t>
  </si>
  <si>
    <t>12,5*Х1+6*X2≤5000</t>
  </si>
  <si>
    <t>3Х1+4Х2≥1500</t>
  </si>
  <si>
    <t>Х1≥200</t>
  </si>
  <si>
    <t>Огранчения</t>
  </si>
  <si>
    <t xml:space="preserve">Диапазон </t>
  </si>
  <si>
    <t>-inf&lt;=d&lt;=87,5</t>
  </si>
  <si>
    <t>F5=10,94-0,13d&gt;=0</t>
  </si>
  <si>
    <t>F4=78,91-0,19d&gt;=0</t>
  </si>
  <si>
    <t>-E=-63672-344d</t>
  </si>
  <si>
    <t>F5=10,94-0,13d</t>
  </si>
  <si>
    <t>F4=78,91-0,19d</t>
  </si>
  <si>
    <t>100+d</t>
  </si>
  <si>
    <t xml:space="preserve">Анализ на чувствительность к изменению одного из коэффициентов целевой функции </t>
  </si>
  <si>
    <t>-300&lt;=d&lt;=767</t>
  </si>
  <si>
    <t>x3=144-0,19d&gt;=0</t>
  </si>
  <si>
    <t>x2=117+0,39d&gt;=0</t>
  </si>
  <si>
    <t>x1=344-0,19d&gt;=0</t>
  </si>
  <si>
    <t>-E=-63672-78,91d</t>
  </si>
  <si>
    <t>x3=144-0,19d</t>
  </si>
  <si>
    <t>X3</t>
  </si>
  <si>
    <t>x2=117+0,39d</t>
  </si>
  <si>
    <t>-E</t>
  </si>
  <si>
    <t>x1=344-0,19d</t>
  </si>
  <si>
    <t>Базис</t>
  </si>
  <si>
    <t>для x4</t>
  </si>
  <si>
    <t>1500+d</t>
  </si>
  <si>
    <t xml:space="preserve">Анализ решения на чувствительность к изменению ограничения на прибыль </t>
  </si>
  <si>
    <t>увеличение руды уменьшает загрязнение</t>
  </si>
  <si>
    <t>-1440&lt;=d&lt;=1170</t>
  </si>
  <si>
    <t>x3=144+0,1d&gt;=0</t>
  </si>
  <si>
    <t>x2=117-0,1d&gt;=0</t>
  </si>
  <si>
    <t>x1=344+0,1d&gt;=0</t>
  </si>
  <si>
    <t>-E=-63672+10,9d</t>
  </si>
  <si>
    <t>x3=144+0,1d</t>
  </si>
  <si>
    <t>x2=117-0,1d</t>
  </si>
  <si>
    <t>x1=344+0,1d</t>
  </si>
  <si>
    <t>5000+d=</t>
  </si>
  <si>
    <t>даипазон для x5</t>
  </si>
  <si>
    <t>Анализ на чувствительность изменения руды</t>
  </si>
  <si>
    <t>M+250</t>
  </si>
  <si>
    <t>M</t>
  </si>
  <si>
    <t>M-600</t>
  </si>
  <si>
    <t>0</t>
  </si>
  <si>
    <t>600</t>
  </si>
  <si>
    <t>-120000</t>
  </si>
  <si>
    <t>ИС</t>
  </si>
  <si>
    <t>1</t>
  </si>
  <si>
    <t>-1</t>
  </si>
  <si>
    <t>200</t>
  </si>
  <si>
    <t>x1</t>
  </si>
  <si>
    <t>6</t>
  </si>
  <si>
    <t>100</t>
  </si>
  <si>
    <t>x5</t>
  </si>
  <si>
    <t>2</t>
  </si>
  <si>
    <t>-2</t>
  </si>
  <si>
    <t>400</t>
  </si>
  <si>
    <t>x2</t>
  </si>
  <si>
    <t>-4</t>
  </si>
  <si>
    <t>11</t>
  </si>
  <si>
    <t>-11</t>
  </si>
  <si>
    <t>700</t>
  </si>
  <si>
    <t>x4</t>
  </si>
  <si>
    <t>z 3</t>
  </si>
  <si>
    <t>z 2</t>
  </si>
  <si>
    <t>z 1</t>
  </si>
  <si>
    <t>x 5</t>
  </si>
  <si>
    <t>x 4</t>
  </si>
  <si>
    <t>x 3</t>
  </si>
  <si>
    <t>x 2</t>
  </si>
  <si>
    <t>x 1</t>
  </si>
  <si>
    <t>БП</t>
  </si>
  <si>
    <t>Шаг 3</t>
  </si>
  <si>
    <t>X8</t>
  </si>
  <si>
    <t>X7</t>
  </si>
  <si>
    <t>X6</t>
  </si>
  <si>
    <t>X5</t>
  </si>
  <si>
    <t>-W</t>
  </si>
  <si>
    <t>Х8</t>
  </si>
  <si>
    <t>Х7</t>
  </si>
  <si>
    <t>Х6</t>
  </si>
  <si>
    <t>Исходная Симплекс-таблица</t>
  </si>
  <si>
    <t>Начальное значение целевой функции = 0, искусственной целевой функции = -1700</t>
  </si>
  <si>
    <t>-W=-1700+6X1+3X2-X3-X4-&gt;max</t>
  </si>
  <si>
    <t>-E=-100*Х1-250*Х2-&gt;max</t>
  </si>
  <si>
    <t>Хi≥0, i=1,…,8</t>
  </si>
  <si>
    <t>12,5Х1+6X2+X5=5000</t>
  </si>
  <si>
    <t>2X1-X2+X8=0</t>
  </si>
  <si>
    <t>3Х1+4Х2-Х4+Х7=1500</t>
  </si>
  <si>
    <t>Х1-Х3+Х6=200</t>
  </si>
  <si>
    <t>Небазисные переменные</t>
  </si>
  <si>
    <t>Полная математическая модель</t>
  </si>
  <si>
    <t>W=Х6+Х7+X8-&gt;min</t>
  </si>
  <si>
    <t>W=200-X1+X3+1500-3X1-4X2+X4+X2-2X1-&gt;min</t>
  </si>
  <si>
    <t>X7=1500-3X1-4X2+X4</t>
  </si>
  <si>
    <t>X8=X2-2X1</t>
  </si>
  <si>
    <t>X6=200-X1+X3</t>
  </si>
  <si>
    <t>Хi≥0, i=1,…,5</t>
  </si>
  <si>
    <t>12,5*Х1+6*X2+X5=5000</t>
  </si>
  <si>
    <t>2X1-X2=0</t>
  </si>
  <si>
    <t>3Х1+4Х2-Х4=1500</t>
  </si>
  <si>
    <t>Х1-Х3=200</t>
  </si>
  <si>
    <t>Стандартная форма</t>
  </si>
  <si>
    <t>Доп.условие</t>
  </si>
  <si>
    <t>Остаток серной кислоты: 143,75 т.</t>
  </si>
  <si>
    <t>Выбросы: 63671,875 кг.</t>
  </si>
  <si>
    <t>Оптимальное решение. Х1 = 343,75; Х2 = 117,188</t>
  </si>
  <si>
    <t>Симплекс отношения</t>
  </si>
  <si>
    <t>Второй этап (поиск оптимального решения)</t>
  </si>
  <si>
    <t>Как видно из таблицы, искусственная целевая функция равна нулю, и все искусственные переменные исключены из базиса. Получено допустимое решение. Таким образом, первый этап двухэтапного метода завершен. Искусственная целевая функция и искусственные переменные исключаются из симплекс-таблицы</t>
  </si>
  <si>
    <r>
      <t>-W=4X1+4X2-X3-X4</t>
    </r>
    <r>
      <rPr>
        <b/>
        <sz val="11"/>
        <color rgb="FF006100"/>
        <rFont val="Aptos Narrow"/>
        <family val="2"/>
        <scheme val="minor"/>
      </rPr>
      <t>-</t>
    </r>
    <r>
      <rPr>
        <sz val="11"/>
        <color rgb="FF006100"/>
        <rFont val="Aptos Narrow"/>
        <family val="2"/>
        <scheme val="minor"/>
      </rPr>
      <t>1700</t>
    </r>
    <r>
      <rPr>
        <sz val="11"/>
        <color rgb="FF006100"/>
        <rFont val="Aptos Narrow"/>
        <family val="2"/>
        <charset val="204"/>
        <scheme val="minor"/>
      </rPr>
      <t>-&gt;max</t>
    </r>
  </si>
  <si>
    <t>Хi≥0, i=1,…,7</t>
  </si>
  <si>
    <t>W=Х6+Х7-&gt;min</t>
  </si>
  <si>
    <t>-W=-1700+4X1+4X2-X3-X4-&gt;max</t>
  </si>
  <si>
    <t>W=200-X1+X3+1500-3X1-4X2+X4-&gt;min</t>
  </si>
  <si>
    <t>Первый этап (поиск допустимого решения)</t>
  </si>
  <si>
    <t>Хлорпикриновая кислота</t>
  </si>
  <si>
    <t>Серная кислота</t>
  </si>
  <si>
    <t>Двухэтапный метод</t>
  </si>
  <si>
    <t>≤5000</t>
  </si>
  <si>
    <t>≥1500</t>
  </si>
  <si>
    <t>≥200</t>
  </si>
  <si>
    <t>Доп условие</t>
  </si>
  <si>
    <t>Выпуск</t>
  </si>
  <si>
    <t>Опасные отходы</t>
  </si>
  <si>
    <t>Руда, тонн</t>
  </si>
  <si>
    <t>Цена, тыс.д.е.</t>
  </si>
  <si>
    <t>Вид продукции, тонн</t>
  </si>
  <si>
    <t>≤</t>
  </si>
  <si>
    <t xml:space="preserve"> max</t>
  </si>
  <si>
    <t xml:space="preserve">→ </t>
  </si>
  <si>
    <t>Проверка</t>
  </si>
  <si>
    <t xml:space="preserve"> ≥</t>
  </si>
  <si>
    <t>11)</t>
  </si>
  <si>
    <t>10)</t>
  </si>
  <si>
    <t>9)</t>
  </si>
  <si>
    <t>8)</t>
  </si>
  <si>
    <t>7)</t>
  </si>
  <si>
    <t xml:space="preserve">Оптимальное решение Х1=7 Х2 =13. Прибыль составит 5300д.е. Можно также определить, что неизрасходованый остаток запаса пластмассы составит 1 кг, а алюминия - 6 кг </t>
  </si>
  <si>
    <t>6)</t>
  </si>
  <si>
    <t>X2=14</t>
  </si>
  <si>
    <t>X1=5,5</t>
  </si>
  <si>
    <t>X2=13</t>
  </si>
  <si>
    <t>X1=7</t>
  </si>
  <si>
    <t>Е=200Х1+300Х2 → max</t>
  </si>
  <si>
    <t>X1 ≤ 8, Х2 ≥13, Х1 ≤7, Х2≥14</t>
  </si>
  <si>
    <t>X1 ≤ 8, Х2 ≥13, Х1 ≤ 7, Х2 ≤ 13</t>
  </si>
  <si>
    <t>6Х1+4Х1≤100</t>
  </si>
  <si>
    <t>4Х1+7Х2≤120</t>
  </si>
  <si>
    <t>5)</t>
  </si>
  <si>
    <t>Нет решения</t>
  </si>
  <si>
    <t>X2=13,14</t>
  </si>
  <si>
    <t>X1 ≤ 8, Х2 ≥13, Х1 ≥ 8</t>
  </si>
  <si>
    <t>X1 ≤ 8, Х2 ≥13, Х1 ≤ 7</t>
  </si>
  <si>
    <t>4)</t>
  </si>
  <si>
    <t>X2=11</t>
  </si>
  <si>
    <t>X1=9,33</t>
  </si>
  <si>
    <t>X1=7,25</t>
  </si>
  <si>
    <t>X2=12</t>
  </si>
  <si>
    <t>X1=8</t>
  </si>
  <si>
    <t>X1 ≥ 9, Х2 ≥ 12</t>
  </si>
  <si>
    <t>X1 ≥ 9, Х2 ≤ 11</t>
  </si>
  <si>
    <t>X1 ≤ 8, Х2 ≥13</t>
  </si>
  <si>
    <t>X1 ≤ 8, Х2 ≤ 12</t>
  </si>
  <si>
    <t>3)</t>
  </si>
  <si>
    <t>X2=11,25</t>
  </si>
  <si>
    <t>X1=9</t>
  </si>
  <si>
    <t>X2=12,57</t>
  </si>
  <si>
    <t>X1 ≥ 9</t>
  </si>
  <si>
    <t>X1 ≤ 8</t>
  </si>
  <si>
    <t>2)</t>
  </si>
  <si>
    <t>X2=12,31</t>
  </si>
  <si>
    <t>X1=8,46</t>
  </si>
  <si>
    <t>1)</t>
  </si>
  <si>
    <t>Х1, Х2 ─ целые</t>
  </si>
  <si>
    <t>Х1, Х2  ─  целые</t>
  </si>
  <si>
    <t>Xi ≥ 0, i=1,…,4</t>
  </si>
  <si>
    <t>X1 ≥ 0,X2 ≥ 0</t>
  </si>
  <si>
    <t>6Х1+4Х1+Х4=100</t>
  </si>
  <si>
    <t>4Х1+7Х2+Х3=120</t>
  </si>
  <si>
    <t>Остаточные переменные Х3, Х4 обозначают, соответсвенно, неизвестный остаток пластмассы и алюминия в килограммах. Эти переменные могут принимать как целые, так и дробные значения. Таким образом, задача является частично целочисленной</t>
  </si>
  <si>
    <t>Кол-во И2</t>
  </si>
  <si>
    <t>Кол-во И1</t>
  </si>
  <si>
    <t>Алюминий</t>
  </si>
  <si>
    <t>Пластмасса</t>
  </si>
  <si>
    <t>И2</t>
  </si>
  <si>
    <t>И1</t>
  </si>
  <si>
    <t>Расход на  одно изделие, кг</t>
  </si>
  <si>
    <t>Запас материала, кг</t>
  </si>
  <si>
    <t>Материал</t>
  </si>
  <si>
    <t>=</t>
  </si>
  <si>
    <t xml:space="preserve">Населенный пункт </t>
  </si>
  <si>
    <t>Шахта</t>
  </si>
  <si>
    <t>Оптимальный план</t>
  </si>
  <si>
    <t>X34=</t>
  </si>
  <si>
    <t>X22=</t>
  </si>
  <si>
    <t>X21=</t>
  </si>
  <si>
    <t>X15=</t>
  </si>
  <si>
    <t>X14=</t>
  </si>
  <si>
    <t>X13=</t>
  </si>
  <si>
    <t>X12=</t>
  </si>
  <si>
    <t>30(0)</t>
  </si>
  <si>
    <t>85(6)</t>
  </si>
  <si>
    <t>60(5)</t>
  </si>
  <si>
    <t>80(2)</t>
  </si>
  <si>
    <t>75(1)</t>
  </si>
  <si>
    <t>80(-2)</t>
  </si>
  <si>
    <t>150(0)</t>
  </si>
  <si>
    <t>100(0)</t>
  </si>
  <si>
    <t>Населенные пункты</t>
  </si>
  <si>
    <t xml:space="preserve">Dij&gt;0 </t>
  </si>
  <si>
    <t>D35=</t>
  </si>
  <si>
    <t>C'35=</t>
  </si>
  <si>
    <t>D33=</t>
  </si>
  <si>
    <t>C'33=</t>
  </si>
  <si>
    <t>U3=</t>
  </si>
  <si>
    <t>D32=</t>
  </si>
  <si>
    <t>C'32=</t>
  </si>
  <si>
    <t>U2=</t>
  </si>
  <si>
    <t>D31=</t>
  </si>
  <si>
    <t>C'31=</t>
  </si>
  <si>
    <t>V1=</t>
  </si>
  <si>
    <t>U3+V4=4</t>
  </si>
  <si>
    <t>D25=</t>
  </si>
  <si>
    <t>C'25=</t>
  </si>
  <si>
    <t>V5=</t>
  </si>
  <si>
    <t>U2+V2=2</t>
  </si>
  <si>
    <t>D24=</t>
  </si>
  <si>
    <t>C'24=</t>
  </si>
  <si>
    <t>V4=</t>
  </si>
  <si>
    <t>U2+V1=1</t>
  </si>
  <si>
    <t>D23=</t>
  </si>
  <si>
    <t>C'23=</t>
  </si>
  <si>
    <t>V3=</t>
  </si>
  <si>
    <t>U1+V5=0</t>
  </si>
  <si>
    <t>D11=</t>
  </si>
  <si>
    <t>C'11=</t>
  </si>
  <si>
    <t>V2=</t>
  </si>
  <si>
    <t>U1+V4=5</t>
  </si>
  <si>
    <t>U1=</t>
  </si>
  <si>
    <t>U1+V3=3</t>
  </si>
  <si>
    <t xml:space="preserve">Разность стоимости и псевдостоимости </t>
  </si>
  <si>
    <t>Сумма платежей псевдостоимости</t>
  </si>
  <si>
    <t>Пусть U1=0:</t>
  </si>
  <si>
    <t>U1+V2=2</t>
  </si>
  <si>
    <t xml:space="preserve">x24 искл из базиса </t>
  </si>
  <si>
    <r>
      <t>5</t>
    </r>
    <r>
      <rPr>
        <b/>
        <sz val="14"/>
        <color rgb="FF000000"/>
        <rFont val="Aptos Narrow"/>
        <family val="2"/>
        <charset val="204"/>
        <scheme val="minor"/>
      </rPr>
      <t>-</t>
    </r>
  </si>
  <si>
    <r>
      <t>70</t>
    </r>
    <r>
      <rPr>
        <b/>
        <sz val="14"/>
        <color rgb="FF000000"/>
        <rFont val="Aptos Narrow"/>
        <family val="2"/>
        <charset val="204"/>
        <scheme val="minor"/>
      </rPr>
      <t>+</t>
    </r>
  </si>
  <si>
    <t>+</t>
  </si>
  <si>
    <r>
      <t>10</t>
    </r>
    <r>
      <rPr>
        <b/>
        <sz val="14"/>
        <color rgb="FF000000"/>
        <rFont val="Aptos Narrow"/>
        <family val="2"/>
        <charset val="204"/>
        <scheme val="minor"/>
      </rPr>
      <t xml:space="preserve">- </t>
    </r>
  </si>
  <si>
    <t>U2+V4=6</t>
  </si>
  <si>
    <t>D14=</t>
  </si>
  <si>
    <t>C'14=</t>
  </si>
  <si>
    <t xml:space="preserve">X23 искл из базиса </t>
  </si>
  <si>
    <r>
      <t>60</t>
    </r>
    <r>
      <rPr>
        <b/>
        <sz val="14"/>
        <color rgb="FF000000"/>
        <rFont val="Aptos Narrow"/>
        <family val="2"/>
        <charset val="204"/>
        <scheme val="minor"/>
      </rPr>
      <t>-</t>
    </r>
  </si>
  <si>
    <r>
      <t>10</t>
    </r>
    <r>
      <rPr>
        <b/>
        <sz val="14"/>
        <color rgb="FF000000"/>
        <rFont val="Aptos Narrow"/>
        <family val="2"/>
        <charset val="204"/>
        <scheme val="minor"/>
      </rPr>
      <t>+</t>
    </r>
  </si>
  <si>
    <r>
      <t>70</t>
    </r>
    <r>
      <rPr>
        <b/>
        <sz val="18"/>
        <color rgb="FF000000"/>
        <rFont val="Aptos Narrow"/>
        <family val="2"/>
        <charset val="204"/>
        <scheme val="minor"/>
      </rPr>
      <t>-</t>
    </r>
  </si>
  <si>
    <t xml:space="preserve">Dij&lt;0 </t>
  </si>
  <si>
    <t>D13=</t>
  </si>
  <si>
    <t>C'13=</t>
  </si>
  <si>
    <t>U2+V3=5</t>
  </si>
  <si>
    <t>m+n-1=7</t>
  </si>
  <si>
    <t>n=5</t>
  </si>
  <si>
    <t>m=3</t>
  </si>
  <si>
    <t xml:space="preserve">  Метод потенциалов</t>
  </si>
  <si>
    <t>X24=</t>
  </si>
  <si>
    <t>X23=</t>
  </si>
  <si>
    <t xml:space="preserve">Базисные </t>
  </si>
  <si>
    <t>80 4</t>
  </si>
  <si>
    <t>5 6</t>
  </si>
  <si>
    <t>60 5</t>
  </si>
  <si>
    <t>10 2</t>
  </si>
  <si>
    <t>75 1</t>
  </si>
  <si>
    <t>30 0</t>
  </si>
  <si>
    <t>70 2</t>
  </si>
  <si>
    <t>Населенный пункт</t>
  </si>
  <si>
    <t> Изменение на шахте 3(добыча угля 80 тыс тонн)</t>
  </si>
  <si>
    <t>85(5)</t>
  </si>
  <si>
    <t>60(3)</t>
  </si>
  <si>
    <t>50(-1)</t>
  </si>
  <si>
    <t>m+n-1=6</t>
  </si>
  <si>
    <t>n=4</t>
  </si>
  <si>
    <t>Пусть U1=</t>
  </si>
  <si>
    <t>Метод потенциалов</t>
  </si>
  <si>
    <r>
      <rPr>
        <b/>
        <sz val="12"/>
        <color rgb="FF000000"/>
        <rFont val="Aptos Narrow"/>
        <family val="2"/>
        <charset val="204"/>
        <scheme val="minor"/>
      </rPr>
      <t>50</t>
    </r>
    <r>
      <rPr>
        <sz val="11"/>
        <color rgb="FF000000"/>
        <rFont val="Aptos Narrow"/>
        <family val="2"/>
        <charset val="204"/>
        <scheme val="minor"/>
      </rPr>
      <t xml:space="preserve">      4</t>
    </r>
  </si>
  <si>
    <r>
      <rPr>
        <b/>
        <sz val="12"/>
        <color rgb="FF000000"/>
        <rFont val="Aptos Narrow"/>
        <family val="2"/>
        <charset val="204"/>
        <scheme val="minor"/>
      </rPr>
      <t>75</t>
    </r>
    <r>
      <rPr>
        <sz val="11"/>
        <color rgb="FF000000"/>
        <rFont val="Aptos Narrow"/>
        <family val="2"/>
        <charset val="204"/>
        <scheme val="minor"/>
      </rPr>
      <t xml:space="preserve">     2</t>
    </r>
  </si>
  <si>
    <r>
      <rPr>
        <b/>
        <sz val="12"/>
        <color rgb="FF000000"/>
        <rFont val="Aptos Narrow"/>
        <family val="2"/>
        <charset val="204"/>
        <scheme val="minor"/>
      </rPr>
      <t>75</t>
    </r>
    <r>
      <rPr>
        <b/>
        <sz val="11"/>
        <color rgb="FF000000"/>
        <rFont val="Aptos Narrow"/>
        <family val="2"/>
        <scheme val="minor"/>
      </rPr>
      <t xml:space="preserve">     </t>
    </r>
    <r>
      <rPr>
        <sz val="11"/>
        <color rgb="FF000000"/>
        <rFont val="Aptos Narrow"/>
        <family val="2"/>
        <charset val="204"/>
        <scheme val="minor"/>
      </rPr>
      <t>1</t>
    </r>
    <r>
      <rPr>
        <b/>
        <sz val="11"/>
        <color rgb="FF000000"/>
        <rFont val="Aptos Narrow"/>
        <family val="2"/>
        <scheme val="minor"/>
      </rPr>
      <t xml:space="preserve"> </t>
    </r>
  </si>
  <si>
    <r>
      <rPr>
        <b/>
        <sz val="12"/>
        <color rgb="FF000000"/>
        <rFont val="Aptos Narrow"/>
        <family val="2"/>
        <charset val="204"/>
        <scheme val="minor"/>
      </rPr>
      <t xml:space="preserve">35     </t>
    </r>
    <r>
      <rPr>
        <b/>
        <sz val="8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charset val="204"/>
        <scheme val="minor"/>
      </rPr>
      <t>5</t>
    </r>
  </si>
  <si>
    <r>
      <rPr>
        <b/>
        <sz val="12"/>
        <color rgb="FF000000"/>
        <rFont val="Aptos Narrow"/>
        <family val="2"/>
        <charset val="204"/>
        <scheme val="minor"/>
      </rPr>
      <t>60</t>
    </r>
    <r>
      <rPr>
        <sz val="11"/>
        <color rgb="FF000000"/>
        <rFont val="Aptos Narrow"/>
        <family val="2"/>
        <charset val="204"/>
        <scheme val="minor"/>
      </rPr>
      <t xml:space="preserve">    3</t>
    </r>
  </si>
  <si>
    <r>
      <rPr>
        <b/>
        <sz val="12"/>
        <color rgb="FF000000"/>
        <rFont val="Aptos Narrow"/>
        <family val="2"/>
        <charset val="204"/>
        <scheme val="minor"/>
      </rPr>
      <t xml:space="preserve">5     </t>
    </r>
    <r>
      <rPr>
        <b/>
        <sz val="8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charset val="204"/>
        <scheme val="minor"/>
      </rPr>
      <t>2</t>
    </r>
  </si>
  <si>
    <t>Базисные</t>
  </si>
  <si>
    <r>
      <rPr>
        <b/>
        <sz val="12"/>
        <color rgb="FF000000"/>
        <rFont val="Aptos Narrow"/>
        <family val="2"/>
        <charset val="204"/>
        <scheme val="minor"/>
      </rPr>
      <t>75</t>
    </r>
    <r>
      <rPr>
        <sz val="11"/>
        <color rgb="FF000000"/>
        <rFont val="Aptos Narrow"/>
        <family val="2"/>
        <charset val="204"/>
        <scheme val="minor"/>
      </rPr>
      <t xml:space="preserve">    2</t>
    </r>
  </si>
  <si>
    <r>
      <rPr>
        <b/>
        <sz val="12"/>
        <color rgb="FF000000"/>
        <rFont val="Aptos Narrow"/>
        <family val="2"/>
        <charset val="204"/>
        <scheme val="minor"/>
      </rPr>
      <t xml:space="preserve">75  </t>
    </r>
    <r>
      <rPr>
        <sz val="11"/>
        <color rgb="FF000000"/>
        <rFont val="Aptos Narrow"/>
        <family val="2"/>
        <charset val="204"/>
        <scheme val="minor"/>
      </rPr>
      <t xml:space="preserve"> 1 </t>
    </r>
  </si>
  <si>
    <r>
      <rPr>
        <b/>
        <sz val="12"/>
        <color rgb="FF000000"/>
        <rFont val="Aptos Narrow"/>
        <family val="2"/>
        <charset val="204"/>
        <scheme val="minor"/>
      </rPr>
      <t xml:space="preserve">60  </t>
    </r>
    <r>
      <rPr>
        <sz val="11"/>
        <color rgb="FF000000"/>
        <rFont val="Aptos Narrow"/>
        <family val="2"/>
        <charset val="204"/>
        <scheme val="minor"/>
      </rPr>
      <t xml:space="preserve"> 3</t>
    </r>
  </si>
  <si>
    <r>
      <rPr>
        <b/>
        <sz val="12"/>
        <color theme="1"/>
        <rFont val="Aptos Narrow"/>
        <family val="2"/>
        <charset val="204"/>
        <scheme val="minor"/>
      </rPr>
      <t xml:space="preserve">5     </t>
    </r>
    <r>
      <rPr>
        <sz val="8"/>
        <color theme="1"/>
        <rFont val="Aptos Narrow"/>
        <family val="2"/>
        <charset val="204"/>
        <scheme val="minor"/>
      </rPr>
      <t xml:space="preserve"> </t>
    </r>
    <r>
      <rPr>
        <sz val="11"/>
        <color theme="1"/>
        <rFont val="Aptos Narrow"/>
        <family val="2"/>
        <charset val="204"/>
        <scheme val="minor"/>
      </rPr>
      <t>2</t>
    </r>
  </si>
  <si>
    <r>
      <rPr>
        <b/>
        <sz val="12"/>
        <color theme="1"/>
        <rFont val="Aptos Narrow"/>
        <family val="2"/>
        <charset val="204"/>
        <scheme val="minor"/>
      </rPr>
      <t>5</t>
    </r>
    <r>
      <rPr>
        <sz val="8"/>
        <color theme="1"/>
        <rFont val="Aptos Narrow"/>
        <family val="2"/>
        <charset val="204"/>
        <scheme val="minor"/>
      </rPr>
      <t xml:space="preserve">         </t>
    </r>
    <r>
      <rPr>
        <sz val="11"/>
        <color theme="1"/>
        <rFont val="Aptos Narrow"/>
        <family val="2"/>
        <charset val="204"/>
        <scheme val="minor"/>
      </rPr>
      <t>2</t>
    </r>
  </si>
  <si>
    <r>
      <rPr>
        <b/>
        <sz val="12"/>
        <color rgb="FF000000"/>
        <rFont val="Aptos Narrow"/>
        <family val="2"/>
        <charset val="204"/>
        <scheme val="minor"/>
      </rPr>
      <t>75</t>
    </r>
    <r>
      <rPr>
        <sz val="11"/>
        <color rgb="FF000000"/>
        <rFont val="Aptos Narrow"/>
        <family val="2"/>
        <charset val="204"/>
        <scheme val="minor"/>
      </rPr>
      <t xml:space="preserve">    1 </t>
    </r>
  </si>
  <si>
    <t xml:space="preserve">Метод минимального элемента </t>
  </si>
  <si>
    <t>E=6*X11+2*X12+3*X13+5*X14+1*X21+2*X22+5*X23+6*X24+3*X31+10*X32+20*X33+4*X34 -&gt; min</t>
  </si>
  <si>
    <t xml:space="preserve">Целевая функция </t>
  </si>
  <si>
    <t>Xij ≥ 0, i = 1, …, 3, j = 1, …, 4</t>
  </si>
  <si>
    <t>X14+X24+X34=85000</t>
  </si>
  <si>
    <t>X13+X23+X33=60000</t>
  </si>
  <si>
    <t>X12+X22+X32=80000</t>
  </si>
  <si>
    <t>X11+X21+X31=75000</t>
  </si>
  <si>
    <t xml:space="preserve">Ограничения по товару </t>
  </si>
  <si>
    <t>X31+X32+X33+X34=50000</t>
  </si>
  <si>
    <t>X21+X22+X23+X24=150000</t>
  </si>
  <si>
    <t>X11+X12+X13+X14=100000</t>
  </si>
  <si>
    <t>Для удовлетворения спроса всех населенных пунктов</t>
  </si>
  <si>
    <t>Потребность, тыс. тонн</t>
  </si>
  <si>
    <t xml:space="preserve">Найти объемы перевозок с каждой шахты в каждый из населенных пунктов, при которых затраты на перевозки будут минимальными. Решить задачу при следующем изменении: добыча угля на шахте 3 составляет 80 тыс. тонн. </t>
  </si>
  <si>
    <t>Месечная добыча, тыс. тонн</t>
  </si>
  <si>
    <t>Общая стоимость всех работ составят Е=2+3+1+2=8 д.е.</t>
  </si>
  <si>
    <t>Оптимальное решение: 1 рабочему следует работать на 4 работе, 2 рабочему на 2, 3 рабочему на 1, 5 рабочему на 3 работе, а 4 рабочий задействован не будет.</t>
  </si>
  <si>
    <t>2'</t>
  </si>
  <si>
    <r>
      <t>d</t>
    </r>
    <r>
      <rPr>
        <sz val="8"/>
        <color theme="1"/>
        <rFont val="Aptos Narrow"/>
        <family val="2"/>
        <scheme val="minor"/>
      </rPr>
      <t>min</t>
    </r>
  </si>
  <si>
    <t>A</t>
  </si>
  <si>
    <t>1'</t>
  </si>
  <si>
    <t>А</t>
  </si>
  <si>
    <t>E = 3*X11 + X12 + 5*X13 + 2*X14 + 6*X21 + 2*X22 + 12*X23 + 4*X24 + 2*X31 + 7*X32 + 11*X33 + 2*X34 + 5*Х41 + 11*Х22 + 9*Х43 + 10*Х44 + 11*Х51 + 3*Х52 + 1*Х53 + 5*Х54-&gt; min</t>
  </si>
  <si>
    <t>Х15+Х25+Х35+Х45+Х55=1</t>
  </si>
  <si>
    <t>Х51+Х52+Х53+Х54+Х55=1</t>
  </si>
  <si>
    <t>Х14+Х24+Х34+Х44+Х54=1</t>
  </si>
  <si>
    <t>Х41+Х42+Х43+Х44+Х45=1</t>
  </si>
  <si>
    <t>Х13+Х23+Х33+Х43+Х53=1</t>
  </si>
  <si>
    <t>Х31+Х32+Х33+Х34+Х35=1</t>
  </si>
  <si>
    <t>Х12+Х22+Х32+Х42+Х52=1</t>
  </si>
  <si>
    <t>Х21+Х22+Х23+Х24+Х25=1</t>
  </si>
  <si>
    <t>Х11+Х21+Х31+Х41+Х51=1</t>
  </si>
  <si>
    <t>Х11+Х12+Х13+Х14+Х15=1</t>
  </si>
  <si>
    <t>Чтобы каждый рабочий был загружен только на одной работе</t>
  </si>
  <si>
    <t>Чтобы все работы оказались  выполненными</t>
  </si>
  <si>
    <t xml:space="preserve">5 рабочий </t>
  </si>
  <si>
    <t xml:space="preserve">4 рабочий </t>
  </si>
  <si>
    <t xml:space="preserve">3 рабочий </t>
  </si>
  <si>
    <t>2 рабочий</t>
  </si>
  <si>
    <t xml:space="preserve">1 рабочий </t>
  </si>
  <si>
    <t>Стоимость выполнения работ, д.е.</t>
  </si>
  <si>
    <t>Работы</t>
  </si>
  <si>
    <t>Сбалансируем задачу</t>
  </si>
  <si>
    <t>Необходмо составить план выполнения работ так, чтобы все работы оказались  выполненными, каждый рабочий был загружен только на одной работе, а суммарная стоимость выполнения всех работ была минимальной.</t>
  </si>
  <si>
    <t>deltaE&lt;e</t>
  </si>
  <si>
    <t>deltaE=|E(2)-E(1)|=|14452-14452,00245|</t>
  </si>
  <si>
    <t>&gt;=</t>
  </si>
  <si>
    <t xml:space="preserve">Условие окончания </t>
  </si>
  <si>
    <t>Целевая функция Е(2)</t>
  </si>
  <si>
    <t>min</t>
  </si>
  <si>
    <t>-&gt;</t>
  </si>
  <si>
    <r>
      <t>313,93+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(325-313,93)=314</t>
    </r>
  </si>
  <si>
    <r>
      <t>X2(2)=X2(1)+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(X2(1)*-X2(1))=</t>
    </r>
  </si>
  <si>
    <r>
      <t>122,14+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(100-122,14)=122</t>
    </r>
  </si>
  <si>
    <r>
      <t>X1(2)=X1(1)+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(X1(1)*-X1(1))=</t>
    </r>
  </si>
  <si>
    <t>Уравнения для перехода к новому решению</t>
  </si>
  <si>
    <t>l=0,0063</t>
  </si>
  <si>
    <t>dE/dl=-0,7749+122,54l=0</t>
  </si>
  <si>
    <r>
      <t>14452,0045-0,7749</t>
    </r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Aptos Narrow"/>
        <family val="2"/>
        <charset val="204"/>
        <scheme val="minor"/>
      </rPr>
      <t>+61,27</t>
    </r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Calibri"/>
        <family val="2"/>
        <charset val="204"/>
      </rPr>
      <t>^2</t>
    </r>
  </si>
  <si>
    <r>
      <t>E=10*(122,14-22,14</t>
    </r>
    <r>
      <rPr>
        <sz val="14"/>
        <color theme="1"/>
        <rFont val="Symbol"/>
        <family val="1"/>
        <charset val="2"/>
      </rPr>
      <t>l)+6*(313,93+11,07l)+0,1*(122,14-22,14l)*(122,14-22,14l)+0,1*(313,93+11,07l)*(313,93+11,07l) =</t>
    </r>
    <r>
      <rPr>
        <sz val="14"/>
        <color theme="1"/>
        <rFont val="Aptos Narrow"/>
        <family val="2"/>
        <charset val="204"/>
        <scheme val="minor"/>
      </rPr>
      <t xml:space="preserve">	</t>
    </r>
  </si>
  <si>
    <t>Коэффициент  лямбда</t>
  </si>
  <si>
    <r>
      <t>313,93+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(325-313,93)</t>
    </r>
  </si>
  <si>
    <r>
      <t>122,14+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(100-122,14)</t>
    </r>
  </si>
  <si>
    <t>Поиск нового решения от т. X(1)=(122,14;313,93) к X(1)*=(100;325)</t>
  </si>
  <si>
    <t>Вывод:</t>
  </si>
  <si>
    <t>2X1+4X2&gt;=1500</t>
  </si>
  <si>
    <t>X2&gt;=120</t>
  </si>
  <si>
    <t>X1&gt;=100</t>
  </si>
  <si>
    <t>34.428X1+68.786X2-&gt;min</t>
  </si>
  <si>
    <t>Угловая точка ОДР</t>
  </si>
  <si>
    <t>grad E(X(0))=(10+0,2*122,14,   6+0,2*313,93)=(34,428,  68,786)</t>
  </si>
  <si>
    <t>Градиент Е в точке ОДР</t>
  </si>
  <si>
    <t>Итерация 2</t>
  </si>
  <si>
    <t>deltaE&gt;e</t>
  </si>
  <si>
    <t>deltaE=|E(1)-E(0)|=|14452,00245-14512,5|</t>
  </si>
  <si>
    <t>Целевая функция Е(1)</t>
  </si>
  <si>
    <r>
      <t>325+</t>
    </r>
    <r>
      <rPr>
        <sz val="12"/>
        <color theme="1"/>
        <rFont val="Symbol"/>
        <family val="1"/>
        <charset val="2"/>
      </rPr>
      <t>l</t>
    </r>
    <r>
      <rPr>
        <sz val="11"/>
        <color theme="1"/>
        <rFont val="Aptos Narrow"/>
        <family val="2"/>
        <charset val="204"/>
        <scheme val="minor"/>
      </rPr>
      <t>(120-325)= 313,93</t>
    </r>
  </si>
  <si>
    <r>
      <t>X2(1)=X2(0)+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(X2*-X2(0))=</t>
    </r>
  </si>
  <si>
    <r>
      <t>100+</t>
    </r>
    <r>
      <rPr>
        <sz val="12"/>
        <color theme="1"/>
        <rFont val="Symbol"/>
        <family val="1"/>
        <charset val="2"/>
      </rPr>
      <t>l</t>
    </r>
    <r>
      <rPr>
        <sz val="11"/>
        <color theme="1"/>
        <rFont val="Aptos Narrow"/>
        <family val="2"/>
        <charset val="204"/>
        <scheme val="minor"/>
      </rPr>
      <t>(510-100)= 122,14</t>
    </r>
  </si>
  <si>
    <r>
      <t>X1(1)=X1(0)+</t>
    </r>
    <r>
      <rPr>
        <sz val="12"/>
        <color rgb="FF000000"/>
        <rFont val="Symbol"/>
        <family val="1"/>
        <charset val="2"/>
      </rPr>
      <t>l</t>
    </r>
    <r>
      <rPr>
        <sz val="12"/>
        <color rgb="FF000000"/>
        <rFont val="Aptos Narrow"/>
        <family val="2"/>
        <charset val="204"/>
        <scheme val="minor"/>
      </rPr>
      <t>(X1*-X1(0))=</t>
    </r>
  </si>
  <si>
    <t>l=0,054</t>
  </si>
  <si>
    <t>dE/dl=-2255+42025l=0</t>
  </si>
  <si>
    <r>
      <t>=14512,5-2255</t>
    </r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Aptos Narrow"/>
        <family val="2"/>
        <charset val="204"/>
        <scheme val="minor"/>
      </rPr>
      <t>+21012,5</t>
    </r>
    <r>
      <rPr>
        <sz val="14"/>
        <color theme="1"/>
        <rFont val="Symbol"/>
        <family val="1"/>
        <charset val="2"/>
      </rPr>
      <t>l</t>
    </r>
    <r>
      <rPr>
        <sz val="14"/>
        <color theme="1"/>
        <rFont val="Calibri"/>
        <family val="2"/>
        <charset val="204"/>
      </rPr>
      <t>^2</t>
    </r>
  </si>
  <si>
    <r>
      <t>E=10*(100+410</t>
    </r>
    <r>
      <rPr>
        <sz val="14"/>
        <color theme="1"/>
        <rFont val="Symbol"/>
        <family val="1"/>
        <charset val="2"/>
      </rPr>
      <t xml:space="preserve">l)+6*(325-205l)+0,1*(100+410l)*(100+410l)+0,1*(325-205l)*(325-205l)   </t>
    </r>
  </si>
  <si>
    <r>
      <t>325+</t>
    </r>
    <r>
      <rPr>
        <sz val="12"/>
        <color theme="1"/>
        <rFont val="Symbol"/>
        <family val="1"/>
        <charset val="2"/>
      </rPr>
      <t>l</t>
    </r>
    <r>
      <rPr>
        <sz val="11"/>
        <color theme="1"/>
        <rFont val="Aptos Narrow"/>
        <family val="2"/>
        <charset val="204"/>
        <scheme val="minor"/>
      </rPr>
      <t>(120-325)</t>
    </r>
  </si>
  <si>
    <r>
      <t>100+</t>
    </r>
    <r>
      <rPr>
        <sz val="12"/>
        <color theme="1"/>
        <rFont val="Symbol"/>
        <family val="1"/>
        <charset val="2"/>
      </rPr>
      <t>l</t>
    </r>
    <r>
      <rPr>
        <sz val="11"/>
        <color theme="1"/>
        <rFont val="Aptos Narrow"/>
        <family val="2"/>
        <charset val="204"/>
        <scheme val="minor"/>
      </rPr>
      <t>(510-100)</t>
    </r>
  </si>
  <si>
    <t>Поиск нового решения от т. X(0)=(100;325) к X*=(510;120)</t>
  </si>
  <si>
    <t>30X1+71X2-&gt;min</t>
  </si>
  <si>
    <t>grad E(X(0))=(10+0,2*100,   6+0,2*325)=(30,  71)</t>
  </si>
  <si>
    <t>Итерация 1</t>
  </si>
  <si>
    <t xml:space="preserve"> Точность(e) =</t>
  </si>
  <si>
    <t>E(0)=</t>
  </si>
  <si>
    <t>10X1+6X2-&gt;min</t>
  </si>
  <si>
    <t xml:space="preserve">Начальное допустимое решение </t>
  </si>
  <si>
    <t>(10+0,2*X1,  6+0,2*X2)</t>
  </si>
  <si>
    <t xml:space="preserve"> E=10X1+6X2+0,1X1^2+0,1X2^2-&gt;min</t>
  </si>
  <si>
    <t xml:space="preserve">Мат модель </t>
  </si>
  <si>
    <t>Общая прибыль (млн ден. ед)</t>
  </si>
  <si>
    <t>Прибыль от 1 тонны (тыс.ден.ед.)</t>
  </si>
  <si>
    <t>Мин объем выпуска (тонн)</t>
  </si>
  <si>
    <t>Р2</t>
  </si>
  <si>
    <t>Р1</t>
  </si>
  <si>
    <t>Таким образом, оптимальное решение задачи следующее. Предприятию П1 следует выделить 10 млн ден.ед., предприятию П2 - 40 млн ден.ед., предприятию П3 - выделить 10 млн ден.ед., предприятию П4 - не выделять средства. Общая прибыль составит 95 млн ден.ед., в том числе прибыль предприятия П1 - 20 млн ден.ед.,         П2 - 50 млн ден.ед., П3 - 25  млн ден.ед., П4 - 0 млн ден.ед.</t>
  </si>
  <si>
    <t>U*4=0</t>
  </si>
  <si>
    <t>U*3=10</t>
  </si>
  <si>
    <t>U*2=40</t>
  </si>
  <si>
    <t>E = 20+50+25=95 млн. ден. ед.</t>
  </si>
  <si>
    <t>U*1=10</t>
  </si>
  <si>
    <t>Для первого шага (выделение средств предприятию П1) получено безусловно оттимальное решение: U*1= 10 млн ден.ел. Для предириятий П2, ПЗ и П4 остается 50 млн ден.ед. Таким образом, состояние в начале второго шага S1=50. Для этого состояния определяется оптимальное решение: U*2 = 40 (предприятию П2 выделяется 40 млн ден.ед.). Для предприятий П3 и П4 остается 20 млн ден.ед. (состояние в начале третьего шага S2=20). Для этого состояния определяется оптимальное решение: U*3 = 10 (пред-приятию П3 выделяется 10 млн ден.ед.). Для предприятия П4 остается 0 млн ден.ед. (S3=0). Поэтому U*4=0.</t>
  </si>
  <si>
    <t>Цикл безусловной оптимизации</t>
  </si>
  <si>
    <t>E*1</t>
  </si>
  <si>
    <t>U*1</t>
  </si>
  <si>
    <t>E1</t>
  </si>
  <si>
    <t>E*2</t>
  </si>
  <si>
    <t>S1</t>
  </si>
  <si>
    <t>Z1</t>
  </si>
  <si>
    <t>U1</t>
  </si>
  <si>
    <t>S0</t>
  </si>
  <si>
    <t>Шаг 1 ( выделение средств предприятиям П1, П2, П3, П4)</t>
  </si>
  <si>
    <t>U*2</t>
  </si>
  <si>
    <t>E2</t>
  </si>
  <si>
    <t>E*3</t>
  </si>
  <si>
    <t>S2</t>
  </si>
  <si>
    <t>Z2</t>
  </si>
  <si>
    <t>U2</t>
  </si>
  <si>
    <t>Шаг 2 (выделение средств предприятиям П2, П3, П4)</t>
  </si>
  <si>
    <t>U*3</t>
  </si>
  <si>
    <t>E3</t>
  </si>
  <si>
    <t>E*4</t>
  </si>
  <si>
    <t>S3</t>
  </si>
  <si>
    <t>Z3</t>
  </si>
  <si>
    <t>U3</t>
  </si>
  <si>
    <t>Шаг 3 (выделение средств предприятиям П3 и П4)</t>
  </si>
  <si>
    <t>U*4</t>
  </si>
  <si>
    <t>Шаг 4 (выделение средств предприятию П4)</t>
  </si>
  <si>
    <t>E=Z1+Z2+Z3+Z4</t>
  </si>
  <si>
    <t>S0=60</t>
  </si>
  <si>
    <t>П4</t>
  </si>
  <si>
    <t>П3</t>
  </si>
  <si>
    <t>П2</t>
  </si>
  <si>
    <t>П1</t>
  </si>
  <si>
    <t xml:space="preserve">Предприятие </t>
  </si>
  <si>
    <t xml:space="preserve">Выделенные средства,  млн ден.ед. </t>
  </si>
  <si>
    <t>6. Найти характеристики работы всех станков и прибыль от работы участка (за 8 часов) при следующих изменениях: заготовки поступают на обработку чаще (через каждые 4±2 минуты), а станок A заменен на новый (A1); среднее время обработки одной детали на станке A1 - 3 минуты (экспоненциальная случайная величина). Для нового станка A1 затраты на одну минуту работы и простоя - 0,4 и 0,2 д.е. соответственно. Определить, яляется ли предлагаемые изменения целесообразными.</t>
  </si>
  <si>
    <t>1. Найти характеристики работы станка A (8.4, 8.7). 
2. Найти характеристики работы группы станков B1-B2 (8.13, 8.4, 8.9). Поток деталей на эту группу станков считать пуассоновским. 
3. Рассчитать характеристики работы станка C (8.13, 8.4, 8.7). Поток деталей на станок C считать пуассоновскими.
 4. Найти прибыль от работы участка за 8 часов (8.6, 8.7, 8.9).
 5. Найти вероятность того, что деталь, поступившая на станки B1-B2, сразу же начнет обрабатываться (не будет ждать в очереди) (8.5, 8.9, пример из 8.8).</t>
  </si>
  <si>
    <t>Прочие расходы, связанные с выпуском деталей типа 1 и 2, составляют 2 и 8 д.е. соответственно. Детали типа 1 продаются по цене 5 д.е., типа 2 - 22 д.е.</t>
  </si>
  <si>
    <t>Простой</t>
  </si>
  <si>
    <t>Работа</t>
  </si>
  <si>
    <t>C</t>
  </si>
  <si>
    <t>B</t>
  </si>
  <si>
    <t>Затраты (в денежных единицах), связанные с работой и простоями каждого станка (в минуту), приведены в таблице.</t>
  </si>
  <si>
    <t xml:space="preserve">10% деталей, выпущенных на станке A, продаются как готовые изделия (детали типа1). Остальные проходят дальнейшую обработку (из них выпускаются детали 
типа 2). Детали типа 1 со станка A поступают на два одинаковых станка (B1 и B2); 
время обработки одной детали на этих станках распределено по экспоненциальному  закону и составляет в среднем 12 минут. Перед станками B1 и B2 установлен общий  накопитель, вмещающий пять деталей; при его заполнении все поступающие детали типа 1 направляются на станок C, на котором обработка занимает ровно 7 минут. </t>
  </si>
  <si>
    <r>
      <t>На участке выпускаются детали двух видов. Заготовки для выпуска деталей поступают на участок через каждые 6</t>
    </r>
    <r>
      <rPr>
        <sz val="11"/>
        <color theme="1"/>
        <rFont val="Aptos Narrow"/>
        <family val="2"/>
      </rPr>
      <t>±</t>
    </r>
    <r>
      <rPr>
        <sz val="11"/>
        <color theme="1"/>
        <rFont val="Aptos Narrow"/>
        <family val="2"/>
        <charset val="204"/>
        <scheme val="minor"/>
      </rPr>
      <t xml:space="preserve">2 минуты. Все заготовки обрабатываются на станке A; время обработки детали на станке распределено по экспоненциальному закону и составляет в среднем 5 минут. </t>
    </r>
  </si>
  <si>
    <t>Коэфф вариации времени обслуживания, ε</t>
  </si>
  <si>
    <t>σ/x̅  =</t>
  </si>
  <si>
    <t>Коэфф вариации интервалов времени между заявками, v</t>
  </si>
  <si>
    <t>𝜆 / (m*µ)=</t>
  </si>
  <si>
    <t>Нагрузка на канал, ρ</t>
  </si>
  <si>
    <t xml:space="preserve">𝜆  = </t>
  </si>
  <si>
    <r>
      <t xml:space="preserve">Пропускная способность, </t>
    </r>
    <r>
      <rPr>
        <sz val="12"/>
        <color rgb="FF006100"/>
        <rFont val="Times New Roman"/>
        <family val="1"/>
        <charset val="204"/>
      </rPr>
      <t>γ</t>
    </r>
  </si>
  <si>
    <t>w̅  + x̅  =</t>
  </si>
  <si>
    <t xml:space="preserve">В очереди и на обслуживании, t̅ </t>
  </si>
  <si>
    <r>
      <t xml:space="preserve">q̅  / </t>
    </r>
    <r>
      <rPr>
        <sz val="12"/>
        <color theme="1"/>
        <rFont val="Times New Roman"/>
        <family val="1"/>
        <charset val="204"/>
      </rPr>
      <t>γ</t>
    </r>
    <r>
      <rPr>
        <sz val="12"/>
        <color theme="1"/>
        <rFont val="Aptos Narrow"/>
        <family val="2"/>
        <charset val="204"/>
      </rPr>
      <t xml:space="preserve"> </t>
    </r>
    <r>
      <rPr>
        <sz val="11"/>
        <color theme="1"/>
        <rFont val="Aptos Narrow"/>
        <family val="2"/>
        <charset val="204"/>
        <scheme val="minor"/>
      </rPr>
      <t xml:space="preserve">= </t>
    </r>
  </si>
  <si>
    <t xml:space="preserve">Среднее время ожидания обслучивания, w̅ </t>
  </si>
  <si>
    <t>q̅  + S̅  =</t>
  </si>
  <si>
    <t xml:space="preserve">На обслуживании в очереди, k̅ </t>
  </si>
  <si>
    <t>m*U=</t>
  </si>
  <si>
    <t xml:space="preserve">Среднее число занятый каналов, S̅ </t>
  </si>
  <si>
    <r>
      <t>(ρ^2*(v^2+</t>
    </r>
    <r>
      <rPr>
        <sz val="11"/>
        <color theme="1"/>
        <rFont val="Aptos Narrow"/>
        <family val="2"/>
      </rPr>
      <t>ε^2))/ (2*(1-ρ))</t>
    </r>
    <r>
      <rPr>
        <sz val="11"/>
        <color theme="1"/>
        <rFont val="Aptos Narrow"/>
        <family val="2"/>
        <scheme val="minor"/>
      </rPr>
      <t xml:space="preserve"> =</t>
    </r>
  </si>
  <si>
    <t xml:space="preserve">Средняя длина очереди, q̅ </t>
  </si>
  <si>
    <t>ρ =</t>
  </si>
  <si>
    <t>Коэф.загрузки, U</t>
  </si>
  <si>
    <t>Вероятность обслуживания, Робсл</t>
  </si>
  <si>
    <t>Вероятность отказа, Ротк</t>
  </si>
  <si>
    <t>1 - ρ=</t>
  </si>
  <si>
    <t>Вероятность простоя, Ро</t>
  </si>
  <si>
    <t>Характеристики станка А</t>
  </si>
  <si>
    <t>µ = 1/x̅ =</t>
  </si>
  <si>
    <t>Интенвивность обсл. заявок, дет/мин.</t>
  </si>
  <si>
    <t xml:space="preserve">x̅ = </t>
  </si>
  <si>
    <t>Среднее время обслуживания заявки</t>
  </si>
  <si>
    <t xml:space="preserve">m = </t>
  </si>
  <si>
    <t>Количество каналов</t>
  </si>
  <si>
    <t>(4+8)/2=6</t>
  </si>
  <si>
    <t xml:space="preserve">𝜆 =  1/6 =  </t>
  </si>
  <si>
    <t>Интенсивность потока заявок, дет/мин.</t>
  </si>
  <si>
    <t>Параметры станка А</t>
  </si>
  <si>
    <t>G/M/1</t>
  </si>
  <si>
    <t xml:space="preserve"> Найти характеристики работы станка A</t>
  </si>
  <si>
    <t>P0+P(1)=P0+(mρ)^(m−1)/((m−1)!) P0 =</t>
  </si>
  <si>
    <t>5.Вероятность отсутствия очереди,            Р(j≤1)</t>
  </si>
  <si>
    <t>&lt;1</t>
  </si>
  <si>
    <t xml:space="preserve">µ * S̅   = </t>
  </si>
  <si>
    <t>((mρ)^(m+1)∗P_0)/(m⋅m!)∗(1-(n+1) ρ^n+nρ^(n+1))/(1-ρ)^2 =</t>
  </si>
  <si>
    <t>ρ * (1-Ротк) =</t>
  </si>
  <si>
    <t>1-Ротк=</t>
  </si>
  <si>
    <t>(mρ)^(m+n)/(m^n⋅m!) *P0 =</t>
  </si>
  <si>
    <t>Характеристики станков В1-В2</t>
  </si>
  <si>
    <t>Интенвивность обсл. заявок, дет/мин</t>
  </si>
  <si>
    <t xml:space="preserve">𝜆 =  0,9*(1/6 )=  </t>
  </si>
  <si>
    <t>Интенсивность потока заявок, дет/мин</t>
  </si>
  <si>
    <t>Параметры станков В1-В2</t>
  </si>
  <si>
    <t>М/M/2</t>
  </si>
  <si>
    <t xml:space="preserve">Время обработки одной детали на этих станках распределено по экспоненциальному  закону и составляет в среднем 12 минут. Перед станками B1 и B2 установлен общий  накопитель, вмещающий пять деталей; </t>
  </si>
  <si>
    <t xml:space="preserve">Детали типа 1 со станка A поступают на два одинаковых станка (B1 и B2); </t>
  </si>
  <si>
    <t>Найти характеристики работы группы станков B1-B2 (8.13, 8.4, 8.9). Поток деталей на эту группу станков считать пуассоновским.</t>
  </si>
  <si>
    <t xml:space="preserve">𝜆 = </t>
  </si>
  <si>
    <t>(ρ^2*(v^2+ε^2))/ (2*(1-ρ))=</t>
  </si>
  <si>
    <r>
      <t xml:space="preserve">1 - </t>
    </r>
    <r>
      <rPr>
        <sz val="11"/>
        <color theme="1"/>
        <rFont val="Times New Roman"/>
        <family val="1"/>
        <charset val="204"/>
      </rPr>
      <t xml:space="preserve">ρ </t>
    </r>
    <r>
      <rPr>
        <sz val="11"/>
        <color theme="1"/>
        <rFont val="Aptos Narrow"/>
        <family val="2"/>
        <charset val="204"/>
      </rPr>
      <t>=</t>
    </r>
  </si>
  <si>
    <t>Характеристики станков C</t>
  </si>
  <si>
    <t xml:space="preserve">P𝜆 =  </t>
  </si>
  <si>
    <t>Параметры станков C</t>
  </si>
  <si>
    <t>M/D/1</t>
  </si>
  <si>
    <t xml:space="preserve">Перед станками B1 и B2 установлен общий  накопитель, вмещающий пять деталей; при его заполнении все поступающие детали типа 1 направляются на станок C, на котором обработка занимает ровно 7 минут. </t>
  </si>
  <si>
    <t>(2+6)/2=4</t>
  </si>
  <si>
    <t xml:space="preserve">𝜆 =  1/4 =  </t>
  </si>
  <si>
    <t>A1</t>
  </si>
  <si>
    <t>заготовки поступают на обработку чаще (через каждые 4±2 минуты), а станок A заменен на новый (A1); среднее время обработки одной детали на станке A1 - 3 минуты (экспоненциальная случайная величина).</t>
  </si>
  <si>
    <t xml:space="preserve"> Найти характеристики работы станка A1</t>
  </si>
  <si>
    <t>&gt;1</t>
  </si>
  <si>
    <t>&gt;0,85</t>
  </si>
  <si>
    <t xml:space="preserve">𝜆 =  0,9*(1/4 )=  </t>
  </si>
  <si>
    <t>&lt;0,75</t>
  </si>
  <si>
    <t>V - Zобсл - Zэксп =</t>
  </si>
  <si>
    <t>Общая прибль:</t>
  </si>
  <si>
    <t>m</t>
  </si>
  <si>
    <t xml:space="preserve">S̅ </t>
  </si>
  <si>
    <t>Т, мин</t>
  </si>
  <si>
    <t xml:space="preserve">Прочие </t>
  </si>
  <si>
    <t>Выручка</t>
  </si>
  <si>
    <t>γ</t>
  </si>
  <si>
    <t>Zэксп = ( S̅ * Cраб + (m - S̅  ) *Cпр )*T=</t>
  </si>
  <si>
    <t>Затраты, связанные с эксплуатацией канала в течение времени T:</t>
  </si>
  <si>
    <t>Zобсл = γ* Cобсл* T=</t>
  </si>
  <si>
    <t>Затраты связанные собслуживанием заявок в канале в  в течение времени Т:</t>
  </si>
  <si>
    <t>V = γ*C*T=V(A)+V(B1-B2)+V(C)=</t>
  </si>
  <si>
    <t>Выручка от обслуживания заявок в течении времени Т:</t>
  </si>
  <si>
    <t>Найти прибыль от работы участка за 8 часов (8.6, 8.7, 8.9)</t>
  </si>
  <si>
    <t>Прибыль</t>
  </si>
  <si>
    <t>Вероятность отсутствия очереди B1-B2</t>
  </si>
  <si>
    <t>𝑡̅, мин</t>
  </si>
  <si>
    <t>𝑤̅, мин</t>
  </si>
  <si>
    <t>𝛾, дет/мин</t>
  </si>
  <si>
    <t>k, деталей</t>
  </si>
  <si>
    <t>𝑞̅ , деталей</t>
  </si>
  <si>
    <t>S̅ , деталей</t>
  </si>
  <si>
    <t>U</t>
  </si>
  <si>
    <t>ρ</t>
  </si>
  <si>
    <t>Pобсл</t>
  </si>
  <si>
    <t>Pотк</t>
  </si>
  <si>
    <t>P0</t>
  </si>
  <si>
    <t>С"</t>
  </si>
  <si>
    <t>В1"-В2"</t>
  </si>
  <si>
    <t>А1</t>
  </si>
  <si>
    <t>С</t>
  </si>
  <si>
    <t>В1-В2</t>
  </si>
  <si>
    <t>Характеристики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</si>
</sst>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9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rgb="FF0061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8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12501A"/>
      <name val="Aptos Narrow"/>
      <family val="2"/>
      <charset val="1"/>
      <scheme val="minor"/>
    </font>
    <font>
      <sz val="11"/>
      <color rgb="FF12501A"/>
      <name val="Calibri"/>
      <family val="2"/>
      <charset val="204"/>
    </font>
    <font>
      <sz val="11"/>
      <color theme="6" tint="-0.249977111117893"/>
      <name val="Aptos Narrow"/>
      <family val="2"/>
      <charset val="204"/>
      <scheme val="minor"/>
    </font>
    <font>
      <sz val="11"/>
      <color theme="6" tint="-0.249977111117893"/>
      <name val="Aptos Narrow"/>
      <family val="2"/>
      <charset val="1"/>
      <scheme val="minor"/>
    </font>
    <font>
      <sz val="11"/>
      <color theme="6" tint="-0.249977111117893"/>
      <name val="Calibri"/>
      <family val="2"/>
      <charset val="204"/>
    </font>
    <font>
      <sz val="11"/>
      <color theme="6" tint="-0.249977111117893"/>
      <name val="Aptos Narrow"/>
      <family val="2"/>
      <scheme val="minor"/>
    </font>
    <font>
      <sz val="12"/>
      <color theme="1"/>
      <name val="Times New Roman"/>
      <family val="1"/>
      <charset val="204"/>
    </font>
    <font>
      <b/>
      <sz val="11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rgb="FF000000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  <font>
      <b/>
      <sz val="11"/>
      <color rgb="FF000000"/>
      <name val="Aptos Narrow"/>
      <family val="2"/>
      <charset val="204"/>
      <scheme val="minor"/>
    </font>
    <font>
      <b/>
      <sz val="14"/>
      <color rgb="FF000000"/>
      <name val="Aptos Narrow"/>
      <family val="2"/>
      <charset val="204"/>
      <scheme val="minor"/>
    </font>
    <font>
      <b/>
      <sz val="14"/>
      <color rgb="FF000000"/>
      <name val="Aptos Narrow"/>
      <family val="2"/>
      <scheme val="minor"/>
    </font>
    <font>
      <b/>
      <sz val="18"/>
      <color rgb="FF000000"/>
      <name val="Aptos Narrow"/>
      <family val="2"/>
      <charset val="204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ptos Narrow"/>
      <family val="2"/>
      <charset val="204"/>
      <scheme val="minor"/>
    </font>
    <font>
      <b/>
      <sz val="12"/>
      <color rgb="FF000000"/>
      <name val="Aptos Narrow"/>
      <family val="2"/>
      <charset val="204"/>
      <scheme val="minor"/>
    </font>
    <font>
      <b/>
      <sz val="8"/>
      <color rgb="FF000000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charset val="204"/>
      <scheme val="minor"/>
    </font>
    <font>
      <sz val="8"/>
      <color theme="1"/>
      <name val="Aptos Narrow"/>
      <family val="2"/>
      <charset val="204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charset val="204"/>
      <scheme val="minor"/>
    </font>
    <font>
      <b/>
      <i/>
      <u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000000"/>
      <name val="Symbol"/>
      <family val="1"/>
      <charset val="2"/>
    </font>
    <font>
      <sz val="14"/>
      <color theme="1"/>
      <name val="Symbol"/>
      <family val="1"/>
      <charset val="2"/>
    </font>
    <font>
      <sz val="14"/>
      <color theme="1"/>
      <name val="Aptos Narrow"/>
      <family val="2"/>
      <charset val="204"/>
      <scheme val="minor"/>
    </font>
    <font>
      <sz val="14"/>
      <color theme="1"/>
      <name val="Calibri"/>
      <family val="2"/>
      <charset val="204"/>
    </font>
    <font>
      <sz val="12"/>
      <color theme="1"/>
      <name val="Symbol"/>
      <family val="1"/>
      <charset val="2"/>
    </font>
    <font>
      <sz val="11"/>
      <color theme="1"/>
      <name val="Aptos Narrow"/>
      <family val="2"/>
    </font>
    <font>
      <sz val="12"/>
      <color rgb="FF006100"/>
      <name val="Times New Roman"/>
      <family val="1"/>
      <charset val="204"/>
    </font>
    <font>
      <sz val="12"/>
      <color theme="1"/>
      <name val="Aptos Narrow"/>
      <family val="2"/>
      <charset val="204"/>
    </font>
    <font>
      <sz val="11"/>
      <color theme="1"/>
      <name val="Cambria Math"/>
      <family val="1"/>
      <charset val="204"/>
    </font>
    <font>
      <sz val="11"/>
      <color theme="1"/>
      <name val="Aptos Narrow"/>
      <family val="2"/>
      <charset val="204"/>
    </font>
    <font>
      <sz val="12"/>
      <color rgb="FF000000"/>
      <name val="Times New Roman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1F0C8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0" borderId="0"/>
    <xf numFmtId="0" fontId="47" fillId="2" borderId="0" applyNumberFormat="0" applyBorder="0" applyAlignment="0" applyProtection="0"/>
  </cellStyleXfs>
  <cellXfs count="547">
    <xf numFmtId="0" fontId="0" fillId="0" borderId="0" xfId="0"/>
    <xf numFmtId="0" fontId="6" fillId="2" borderId="4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7" fillId="4" borderId="4" xfId="3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4" borderId="6" xfId="3" applyBorder="1" applyAlignment="1">
      <alignment horizontal="center" vertical="center" wrapText="1"/>
    </xf>
    <xf numFmtId="0" fontId="3" fillId="2" borderId="6" xfId="1" applyBorder="1" applyAlignment="1">
      <alignment horizontal="center" vertical="center"/>
    </xf>
    <xf numFmtId="0" fontId="2" fillId="4" borderId="6" xfId="3" applyBorder="1" applyAlignment="1">
      <alignment horizontal="center" vertical="center"/>
    </xf>
    <xf numFmtId="0" fontId="0" fillId="4" borderId="6" xfId="3" applyFont="1" applyBorder="1" applyAlignment="1">
      <alignment horizontal="center" vertical="center"/>
    </xf>
    <xf numFmtId="0" fontId="3" fillId="2" borderId="6" xfId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4" borderId="6" xfId="3" applyBorder="1" applyAlignment="1">
      <alignment horizontal="left" vertical="center"/>
    </xf>
    <xf numFmtId="0" fontId="2" fillId="5" borderId="6" xfId="4" applyBorder="1" applyAlignment="1">
      <alignment horizontal="left" vertical="center"/>
    </xf>
    <xf numFmtId="0" fontId="0" fillId="0" borderId="13" xfId="0" applyBorder="1"/>
    <xf numFmtId="0" fontId="4" fillId="0" borderId="0" xfId="0" applyFont="1"/>
    <xf numFmtId="0" fontId="0" fillId="0" borderId="14" xfId="0" applyBorder="1"/>
    <xf numFmtId="0" fontId="2" fillId="3" borderId="0" xfId="2"/>
    <xf numFmtId="0" fontId="0" fillId="3" borderId="0" xfId="2" applyFont="1"/>
    <xf numFmtId="0" fontId="2" fillId="4" borderId="6" xfId="3" applyBorder="1" applyAlignment="1">
      <alignment horizontal="right"/>
    </xf>
    <xf numFmtId="0" fontId="2" fillId="4" borderId="6" xfId="3" applyBorder="1" applyAlignment="1">
      <alignment horizontal="left"/>
    </xf>
    <xf numFmtId="0" fontId="3" fillId="2" borderId="6" xfId="1" applyBorder="1" applyAlignment="1">
      <alignment horizontal="right"/>
    </xf>
    <xf numFmtId="0" fontId="2" fillId="4" borderId="15" xfId="3" applyBorder="1" applyAlignment="1">
      <alignment horizontal="right"/>
    </xf>
    <xf numFmtId="0" fontId="3" fillId="2" borderId="12" xfId="1" applyBorder="1" applyAlignment="1">
      <alignment horizontal="right"/>
    </xf>
    <xf numFmtId="0" fontId="6" fillId="2" borderId="6" xfId="1" applyFont="1" applyBorder="1" applyAlignment="1">
      <alignment horizontal="center" vertical="center" wrapText="1"/>
    </xf>
    <xf numFmtId="0" fontId="3" fillId="2" borderId="6" xfId="1" applyBorder="1" applyAlignment="1">
      <alignment horizontal="center"/>
    </xf>
    <xf numFmtId="0" fontId="3" fillId="2" borderId="6" xfId="1" applyBorder="1" applyAlignment="1"/>
    <xf numFmtId="0" fontId="2" fillId="4" borderId="6" xfId="3" applyBorder="1" applyAlignment="1"/>
    <xf numFmtId="0" fontId="2" fillId="4" borderId="6" xfId="3" applyBorder="1" applyAlignment="1">
      <alignment horizontal="center"/>
    </xf>
    <xf numFmtId="0" fontId="3" fillId="2" borderId="7" xfId="1" applyBorder="1" applyAlignment="1">
      <alignment horizontal="center"/>
    </xf>
    <xf numFmtId="0" fontId="2" fillId="4" borderId="8" xfId="3" applyBorder="1" applyAlignment="1">
      <alignment horizontal="center"/>
    </xf>
    <xf numFmtId="0" fontId="2" fillId="4" borderId="9" xfId="3" applyBorder="1" applyAlignment="1">
      <alignment horizontal="center"/>
    </xf>
    <xf numFmtId="0" fontId="2" fillId="6" borderId="6" xfId="3" applyFill="1" applyBorder="1" applyAlignment="1">
      <alignment horizontal="center"/>
    </xf>
    <xf numFmtId="0" fontId="2" fillId="7" borderId="6" xfId="3" applyFill="1" applyBorder="1" applyAlignment="1">
      <alignment horizontal="center"/>
    </xf>
    <xf numFmtId="0" fontId="2" fillId="7" borderId="8" xfId="3" applyFill="1" applyBorder="1" applyAlignment="1">
      <alignment horizontal="center"/>
    </xf>
    <xf numFmtId="0" fontId="8" fillId="7" borderId="6" xfId="4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right"/>
    </xf>
    <xf numFmtId="2" fontId="10" fillId="10" borderId="16" xfId="0" applyNumberFormat="1" applyFont="1" applyFill="1" applyBorder="1" applyAlignment="1">
      <alignment horizontal="center"/>
    </xf>
    <xf numFmtId="2" fontId="12" fillId="11" borderId="16" xfId="0" applyNumberFormat="1" applyFont="1" applyFill="1" applyBorder="1" applyAlignment="1">
      <alignment horizontal="center"/>
    </xf>
    <xf numFmtId="2" fontId="10" fillId="11" borderId="16" xfId="0" applyNumberFormat="1" applyFont="1" applyFill="1" applyBorder="1" applyAlignment="1">
      <alignment horizontal="center"/>
    </xf>
    <xf numFmtId="2" fontId="2" fillId="4" borderId="6" xfId="3" applyNumberFormat="1" applyBorder="1" applyAlignment="1">
      <alignment horizontal="left"/>
    </xf>
    <xf numFmtId="0" fontId="2" fillId="8" borderId="6" xfId="4" applyFill="1" applyBorder="1" applyAlignment="1">
      <alignment horizontal="left"/>
    </xf>
    <xf numFmtId="0" fontId="2" fillId="7" borderId="6" xfId="3" applyFill="1" applyBorder="1" applyAlignment="1">
      <alignment horizontal="left"/>
    </xf>
    <xf numFmtId="2" fontId="10" fillId="12" borderId="16" xfId="0" applyNumberFormat="1" applyFont="1" applyFill="1" applyBorder="1" applyAlignment="1">
      <alignment horizontal="center"/>
    </xf>
    <xf numFmtId="2" fontId="2" fillId="5" borderId="6" xfId="4" applyNumberFormat="1" applyBorder="1" applyAlignment="1">
      <alignment horizontal="left"/>
    </xf>
    <xf numFmtId="1" fontId="10" fillId="10" borderId="17" xfId="0" applyNumberFormat="1" applyFont="1" applyFill="1" applyBorder="1" applyAlignment="1">
      <alignment horizontal="center"/>
    </xf>
    <xf numFmtId="1" fontId="10" fillId="11" borderId="4" xfId="0" applyNumberFormat="1" applyFont="1" applyFill="1" applyBorder="1" applyAlignment="1">
      <alignment horizontal="center"/>
    </xf>
    <xf numFmtId="1" fontId="11" fillId="10" borderId="16" xfId="0" applyNumberFormat="1" applyFont="1" applyFill="1" applyBorder="1" applyAlignment="1">
      <alignment horizontal="center"/>
    </xf>
    <xf numFmtId="1" fontId="10" fillId="10" borderId="16" xfId="0" applyNumberFormat="1" applyFont="1" applyFill="1" applyBorder="1" applyAlignment="1">
      <alignment horizontal="center"/>
    </xf>
    <xf numFmtId="1" fontId="10" fillId="11" borderId="16" xfId="0" applyNumberFormat="1" applyFont="1" applyFill="1" applyBorder="1" applyAlignment="1">
      <alignment horizontal="center"/>
    </xf>
    <xf numFmtId="1" fontId="10" fillId="10" borderId="4" xfId="0" applyNumberFormat="1" applyFont="1" applyFill="1" applyBorder="1" applyAlignment="1">
      <alignment horizontal="center"/>
    </xf>
    <xf numFmtId="0" fontId="0" fillId="8" borderId="18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2" xfId="0" applyFill="1" applyBorder="1"/>
    <xf numFmtId="0" fontId="0" fillId="8" borderId="3" xfId="0" applyFill="1" applyBorder="1"/>
    <xf numFmtId="0" fontId="0" fillId="13" borderId="22" xfId="0" applyFill="1" applyBorder="1"/>
    <xf numFmtId="0" fontId="0" fillId="8" borderId="1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3" borderId="31" xfId="0" applyFill="1" applyBorder="1"/>
    <xf numFmtId="0" fontId="0" fillId="13" borderId="32" xfId="0" applyFill="1" applyBorder="1"/>
    <xf numFmtId="0" fontId="0" fillId="13" borderId="28" xfId="0" applyFill="1" applyBorder="1" applyAlignment="1">
      <alignment horizontal="left"/>
    </xf>
    <xf numFmtId="0" fontId="0" fillId="13" borderId="19" xfId="0" applyFill="1" applyBorder="1"/>
    <xf numFmtId="0" fontId="0" fillId="13" borderId="20" xfId="0" applyFill="1" applyBorder="1"/>
    <xf numFmtId="0" fontId="0" fillId="14" borderId="0" xfId="0" applyFill="1"/>
    <xf numFmtId="0" fontId="13" fillId="14" borderId="0" xfId="0" applyFont="1" applyFill="1"/>
    <xf numFmtId="0" fontId="14" fillId="0" borderId="0" xfId="0" applyFont="1"/>
    <xf numFmtId="0" fontId="14" fillId="10" borderId="5" xfId="0" applyFont="1" applyFill="1" applyBorder="1" applyAlignment="1">
      <alignment horizontal="right"/>
    </xf>
    <xf numFmtId="0" fontId="14" fillId="10" borderId="3" xfId="0" applyFont="1" applyFill="1" applyBorder="1" applyAlignment="1">
      <alignment horizontal="left"/>
    </xf>
    <xf numFmtId="0" fontId="14" fillId="10" borderId="33" xfId="0" applyFont="1" applyFill="1" applyBorder="1" applyAlignment="1">
      <alignment horizontal="right"/>
    </xf>
    <xf numFmtId="0" fontId="14" fillId="10" borderId="7" xfId="0" applyFont="1" applyFill="1" applyBorder="1" applyAlignment="1">
      <alignment horizontal="left"/>
    </xf>
    <xf numFmtId="0" fontId="14" fillId="10" borderId="35" xfId="0" applyFont="1" applyFill="1" applyBorder="1" applyAlignment="1">
      <alignment horizontal="right"/>
    </xf>
    <xf numFmtId="0" fontId="14" fillId="10" borderId="17" xfId="0" applyFont="1" applyFill="1" applyBorder="1" applyAlignment="1">
      <alignment horizontal="left"/>
    </xf>
    <xf numFmtId="0" fontId="14" fillId="10" borderId="23" xfId="0" applyFont="1" applyFill="1" applyBorder="1" applyAlignment="1">
      <alignment horizontal="right"/>
    </xf>
    <xf numFmtId="0" fontId="14" fillId="10" borderId="4" xfId="0" applyFont="1" applyFill="1" applyBorder="1" applyAlignment="1">
      <alignment horizontal="left"/>
    </xf>
    <xf numFmtId="0" fontId="14" fillId="8" borderId="22" xfId="0" applyFont="1" applyFill="1" applyBorder="1"/>
    <xf numFmtId="0" fontId="14" fillId="8" borderId="36" xfId="0" applyFont="1" applyFill="1" applyBorder="1"/>
    <xf numFmtId="0" fontId="14" fillId="8" borderId="21" xfId="0" applyFont="1" applyFill="1" applyBorder="1"/>
    <xf numFmtId="0" fontId="0" fillId="8" borderId="5" xfId="0" applyFill="1" applyBorder="1"/>
    <xf numFmtId="0" fontId="0" fillId="8" borderId="1" xfId="0" applyFill="1" applyBorder="1"/>
    <xf numFmtId="0" fontId="2" fillId="4" borderId="15" xfId="3" applyBorder="1" applyAlignment="1">
      <alignment horizontal="left"/>
    </xf>
    <xf numFmtId="0" fontId="2" fillId="4" borderId="16" xfId="3" applyBorder="1" applyAlignment="1">
      <alignment horizontal="left"/>
    </xf>
    <xf numFmtId="0" fontId="2" fillId="4" borderId="41" xfId="3" applyBorder="1" applyAlignment="1">
      <alignment horizontal="right"/>
    </xf>
    <xf numFmtId="0" fontId="2" fillId="4" borderId="42" xfId="3" applyBorder="1" applyAlignment="1">
      <alignment horizontal="right"/>
    </xf>
    <xf numFmtId="0" fontId="0" fillId="0" borderId="40" xfId="0" applyBorder="1"/>
    <xf numFmtId="0" fontId="3" fillId="2" borderId="6" xfId="1" applyBorder="1" applyAlignment="1">
      <alignment horizontal="center" vertical="center" wrapText="1"/>
    </xf>
    <xf numFmtId="0" fontId="3" fillId="2" borderId="10" xfId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2" borderId="6" xfId="1" applyBorder="1" applyAlignment="1">
      <alignment horizontal="center" vertical="center" wrapText="1"/>
    </xf>
    <xf numFmtId="0" fontId="0" fillId="4" borderId="6" xfId="3" applyFont="1" applyBorder="1" applyAlignment="1">
      <alignment horizontal="center" vertical="center" wrapText="1"/>
    </xf>
    <xf numFmtId="0" fontId="2" fillId="4" borderId="6" xfId="3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4" borderId="13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14" borderId="14" xfId="0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4" fillId="10" borderId="38" xfId="0" applyFont="1" applyFill="1" applyBorder="1" applyAlignment="1">
      <alignment horizontal="center"/>
    </xf>
    <xf numFmtId="0" fontId="14" fillId="10" borderId="34" xfId="0" applyFont="1" applyFill="1" applyBorder="1" applyAlignment="1">
      <alignment horizontal="center"/>
    </xf>
    <xf numFmtId="0" fontId="14" fillId="10" borderId="39" xfId="0" applyFont="1" applyFill="1" applyBorder="1" applyAlignment="1">
      <alignment horizontal="center"/>
    </xf>
    <xf numFmtId="0" fontId="3" fillId="2" borderId="6" xfId="1" applyBorder="1" applyAlignment="1">
      <alignment horizontal="center"/>
    </xf>
    <xf numFmtId="0" fontId="3" fillId="2" borderId="10" xfId="1" applyBorder="1" applyAlignment="1">
      <alignment horizontal="center" vertical="center"/>
    </xf>
    <xf numFmtId="0" fontId="3" fillId="2" borderId="11" xfId="1" applyBorder="1" applyAlignment="1">
      <alignment horizontal="center" vertical="center"/>
    </xf>
    <xf numFmtId="0" fontId="3" fillId="2" borderId="12" xfId="1" applyBorder="1" applyAlignment="1">
      <alignment horizontal="center" vertical="center"/>
    </xf>
    <xf numFmtId="0" fontId="14" fillId="10" borderId="5" xfId="0" applyFont="1" applyFill="1" applyBorder="1" applyAlignment="1">
      <alignment horizontal="center"/>
    </xf>
    <xf numFmtId="0" fontId="14" fillId="10" borderId="36" xfId="0" applyFont="1" applyFill="1" applyBorder="1" applyAlignment="1">
      <alignment horizontal="center"/>
    </xf>
    <xf numFmtId="0" fontId="2" fillId="4" borderId="6" xfId="3" applyBorder="1" applyAlignment="1">
      <alignment horizontal="center" vertical="center"/>
    </xf>
    <xf numFmtId="0" fontId="3" fillId="2" borderId="6" xfId="1" applyBorder="1" applyAlignment="1">
      <alignment horizontal="center" vertical="center"/>
    </xf>
    <xf numFmtId="0" fontId="6" fillId="2" borderId="1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15" fillId="15" borderId="13" xfId="0" applyFont="1" applyFill="1" applyBorder="1" applyAlignment="1">
      <alignment horizontal="center"/>
    </xf>
    <xf numFmtId="0" fontId="15" fillId="15" borderId="0" xfId="0" applyFont="1" applyFill="1" applyAlignment="1">
      <alignment horizontal="center"/>
    </xf>
    <xf numFmtId="0" fontId="15" fillId="15" borderId="37" xfId="0" applyFont="1" applyFill="1" applyBorder="1" applyAlignment="1">
      <alignment horizontal="center"/>
    </xf>
    <xf numFmtId="0" fontId="2" fillId="5" borderId="6" xfId="4" applyBorder="1" applyAlignment="1">
      <alignment horizontal="center" vertical="center"/>
    </xf>
    <xf numFmtId="0" fontId="2" fillId="4" borderId="6" xfId="3" applyBorder="1" applyAlignment="1">
      <alignment horizontal="center"/>
    </xf>
    <xf numFmtId="0" fontId="3" fillId="2" borderId="6" xfId="1" applyBorder="1" applyAlignment="1">
      <alignment horizontal="center" wrapText="1"/>
    </xf>
    <xf numFmtId="0" fontId="2" fillId="4" borderId="6" xfId="3" applyBorder="1"/>
    <xf numFmtId="0" fontId="3" fillId="2" borderId="6" xfId="1" applyBorder="1"/>
    <xf numFmtId="0" fontId="2" fillId="5" borderId="6" xfId="4" applyBorder="1"/>
    <xf numFmtId="0" fontId="16" fillId="22" borderId="22" xfId="0" applyFont="1" applyFill="1" applyBorder="1"/>
    <xf numFmtId="0" fontId="16" fillId="22" borderId="23" xfId="0" applyFont="1" applyFill="1" applyBorder="1"/>
    <xf numFmtId="0" fontId="16" fillId="0" borderId="0" xfId="0" applyFont="1"/>
    <xf numFmtId="0" fontId="16" fillId="22" borderId="1" xfId="0" quotePrefix="1" applyFont="1" applyFill="1" applyBorder="1"/>
    <xf numFmtId="0" fontId="17" fillId="22" borderId="21" xfId="0" applyFont="1" applyFill="1" applyBorder="1"/>
    <xf numFmtId="0" fontId="17" fillId="22" borderId="22" xfId="0" applyFont="1" applyFill="1" applyBorder="1"/>
    <xf numFmtId="0" fontId="0" fillId="0" borderId="0" xfId="0" quotePrefix="1"/>
    <xf numFmtId="0" fontId="16" fillId="22" borderId="0" xfId="0" applyFont="1" applyFill="1"/>
    <xf numFmtId="0" fontId="18" fillId="13" borderId="0" xfId="0" quotePrefix="1" applyFont="1" applyFill="1"/>
    <xf numFmtId="0" fontId="18" fillId="13" borderId="0" xfId="0" applyFont="1" applyFill="1"/>
    <xf numFmtId="0" fontId="19" fillId="23" borderId="22" xfId="0" applyFont="1" applyFill="1" applyBorder="1"/>
    <xf numFmtId="0" fontId="19" fillId="23" borderId="23" xfId="0" applyFont="1" applyFill="1" applyBorder="1"/>
    <xf numFmtId="0" fontId="19" fillId="0" borderId="0" xfId="0" applyFont="1"/>
    <xf numFmtId="0" fontId="19" fillId="23" borderId="1" xfId="0" applyFont="1" applyFill="1" applyBorder="1"/>
    <xf numFmtId="0" fontId="20" fillId="23" borderId="21" xfId="0" applyFont="1" applyFill="1" applyBorder="1"/>
    <xf numFmtId="0" fontId="20" fillId="23" borderId="22" xfId="0" applyFont="1" applyFill="1" applyBorder="1"/>
    <xf numFmtId="0" fontId="21" fillId="24" borderId="43" xfId="0" quotePrefix="1" applyFont="1" applyFill="1" applyBorder="1"/>
    <xf numFmtId="0" fontId="16" fillId="9" borderId="0" xfId="0" applyFont="1" applyFill="1"/>
    <xf numFmtId="1" fontId="10" fillId="25" borderId="16" xfId="0" applyNumberFormat="1" applyFont="1" applyFill="1" applyBorder="1"/>
    <xf numFmtId="2" fontId="10" fillId="25" borderId="16" xfId="0" applyNumberFormat="1" applyFont="1" applyFill="1" applyBorder="1"/>
    <xf numFmtId="2" fontId="10" fillId="26" borderId="16" xfId="0" applyNumberFormat="1" applyFont="1" applyFill="1" applyBorder="1"/>
    <xf numFmtId="0" fontId="10" fillId="25" borderId="16" xfId="0" applyFont="1" applyFill="1" applyBorder="1"/>
    <xf numFmtId="0" fontId="9" fillId="9" borderId="12" xfId="0" applyFont="1" applyFill="1" applyBorder="1"/>
    <xf numFmtId="0" fontId="10" fillId="0" borderId="0" xfId="0" applyFont="1"/>
    <xf numFmtId="0" fontId="16" fillId="22" borderId="0" xfId="0" quotePrefix="1" applyFont="1" applyFill="1"/>
    <xf numFmtId="1" fontId="10" fillId="0" borderId="0" xfId="0" applyNumberFormat="1" applyFont="1"/>
    <xf numFmtId="0" fontId="9" fillId="9" borderId="15" xfId="0" applyFont="1" applyFill="1" applyBorder="1"/>
    <xf numFmtId="0" fontId="9" fillId="26" borderId="15" xfId="0" applyFont="1" applyFill="1" applyBorder="1"/>
    <xf numFmtId="0" fontId="9" fillId="9" borderId="6" xfId="0" applyFont="1" applyFill="1" applyBorder="1"/>
    <xf numFmtId="0" fontId="0" fillId="0" borderId="44" xfId="0" applyBorder="1"/>
    <xf numFmtId="0" fontId="21" fillId="23" borderId="0" xfId="0" applyFont="1" applyFill="1"/>
    <xf numFmtId="0" fontId="21" fillId="9" borderId="0" xfId="0" applyFont="1" applyFill="1"/>
    <xf numFmtId="0" fontId="21" fillId="13" borderId="0" xfId="0" quotePrefix="1" applyFont="1" applyFill="1"/>
    <xf numFmtId="1" fontId="0" fillId="0" borderId="0" xfId="0" applyNumberFormat="1"/>
    <xf numFmtId="164" fontId="10" fillId="26" borderId="16" xfId="0" applyNumberFormat="1" applyFont="1" applyFill="1" applyBorder="1"/>
    <xf numFmtId="0" fontId="0" fillId="0" borderId="6" xfId="0" quotePrefix="1" applyBorder="1"/>
    <xf numFmtId="2" fontId="0" fillId="0" borderId="6" xfId="0" quotePrefix="1" applyNumberFormat="1" applyBorder="1"/>
    <xf numFmtId="0" fontId="0" fillId="0" borderId="6" xfId="0" applyBorder="1"/>
    <xf numFmtId="0" fontId="3" fillId="2" borderId="6" xfId="1" applyBorder="1" applyAlignment="1">
      <alignment horizontal="left" vertical="center"/>
    </xf>
    <xf numFmtId="0" fontId="3" fillId="2" borderId="6" xfId="1" quotePrefix="1" applyBorder="1" applyAlignment="1">
      <alignment horizontal="left" vertical="center"/>
    </xf>
    <xf numFmtId="0" fontId="2" fillId="17" borderId="6" xfId="6" applyBorder="1" applyAlignment="1">
      <alignment horizontal="center" vertical="center"/>
    </xf>
    <xf numFmtId="0" fontId="2" fillId="4" borderId="15" xfId="3" applyBorder="1" applyAlignment="1">
      <alignment horizontal="center"/>
    </xf>
    <xf numFmtId="0" fontId="2" fillId="4" borderId="41" xfId="3" applyBorder="1" applyAlignment="1">
      <alignment horizontal="center"/>
    </xf>
    <xf numFmtId="0" fontId="2" fillId="4" borderId="45" xfId="3" applyBorder="1" applyAlignment="1">
      <alignment horizontal="center"/>
    </xf>
    <xf numFmtId="0" fontId="3" fillId="2" borderId="15" xfId="1" quotePrefix="1" applyBorder="1" applyAlignment="1">
      <alignment horizontal="center"/>
    </xf>
    <xf numFmtId="0" fontId="3" fillId="2" borderId="41" xfId="1" quotePrefix="1" applyBorder="1" applyAlignment="1">
      <alignment horizontal="center"/>
    </xf>
    <xf numFmtId="0" fontId="3" fillId="2" borderId="45" xfId="1" quotePrefix="1" applyBorder="1" applyAlignment="1">
      <alignment horizontal="center"/>
    </xf>
    <xf numFmtId="0" fontId="2" fillId="4" borderId="15" xfId="3" quotePrefix="1" applyBorder="1" applyAlignment="1">
      <alignment horizontal="center"/>
    </xf>
    <xf numFmtId="0" fontId="2" fillId="4" borderId="41" xfId="3" quotePrefix="1" applyBorder="1" applyAlignment="1">
      <alignment horizontal="center"/>
    </xf>
    <xf numFmtId="0" fontId="2" fillId="4" borderId="45" xfId="3" quotePrefix="1" applyBorder="1" applyAlignment="1">
      <alignment horizontal="center"/>
    </xf>
    <xf numFmtId="0" fontId="2" fillId="4" borderId="40" xfId="3" applyBorder="1" applyAlignment="1">
      <alignment horizontal="center"/>
    </xf>
    <xf numFmtId="0" fontId="2" fillId="4" borderId="0" xfId="3" applyBorder="1" applyAlignment="1">
      <alignment horizontal="center"/>
    </xf>
    <xf numFmtId="0" fontId="2" fillId="4" borderId="46" xfId="3" applyBorder="1" applyAlignment="1">
      <alignment horizontal="center"/>
    </xf>
    <xf numFmtId="0" fontId="2" fillId="4" borderId="47" xfId="3" applyBorder="1" applyAlignment="1">
      <alignment horizontal="center"/>
    </xf>
    <xf numFmtId="0" fontId="2" fillId="4" borderId="48" xfId="3" applyBorder="1" applyAlignment="1">
      <alignment horizontal="center"/>
    </xf>
    <xf numFmtId="0" fontId="2" fillId="4" borderId="49" xfId="3" applyBorder="1" applyAlignment="1">
      <alignment horizontal="center"/>
    </xf>
    <xf numFmtId="0" fontId="2" fillId="4" borderId="12" xfId="3" applyBorder="1" applyAlignment="1">
      <alignment horizontal="center"/>
    </xf>
    <xf numFmtId="0" fontId="2" fillId="4" borderId="12" xfId="3" quotePrefix="1" applyBorder="1" applyAlignment="1">
      <alignment horizontal="center"/>
    </xf>
    <xf numFmtId="0" fontId="2" fillId="17" borderId="12" xfId="6" applyBorder="1" applyAlignment="1">
      <alignment horizontal="center"/>
    </xf>
    <xf numFmtId="0" fontId="2" fillId="4" borderId="16" xfId="3" applyBorder="1" applyAlignment="1">
      <alignment horizontal="center"/>
    </xf>
    <xf numFmtId="0" fontId="2" fillId="4" borderId="42" xfId="3" applyBorder="1" applyAlignment="1">
      <alignment horizontal="center"/>
    </xf>
    <xf numFmtId="0" fontId="2" fillId="4" borderId="50" xfId="3" applyBorder="1" applyAlignment="1">
      <alignment horizontal="center"/>
    </xf>
    <xf numFmtId="0" fontId="2" fillId="4" borderId="6" xfId="3" quotePrefix="1" applyBorder="1" applyAlignment="1">
      <alignment horizontal="center"/>
    </xf>
    <xf numFmtId="0" fontId="3" fillId="2" borderId="15" xfId="1" applyBorder="1" applyAlignment="1">
      <alignment horizontal="center" vertical="center"/>
    </xf>
    <xf numFmtId="0" fontId="3" fillId="2" borderId="45" xfId="1" applyBorder="1" applyAlignment="1">
      <alignment horizontal="center" vertical="center"/>
    </xf>
    <xf numFmtId="0" fontId="2" fillId="21" borderId="6" xfId="10" applyBorder="1"/>
    <xf numFmtId="0" fontId="22" fillId="3" borderId="0" xfId="2" applyFont="1" applyBorder="1"/>
    <xf numFmtId="0" fontId="2" fillId="21" borderId="6" xfId="10" applyBorder="1" applyAlignment="1">
      <alignment horizontal="center" vertical="center"/>
    </xf>
    <xf numFmtId="0" fontId="22" fillId="3" borderId="0" xfId="2" applyFont="1"/>
    <xf numFmtId="0" fontId="5" fillId="3" borderId="0" xfId="2" applyFont="1"/>
    <xf numFmtId="0" fontId="2" fillId="4" borderId="0" xfId="3" applyAlignment="1">
      <alignment horizontal="center" vertical="center" wrapText="1"/>
    </xf>
    <xf numFmtId="0" fontId="2" fillId="4" borderId="45" xfId="3" applyBorder="1" applyAlignment="1">
      <alignment horizontal="right"/>
    </xf>
    <xf numFmtId="0" fontId="2" fillId="21" borderId="15" xfId="10" applyBorder="1" applyAlignment="1">
      <alignment horizontal="left"/>
    </xf>
    <xf numFmtId="0" fontId="2" fillId="21" borderId="45" xfId="10" applyBorder="1" applyAlignment="1">
      <alignment horizontal="right"/>
    </xf>
    <xf numFmtId="0" fontId="2" fillId="21" borderId="6" xfId="10" applyBorder="1" applyAlignment="1">
      <alignment horizontal="center" vertical="center"/>
    </xf>
    <xf numFmtId="0" fontId="2" fillId="4" borderId="15" xfId="3" applyBorder="1" applyAlignment="1">
      <alignment horizontal="center" vertical="center"/>
    </xf>
    <xf numFmtId="0" fontId="2" fillId="4" borderId="45" xfId="3" applyBorder="1" applyAlignment="1">
      <alignment horizontal="center" vertical="center"/>
    </xf>
    <xf numFmtId="0" fontId="2" fillId="21" borderId="15" xfId="10" applyBorder="1" applyAlignment="1">
      <alignment horizontal="center" vertical="center"/>
    </xf>
    <xf numFmtId="0" fontId="2" fillId="21" borderId="45" xfId="10" applyBorder="1" applyAlignment="1">
      <alignment horizontal="center" vertical="center"/>
    </xf>
    <xf numFmtId="0" fontId="4" fillId="20" borderId="15" xfId="9" applyBorder="1" applyAlignment="1">
      <alignment horizontal="center" vertical="center"/>
    </xf>
    <xf numFmtId="0" fontId="4" fillId="20" borderId="45" xfId="9" applyBorder="1" applyAlignment="1">
      <alignment horizontal="center" vertical="center"/>
    </xf>
    <xf numFmtId="0" fontId="2" fillId="4" borderId="16" xfId="3" applyBorder="1" applyAlignment="1">
      <alignment horizontal="center" vertical="center"/>
    </xf>
    <xf numFmtId="0" fontId="2" fillId="4" borderId="50" xfId="3" applyBorder="1" applyAlignment="1">
      <alignment horizontal="center" vertical="center"/>
    </xf>
    <xf numFmtId="0" fontId="2" fillId="4" borderId="47" xfId="3" applyBorder="1" applyAlignment="1">
      <alignment horizontal="center" vertical="center"/>
    </xf>
    <xf numFmtId="0" fontId="2" fillId="4" borderId="49" xfId="3" applyBorder="1" applyAlignment="1">
      <alignment horizontal="center" vertical="center"/>
    </xf>
    <xf numFmtId="0" fontId="2" fillId="5" borderId="15" xfId="4" applyBorder="1" applyAlignment="1">
      <alignment horizontal="left"/>
    </xf>
    <xf numFmtId="0" fontId="2" fillId="5" borderId="45" xfId="4" applyBorder="1" applyAlignment="1">
      <alignment horizontal="right"/>
    </xf>
    <xf numFmtId="0" fontId="2" fillId="5" borderId="6" xfId="4" applyBorder="1" applyAlignment="1">
      <alignment horizontal="center" vertical="center"/>
    </xf>
    <xf numFmtId="0" fontId="2" fillId="5" borderId="15" xfId="4" applyBorder="1" applyAlignment="1">
      <alignment horizontal="center" vertical="center"/>
    </xf>
    <xf numFmtId="0" fontId="2" fillId="5" borderId="45" xfId="4" applyBorder="1" applyAlignment="1">
      <alignment horizontal="center" vertical="center"/>
    </xf>
    <xf numFmtId="0" fontId="1" fillId="0" borderId="0" xfId="11"/>
    <xf numFmtId="0" fontId="1" fillId="0" borderId="0" xfId="11" applyAlignment="1">
      <alignment horizontal="center" vertical="center"/>
    </xf>
    <xf numFmtId="0" fontId="3" fillId="2" borderId="45" xfId="1" applyBorder="1" applyAlignment="1">
      <alignment horizontal="center" vertical="center"/>
    </xf>
    <xf numFmtId="0" fontId="25" fillId="27" borderId="6" xfId="11" applyFont="1" applyFill="1" applyBorder="1" applyAlignment="1">
      <alignment horizontal="center" vertical="center"/>
    </xf>
    <xf numFmtId="0" fontId="26" fillId="8" borderId="6" xfId="11" applyFont="1" applyFill="1" applyBorder="1" applyAlignment="1">
      <alignment horizontal="left"/>
    </xf>
    <xf numFmtId="0" fontId="3" fillId="2" borderId="45" xfId="1" applyBorder="1" applyAlignment="1">
      <alignment horizontal="right"/>
    </xf>
    <xf numFmtId="0" fontId="26" fillId="10" borderId="6" xfId="11" applyFont="1" applyFill="1" applyBorder="1" applyAlignment="1">
      <alignment horizontal="left" vertical="center"/>
    </xf>
    <xf numFmtId="0" fontId="26" fillId="0" borderId="0" xfId="11" applyFont="1"/>
    <xf numFmtId="0" fontId="26" fillId="8" borderId="6" xfId="11" applyFont="1" applyFill="1" applyBorder="1" applyAlignment="1">
      <alignment horizontal="center"/>
    </xf>
    <xf numFmtId="0" fontId="26" fillId="8" borderId="41" xfId="11" applyFont="1" applyFill="1" applyBorder="1" applyAlignment="1">
      <alignment horizontal="center"/>
    </xf>
    <xf numFmtId="0" fontId="26" fillId="8" borderId="6" xfId="11" applyFont="1" applyFill="1" applyBorder="1" applyAlignment="1">
      <alignment horizontal="center" vertical="center"/>
    </xf>
    <xf numFmtId="0" fontId="26" fillId="10" borderId="0" xfId="11" applyFont="1" applyFill="1" applyAlignment="1">
      <alignment horizontal="center"/>
    </xf>
    <xf numFmtId="0" fontId="12" fillId="10" borderId="46" xfId="11" applyFont="1" applyFill="1" applyBorder="1" applyAlignment="1">
      <alignment horizontal="center"/>
    </xf>
    <xf numFmtId="0" fontId="12" fillId="10" borderId="0" xfId="11" applyFont="1" applyFill="1" applyAlignment="1">
      <alignment horizontal="center"/>
    </xf>
    <xf numFmtId="0" fontId="26" fillId="10" borderId="40" xfId="11" applyFont="1" applyFill="1" applyBorder="1" applyAlignment="1">
      <alignment horizontal="center"/>
    </xf>
    <xf numFmtId="0" fontId="26" fillId="10" borderId="46" xfId="11" applyFont="1" applyFill="1" applyBorder="1" applyAlignment="1">
      <alignment horizontal="center"/>
    </xf>
    <xf numFmtId="0" fontId="26" fillId="10" borderId="48" xfId="11" applyFont="1" applyFill="1" applyBorder="1" applyAlignment="1">
      <alignment horizontal="center"/>
    </xf>
    <xf numFmtId="0" fontId="26" fillId="10" borderId="49" xfId="11" applyFont="1" applyFill="1" applyBorder="1" applyAlignment="1">
      <alignment horizontal="center"/>
    </xf>
    <xf numFmtId="0" fontId="26" fillId="10" borderId="47" xfId="11" applyFont="1" applyFill="1" applyBorder="1" applyAlignment="1">
      <alignment horizontal="center"/>
    </xf>
    <xf numFmtId="0" fontId="26" fillId="8" borderId="11" xfId="11" applyFont="1" applyFill="1" applyBorder="1" applyAlignment="1">
      <alignment horizontal="center" vertical="center"/>
    </xf>
    <xf numFmtId="0" fontId="26" fillId="10" borderId="16" xfId="11" applyFont="1" applyFill="1" applyBorder="1" applyAlignment="1">
      <alignment horizontal="center"/>
    </xf>
    <xf numFmtId="0" fontId="12" fillId="10" borderId="50" xfId="11" applyFont="1" applyFill="1" applyBorder="1" applyAlignment="1">
      <alignment horizontal="center"/>
    </xf>
    <xf numFmtId="0" fontId="26" fillId="10" borderId="42" xfId="11" applyFont="1" applyFill="1" applyBorder="1" applyAlignment="1">
      <alignment horizontal="center"/>
    </xf>
    <xf numFmtId="0" fontId="27" fillId="10" borderId="50" xfId="11" applyFont="1" applyFill="1" applyBorder="1" applyAlignment="1">
      <alignment horizontal="center"/>
    </xf>
    <xf numFmtId="0" fontId="11" fillId="10" borderId="16" xfId="11" applyFont="1" applyFill="1" applyBorder="1" applyAlignment="1">
      <alignment horizontal="center"/>
    </xf>
    <xf numFmtId="0" fontId="26" fillId="10" borderId="50" xfId="11" applyFont="1" applyFill="1" applyBorder="1" applyAlignment="1">
      <alignment horizontal="center"/>
    </xf>
    <xf numFmtId="0" fontId="3" fillId="2" borderId="10" xfId="1" applyBorder="1" applyAlignment="1">
      <alignment horizontal="center"/>
    </xf>
    <xf numFmtId="0" fontId="26" fillId="27" borderId="0" xfId="11" applyFont="1" applyFill="1" applyAlignment="1">
      <alignment horizontal="right"/>
    </xf>
    <xf numFmtId="0" fontId="26" fillId="8" borderId="51" xfId="11" applyFont="1" applyFill="1" applyBorder="1" applyAlignment="1">
      <alignment horizontal="left"/>
    </xf>
    <xf numFmtId="0" fontId="26" fillId="8" borderId="51" xfId="11" applyFont="1" applyFill="1" applyBorder="1" applyAlignment="1">
      <alignment horizontal="right"/>
    </xf>
    <xf numFmtId="0" fontId="26" fillId="8" borderId="16" xfId="11" applyFont="1" applyFill="1" applyBorder="1" applyAlignment="1">
      <alignment horizontal="left"/>
    </xf>
    <xf numFmtId="0" fontId="26" fillId="8" borderId="12" xfId="11" applyFont="1" applyFill="1" applyBorder="1" applyAlignment="1">
      <alignment horizontal="right"/>
    </xf>
    <xf numFmtId="0" fontId="26" fillId="8" borderId="51" xfId="11" applyFont="1" applyFill="1" applyBorder="1"/>
    <xf numFmtId="0" fontId="26" fillId="8" borderId="52" xfId="11" applyFont="1" applyFill="1" applyBorder="1" applyAlignment="1">
      <alignment horizontal="left"/>
    </xf>
    <xf numFmtId="0" fontId="26" fillId="8" borderId="52" xfId="11" applyFont="1" applyFill="1" applyBorder="1" applyAlignment="1">
      <alignment horizontal="right"/>
    </xf>
    <xf numFmtId="0" fontId="26" fillId="8" borderId="12" xfId="11" applyFont="1" applyFill="1" applyBorder="1" applyAlignment="1">
      <alignment horizontal="center"/>
    </xf>
    <xf numFmtId="0" fontId="26" fillId="8" borderId="15" xfId="11" applyFont="1" applyFill="1" applyBorder="1" applyAlignment="1">
      <alignment horizontal="center" vertical="center"/>
    </xf>
    <xf numFmtId="0" fontId="29" fillId="10" borderId="0" xfId="11" applyFont="1" applyFill="1" applyAlignment="1">
      <alignment horizontal="center"/>
    </xf>
    <xf numFmtId="0" fontId="1" fillId="8" borderId="51" xfId="11" applyFill="1" applyBorder="1" applyAlignment="1">
      <alignment horizontal="left"/>
    </xf>
    <xf numFmtId="0" fontId="1" fillId="8" borderId="51" xfId="11" applyFill="1" applyBorder="1" applyAlignment="1">
      <alignment horizontal="right"/>
    </xf>
    <xf numFmtId="0" fontId="1" fillId="8" borderId="53" xfId="11" applyFill="1" applyBorder="1" applyAlignment="1">
      <alignment horizontal="left"/>
    </xf>
    <xf numFmtId="0" fontId="1" fillId="8" borderId="51" xfId="11" applyFill="1" applyBorder="1"/>
    <xf numFmtId="0" fontId="2" fillId="21" borderId="51" xfId="10" applyBorder="1" applyAlignment="1">
      <alignment horizontal="left"/>
    </xf>
    <xf numFmtId="0" fontId="2" fillId="21" borderId="51" xfId="10" applyBorder="1" applyAlignment="1">
      <alignment horizontal="right"/>
    </xf>
    <xf numFmtId="0" fontId="3" fillId="2" borderId="54" xfId="1" applyBorder="1" applyAlignment="1">
      <alignment horizontal="center" vertical="center" wrapText="1"/>
    </xf>
    <xf numFmtId="0" fontId="3" fillId="2" borderId="46" xfId="1" applyBorder="1" applyAlignment="1">
      <alignment horizontal="center" vertical="center" wrapText="1"/>
    </xf>
    <xf numFmtId="0" fontId="3" fillId="2" borderId="55" xfId="1" applyBorder="1" applyAlignment="1">
      <alignment horizontal="center" vertical="center" wrapText="1"/>
    </xf>
    <xf numFmtId="0" fontId="3" fillId="2" borderId="56" xfId="1" applyBorder="1" applyAlignment="1">
      <alignment horizontal="center" vertical="center" wrapText="1"/>
    </xf>
    <xf numFmtId="0" fontId="26" fillId="8" borderId="15" xfId="11" applyFont="1" applyFill="1" applyBorder="1" applyAlignment="1">
      <alignment horizontal="left"/>
    </xf>
    <xf numFmtId="0" fontId="26" fillId="8" borderId="6" xfId="11" applyFont="1" applyFill="1" applyBorder="1" applyAlignment="1">
      <alignment horizontal="right"/>
    </xf>
    <xf numFmtId="0" fontId="3" fillId="2" borderId="57" xfId="1" applyBorder="1" applyAlignment="1">
      <alignment horizontal="center" vertical="center" wrapText="1"/>
    </xf>
    <xf numFmtId="0" fontId="3" fillId="2" borderId="49" xfId="1" applyBorder="1" applyAlignment="1">
      <alignment horizontal="center" vertical="center" wrapText="1"/>
    </xf>
    <xf numFmtId="0" fontId="3" fillId="2" borderId="58" xfId="1" applyBorder="1" applyAlignment="1">
      <alignment horizontal="center"/>
    </xf>
    <xf numFmtId="0" fontId="3" fillId="2" borderId="45" xfId="1" applyBorder="1" applyAlignment="1">
      <alignment horizontal="center"/>
    </xf>
    <xf numFmtId="0" fontId="1" fillId="8" borderId="0" xfId="11" applyFill="1"/>
    <xf numFmtId="0" fontId="28" fillId="10" borderId="50" xfId="11" applyFont="1" applyFill="1" applyBorder="1" applyAlignment="1">
      <alignment horizontal="center"/>
    </xf>
    <xf numFmtId="0" fontId="12" fillId="10" borderId="0" xfId="11" applyFont="1" applyFill="1" applyAlignment="1">
      <alignment horizontal="center" vertical="center"/>
    </xf>
    <xf numFmtId="0" fontId="1" fillId="8" borderId="6" xfId="11" applyFill="1" applyBorder="1" applyAlignment="1">
      <alignment horizontal="left"/>
    </xf>
    <xf numFmtId="0" fontId="1" fillId="8" borderId="6" xfId="11" applyFill="1" applyBorder="1" applyAlignment="1">
      <alignment horizontal="right"/>
    </xf>
    <xf numFmtId="0" fontId="31" fillId="27" borderId="59" xfId="11" applyFont="1" applyFill="1" applyBorder="1"/>
    <xf numFmtId="0" fontId="3" fillId="2" borderId="15" xfId="1" applyBorder="1" applyAlignment="1">
      <alignment horizontal="center"/>
    </xf>
    <xf numFmtId="0" fontId="31" fillId="27" borderId="60" xfId="11" applyFont="1" applyFill="1" applyBorder="1"/>
    <xf numFmtId="0" fontId="2" fillId="19" borderId="0" xfId="8"/>
    <xf numFmtId="0" fontId="2" fillId="19" borderId="0" xfId="8" applyAlignment="1">
      <alignment horizontal="left"/>
    </xf>
    <xf numFmtId="0" fontId="1" fillId="0" borderId="6" xfId="11" applyBorder="1"/>
    <xf numFmtId="0" fontId="25" fillId="0" borderId="0" xfId="11" applyFont="1"/>
    <xf numFmtId="0" fontId="25" fillId="0" borderId="61" xfId="11" applyFont="1" applyBorder="1"/>
    <xf numFmtId="0" fontId="8" fillId="8" borderId="6" xfId="11" applyFont="1" applyFill="1" applyBorder="1" applyAlignment="1">
      <alignment horizontal="center" vertical="center"/>
    </xf>
    <xf numFmtId="0" fontId="26" fillId="27" borderId="6" xfId="11" applyFont="1" applyFill="1" applyBorder="1" applyAlignment="1">
      <alignment horizontal="center" vertical="center"/>
    </xf>
    <xf numFmtId="0" fontId="12" fillId="10" borderId="6" xfId="11" applyFont="1" applyFill="1" applyBorder="1" applyAlignment="1">
      <alignment horizontal="center" vertical="center"/>
    </xf>
    <xf numFmtId="0" fontId="27" fillId="10" borderId="6" xfId="11" applyFont="1" applyFill="1" applyBorder="1" applyAlignment="1">
      <alignment horizontal="center" vertical="center"/>
    </xf>
    <xf numFmtId="0" fontId="26" fillId="10" borderId="6" xfId="11" applyFont="1" applyFill="1" applyBorder="1" applyAlignment="1">
      <alignment horizontal="center" vertical="center"/>
    </xf>
    <xf numFmtId="0" fontId="25" fillId="8" borderId="6" xfId="11" applyFont="1" applyFill="1" applyBorder="1" applyAlignment="1">
      <alignment horizontal="center" vertical="center"/>
    </xf>
    <xf numFmtId="0" fontId="2" fillId="8" borderId="6" xfId="11" applyFont="1" applyFill="1" applyBorder="1" applyAlignment="1">
      <alignment horizontal="center" vertical="center"/>
    </xf>
    <xf numFmtId="0" fontId="32" fillId="8" borderId="6" xfId="11" applyFont="1" applyFill="1" applyBorder="1" applyAlignment="1">
      <alignment horizontal="center" vertical="center"/>
    </xf>
    <xf numFmtId="0" fontId="11" fillId="27" borderId="6" xfId="11" applyFont="1" applyFill="1" applyBorder="1" applyAlignment="1">
      <alignment horizontal="center" vertical="center"/>
    </xf>
    <xf numFmtId="0" fontId="1" fillId="0" borderId="62" xfId="11" applyBorder="1"/>
    <xf numFmtId="0" fontId="25" fillId="0" borderId="44" xfId="11" applyFont="1" applyBorder="1"/>
    <xf numFmtId="0" fontId="1" fillId="0" borderId="0" xfId="11" applyAlignment="1">
      <alignment vertical="center"/>
    </xf>
    <xf numFmtId="0" fontId="26" fillId="0" borderId="6" xfId="11" applyFont="1" applyBorder="1" applyAlignment="1">
      <alignment horizontal="center" vertical="center"/>
    </xf>
    <xf numFmtId="0" fontId="26" fillId="0" borderId="13" xfId="11" applyFont="1" applyBorder="1"/>
    <xf numFmtId="0" fontId="26" fillId="10" borderId="0" xfId="11" applyFont="1" applyFill="1"/>
    <xf numFmtId="0" fontId="12" fillId="10" borderId="0" xfId="11" applyFont="1" applyFill="1"/>
    <xf numFmtId="0" fontId="26" fillId="8" borderId="16" xfId="11" applyFont="1" applyFill="1" applyBorder="1"/>
    <xf numFmtId="0" fontId="26" fillId="8" borderId="50" xfId="11" applyFont="1" applyFill="1" applyBorder="1"/>
    <xf numFmtId="0" fontId="26" fillId="8" borderId="0" xfId="11" applyFont="1" applyFill="1"/>
    <xf numFmtId="0" fontId="12" fillId="8" borderId="50" xfId="11" applyFont="1" applyFill="1" applyBorder="1"/>
    <xf numFmtId="0" fontId="26" fillId="8" borderId="47" xfId="11" applyFont="1" applyFill="1" applyBorder="1"/>
    <xf numFmtId="0" fontId="26" fillId="8" borderId="49" xfId="11" applyFont="1" applyFill="1" applyBorder="1"/>
    <xf numFmtId="0" fontId="12" fillId="8" borderId="0" xfId="11" applyFont="1" applyFill="1"/>
    <xf numFmtId="0" fontId="26" fillId="10" borderId="16" xfId="11" applyFont="1" applyFill="1" applyBorder="1"/>
    <xf numFmtId="0" fontId="12" fillId="10" borderId="50" xfId="11" applyFont="1" applyFill="1" applyBorder="1"/>
    <xf numFmtId="0" fontId="26" fillId="10" borderId="47" xfId="11" applyFont="1" applyFill="1" applyBorder="1"/>
    <xf numFmtId="0" fontId="26" fillId="10" borderId="49" xfId="11" applyFont="1" applyFill="1" applyBorder="1"/>
    <xf numFmtId="0" fontId="11" fillId="8" borderId="16" xfId="11" applyFont="1" applyFill="1" applyBorder="1"/>
    <xf numFmtId="0" fontId="26" fillId="8" borderId="0" xfId="11" applyFont="1" applyFill="1" applyAlignment="1">
      <alignment horizontal="right"/>
    </xf>
    <xf numFmtId="0" fontId="26" fillId="0" borderId="63" xfId="11" applyFont="1" applyBorder="1" applyAlignment="1">
      <alignment horizontal="left"/>
    </xf>
    <xf numFmtId="0" fontId="26" fillId="0" borderId="64" xfId="11" applyFont="1" applyBorder="1" applyAlignment="1">
      <alignment horizontal="left"/>
    </xf>
    <xf numFmtId="0" fontId="26" fillId="0" borderId="64" xfId="11" applyFont="1" applyBorder="1" applyAlignment="1">
      <alignment horizontal="right"/>
    </xf>
    <xf numFmtId="0" fontId="26" fillId="0" borderId="63" xfId="11" applyFont="1" applyBorder="1" applyAlignment="1">
      <alignment horizontal="right"/>
    </xf>
    <xf numFmtId="0" fontId="26" fillId="8" borderId="65" xfId="11" applyFont="1" applyFill="1" applyBorder="1" applyAlignment="1">
      <alignment horizontal="left"/>
    </xf>
    <xf numFmtId="0" fontId="26" fillId="8" borderId="66" xfId="11" applyFont="1" applyFill="1" applyBorder="1" applyAlignment="1">
      <alignment horizontal="right"/>
    </xf>
    <xf numFmtId="0" fontId="26" fillId="8" borderId="67" xfId="11" applyFont="1" applyFill="1" applyBorder="1" applyAlignment="1">
      <alignment horizontal="right"/>
    </xf>
    <xf numFmtId="0" fontId="26" fillId="8" borderId="16" xfId="11" applyFont="1" applyFill="1" applyBorder="1" applyAlignment="1">
      <alignment horizontal="right"/>
    </xf>
    <xf numFmtId="0" fontId="1" fillId="0" borderId="68" xfId="11" applyBorder="1"/>
    <xf numFmtId="0" fontId="3" fillId="2" borderId="15" xfId="1" applyBorder="1" applyAlignment="1">
      <alignment horizontal="left"/>
    </xf>
    <xf numFmtId="0" fontId="3" fillId="2" borderId="41" xfId="1" applyBorder="1" applyAlignment="1">
      <alignment horizontal="right"/>
    </xf>
    <xf numFmtId="0" fontId="25" fillId="0" borderId="69" xfId="11" applyFont="1" applyBorder="1"/>
    <xf numFmtId="0" fontId="1" fillId="8" borderId="6" xfId="11" applyFill="1" applyBorder="1" applyAlignment="1">
      <alignment horizontal="center" vertical="center"/>
    </xf>
    <xf numFmtId="0" fontId="1" fillId="0" borderId="13" xfId="11" applyBorder="1"/>
    <xf numFmtId="0" fontId="25" fillId="0" borderId="70" xfId="11" applyFont="1" applyBorder="1"/>
    <xf numFmtId="0" fontId="33" fillId="10" borderId="6" xfId="11" applyFont="1" applyFill="1" applyBorder="1" applyAlignment="1">
      <alignment horizontal="center" vertical="center"/>
    </xf>
    <xf numFmtId="0" fontId="25" fillId="0" borderId="70" xfId="11" applyFont="1" applyBorder="1" applyAlignment="1">
      <alignment horizontal="center" vertical="center"/>
    </xf>
    <xf numFmtId="0" fontId="33" fillId="10" borderId="6" xfId="11" applyFont="1" applyFill="1" applyBorder="1" applyAlignment="1">
      <alignment horizontal="left" vertical="center" indent="2"/>
    </xf>
    <xf numFmtId="0" fontId="35" fillId="27" borderId="6" xfId="11" applyFont="1" applyFill="1" applyBorder="1" applyAlignment="1">
      <alignment horizontal="center" vertical="center"/>
    </xf>
    <xf numFmtId="0" fontId="36" fillId="8" borderId="51" xfId="11" applyFont="1" applyFill="1" applyBorder="1"/>
    <xf numFmtId="0" fontId="33" fillId="27" borderId="6" xfId="11" applyFont="1" applyFill="1" applyBorder="1" applyAlignment="1">
      <alignment horizontal="left" vertical="center" indent="2"/>
    </xf>
    <xf numFmtId="0" fontId="1" fillId="8" borderId="6" xfId="11" applyFill="1" applyBorder="1" applyAlignment="1">
      <alignment horizontal="left" vertical="center" indent="2"/>
    </xf>
    <xf numFmtId="0" fontId="1" fillId="0" borderId="71" xfId="11" applyBorder="1"/>
    <xf numFmtId="0" fontId="1" fillId="0" borderId="72" xfId="11" applyBorder="1"/>
    <xf numFmtId="0" fontId="33" fillId="28" borderId="73" xfId="11" applyFont="1" applyFill="1" applyBorder="1" applyAlignment="1">
      <alignment horizontal="center" vertical="center"/>
    </xf>
    <xf numFmtId="0" fontId="33" fillId="28" borderId="74" xfId="11" applyFont="1" applyFill="1" applyBorder="1" applyAlignment="1">
      <alignment horizontal="center" vertical="center"/>
    </xf>
    <xf numFmtId="0" fontId="1" fillId="0" borderId="75" xfId="11" applyBorder="1"/>
    <xf numFmtId="0" fontId="1" fillId="8" borderId="49" xfId="11" applyFill="1" applyBorder="1" applyAlignment="1">
      <alignment horizontal="center" vertical="center"/>
    </xf>
    <xf numFmtId="0" fontId="1" fillId="8" borderId="10" xfId="11" applyFill="1" applyBorder="1" applyAlignment="1">
      <alignment horizontal="center" vertical="center"/>
    </xf>
    <xf numFmtId="0" fontId="26" fillId="10" borderId="6" xfId="11" applyFont="1" applyFill="1" applyBorder="1" applyAlignment="1">
      <alignment horizontal="left" vertical="center" indent="2"/>
    </xf>
    <xf numFmtId="0" fontId="1" fillId="8" borderId="45" xfId="11" applyFill="1" applyBorder="1" applyAlignment="1">
      <alignment horizontal="center" vertical="center"/>
    </xf>
    <xf numFmtId="0" fontId="1" fillId="0" borderId="0" xfId="11" applyAlignment="1">
      <alignment horizontal="left"/>
    </xf>
    <xf numFmtId="0" fontId="2" fillId="19" borderId="0" xfId="8" applyAlignment="1">
      <alignment horizontal="left"/>
    </xf>
    <xf numFmtId="0" fontId="1" fillId="8" borderId="6" xfId="11" applyFill="1" applyBorder="1" applyAlignment="1">
      <alignment horizontal="center"/>
    </xf>
    <xf numFmtId="0" fontId="2" fillId="4" borderId="76" xfId="3" applyBorder="1" applyAlignment="1">
      <alignment horizontal="center"/>
    </xf>
    <xf numFmtId="0" fontId="2" fillId="4" borderId="76" xfId="3" applyBorder="1" applyAlignment="1">
      <alignment horizontal="center" vertical="center"/>
    </xf>
    <xf numFmtId="0" fontId="2" fillId="4" borderId="41" xfId="3" applyBorder="1" applyAlignment="1">
      <alignment horizontal="center" vertical="center"/>
    </xf>
    <xf numFmtId="0" fontId="2" fillId="4" borderId="77" xfId="3" applyBorder="1" applyAlignment="1">
      <alignment horizontal="center" vertical="center"/>
    </xf>
    <xf numFmtId="0" fontId="1" fillId="0" borderId="0" xfId="11" applyAlignment="1">
      <alignment wrapText="1"/>
    </xf>
    <xf numFmtId="0" fontId="1" fillId="0" borderId="0" xfId="11" applyAlignment="1">
      <alignment horizontal="center" wrapText="1"/>
    </xf>
    <xf numFmtId="0" fontId="40" fillId="5" borderId="6" xfId="4" applyFont="1" applyBorder="1" applyAlignment="1">
      <alignment horizontal="center"/>
    </xf>
    <xf numFmtId="0" fontId="8" fillId="4" borderId="6" xfId="3" applyFont="1" applyBorder="1" applyAlignment="1">
      <alignment horizontal="center"/>
    </xf>
    <xf numFmtId="0" fontId="40" fillId="4" borderId="6" xfId="3" applyFont="1" applyBorder="1" applyAlignment="1">
      <alignment horizontal="center"/>
    </xf>
    <xf numFmtId="0" fontId="41" fillId="0" borderId="0" xfId="0" applyFont="1"/>
    <xf numFmtId="0" fontId="42" fillId="21" borderId="6" xfId="10" applyFont="1" applyBorder="1" applyAlignment="1">
      <alignment horizontal="center"/>
    </xf>
    <xf numFmtId="0" fontId="2" fillId="5" borderId="6" xfId="4" applyBorder="1" applyAlignment="1">
      <alignment horizontal="center"/>
    </xf>
    <xf numFmtId="0" fontId="44" fillId="21" borderId="6" xfId="10" applyFont="1" applyBorder="1" applyAlignment="1">
      <alignment horizontal="center"/>
    </xf>
    <xf numFmtId="0" fontId="45" fillId="21" borderId="6" xfId="10" applyFont="1" applyBorder="1" applyAlignment="1">
      <alignment horizontal="center"/>
    </xf>
    <xf numFmtId="0" fontId="46" fillId="4" borderId="6" xfId="3" applyFont="1" applyBorder="1" applyAlignment="1">
      <alignment horizontal="center"/>
    </xf>
    <xf numFmtId="0" fontId="41" fillId="21" borderId="6" xfId="10" applyFont="1" applyBorder="1" applyAlignment="1">
      <alignment horizontal="center"/>
    </xf>
    <xf numFmtId="0" fontId="0" fillId="0" borderId="0" xfId="0" applyAlignment="1">
      <alignment vertical="center" wrapText="1"/>
    </xf>
    <xf numFmtId="0" fontId="1" fillId="7" borderId="0" xfId="11" applyFill="1"/>
    <xf numFmtId="0" fontId="26" fillId="8" borderId="6" xfId="11" applyFont="1" applyFill="1" applyBorder="1"/>
    <xf numFmtId="0" fontId="1" fillId="0" borderId="6" xfId="11" applyBorder="1" applyAlignment="1">
      <alignment horizontal="center" vertical="center"/>
    </xf>
    <xf numFmtId="1" fontId="1" fillId="0" borderId="6" xfId="11" applyNumberFormat="1" applyBorder="1" applyAlignment="1">
      <alignment horizontal="center" vertical="center"/>
    </xf>
    <xf numFmtId="0" fontId="47" fillId="2" borderId="6" xfId="12" applyBorder="1" applyAlignment="1">
      <alignment horizontal="center"/>
    </xf>
    <xf numFmtId="0" fontId="1" fillId="8" borderId="12" xfId="11" applyFill="1" applyBorder="1"/>
    <xf numFmtId="0" fontId="47" fillId="2" borderId="6" xfId="12" applyBorder="1" applyAlignment="1">
      <alignment horizontal="right"/>
    </xf>
    <xf numFmtId="0" fontId="1" fillId="0" borderId="6" xfId="11" quotePrefix="1" applyBorder="1" applyAlignment="1">
      <alignment horizontal="center" vertical="center"/>
    </xf>
    <xf numFmtId="0" fontId="25" fillId="27" borderId="16" xfId="11" applyFont="1" applyFill="1" applyBorder="1"/>
    <xf numFmtId="0" fontId="25" fillId="27" borderId="50" xfId="11" applyFont="1" applyFill="1" applyBorder="1" applyAlignment="1">
      <alignment horizontal="right"/>
    </xf>
    <xf numFmtId="0" fontId="47" fillId="9" borderId="15" xfId="11" applyFont="1" applyFill="1" applyBorder="1" applyAlignment="1">
      <alignment horizontal="center" vertical="center"/>
    </xf>
    <xf numFmtId="0" fontId="47" fillId="9" borderId="41" xfId="11" applyFont="1" applyFill="1" applyBorder="1" applyAlignment="1">
      <alignment horizontal="center" vertical="center"/>
    </xf>
    <xf numFmtId="0" fontId="47" fillId="9" borderId="45" xfId="11" applyFont="1" applyFill="1" applyBorder="1" applyAlignment="1">
      <alignment horizontal="center" vertical="center"/>
    </xf>
    <xf numFmtId="0" fontId="49" fillId="8" borderId="6" xfId="11" applyFont="1" applyFill="1" applyBorder="1" applyAlignment="1">
      <alignment vertical="center"/>
    </xf>
    <xf numFmtId="0" fontId="1" fillId="0" borderId="0" xfId="11" quotePrefix="1" applyAlignment="1">
      <alignment vertical="center"/>
    </xf>
    <xf numFmtId="0" fontId="49" fillId="8" borderId="12" xfId="11" applyFont="1" applyFill="1" applyBorder="1" applyAlignment="1">
      <alignment vertical="center"/>
    </xf>
    <xf numFmtId="0" fontId="50" fillId="8" borderId="6" xfId="11" quotePrefix="1" applyFont="1" applyFill="1" applyBorder="1" applyAlignment="1">
      <alignment horizontal="center" vertical="center"/>
    </xf>
    <xf numFmtId="0" fontId="50" fillId="8" borderId="6" xfId="11" applyFont="1" applyFill="1" applyBorder="1" applyAlignment="1">
      <alignment horizontal="left" vertical="center"/>
    </xf>
    <xf numFmtId="0" fontId="47" fillId="2" borderId="10" xfId="12" applyBorder="1"/>
    <xf numFmtId="0" fontId="47" fillId="2" borderId="0" xfId="12" applyAlignment="1">
      <alignment horizontal="center"/>
    </xf>
    <xf numFmtId="0" fontId="25" fillId="27" borderId="12" xfId="11" applyFont="1" applyFill="1" applyBorder="1" applyAlignment="1">
      <alignment vertical="center"/>
    </xf>
    <xf numFmtId="0" fontId="25" fillId="27" borderId="6" xfId="11" applyFont="1" applyFill="1" applyBorder="1" applyAlignment="1">
      <alignment vertical="center"/>
    </xf>
    <xf numFmtId="0" fontId="1" fillId="8" borderId="6" xfId="11" applyFill="1" applyBorder="1"/>
    <xf numFmtId="0" fontId="47" fillId="2" borderId="6" xfId="12" applyBorder="1"/>
    <xf numFmtId="0" fontId="1" fillId="8" borderId="15" xfId="11" applyFill="1" applyBorder="1" applyAlignment="1">
      <alignment horizontal="center"/>
    </xf>
    <xf numFmtId="0" fontId="1" fillId="8" borderId="41" xfId="11" applyFill="1" applyBorder="1" applyAlignment="1">
      <alignment horizontal="center"/>
    </xf>
    <xf numFmtId="0" fontId="1" fillId="8" borderId="45" xfId="11" applyFill="1" applyBorder="1" applyAlignment="1">
      <alignment horizontal="center"/>
    </xf>
    <xf numFmtId="0" fontId="25" fillId="29" borderId="0" xfId="11" applyFont="1" applyFill="1" applyAlignment="1">
      <alignment vertical="center"/>
    </xf>
    <xf numFmtId="0" fontId="1" fillId="30" borderId="0" xfId="11" applyFill="1"/>
    <xf numFmtId="0" fontId="25" fillId="8" borderId="45" xfId="11" applyFont="1" applyFill="1" applyBorder="1" applyAlignment="1">
      <alignment horizontal="right"/>
    </xf>
    <xf numFmtId="0" fontId="50" fillId="8" borderId="6" xfId="11" quotePrefix="1" applyFont="1" applyFill="1" applyBorder="1" applyAlignment="1">
      <alignment horizontal="left" vertical="center"/>
    </xf>
    <xf numFmtId="0" fontId="50" fillId="8" borderId="6" xfId="11" applyFont="1" applyFill="1" applyBorder="1" applyAlignment="1">
      <alignment horizontal="center" vertical="center"/>
    </xf>
    <xf numFmtId="0" fontId="1" fillId="8" borderId="15" xfId="11" applyFill="1" applyBorder="1"/>
    <xf numFmtId="0" fontId="47" fillId="2" borderId="6" xfId="12" applyBorder="1" applyAlignment="1">
      <alignment horizontal="center" vertical="center"/>
    </xf>
    <xf numFmtId="0" fontId="47" fillId="2" borderId="15" xfId="12" applyBorder="1" applyAlignment="1">
      <alignment horizontal="center"/>
    </xf>
    <xf numFmtId="0" fontId="47" fillId="2" borderId="45" xfId="12" applyBorder="1" applyAlignment="1">
      <alignment horizontal="center"/>
    </xf>
    <xf numFmtId="0" fontId="1" fillId="8" borderId="6" xfId="12" applyFont="1" applyFill="1" applyBorder="1" applyAlignment="1">
      <alignment vertical="center"/>
    </xf>
    <xf numFmtId="0" fontId="47" fillId="2" borderId="6" xfId="12" applyBorder="1" applyAlignment="1">
      <alignment vertical="center"/>
    </xf>
    <xf numFmtId="0" fontId="1" fillId="8" borderId="6" xfId="12" applyFont="1" applyFill="1" applyBorder="1" applyAlignment="1">
      <alignment horizontal="center" vertical="center"/>
    </xf>
    <xf numFmtId="0" fontId="1" fillId="8" borderId="6" xfId="12" applyFont="1" applyFill="1" applyBorder="1" applyAlignment="1">
      <alignment horizontal="center" vertical="center"/>
    </xf>
    <xf numFmtId="0" fontId="47" fillId="2" borderId="6" xfId="12" applyBorder="1" applyAlignment="1">
      <alignment horizontal="center" vertical="center"/>
    </xf>
    <xf numFmtId="0" fontId="1" fillId="0" borderId="0" xfId="11" quotePrefix="1"/>
    <xf numFmtId="0" fontId="2" fillId="18" borderId="0" xfId="7"/>
    <xf numFmtId="0" fontId="2" fillId="18" borderId="0" xfId="7" applyAlignment="1">
      <alignment wrapText="1"/>
    </xf>
    <xf numFmtId="0" fontId="2" fillId="4" borderId="78" xfId="3" applyBorder="1" applyAlignment="1">
      <alignment horizontal="center" vertical="center"/>
    </xf>
    <xf numFmtId="0" fontId="2" fillId="4" borderId="79" xfId="3" applyBorder="1" applyAlignment="1">
      <alignment horizontal="center" vertical="center"/>
    </xf>
    <xf numFmtId="0" fontId="2" fillId="4" borderId="79" xfId="3" applyBorder="1" applyAlignment="1">
      <alignment horizontal="center" vertical="center"/>
    </xf>
    <xf numFmtId="0" fontId="2" fillId="4" borderId="25" xfId="3" applyBorder="1" applyAlignment="1">
      <alignment horizontal="center" vertical="center"/>
    </xf>
    <xf numFmtId="0" fontId="2" fillId="4" borderId="80" xfId="3" applyBorder="1" applyAlignment="1">
      <alignment horizontal="center" vertical="center"/>
    </xf>
    <xf numFmtId="0" fontId="2" fillId="4" borderId="81" xfId="3" applyBorder="1" applyAlignment="1">
      <alignment horizontal="center" vertical="center"/>
    </xf>
    <xf numFmtId="0" fontId="2" fillId="4" borderId="82" xfId="3" applyBorder="1" applyAlignment="1">
      <alignment horizontal="center" vertical="center"/>
    </xf>
    <xf numFmtId="0" fontId="2" fillId="4" borderId="11" xfId="3" applyBorder="1" applyAlignment="1">
      <alignment horizontal="center" vertical="center"/>
    </xf>
    <xf numFmtId="0" fontId="2" fillId="4" borderId="45" xfId="3" applyBorder="1" applyAlignment="1">
      <alignment horizontal="center" vertical="center"/>
    </xf>
    <xf numFmtId="0" fontId="2" fillId="4" borderId="12" xfId="3" applyBorder="1" applyAlignment="1">
      <alignment horizontal="center" vertical="center"/>
    </xf>
    <xf numFmtId="0" fontId="2" fillId="4" borderId="11" xfId="3" applyBorder="1" applyAlignment="1">
      <alignment horizontal="center" vertical="center"/>
    </xf>
    <xf numFmtId="0" fontId="2" fillId="4" borderId="10" xfId="3" applyBorder="1" applyAlignment="1">
      <alignment horizontal="center" vertical="center"/>
    </xf>
    <xf numFmtId="0" fontId="2" fillId="4" borderId="83" xfId="3" applyBorder="1" applyAlignment="1">
      <alignment horizontal="center" vertical="center"/>
    </xf>
    <xf numFmtId="0" fontId="2" fillId="4" borderId="84" xfId="3" applyBorder="1" applyAlignment="1">
      <alignment horizontal="center" vertical="center"/>
    </xf>
    <xf numFmtId="0" fontId="2" fillId="4" borderId="84" xfId="3" applyBorder="1" applyAlignment="1">
      <alignment horizontal="center" vertical="center"/>
    </xf>
    <xf numFmtId="0" fontId="2" fillId="4" borderId="85" xfId="3" applyBorder="1" applyAlignment="1">
      <alignment horizontal="center" vertical="center"/>
    </xf>
    <xf numFmtId="0" fontId="2" fillId="4" borderId="86" xfId="3" applyBorder="1" applyAlignment="1">
      <alignment horizontal="center" vertical="center"/>
    </xf>
    <xf numFmtId="0" fontId="2" fillId="4" borderId="87" xfId="3" applyBorder="1" applyAlignment="1">
      <alignment horizontal="center" vertical="center"/>
    </xf>
    <xf numFmtId="0" fontId="2" fillId="4" borderId="50" xfId="3" applyBorder="1" applyAlignment="1">
      <alignment horizontal="center" vertical="center"/>
    </xf>
    <xf numFmtId="0" fontId="2" fillId="4" borderId="88" xfId="3" applyBorder="1" applyAlignment="1">
      <alignment horizontal="center" vertical="center"/>
    </xf>
    <xf numFmtId="0" fontId="2" fillId="4" borderId="26" xfId="3" applyBorder="1" applyAlignment="1">
      <alignment horizontal="center" vertical="center"/>
    </xf>
    <xf numFmtId="0" fontId="2" fillId="4" borderId="25" xfId="3" applyBorder="1" applyAlignment="1">
      <alignment horizontal="center" vertical="center"/>
    </xf>
    <xf numFmtId="0" fontId="2" fillId="4" borderId="24" xfId="3" applyBorder="1" applyAlignment="1">
      <alignment horizontal="center" vertical="center"/>
    </xf>
    <xf numFmtId="0" fontId="2" fillId="4" borderId="89" xfId="3" applyBorder="1" applyAlignment="1">
      <alignment horizontal="center" vertical="center"/>
    </xf>
    <xf numFmtId="0" fontId="2" fillId="4" borderId="85" xfId="3" applyBorder="1" applyAlignment="1">
      <alignment horizontal="center" vertical="center"/>
    </xf>
    <xf numFmtId="0" fontId="2" fillId="4" borderId="27" xfId="3" applyBorder="1" applyAlignment="1">
      <alignment horizontal="center" vertical="center"/>
    </xf>
    <xf numFmtId="0" fontId="2" fillId="4" borderId="15" xfId="3" applyBorder="1" applyAlignment="1">
      <alignment horizontal="center" vertical="center"/>
    </xf>
    <xf numFmtId="0" fontId="2" fillId="5" borderId="45" xfId="4" applyBorder="1" applyAlignment="1">
      <alignment horizontal="center" vertical="center"/>
    </xf>
    <xf numFmtId="0" fontId="2" fillId="4" borderId="90" xfId="3" applyBorder="1" applyAlignment="1">
      <alignment horizontal="center" vertical="center"/>
    </xf>
    <xf numFmtId="0" fontId="2" fillId="5" borderId="85" xfId="4" applyBorder="1" applyAlignment="1">
      <alignment horizontal="center" vertical="center"/>
    </xf>
    <xf numFmtId="0" fontId="2" fillId="4" borderId="32" xfId="3" applyBorder="1" applyAlignment="1">
      <alignment horizontal="center" vertical="center"/>
    </xf>
    <xf numFmtId="0" fontId="2" fillId="4" borderId="31" xfId="3" applyBorder="1" applyAlignment="1">
      <alignment horizontal="center" vertical="center"/>
    </xf>
    <xf numFmtId="0" fontId="2" fillId="4" borderId="91" xfId="3" applyBorder="1" applyAlignment="1">
      <alignment horizontal="center" vertical="center"/>
    </xf>
    <xf numFmtId="0" fontId="2" fillId="5" borderId="25" xfId="4" applyBorder="1" applyAlignment="1">
      <alignment horizontal="center" vertical="center"/>
    </xf>
    <xf numFmtId="0" fontId="2" fillId="4" borderId="6" xfId="3" applyBorder="1" applyAlignment="1">
      <alignment vertical="center"/>
    </xf>
    <xf numFmtId="0" fontId="0" fillId="0" borderId="0" xfId="0" applyAlignment="1">
      <alignment horizontal="center" vertical="center"/>
    </xf>
    <xf numFmtId="0" fontId="3" fillId="2" borderId="6" xfId="1" applyBorder="1" applyAlignment="1">
      <alignment vertical="center"/>
    </xf>
    <xf numFmtId="0" fontId="53" fillId="4" borderId="6" xfId="3" applyFont="1" applyBorder="1" applyAlignment="1">
      <alignment horizontal="right" vertical="center" wrapText="1"/>
    </xf>
    <xf numFmtId="0" fontId="2" fillId="4" borderId="6" xfId="3" applyBorder="1" applyAlignment="1">
      <alignment horizontal="right" vertical="center"/>
    </xf>
    <xf numFmtId="0" fontId="32" fillId="4" borderId="6" xfId="3" applyFont="1" applyBorder="1" applyAlignment="1">
      <alignment horizontal="right" vertical="center"/>
    </xf>
    <xf numFmtId="0" fontId="0" fillId="4" borderId="6" xfId="3" applyFont="1" applyBorder="1" applyAlignment="1">
      <alignment horizontal="right" vertical="center"/>
    </xf>
    <xf numFmtId="0" fontId="32" fillId="4" borderId="6" xfId="3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1" fillId="0" borderId="0" xfId="0" applyFont="1"/>
    <xf numFmtId="0" fontId="2" fillId="4" borderId="6" xfId="3" applyBorder="1" applyAlignment="1">
      <alignment horizontal="right" vertical="center" wrapText="1"/>
    </xf>
    <xf numFmtId="0" fontId="56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3" fillId="2" borderId="6" xfId="1" applyBorder="1" applyAlignment="1">
      <alignment wrapText="1"/>
    </xf>
    <xf numFmtId="0" fontId="2" fillId="16" borderId="6" xfId="5" applyBorder="1" applyAlignment="1">
      <alignment horizontal="left" vertical="center"/>
    </xf>
    <xf numFmtId="0" fontId="3" fillId="2" borderId="92" xfId="1" applyBorder="1" applyAlignment="1">
      <alignment horizontal="center" vertical="center"/>
    </xf>
    <xf numFmtId="0" fontId="3" fillId="2" borderId="93" xfId="1" applyBorder="1" applyAlignment="1">
      <alignment horizontal="center" vertical="center"/>
    </xf>
    <xf numFmtId="0" fontId="0" fillId="0" borderId="94" xfId="0" applyBorder="1"/>
    <xf numFmtId="0" fontId="0" fillId="0" borderId="95" xfId="0" applyBorder="1"/>
    <xf numFmtId="0" fontId="0" fillId="0" borderId="69" xfId="0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0" fillId="0" borderId="95" xfId="0" applyBorder="1" applyAlignment="1">
      <alignment vertical="center" wrapText="1"/>
    </xf>
    <xf numFmtId="0" fontId="0" fillId="0" borderId="96" xfId="0" applyBorder="1" applyAlignment="1">
      <alignment vertical="center" wrapText="1"/>
    </xf>
    <xf numFmtId="0" fontId="0" fillId="0" borderId="97" xfId="0" applyBorder="1" applyAlignment="1">
      <alignment vertical="center" wrapText="1"/>
    </xf>
    <xf numFmtId="0" fontId="0" fillId="0" borderId="98" xfId="0" applyBorder="1"/>
    <xf numFmtId="0" fontId="10" fillId="25" borderId="15" xfId="0" applyFont="1" applyFill="1" applyBorder="1" applyAlignment="1">
      <alignment horizontal="center"/>
    </xf>
    <xf numFmtId="0" fontId="10" fillId="25" borderId="45" xfId="0" applyFont="1" applyFill="1" applyBorder="1" applyAlignment="1">
      <alignment horizontal="center"/>
    </xf>
    <xf numFmtId="0" fontId="9" fillId="9" borderId="15" xfId="0" applyFont="1" applyFill="1" applyBorder="1" applyAlignment="1">
      <alignment horizontal="center"/>
    </xf>
    <xf numFmtId="0" fontId="9" fillId="9" borderId="45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 vertical="center"/>
    </xf>
    <xf numFmtId="0" fontId="10" fillId="25" borderId="15" xfId="0" applyFont="1" applyFill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5" borderId="16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25" borderId="41" xfId="0" applyFont="1" applyFill="1" applyBorder="1"/>
    <xf numFmtId="0" fontId="2" fillId="4" borderId="45" xfId="3" applyBorder="1" applyAlignment="1"/>
    <xf numFmtId="0" fontId="10" fillId="25" borderId="41" xfId="0" applyFont="1" applyFill="1" applyBorder="1" applyAlignment="1">
      <alignment horizontal="center"/>
    </xf>
    <xf numFmtId="0" fontId="9" fillId="9" borderId="15" xfId="0" applyFont="1" applyFill="1" applyBorder="1" applyAlignment="1">
      <alignment horizontal="left"/>
    </xf>
    <xf numFmtId="0" fontId="9" fillId="9" borderId="41" xfId="0" applyFont="1" applyFill="1" applyBorder="1" applyAlignment="1">
      <alignment horizontal="left"/>
    </xf>
    <xf numFmtId="0" fontId="9" fillId="9" borderId="45" xfId="0" applyFont="1" applyFill="1" applyBorder="1" applyAlignment="1">
      <alignment horizontal="left"/>
    </xf>
    <xf numFmtId="165" fontId="58" fillId="26" borderId="36" xfId="0" applyNumberFormat="1" applyFont="1" applyFill="1" applyBorder="1" applyAlignment="1">
      <alignment horizontal="center"/>
    </xf>
    <xf numFmtId="165" fontId="58" fillId="26" borderId="21" xfId="0" applyNumberFormat="1" applyFont="1" applyFill="1" applyBorder="1" applyAlignment="1">
      <alignment horizontal="center"/>
    </xf>
    <xf numFmtId="165" fontId="58" fillId="26" borderId="99" xfId="0" applyNumberFormat="1" applyFont="1" applyFill="1" applyBorder="1" applyAlignment="1">
      <alignment horizontal="center"/>
    </xf>
    <xf numFmtId="165" fontId="58" fillId="8" borderId="36" xfId="0" applyNumberFormat="1" applyFont="1" applyFill="1" applyBorder="1" applyAlignment="1">
      <alignment horizontal="center"/>
    </xf>
    <xf numFmtId="165" fontId="58" fillId="8" borderId="21" xfId="0" applyNumberFormat="1" applyFont="1" applyFill="1" applyBorder="1" applyAlignment="1">
      <alignment horizontal="center"/>
    </xf>
    <xf numFmtId="165" fontId="58" fillId="8" borderId="99" xfId="0" applyNumberFormat="1" applyFont="1" applyFill="1" applyBorder="1" applyAlignment="1">
      <alignment horizontal="center"/>
    </xf>
    <xf numFmtId="0" fontId="3" fillId="2" borderId="36" xfId="1" applyBorder="1" applyAlignment="1">
      <alignment horizontal="left"/>
    </xf>
    <xf numFmtId="0" fontId="3" fillId="2" borderId="5" xfId="1" applyBorder="1" applyAlignment="1">
      <alignment horizontal="left"/>
    </xf>
    <xf numFmtId="10" fontId="58" fillId="26" borderId="39" xfId="0" applyNumberFormat="1" applyFont="1" applyFill="1" applyBorder="1" applyAlignment="1">
      <alignment horizontal="center"/>
    </xf>
    <xf numFmtId="10" fontId="58" fillId="26" borderId="100" xfId="0" applyNumberFormat="1" applyFont="1" applyFill="1" applyBorder="1" applyAlignment="1">
      <alignment horizontal="center"/>
    </xf>
    <xf numFmtId="10" fontId="58" fillId="26" borderId="101" xfId="0" applyNumberFormat="1" applyFont="1" applyFill="1" applyBorder="1" applyAlignment="1">
      <alignment horizontal="center"/>
    </xf>
    <xf numFmtId="10" fontId="58" fillId="8" borderId="39" xfId="0" applyNumberFormat="1" applyFont="1" applyFill="1" applyBorder="1" applyAlignment="1">
      <alignment horizontal="center"/>
    </xf>
    <xf numFmtId="10" fontId="58" fillId="8" borderId="100" xfId="0" applyNumberFormat="1" applyFont="1" applyFill="1" applyBorder="1" applyAlignment="1">
      <alignment horizontal="center"/>
    </xf>
    <xf numFmtId="10" fontId="58" fillId="8" borderId="101" xfId="0" applyNumberFormat="1" applyFont="1" applyFill="1" applyBorder="1" applyAlignment="1">
      <alignment horizontal="center"/>
    </xf>
    <xf numFmtId="0" fontId="3" fillId="2" borderId="39" xfId="1" applyBorder="1" applyAlignment="1">
      <alignment horizontal="left" wrapText="1"/>
    </xf>
    <xf numFmtId="0" fontId="3" fillId="2" borderId="34" xfId="1" applyBorder="1" applyAlignment="1">
      <alignment horizontal="left" wrapText="1"/>
    </xf>
    <xf numFmtId="165" fontId="58" fillId="31" borderId="17" xfId="0" applyNumberFormat="1" applyFont="1" applyFill="1" applyBorder="1"/>
    <xf numFmtId="165" fontId="58" fillId="31" borderId="16" xfId="0" applyNumberFormat="1" applyFont="1" applyFill="1" applyBorder="1"/>
    <xf numFmtId="165" fontId="58" fillId="26" borderId="16" xfId="0" applyNumberFormat="1" applyFont="1" applyFill="1" applyBorder="1"/>
    <xf numFmtId="165" fontId="58" fillId="8" borderId="17" xfId="0" applyNumberFormat="1" applyFont="1" applyFill="1" applyBorder="1"/>
    <xf numFmtId="165" fontId="58" fillId="8" borderId="16" xfId="0" applyNumberFormat="1" applyFont="1" applyFill="1" applyBorder="1"/>
    <xf numFmtId="165" fontId="58" fillId="8" borderId="88" xfId="0" applyNumberFormat="1" applyFont="1" applyFill="1" applyBorder="1"/>
    <xf numFmtId="0" fontId="3" fillId="2" borderId="8" xfId="1" applyBorder="1"/>
    <xf numFmtId="0" fontId="3" fillId="2" borderId="77" xfId="1" applyBorder="1"/>
    <xf numFmtId="165" fontId="58" fillId="26" borderId="17" xfId="0" applyNumberFormat="1" applyFont="1" applyFill="1" applyBorder="1"/>
    <xf numFmtId="2" fontId="58" fillId="26" borderId="16" xfId="0" applyNumberFormat="1" applyFont="1" applyFill="1" applyBorder="1"/>
    <xf numFmtId="0" fontId="58" fillId="8" borderId="16" xfId="0" applyFont="1" applyFill="1" applyBorder="1"/>
    <xf numFmtId="0" fontId="58" fillId="8" borderId="17" xfId="0" applyFont="1" applyFill="1" applyBorder="1"/>
    <xf numFmtId="2" fontId="58" fillId="8" borderId="16" xfId="0" applyNumberFormat="1" applyFont="1" applyFill="1" applyBorder="1"/>
    <xf numFmtId="0" fontId="58" fillId="8" borderId="88" xfId="0" applyFont="1" applyFill="1" applyBorder="1"/>
    <xf numFmtId="165" fontId="58" fillId="26" borderId="8" xfId="0" applyNumberFormat="1" applyFont="1" applyFill="1" applyBorder="1"/>
    <xf numFmtId="165" fontId="58" fillId="26" borderId="15" xfId="0" applyNumberFormat="1" applyFont="1" applyFill="1" applyBorder="1"/>
    <xf numFmtId="0" fontId="58" fillId="31" borderId="15" xfId="0" applyFont="1" applyFill="1" applyBorder="1"/>
    <xf numFmtId="165" fontId="58" fillId="8" borderId="8" xfId="0" applyNumberFormat="1" applyFont="1" applyFill="1" applyBorder="1"/>
    <xf numFmtId="165" fontId="58" fillId="8" borderId="15" xfId="0" applyNumberFormat="1" applyFont="1" applyFill="1" applyBorder="1"/>
    <xf numFmtId="165" fontId="58" fillId="8" borderId="76" xfId="0" applyNumberFormat="1" applyFont="1" applyFill="1" applyBorder="1"/>
    <xf numFmtId="0" fontId="3" fillId="2" borderId="7" xfId="1" applyBorder="1"/>
    <xf numFmtId="0" fontId="3" fillId="2" borderId="33" xfId="1" applyBorder="1"/>
    <xf numFmtId="0" fontId="3" fillId="2" borderId="3" xfId="1" applyBorder="1" applyAlignment="1">
      <alignment horizontal="right"/>
    </xf>
    <xf numFmtId="0" fontId="3" fillId="2" borderId="30" xfId="1" applyBorder="1" applyAlignment="1">
      <alignment horizontal="right"/>
    </xf>
    <xf numFmtId="0" fontId="3" fillId="2" borderId="91" xfId="1" applyBorder="1" applyAlignment="1">
      <alignment horizontal="right"/>
    </xf>
    <xf numFmtId="0" fontId="3" fillId="2" borderId="21" xfId="1" applyBorder="1" applyAlignment="1">
      <alignment horizontal="center"/>
    </xf>
    <xf numFmtId="0" fontId="3" fillId="2" borderId="91" xfId="1" applyBorder="1" applyAlignment="1">
      <alignment horizontal="left"/>
    </xf>
    <xf numFmtId="0" fontId="2" fillId="4" borderId="15" xfId="3" applyBorder="1" applyAlignment="1"/>
    <xf numFmtId="0" fontId="2" fillId="4" borderId="41" xfId="3" applyBorder="1" applyAlignment="1"/>
    <xf numFmtId="0" fontId="0" fillId="4" borderId="45" xfId="3" applyFont="1" applyBorder="1" applyAlignment="1">
      <alignment horizontal="center"/>
    </xf>
    <xf numFmtId="0" fontId="3" fillId="2" borderId="11" xfId="1" applyBorder="1" applyAlignment="1">
      <alignment horizontal="left"/>
    </xf>
    <xf numFmtId="0" fontId="3" fillId="2" borderId="6" xfId="1" applyBorder="1" applyAlignment="1">
      <alignment horizontal="left"/>
    </xf>
    <xf numFmtId="0" fontId="0" fillId="4" borderId="41" xfId="3" applyFont="1" applyBorder="1" applyAlignment="1">
      <alignment horizontal="center"/>
    </xf>
    <xf numFmtId="0" fontId="3" fillId="2" borderId="10" xfId="1" applyBorder="1" applyAlignment="1">
      <alignment horizontal="left"/>
    </xf>
  </cellXfs>
  <cellStyles count="13">
    <cellStyle name="20% — акцент1" xfId="2" builtinId="30"/>
    <cellStyle name="20% — акцент2" xfId="5" builtinId="34"/>
    <cellStyle name="20% — акцент3" xfId="6" builtinId="38"/>
    <cellStyle name="20% — акцент4" xfId="7" builtinId="42"/>
    <cellStyle name="20% — акцент5" xfId="8" builtinId="46"/>
    <cellStyle name="20% — акцент6" xfId="3" builtinId="50"/>
    <cellStyle name="40% — акцент6" xfId="4" builtinId="51"/>
    <cellStyle name="60% — акцент6" xfId="10" builtinId="52"/>
    <cellStyle name="Акцент6" xfId="9" builtinId="49"/>
    <cellStyle name="Обычный" xfId="0" builtinId="0"/>
    <cellStyle name="Обычный 2" xfId="11" xr:uid="{FD2DBC6B-29E5-4C09-9480-3A7EB79ED8A4}"/>
    <cellStyle name="Хороший" xfId="1" builtinId="26"/>
    <cellStyle name="Хороший 2" xfId="12" xr:uid="{A29C7FE2-D597-45BF-857C-C008F7628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99383</xdr:colOff>
      <xdr:row>19</xdr:row>
      <xdr:rowOff>32055</xdr:rowOff>
    </xdr:from>
    <xdr:to>
      <xdr:col>10</xdr:col>
      <xdr:colOff>508194</xdr:colOff>
      <xdr:row>35</xdr:row>
      <xdr:rowOff>88793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BFC7DC-5897-1A4A-A6BD-02298776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7493" y="3779138"/>
          <a:ext cx="5604011" cy="2964921"/>
        </a:xfrm>
        <a:prstGeom prst="rect">
          <a:avLst/>
        </a:prstGeom>
      </xdr:spPr>
    </xdr:pic>
    <xdr:clientData/>
  </xdr:twoCellAnchor>
  <xdr:oneCellAnchor>
    <xdr:from>
      <xdr:col>0</xdr:col>
      <xdr:colOff>891697</xdr:colOff>
      <xdr:row>43</xdr:row>
      <xdr:rowOff>5602</xdr:rowOff>
    </xdr:from>
    <xdr:ext cx="161839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3F4CCF-8C3B-4902-A427-E2B420D39B67}"/>
                </a:ext>
              </a:extLst>
            </xdr:cNvPr>
            <xdr:cNvSpPr txBox="1"/>
          </xdr:nvSpPr>
          <xdr:spPr>
            <a:xfrm>
              <a:off x="891697" y="8070731"/>
              <a:ext cx="16183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ru-BY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3F4CCF-8C3B-4902-A427-E2B420D39B67}"/>
                </a:ext>
              </a:extLst>
            </xdr:cNvPr>
            <xdr:cNvSpPr txBox="1"/>
          </xdr:nvSpPr>
          <xdr:spPr>
            <a:xfrm>
              <a:off x="891697" y="8070731"/>
              <a:ext cx="161839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𝑋_𝑗</a:t>
              </a:r>
              <a:endParaRPr lang="ru-BY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364559</xdr:colOff>
      <xdr:row>237</xdr:row>
      <xdr:rowOff>109050</xdr:rowOff>
    </xdr:from>
    <xdr:ext cx="5013095" cy="2393398"/>
    <xdr:pic>
      <xdr:nvPicPr>
        <xdr:cNvPr id="2" name="Рисунок 1">
          <a:extLst>
            <a:ext uri="{FF2B5EF4-FFF2-40B4-BE49-F238E27FC236}">
              <a16:creationId xmlns:a16="http://schemas.microsoft.com/office/drawing/2014/main" id="{0E30C810-236F-4EEB-842C-2EBEB060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519" y="43451610"/>
          <a:ext cx="5013095" cy="23933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6104198" cy="4859847"/>
    <xdr:pic>
      <xdr:nvPicPr>
        <xdr:cNvPr id="3" name="Рисунок 2">
          <a:extLst>
            <a:ext uri="{FF2B5EF4-FFF2-40B4-BE49-F238E27FC236}">
              <a16:creationId xmlns:a16="http://schemas.microsoft.com/office/drawing/2014/main" id="{889BFA79-A9D3-4090-A3B9-67147EFCA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00480"/>
          <a:ext cx="6104198" cy="4859847"/>
        </a:xfrm>
        <a:prstGeom prst="rect">
          <a:avLst/>
        </a:prstGeom>
      </xdr:spPr>
    </xdr:pic>
    <xdr:clientData/>
  </xdr:oneCellAnchor>
  <xdr:oneCellAnchor>
    <xdr:from>
      <xdr:col>10</xdr:col>
      <xdr:colOff>146136</xdr:colOff>
      <xdr:row>31</xdr:row>
      <xdr:rowOff>114822</xdr:rowOff>
    </xdr:from>
    <xdr:ext cx="5013095" cy="2393398"/>
    <xdr:pic>
      <xdr:nvPicPr>
        <xdr:cNvPr id="4" name="Рисунок 3">
          <a:extLst>
            <a:ext uri="{FF2B5EF4-FFF2-40B4-BE49-F238E27FC236}">
              <a16:creationId xmlns:a16="http://schemas.microsoft.com/office/drawing/2014/main" id="{C4D620CF-84F8-4B80-8EA9-1886B27A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936" y="5784102"/>
          <a:ext cx="5013095" cy="239339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92363</xdr:colOff>
      <xdr:row>19</xdr:row>
      <xdr:rowOff>23091</xdr:rowOff>
    </xdr:from>
    <xdr:to>
      <xdr:col>14</xdr:col>
      <xdr:colOff>0</xdr:colOff>
      <xdr:row>23</xdr:row>
      <xdr:rowOff>173182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AEEB7F05-44A8-41DB-B7C4-10E3BB6D59BD}"/>
            </a:ext>
          </a:extLst>
        </xdr:cNvPr>
        <xdr:cNvCxnSpPr/>
      </xdr:nvCxnSpPr>
      <xdr:spPr>
        <a:xfrm flipH="1">
          <a:off x="6797963" y="3497811"/>
          <a:ext cx="1736437" cy="8816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23091</xdr:colOff>
      <xdr:row>18</xdr:row>
      <xdr:rowOff>173182</xdr:rowOff>
    </xdr:from>
    <xdr:to>
      <xdr:col>18</xdr:col>
      <xdr:colOff>635000</xdr:colOff>
      <xdr:row>23</xdr:row>
      <xdr:rowOff>150091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87E30E8E-87AE-446D-A1F6-556CBB298943}"/>
            </a:ext>
          </a:extLst>
        </xdr:cNvPr>
        <xdr:cNvCxnSpPr/>
      </xdr:nvCxnSpPr>
      <xdr:spPr>
        <a:xfrm>
          <a:off x="9776691" y="3465022"/>
          <a:ext cx="1808249" cy="8913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173182</xdr:rowOff>
    </xdr:from>
    <xdr:to>
      <xdr:col>10</xdr:col>
      <xdr:colOff>681181</xdr:colOff>
      <xdr:row>32</xdr:row>
      <xdr:rowOff>161636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10A7F15A-F789-480A-9629-178D3AC25925}"/>
            </a:ext>
          </a:extLst>
        </xdr:cNvPr>
        <xdr:cNvCxnSpPr/>
      </xdr:nvCxnSpPr>
      <xdr:spPr>
        <a:xfrm flipH="1">
          <a:off x="6096000" y="5659582"/>
          <a:ext cx="612601" cy="3542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92363</xdr:colOff>
      <xdr:row>31</xdr:row>
      <xdr:rowOff>11546</xdr:rowOff>
    </xdr:from>
    <xdr:to>
      <xdr:col>11</xdr:col>
      <xdr:colOff>738909</xdr:colOff>
      <xdr:row>32</xdr:row>
      <xdr:rowOff>138545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DDB5E7A-D9B3-41A4-9157-AE39B4671F5E}"/>
            </a:ext>
          </a:extLst>
        </xdr:cNvPr>
        <xdr:cNvCxnSpPr/>
      </xdr:nvCxnSpPr>
      <xdr:spPr>
        <a:xfrm>
          <a:off x="6797963" y="5680826"/>
          <a:ext cx="517006" cy="3098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38</xdr:row>
      <xdr:rowOff>173182</xdr:rowOff>
    </xdr:from>
    <xdr:to>
      <xdr:col>12</xdr:col>
      <xdr:colOff>635000</xdr:colOff>
      <xdr:row>41</xdr:row>
      <xdr:rowOff>115455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E6B35BFF-06FE-40A0-92FE-23CBA281E15D}"/>
            </a:ext>
          </a:extLst>
        </xdr:cNvPr>
        <xdr:cNvCxnSpPr/>
      </xdr:nvCxnSpPr>
      <xdr:spPr>
        <a:xfrm flipH="1">
          <a:off x="7315200" y="7122622"/>
          <a:ext cx="612140" cy="4909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138546</xdr:colOff>
      <xdr:row>39</xdr:row>
      <xdr:rowOff>23091</xdr:rowOff>
    </xdr:from>
    <xdr:to>
      <xdr:col>13</xdr:col>
      <xdr:colOff>750455</xdr:colOff>
      <xdr:row>41</xdr:row>
      <xdr:rowOff>115455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77B35E8A-6F7E-4D34-BE46-90EE6FD55BAB}"/>
            </a:ext>
          </a:extLst>
        </xdr:cNvPr>
        <xdr:cNvCxnSpPr/>
      </xdr:nvCxnSpPr>
      <xdr:spPr>
        <a:xfrm>
          <a:off x="8063346" y="7155411"/>
          <a:ext cx="474749" cy="4581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877454</xdr:colOff>
      <xdr:row>47</xdr:row>
      <xdr:rowOff>57727</xdr:rowOff>
    </xdr:from>
    <xdr:to>
      <xdr:col>10</xdr:col>
      <xdr:colOff>635000</xdr:colOff>
      <xdr:row>49</xdr:row>
      <xdr:rowOff>127000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3A21BD2F-A0F3-484A-9ED8-BDBC65FB4E07}"/>
            </a:ext>
          </a:extLst>
        </xdr:cNvPr>
        <xdr:cNvCxnSpPr/>
      </xdr:nvCxnSpPr>
      <xdr:spPr>
        <a:xfrm flipH="1">
          <a:off x="6097154" y="8653087"/>
          <a:ext cx="610986" cy="4350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57727</xdr:colOff>
      <xdr:row>47</xdr:row>
      <xdr:rowOff>92363</xdr:rowOff>
    </xdr:from>
    <xdr:to>
      <xdr:col>11</xdr:col>
      <xdr:colOff>658090</xdr:colOff>
      <xdr:row>49</xdr:row>
      <xdr:rowOff>138546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F0A0E442-52A7-4A91-817B-5DD5C24A1050}"/>
            </a:ext>
          </a:extLst>
        </xdr:cNvPr>
        <xdr:cNvCxnSpPr/>
      </xdr:nvCxnSpPr>
      <xdr:spPr>
        <a:xfrm>
          <a:off x="6763327" y="8687723"/>
          <a:ext cx="554643" cy="411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46182</xdr:colOff>
      <xdr:row>31</xdr:row>
      <xdr:rowOff>23091</xdr:rowOff>
    </xdr:from>
    <xdr:to>
      <xdr:col>18</xdr:col>
      <xdr:colOff>450273</xdr:colOff>
      <xdr:row>33</xdr:row>
      <xdr:rowOff>127000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E9ED4757-DA51-4213-B5CF-3990330D1171}"/>
            </a:ext>
          </a:extLst>
        </xdr:cNvPr>
        <xdr:cNvCxnSpPr/>
      </xdr:nvCxnSpPr>
      <xdr:spPr>
        <a:xfrm flipH="1">
          <a:off x="11018982" y="5692371"/>
          <a:ext cx="404091" cy="4696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230910</xdr:colOff>
      <xdr:row>31</xdr:row>
      <xdr:rowOff>46182</xdr:rowOff>
    </xdr:from>
    <xdr:to>
      <xdr:col>19</xdr:col>
      <xdr:colOff>796637</xdr:colOff>
      <xdr:row>33</xdr:row>
      <xdr:rowOff>46182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5B49400-639F-4C86-8621-733636506140}"/>
            </a:ext>
          </a:extLst>
        </xdr:cNvPr>
        <xdr:cNvCxnSpPr/>
      </xdr:nvCxnSpPr>
      <xdr:spPr>
        <a:xfrm>
          <a:off x="11813310" y="5715462"/>
          <a:ext cx="375227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432340</xdr:colOff>
      <xdr:row>27</xdr:row>
      <xdr:rowOff>27021</xdr:rowOff>
    </xdr:from>
    <xdr:to>
      <xdr:col>9</xdr:col>
      <xdr:colOff>438202</xdr:colOff>
      <xdr:row>33</xdr:row>
      <xdr:rowOff>180965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4FFD7D37-C2B1-49EA-9974-DCEE50ED7739}"/>
            </a:ext>
          </a:extLst>
        </xdr:cNvPr>
        <xdr:cNvCxnSpPr/>
      </xdr:nvCxnSpPr>
      <xdr:spPr>
        <a:xfrm flipH="1">
          <a:off x="8113300" y="5376261"/>
          <a:ext cx="5862" cy="134266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216170</xdr:colOff>
      <xdr:row>30</xdr:row>
      <xdr:rowOff>108086</xdr:rowOff>
    </xdr:from>
    <xdr:to>
      <xdr:col>13</xdr:col>
      <xdr:colOff>649924</xdr:colOff>
      <xdr:row>30</xdr:row>
      <xdr:rowOff>108086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6145E4F8-B7F0-4AFC-9E16-464A39DFA983}"/>
            </a:ext>
          </a:extLst>
        </xdr:cNvPr>
        <xdr:cNvCxnSpPr/>
      </xdr:nvCxnSpPr>
      <xdr:spPr>
        <a:xfrm>
          <a:off x="11310890" y="605168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286336</xdr:colOff>
      <xdr:row>39</xdr:row>
      <xdr:rowOff>118443</xdr:rowOff>
    </xdr:from>
    <xdr:ext cx="433754" cy="0"/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D91C51D4-6A03-4615-9627-1771E044E6D3}"/>
            </a:ext>
          </a:extLst>
        </xdr:cNvPr>
        <xdr:cNvCxnSpPr/>
      </xdr:nvCxnSpPr>
      <xdr:spPr>
        <a:xfrm>
          <a:off x="4553536" y="7845123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1</xdr:col>
      <xdr:colOff>422612</xdr:colOff>
      <xdr:row>36</xdr:row>
      <xdr:rowOff>17294</xdr:rowOff>
    </xdr:from>
    <xdr:to>
      <xdr:col>1</xdr:col>
      <xdr:colOff>428474</xdr:colOff>
      <xdr:row>42</xdr:row>
      <xdr:rowOff>171238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968C574A-AD4F-4889-BB4C-3AFB8EF19451}"/>
            </a:ext>
          </a:extLst>
        </xdr:cNvPr>
        <xdr:cNvCxnSpPr/>
      </xdr:nvCxnSpPr>
      <xdr:spPr>
        <a:xfrm flipH="1">
          <a:off x="1276052" y="7149614"/>
          <a:ext cx="5862" cy="134266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177531</xdr:colOff>
      <xdr:row>41</xdr:row>
      <xdr:rowOff>117722</xdr:rowOff>
    </xdr:from>
    <xdr:ext cx="433754" cy="0"/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430DF35F-4E4C-4763-8AF9-60BC475399B2}"/>
            </a:ext>
          </a:extLst>
        </xdr:cNvPr>
        <xdr:cNvCxnSpPr/>
      </xdr:nvCxnSpPr>
      <xdr:spPr>
        <a:xfrm>
          <a:off x="1884411" y="8240642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1</xdr:col>
      <xdr:colOff>414326</xdr:colOff>
      <xdr:row>39</xdr:row>
      <xdr:rowOff>108085</xdr:rowOff>
    </xdr:from>
    <xdr:to>
      <xdr:col>4</xdr:col>
      <xdr:colOff>468966</xdr:colOff>
      <xdr:row>39</xdr:row>
      <xdr:rowOff>108086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FAC75477-77C4-4A9A-BA7B-AF918464F98B}"/>
            </a:ext>
          </a:extLst>
        </xdr:cNvPr>
        <xdr:cNvCxnSpPr/>
      </xdr:nvCxnSpPr>
      <xdr:spPr>
        <a:xfrm flipV="1">
          <a:off x="1267766" y="7834765"/>
          <a:ext cx="2614960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150510</xdr:colOff>
      <xdr:row>39</xdr:row>
      <xdr:rowOff>108715</xdr:rowOff>
    </xdr:from>
    <xdr:ext cx="433754" cy="0"/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AEABD6F1-8E4C-41BC-875D-692EADD278A7}"/>
            </a:ext>
          </a:extLst>
        </xdr:cNvPr>
        <xdr:cNvCxnSpPr/>
      </xdr:nvCxnSpPr>
      <xdr:spPr>
        <a:xfrm>
          <a:off x="5271150" y="783539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211036</xdr:colOff>
      <xdr:row>39</xdr:row>
      <xdr:rowOff>111778</xdr:rowOff>
    </xdr:from>
    <xdr:ext cx="433754" cy="0"/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D181BF0B-C6A6-4B8A-83BA-8CC2C462EBA2}"/>
            </a:ext>
          </a:extLst>
        </xdr:cNvPr>
        <xdr:cNvCxnSpPr/>
      </xdr:nvCxnSpPr>
      <xdr:spPr>
        <a:xfrm>
          <a:off x="11305756" y="7838458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9</xdr:col>
      <xdr:colOff>419100</xdr:colOff>
      <xdr:row>36</xdr:row>
      <xdr:rowOff>114300</xdr:rowOff>
    </xdr:from>
    <xdr:ext cx="5862" cy="1373181"/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ED7F5CA-C09E-42C7-BF7A-C604DE592988}"/>
            </a:ext>
          </a:extLst>
        </xdr:cNvPr>
        <xdr:cNvCxnSpPr/>
      </xdr:nvCxnSpPr>
      <xdr:spPr>
        <a:xfrm flipH="1">
          <a:off x="8100060" y="7246620"/>
          <a:ext cx="5862" cy="137318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177800</xdr:colOff>
      <xdr:row>41</xdr:row>
      <xdr:rowOff>120784</xdr:rowOff>
    </xdr:from>
    <xdr:ext cx="433754" cy="0"/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DC6DD422-C08D-4C84-B4A4-DF8D22CC8776}"/>
            </a:ext>
          </a:extLst>
        </xdr:cNvPr>
        <xdr:cNvCxnSpPr/>
      </xdr:nvCxnSpPr>
      <xdr:spPr>
        <a:xfrm>
          <a:off x="8712200" y="8243704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9</xdr:col>
      <xdr:colOff>419100</xdr:colOff>
      <xdr:row>39</xdr:row>
      <xdr:rowOff>111778</xdr:rowOff>
    </xdr:from>
    <xdr:ext cx="2622475" cy="1"/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FDC54892-0CF3-4523-878D-BC1E8A55B3A2}"/>
            </a:ext>
          </a:extLst>
        </xdr:cNvPr>
        <xdr:cNvCxnSpPr/>
      </xdr:nvCxnSpPr>
      <xdr:spPr>
        <a:xfrm flipV="1">
          <a:off x="8100060" y="7838458"/>
          <a:ext cx="2622475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174107</xdr:colOff>
      <xdr:row>39</xdr:row>
      <xdr:rowOff>111778</xdr:rowOff>
    </xdr:from>
    <xdr:ext cx="433754" cy="0"/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1E384317-6263-41E5-B3A8-7F8436CD4AA7}"/>
            </a:ext>
          </a:extLst>
        </xdr:cNvPr>
        <xdr:cNvCxnSpPr/>
      </xdr:nvCxnSpPr>
      <xdr:spPr>
        <a:xfrm>
          <a:off x="12122267" y="7838458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414326</xdr:colOff>
      <xdr:row>36</xdr:row>
      <xdr:rowOff>99079</xdr:rowOff>
    </xdr:from>
    <xdr:to>
      <xdr:col>10</xdr:col>
      <xdr:colOff>420188</xdr:colOff>
      <xdr:row>43</xdr:row>
      <xdr:rowOff>57192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9378533D-C7B9-43DD-8BFB-1E55722638E8}"/>
            </a:ext>
          </a:extLst>
        </xdr:cNvPr>
        <xdr:cNvCxnSpPr/>
      </xdr:nvCxnSpPr>
      <xdr:spPr>
        <a:xfrm flipH="1">
          <a:off x="8948726" y="7231399"/>
          <a:ext cx="5862" cy="134495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192302</xdr:colOff>
      <xdr:row>38</xdr:row>
      <xdr:rowOff>111057</xdr:rowOff>
    </xdr:from>
    <xdr:ext cx="433754" cy="0"/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A4F491BD-BB27-41FF-9145-0428EDFD8657}"/>
            </a:ext>
          </a:extLst>
        </xdr:cNvPr>
        <xdr:cNvCxnSpPr/>
      </xdr:nvCxnSpPr>
      <xdr:spPr>
        <a:xfrm>
          <a:off x="11287022" y="7639617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304350</xdr:colOff>
      <xdr:row>48</xdr:row>
      <xdr:rowOff>120786</xdr:rowOff>
    </xdr:from>
    <xdr:ext cx="433754" cy="0"/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B1047690-984E-4CF5-9C34-D24F9BEB57BB}"/>
            </a:ext>
          </a:extLst>
        </xdr:cNvPr>
        <xdr:cNvCxnSpPr/>
      </xdr:nvCxnSpPr>
      <xdr:spPr>
        <a:xfrm>
          <a:off x="4571550" y="963054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431800</xdr:colOff>
      <xdr:row>46</xdr:row>
      <xdr:rowOff>0</xdr:rowOff>
    </xdr:from>
    <xdr:ext cx="5862" cy="1385682"/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BCBEB8E0-D9B9-457A-8C52-D0CC76E970A0}"/>
            </a:ext>
          </a:extLst>
        </xdr:cNvPr>
        <xdr:cNvCxnSpPr/>
      </xdr:nvCxnSpPr>
      <xdr:spPr>
        <a:xfrm flipH="1">
          <a:off x="1285240" y="9113520"/>
          <a:ext cx="5862" cy="138568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203200</xdr:colOff>
      <xdr:row>50</xdr:row>
      <xdr:rowOff>111778</xdr:rowOff>
    </xdr:from>
    <xdr:ext cx="433754" cy="0"/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7596BEAB-29E3-47A1-9B27-A5758CE30EF9}"/>
            </a:ext>
          </a:extLst>
        </xdr:cNvPr>
        <xdr:cNvCxnSpPr/>
      </xdr:nvCxnSpPr>
      <xdr:spPr>
        <a:xfrm>
          <a:off x="1910080" y="10017778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372443</xdr:colOff>
      <xdr:row>48</xdr:row>
      <xdr:rowOff>102771</xdr:rowOff>
    </xdr:from>
    <xdr:ext cx="2622476" cy="0"/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94E5F195-4E73-42A6-AA44-4CD826599176}"/>
            </a:ext>
          </a:extLst>
        </xdr:cNvPr>
        <xdr:cNvCxnSpPr/>
      </xdr:nvCxnSpPr>
      <xdr:spPr>
        <a:xfrm flipV="1">
          <a:off x="1225883" y="9612531"/>
          <a:ext cx="2622476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6</xdr:col>
      <xdr:colOff>221214</xdr:colOff>
      <xdr:row>48</xdr:row>
      <xdr:rowOff>120786</xdr:rowOff>
    </xdr:from>
    <xdr:ext cx="433754" cy="0"/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7A29450D-21E0-4856-90FD-73119A37EE59}"/>
            </a:ext>
          </a:extLst>
        </xdr:cNvPr>
        <xdr:cNvCxnSpPr/>
      </xdr:nvCxnSpPr>
      <xdr:spPr>
        <a:xfrm>
          <a:off x="5341854" y="963054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431800</xdr:colOff>
      <xdr:row>45</xdr:row>
      <xdr:rowOff>190500</xdr:rowOff>
    </xdr:from>
    <xdr:ext cx="5862" cy="1388697"/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B5E65C1D-A8B1-45F5-8F9A-5962578DCB45}"/>
            </a:ext>
          </a:extLst>
        </xdr:cNvPr>
        <xdr:cNvCxnSpPr/>
      </xdr:nvCxnSpPr>
      <xdr:spPr>
        <a:xfrm flipH="1">
          <a:off x="2138680" y="9105900"/>
          <a:ext cx="5862" cy="138869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273636</xdr:colOff>
      <xdr:row>47</xdr:row>
      <xdr:rowOff>117093</xdr:rowOff>
    </xdr:from>
    <xdr:ext cx="433754" cy="0"/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ACD42505-2553-4307-BC17-142A8668F74F}"/>
            </a:ext>
          </a:extLst>
        </xdr:cNvPr>
        <xdr:cNvCxnSpPr/>
      </xdr:nvCxnSpPr>
      <xdr:spPr>
        <a:xfrm>
          <a:off x="4540836" y="9428733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422612</xdr:colOff>
      <xdr:row>45</xdr:row>
      <xdr:rowOff>116372</xdr:rowOff>
    </xdr:from>
    <xdr:ext cx="5862" cy="1388697"/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17D98357-84CF-4192-8674-8EB7DED483FA}"/>
            </a:ext>
          </a:extLst>
        </xdr:cNvPr>
        <xdr:cNvCxnSpPr/>
      </xdr:nvCxnSpPr>
      <xdr:spPr>
        <a:xfrm flipH="1">
          <a:off x="2982932" y="9031772"/>
          <a:ext cx="5862" cy="138869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6</xdr:col>
      <xdr:colOff>202479</xdr:colOff>
      <xdr:row>47</xdr:row>
      <xdr:rowOff>111059</xdr:rowOff>
    </xdr:from>
    <xdr:ext cx="433754" cy="0"/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BF51425D-D802-44BD-9018-2DDD09184D5F}"/>
            </a:ext>
          </a:extLst>
        </xdr:cNvPr>
        <xdr:cNvCxnSpPr/>
      </xdr:nvCxnSpPr>
      <xdr:spPr>
        <a:xfrm>
          <a:off x="5323119" y="9422699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3</xdr:col>
      <xdr:colOff>158574</xdr:colOff>
      <xdr:row>50</xdr:row>
      <xdr:rowOff>121195</xdr:rowOff>
    </xdr:from>
    <xdr:ext cx="433754" cy="0"/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7365B07E-98B1-447F-9BF4-1FAF7F0A9F90}"/>
            </a:ext>
          </a:extLst>
        </xdr:cNvPr>
        <xdr:cNvCxnSpPr/>
      </xdr:nvCxnSpPr>
      <xdr:spPr>
        <a:xfrm>
          <a:off x="2718894" y="1002719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237001</xdr:colOff>
      <xdr:row>48</xdr:row>
      <xdr:rowOff>101544</xdr:rowOff>
    </xdr:from>
    <xdr:ext cx="433754" cy="0"/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807AF11F-65CD-49ED-B2ED-2A5CE20436EB}"/>
            </a:ext>
          </a:extLst>
        </xdr:cNvPr>
        <xdr:cNvCxnSpPr/>
      </xdr:nvCxnSpPr>
      <xdr:spPr>
        <a:xfrm>
          <a:off x="12185161" y="9611304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431800</xdr:colOff>
      <xdr:row>46</xdr:row>
      <xdr:rowOff>0</xdr:rowOff>
    </xdr:from>
    <xdr:ext cx="5862" cy="1404087"/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FB19EDC6-72A2-447A-BF0D-91CB76C53647}"/>
            </a:ext>
          </a:extLst>
        </xdr:cNvPr>
        <xdr:cNvCxnSpPr/>
      </xdr:nvCxnSpPr>
      <xdr:spPr>
        <a:xfrm flipH="1">
          <a:off x="8966200" y="9113520"/>
          <a:ext cx="5862" cy="140408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203200</xdr:colOff>
      <xdr:row>50</xdr:row>
      <xdr:rowOff>111778</xdr:rowOff>
    </xdr:from>
    <xdr:ext cx="433754" cy="0"/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B915397C-0C42-45AB-95EB-8B93527EDEE6}"/>
            </a:ext>
          </a:extLst>
        </xdr:cNvPr>
        <xdr:cNvCxnSpPr/>
      </xdr:nvCxnSpPr>
      <xdr:spPr>
        <a:xfrm>
          <a:off x="9591040" y="10017778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372443</xdr:colOff>
      <xdr:row>48</xdr:row>
      <xdr:rowOff>102771</xdr:rowOff>
    </xdr:from>
    <xdr:ext cx="2536913" cy="1"/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FCD7F98A-1463-4674-9175-D815DAB113CB}"/>
            </a:ext>
          </a:extLst>
        </xdr:cNvPr>
        <xdr:cNvCxnSpPr/>
      </xdr:nvCxnSpPr>
      <xdr:spPr>
        <a:xfrm flipV="1">
          <a:off x="8906843" y="9612531"/>
          <a:ext cx="2536913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221214</xdr:colOff>
      <xdr:row>48</xdr:row>
      <xdr:rowOff>120786</xdr:rowOff>
    </xdr:from>
    <xdr:ext cx="433754" cy="0"/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D9BF5594-9BEB-4FA9-8E76-EBBCBFDF00E4}"/>
            </a:ext>
          </a:extLst>
        </xdr:cNvPr>
        <xdr:cNvCxnSpPr/>
      </xdr:nvCxnSpPr>
      <xdr:spPr>
        <a:xfrm>
          <a:off x="13022814" y="963054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431800</xdr:colOff>
      <xdr:row>45</xdr:row>
      <xdr:rowOff>190500</xdr:rowOff>
    </xdr:from>
    <xdr:ext cx="5862" cy="1410917"/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679B29D0-9C57-4141-BEE9-13CF5FABAA08}"/>
            </a:ext>
          </a:extLst>
        </xdr:cNvPr>
        <xdr:cNvCxnSpPr/>
      </xdr:nvCxnSpPr>
      <xdr:spPr>
        <a:xfrm flipH="1">
          <a:off x="9819640" y="9105900"/>
          <a:ext cx="5862" cy="141091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273636</xdr:colOff>
      <xdr:row>47</xdr:row>
      <xdr:rowOff>117093</xdr:rowOff>
    </xdr:from>
    <xdr:ext cx="433754" cy="0"/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B2B67781-983B-47C9-95E3-D4A3C9018CAD}"/>
            </a:ext>
          </a:extLst>
        </xdr:cNvPr>
        <xdr:cNvCxnSpPr/>
      </xdr:nvCxnSpPr>
      <xdr:spPr>
        <a:xfrm>
          <a:off x="12221796" y="9428733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12</xdr:col>
      <xdr:colOff>422612</xdr:colOff>
      <xdr:row>45</xdr:row>
      <xdr:rowOff>116372</xdr:rowOff>
    </xdr:from>
    <xdr:ext cx="5862" cy="1410917"/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CC165295-40C3-49E9-80CE-854454000C70}"/>
            </a:ext>
          </a:extLst>
        </xdr:cNvPr>
        <xdr:cNvCxnSpPr/>
      </xdr:nvCxnSpPr>
      <xdr:spPr>
        <a:xfrm flipH="1">
          <a:off x="10663892" y="9031772"/>
          <a:ext cx="5862" cy="141091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202479</xdr:colOff>
      <xdr:row>47</xdr:row>
      <xdr:rowOff>111059</xdr:rowOff>
    </xdr:from>
    <xdr:ext cx="433754" cy="0"/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B9919DB1-A1C4-45E1-8CA0-22E4D32AA0F0}"/>
            </a:ext>
          </a:extLst>
        </xdr:cNvPr>
        <xdr:cNvCxnSpPr/>
      </xdr:nvCxnSpPr>
      <xdr:spPr>
        <a:xfrm>
          <a:off x="13004079" y="9422699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12</xdr:col>
      <xdr:colOff>158574</xdr:colOff>
      <xdr:row>50</xdr:row>
      <xdr:rowOff>121195</xdr:rowOff>
    </xdr:from>
    <xdr:ext cx="433754" cy="0"/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99D21E0D-3918-46A3-B52A-766D972CA56C}"/>
            </a:ext>
          </a:extLst>
        </xdr:cNvPr>
        <xdr:cNvCxnSpPr/>
      </xdr:nvCxnSpPr>
      <xdr:spPr>
        <a:xfrm>
          <a:off x="10399854" y="1002719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419010</xdr:colOff>
      <xdr:row>49</xdr:row>
      <xdr:rowOff>120473</xdr:rowOff>
    </xdr:from>
    <xdr:ext cx="2536913" cy="1"/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68A7B57A-6D97-4BFA-A807-94C93E52D86F}"/>
            </a:ext>
          </a:extLst>
        </xdr:cNvPr>
        <xdr:cNvCxnSpPr/>
      </xdr:nvCxnSpPr>
      <xdr:spPr>
        <a:xfrm flipV="1">
          <a:off x="8953410" y="9828353"/>
          <a:ext cx="2536913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254704</xdr:colOff>
      <xdr:row>49</xdr:row>
      <xdr:rowOff>109625</xdr:rowOff>
    </xdr:from>
    <xdr:ext cx="433754" cy="0"/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033AFD61-B898-430E-B54B-C0E3D7569FA2}"/>
            </a:ext>
          </a:extLst>
        </xdr:cNvPr>
        <xdr:cNvCxnSpPr/>
      </xdr:nvCxnSpPr>
      <xdr:spPr>
        <a:xfrm>
          <a:off x="12202864" y="981750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205140</xdr:colOff>
      <xdr:row>48</xdr:row>
      <xdr:rowOff>0</xdr:rowOff>
    </xdr:from>
    <xdr:ext cx="433754" cy="0"/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3761384A-C7A4-4F45-8AD5-2ACECAA63647}"/>
            </a:ext>
          </a:extLst>
        </xdr:cNvPr>
        <xdr:cNvCxnSpPr/>
      </xdr:nvCxnSpPr>
      <xdr:spPr>
        <a:xfrm>
          <a:off x="11299860" y="950976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431800</xdr:colOff>
      <xdr:row>48</xdr:row>
      <xdr:rowOff>9525</xdr:rowOff>
    </xdr:from>
    <xdr:ext cx="2626160" cy="1"/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AE906AA9-417E-4BB6-B45A-2587E140BB1A}"/>
            </a:ext>
          </a:extLst>
        </xdr:cNvPr>
        <xdr:cNvCxnSpPr/>
      </xdr:nvCxnSpPr>
      <xdr:spPr>
        <a:xfrm flipV="1">
          <a:off x="1285240" y="9519285"/>
          <a:ext cx="2626160" cy="1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206680</xdr:colOff>
      <xdr:row>51</xdr:row>
      <xdr:rowOff>92331</xdr:rowOff>
    </xdr:from>
    <xdr:ext cx="433754" cy="0"/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9BCCC70A-58C8-424D-A5D7-896A2F15CCD1}"/>
            </a:ext>
          </a:extLst>
        </xdr:cNvPr>
        <xdr:cNvCxnSpPr/>
      </xdr:nvCxnSpPr>
      <xdr:spPr>
        <a:xfrm>
          <a:off x="1913560" y="10196451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187846</xdr:colOff>
      <xdr:row>99</xdr:row>
      <xdr:rowOff>110960</xdr:rowOff>
    </xdr:from>
    <xdr:ext cx="433754" cy="0"/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ECC89FD7-AA0A-4526-97A3-EEA7C88401AA}"/>
            </a:ext>
          </a:extLst>
        </xdr:cNvPr>
        <xdr:cNvCxnSpPr/>
      </xdr:nvCxnSpPr>
      <xdr:spPr>
        <a:xfrm>
          <a:off x="12989446" y="1972484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14</xdr:col>
      <xdr:colOff>413712</xdr:colOff>
      <xdr:row>97</xdr:row>
      <xdr:rowOff>96213</xdr:rowOff>
    </xdr:from>
    <xdr:to>
      <xdr:col>14</xdr:col>
      <xdr:colOff>416470</xdr:colOff>
      <xdr:row>103</xdr:row>
      <xdr:rowOff>172773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CBF58DB1-58BA-4BCF-AF7A-A69C85E96273}"/>
            </a:ext>
          </a:extLst>
        </xdr:cNvPr>
        <xdr:cNvCxnSpPr/>
      </xdr:nvCxnSpPr>
      <xdr:spPr>
        <a:xfrm>
          <a:off x="12361872" y="19313853"/>
          <a:ext cx="2758" cy="126528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225521</xdr:colOff>
      <xdr:row>107</xdr:row>
      <xdr:rowOff>111221</xdr:rowOff>
    </xdr:from>
    <xdr:ext cx="433754" cy="0"/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230BAFB8-F398-4E93-9B27-0DA88C55E319}"/>
            </a:ext>
          </a:extLst>
        </xdr:cNvPr>
        <xdr:cNvCxnSpPr/>
      </xdr:nvCxnSpPr>
      <xdr:spPr>
        <a:xfrm>
          <a:off x="5346161" y="21310061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518390</xdr:colOff>
      <xdr:row>105</xdr:row>
      <xdr:rowOff>43873</xdr:rowOff>
    </xdr:from>
    <xdr:ext cx="2758" cy="1266533"/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F23F2488-66C1-4710-BBEB-40B0E8A7528E}"/>
            </a:ext>
          </a:extLst>
        </xdr:cNvPr>
        <xdr:cNvCxnSpPr/>
      </xdr:nvCxnSpPr>
      <xdr:spPr>
        <a:xfrm>
          <a:off x="4785590" y="20846473"/>
          <a:ext cx="2758" cy="1266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420638</xdr:colOff>
      <xdr:row>105</xdr:row>
      <xdr:rowOff>13470</xdr:rowOff>
    </xdr:from>
    <xdr:ext cx="2758" cy="1266533"/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D7DFF717-C755-4103-9BDB-AC97959F1823}"/>
            </a:ext>
          </a:extLst>
        </xdr:cNvPr>
        <xdr:cNvCxnSpPr/>
      </xdr:nvCxnSpPr>
      <xdr:spPr>
        <a:xfrm>
          <a:off x="1274078" y="20816070"/>
          <a:ext cx="2758" cy="1266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156633</xdr:colOff>
      <xdr:row>110</xdr:row>
      <xdr:rowOff>119304</xdr:rowOff>
    </xdr:from>
    <xdr:ext cx="433754" cy="0"/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D852092E-7101-423F-AB6E-801116A66B3C}"/>
            </a:ext>
          </a:extLst>
        </xdr:cNvPr>
        <xdr:cNvCxnSpPr/>
      </xdr:nvCxnSpPr>
      <xdr:spPr>
        <a:xfrm>
          <a:off x="1010073" y="21912504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411788</xdr:colOff>
      <xdr:row>105</xdr:row>
      <xdr:rowOff>51185</xdr:rowOff>
    </xdr:from>
    <xdr:ext cx="2758" cy="1266533"/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65FE7422-3144-4892-A3CE-436F093160FF}"/>
            </a:ext>
          </a:extLst>
        </xdr:cNvPr>
        <xdr:cNvCxnSpPr/>
      </xdr:nvCxnSpPr>
      <xdr:spPr>
        <a:xfrm>
          <a:off x="12359948" y="20853785"/>
          <a:ext cx="2758" cy="1266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162021</xdr:colOff>
      <xdr:row>110</xdr:row>
      <xdr:rowOff>105065</xdr:rowOff>
    </xdr:from>
    <xdr:ext cx="433754" cy="0"/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B14040A3-942C-498C-ADF8-9679D1EC1A94}"/>
            </a:ext>
          </a:extLst>
        </xdr:cNvPr>
        <xdr:cNvCxnSpPr/>
      </xdr:nvCxnSpPr>
      <xdr:spPr>
        <a:xfrm>
          <a:off x="8696421" y="2189826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448733</xdr:colOff>
      <xdr:row>105</xdr:row>
      <xdr:rowOff>97751</xdr:rowOff>
    </xdr:from>
    <xdr:ext cx="2758" cy="1266533"/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CAF1EC07-69BC-4067-B841-93070AAE2D17}"/>
            </a:ext>
          </a:extLst>
        </xdr:cNvPr>
        <xdr:cNvCxnSpPr/>
      </xdr:nvCxnSpPr>
      <xdr:spPr>
        <a:xfrm>
          <a:off x="8983133" y="20900351"/>
          <a:ext cx="2758" cy="1266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9</xdr:col>
      <xdr:colOff>788941</xdr:colOff>
      <xdr:row>107</xdr:row>
      <xdr:rowOff>115455</xdr:rowOff>
    </xdr:from>
    <xdr:to>
      <xdr:col>16</xdr:col>
      <xdr:colOff>584336</xdr:colOff>
      <xdr:row>107</xdr:row>
      <xdr:rowOff>134505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5AD9E941-2E1C-4818-B15E-18496159BB39}"/>
            </a:ext>
          </a:extLst>
        </xdr:cNvPr>
        <xdr:cNvCxnSpPr/>
      </xdr:nvCxnSpPr>
      <xdr:spPr>
        <a:xfrm>
          <a:off x="8469901" y="21314295"/>
          <a:ext cx="5769475" cy="1905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179724</xdr:colOff>
      <xdr:row>110</xdr:row>
      <xdr:rowOff>113146</xdr:rowOff>
    </xdr:from>
    <xdr:ext cx="433754" cy="0"/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63211405-4233-4DFC-8DEB-E7DECCA5D5D1}"/>
            </a:ext>
          </a:extLst>
        </xdr:cNvPr>
        <xdr:cNvCxnSpPr/>
      </xdr:nvCxnSpPr>
      <xdr:spPr>
        <a:xfrm>
          <a:off x="9567564" y="2190634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889000</xdr:colOff>
      <xdr:row>115</xdr:row>
      <xdr:rowOff>88900</xdr:rowOff>
    </xdr:from>
    <xdr:ext cx="430478" cy="0"/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D3272CB3-5263-4DD3-B5B5-8A8A27884017}"/>
            </a:ext>
          </a:extLst>
        </xdr:cNvPr>
        <xdr:cNvCxnSpPr/>
      </xdr:nvCxnSpPr>
      <xdr:spPr>
        <a:xfrm>
          <a:off x="5118100" y="22872700"/>
          <a:ext cx="43047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526088</xdr:colOff>
      <xdr:row>114</xdr:row>
      <xdr:rowOff>121612</xdr:rowOff>
    </xdr:from>
    <xdr:ext cx="2758" cy="1271520"/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1D1CA3B4-D4FF-4AFB-A737-EDC44BE57CE6}"/>
            </a:ext>
          </a:extLst>
        </xdr:cNvPr>
        <xdr:cNvCxnSpPr/>
      </xdr:nvCxnSpPr>
      <xdr:spPr>
        <a:xfrm>
          <a:off x="4793288" y="22707292"/>
          <a:ext cx="2758" cy="127152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175875</xdr:colOff>
      <xdr:row>119</xdr:row>
      <xdr:rowOff>111606</xdr:rowOff>
    </xdr:from>
    <xdr:ext cx="433754" cy="0"/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31C8778D-49BB-452F-9300-203ECEAC0117}"/>
            </a:ext>
          </a:extLst>
        </xdr:cNvPr>
        <xdr:cNvCxnSpPr/>
      </xdr:nvCxnSpPr>
      <xdr:spPr>
        <a:xfrm>
          <a:off x="1029315" y="2368788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416791</xdr:colOff>
      <xdr:row>114</xdr:row>
      <xdr:rowOff>37715</xdr:rowOff>
    </xdr:from>
    <xdr:ext cx="2758" cy="1266534"/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DDA298F2-2703-4D46-84A1-E22502C9B8C7}"/>
            </a:ext>
          </a:extLst>
        </xdr:cNvPr>
        <xdr:cNvCxnSpPr/>
      </xdr:nvCxnSpPr>
      <xdr:spPr>
        <a:xfrm>
          <a:off x="1270231" y="22623395"/>
          <a:ext cx="2758" cy="1266534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127000</xdr:colOff>
      <xdr:row>116</xdr:row>
      <xdr:rowOff>111606</xdr:rowOff>
    </xdr:from>
    <xdr:ext cx="5726693" cy="19050"/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9566CFAE-B589-4091-A418-4E63F035B4B6}"/>
            </a:ext>
          </a:extLst>
        </xdr:cNvPr>
        <xdr:cNvCxnSpPr/>
      </xdr:nvCxnSpPr>
      <xdr:spPr>
        <a:xfrm>
          <a:off x="980440" y="23093526"/>
          <a:ext cx="5726693" cy="1905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210897</xdr:colOff>
      <xdr:row>119</xdr:row>
      <xdr:rowOff>105063</xdr:rowOff>
    </xdr:from>
    <xdr:ext cx="433754" cy="0"/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19ADD586-E2D6-4B7B-A7AE-464ADCC50C26}"/>
            </a:ext>
          </a:extLst>
        </xdr:cNvPr>
        <xdr:cNvCxnSpPr/>
      </xdr:nvCxnSpPr>
      <xdr:spPr>
        <a:xfrm>
          <a:off x="1917777" y="23681343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170873</xdr:colOff>
      <xdr:row>117</xdr:row>
      <xdr:rowOff>122765</xdr:rowOff>
    </xdr:from>
    <xdr:ext cx="433754" cy="0"/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296E324B-1C8C-44B6-B17C-4DAD27898440}"/>
            </a:ext>
          </a:extLst>
        </xdr:cNvPr>
        <xdr:cNvCxnSpPr/>
      </xdr:nvCxnSpPr>
      <xdr:spPr>
        <a:xfrm>
          <a:off x="5291513" y="2330280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6</xdr:col>
      <xdr:colOff>249766</xdr:colOff>
      <xdr:row>108</xdr:row>
      <xdr:rowOff>114685</xdr:rowOff>
    </xdr:from>
    <xdr:ext cx="433754" cy="0"/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5403544B-A535-4523-8EB6-063672B72FFF}"/>
            </a:ext>
          </a:extLst>
        </xdr:cNvPr>
        <xdr:cNvCxnSpPr/>
      </xdr:nvCxnSpPr>
      <xdr:spPr>
        <a:xfrm>
          <a:off x="5370406" y="2151164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7</xdr:col>
      <xdr:colOff>169718</xdr:colOff>
      <xdr:row>117</xdr:row>
      <xdr:rowOff>105832</xdr:rowOff>
    </xdr:from>
    <xdr:ext cx="433754" cy="0"/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369F2699-BAFA-4D55-834C-E988D825FD2A}"/>
            </a:ext>
          </a:extLst>
        </xdr:cNvPr>
        <xdr:cNvCxnSpPr/>
      </xdr:nvCxnSpPr>
      <xdr:spPr>
        <a:xfrm>
          <a:off x="6143798" y="23285872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2</xdr:col>
      <xdr:colOff>405446</xdr:colOff>
      <xdr:row>114</xdr:row>
      <xdr:rowOff>212561</xdr:rowOff>
    </xdr:from>
    <xdr:to>
      <xdr:col>2</xdr:col>
      <xdr:colOff>406402</xdr:colOff>
      <xdr:row>120</xdr:row>
      <xdr:rowOff>149061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0DC56994-3F6B-4D52-BC19-74484EC3BDCC}"/>
            </a:ext>
          </a:extLst>
        </xdr:cNvPr>
        <xdr:cNvCxnSpPr/>
      </xdr:nvCxnSpPr>
      <xdr:spPr>
        <a:xfrm flipH="1">
          <a:off x="2112326" y="22783001"/>
          <a:ext cx="956" cy="114046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404168</xdr:colOff>
      <xdr:row>114</xdr:row>
      <xdr:rowOff>101292</xdr:rowOff>
    </xdr:from>
    <xdr:ext cx="2758" cy="1360993"/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482122A6-E7F4-45A9-BFE9-156F075FA323}"/>
            </a:ext>
          </a:extLst>
        </xdr:cNvPr>
        <xdr:cNvCxnSpPr/>
      </xdr:nvCxnSpPr>
      <xdr:spPr>
        <a:xfrm>
          <a:off x="13205768" y="22686972"/>
          <a:ext cx="2758" cy="136099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175875</xdr:colOff>
      <xdr:row>119</xdr:row>
      <xdr:rowOff>111606</xdr:rowOff>
    </xdr:from>
    <xdr:ext cx="433754" cy="0"/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FAC2FCAA-5B35-43A2-B0C9-8F43581F5F44}"/>
            </a:ext>
          </a:extLst>
        </xdr:cNvPr>
        <xdr:cNvCxnSpPr/>
      </xdr:nvCxnSpPr>
      <xdr:spPr>
        <a:xfrm>
          <a:off x="9563715" y="23687886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416791</xdr:colOff>
      <xdr:row>114</xdr:row>
      <xdr:rowOff>37715</xdr:rowOff>
    </xdr:from>
    <xdr:ext cx="2758" cy="1360993"/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328E6816-E94A-44D7-865A-4D80D167E579}"/>
            </a:ext>
          </a:extLst>
        </xdr:cNvPr>
        <xdr:cNvCxnSpPr/>
      </xdr:nvCxnSpPr>
      <xdr:spPr>
        <a:xfrm>
          <a:off x="9804631" y="22623395"/>
          <a:ext cx="2758" cy="136099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127000</xdr:colOff>
      <xdr:row>116</xdr:row>
      <xdr:rowOff>111606</xdr:rowOff>
    </xdr:from>
    <xdr:ext cx="5553690" cy="19050"/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A03E14C8-5DC0-4B59-90E3-A32402823820}"/>
            </a:ext>
          </a:extLst>
        </xdr:cNvPr>
        <xdr:cNvCxnSpPr/>
      </xdr:nvCxnSpPr>
      <xdr:spPr>
        <a:xfrm>
          <a:off x="9514840" y="23093526"/>
          <a:ext cx="5553690" cy="1905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12</xdr:col>
      <xdr:colOff>210897</xdr:colOff>
      <xdr:row>119</xdr:row>
      <xdr:rowOff>105063</xdr:rowOff>
    </xdr:from>
    <xdr:ext cx="433754" cy="0"/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25FE2A0F-DF56-42E4-9B85-B3DA6CFDADE7}"/>
            </a:ext>
          </a:extLst>
        </xdr:cNvPr>
        <xdr:cNvCxnSpPr/>
      </xdr:nvCxnSpPr>
      <xdr:spPr>
        <a:xfrm>
          <a:off x="10452177" y="23681343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16</xdr:col>
      <xdr:colOff>170873</xdr:colOff>
      <xdr:row>117</xdr:row>
      <xdr:rowOff>122765</xdr:rowOff>
    </xdr:from>
    <xdr:ext cx="433754" cy="0"/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4EFA12F8-97B9-4893-BB0B-2E2D30973108}"/>
            </a:ext>
          </a:extLst>
        </xdr:cNvPr>
        <xdr:cNvCxnSpPr/>
      </xdr:nvCxnSpPr>
      <xdr:spPr>
        <a:xfrm>
          <a:off x="13825913" y="23302805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17</xdr:col>
      <xdr:colOff>169718</xdr:colOff>
      <xdr:row>117</xdr:row>
      <xdr:rowOff>105832</xdr:rowOff>
    </xdr:from>
    <xdr:ext cx="433754" cy="0"/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F1A9C3E5-C728-42A4-B3B2-5D3E76CFCC36}"/>
            </a:ext>
          </a:extLst>
        </xdr:cNvPr>
        <xdr:cNvCxnSpPr/>
      </xdr:nvCxnSpPr>
      <xdr:spPr>
        <a:xfrm>
          <a:off x="14678198" y="23285872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twoCellAnchor>
    <xdr:from>
      <xdr:col>12</xdr:col>
      <xdr:colOff>405446</xdr:colOff>
      <xdr:row>114</xdr:row>
      <xdr:rowOff>212561</xdr:rowOff>
    </xdr:from>
    <xdr:to>
      <xdr:col>12</xdr:col>
      <xdr:colOff>406402</xdr:colOff>
      <xdr:row>120</xdr:row>
      <xdr:rowOff>149061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63FF507E-897C-4CA9-925A-C5AE7CF2E425}"/>
            </a:ext>
          </a:extLst>
        </xdr:cNvPr>
        <xdr:cNvCxnSpPr/>
      </xdr:nvCxnSpPr>
      <xdr:spPr>
        <a:xfrm flipH="1">
          <a:off x="10646726" y="22783001"/>
          <a:ext cx="956" cy="114046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335280</xdr:colOff>
      <xdr:row>118</xdr:row>
      <xdr:rowOff>111760</xdr:rowOff>
    </xdr:from>
    <xdr:to>
      <xdr:col>16</xdr:col>
      <xdr:colOff>466816</xdr:colOff>
      <xdr:row>118</xdr:row>
      <xdr:rowOff>111761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6032F9F7-C275-4F6C-9846-80D467ABDF2F}"/>
            </a:ext>
          </a:extLst>
        </xdr:cNvPr>
        <xdr:cNvCxnSpPr/>
      </xdr:nvCxnSpPr>
      <xdr:spPr>
        <a:xfrm flipV="1">
          <a:off x="9723120" y="23489920"/>
          <a:ext cx="4398736" cy="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208011</xdr:colOff>
      <xdr:row>119</xdr:row>
      <xdr:rowOff>123420</xdr:rowOff>
    </xdr:from>
    <xdr:ext cx="433754" cy="0"/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F366899E-44E1-4128-B26B-EFC707EC2156}"/>
            </a:ext>
          </a:extLst>
        </xdr:cNvPr>
        <xdr:cNvCxnSpPr/>
      </xdr:nvCxnSpPr>
      <xdr:spPr>
        <a:xfrm>
          <a:off x="12156171" y="2369970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5</xdr:col>
      <xdr:colOff>500380</xdr:colOff>
      <xdr:row>123</xdr:row>
      <xdr:rowOff>40640</xdr:rowOff>
    </xdr:from>
    <xdr:ext cx="2758" cy="1280966"/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36D5B442-DCD1-4767-8909-0DCE6A275E73}"/>
            </a:ext>
          </a:extLst>
        </xdr:cNvPr>
        <xdr:cNvCxnSpPr/>
      </xdr:nvCxnSpPr>
      <xdr:spPr>
        <a:xfrm>
          <a:off x="4767580" y="24409400"/>
          <a:ext cx="2758" cy="128096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152400</xdr:colOff>
      <xdr:row>127</xdr:row>
      <xdr:rowOff>203200</xdr:rowOff>
    </xdr:from>
    <xdr:ext cx="433754" cy="6427"/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8F4E4507-CB9C-4B51-934A-BFEF0805A6A6}"/>
            </a:ext>
          </a:extLst>
        </xdr:cNvPr>
        <xdr:cNvCxnSpPr/>
      </xdr:nvCxnSpPr>
      <xdr:spPr>
        <a:xfrm>
          <a:off x="1005840" y="25356820"/>
          <a:ext cx="433754" cy="642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401320</xdr:colOff>
      <xdr:row>123</xdr:row>
      <xdr:rowOff>78740</xdr:rowOff>
    </xdr:from>
    <xdr:ext cx="2758" cy="1280966"/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EC20208F-00F3-4E92-81FC-530EBF04EE04}"/>
            </a:ext>
          </a:extLst>
        </xdr:cNvPr>
        <xdr:cNvCxnSpPr/>
      </xdr:nvCxnSpPr>
      <xdr:spPr>
        <a:xfrm>
          <a:off x="1254760" y="24447500"/>
          <a:ext cx="2758" cy="128096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302260</xdr:colOff>
      <xdr:row>125</xdr:row>
      <xdr:rowOff>81280</xdr:rowOff>
    </xdr:from>
    <xdr:ext cx="5719188" cy="19050"/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AEC3CAD7-AAB1-445E-A7DB-9BB9FDAAF3BA}"/>
            </a:ext>
          </a:extLst>
        </xdr:cNvPr>
        <xdr:cNvCxnSpPr/>
      </xdr:nvCxnSpPr>
      <xdr:spPr>
        <a:xfrm>
          <a:off x="1155700" y="24846280"/>
          <a:ext cx="5719188" cy="1905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177800</xdr:colOff>
      <xdr:row>127</xdr:row>
      <xdr:rowOff>203200</xdr:rowOff>
    </xdr:from>
    <xdr:ext cx="433754" cy="6427"/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51F63F00-D8DC-4CB0-BC03-F6F7A2C4FB55}"/>
            </a:ext>
          </a:extLst>
        </xdr:cNvPr>
        <xdr:cNvCxnSpPr/>
      </xdr:nvCxnSpPr>
      <xdr:spPr>
        <a:xfrm>
          <a:off x="1884680" y="25356820"/>
          <a:ext cx="433754" cy="642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7</xdr:col>
      <xdr:colOff>170180</xdr:colOff>
      <xdr:row>126</xdr:row>
      <xdr:rowOff>101600</xdr:rowOff>
    </xdr:from>
    <xdr:ext cx="433754" cy="0"/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3DDD352A-714D-4AB5-9AEB-66B5ED8FA015}"/>
            </a:ext>
          </a:extLst>
        </xdr:cNvPr>
        <xdr:cNvCxnSpPr/>
      </xdr:nvCxnSpPr>
      <xdr:spPr>
        <a:xfrm>
          <a:off x="6144260" y="2506472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6</xdr:col>
      <xdr:colOff>243840</xdr:colOff>
      <xdr:row>126</xdr:row>
      <xdr:rowOff>132080</xdr:rowOff>
    </xdr:from>
    <xdr:ext cx="433754" cy="0"/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B28D21D7-50DF-4EFD-9862-732AF12BEFA1}"/>
            </a:ext>
          </a:extLst>
        </xdr:cNvPr>
        <xdr:cNvCxnSpPr/>
      </xdr:nvCxnSpPr>
      <xdr:spPr>
        <a:xfrm>
          <a:off x="5364480" y="2509520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2</xdr:col>
      <xdr:colOff>408940</xdr:colOff>
      <xdr:row>124</xdr:row>
      <xdr:rowOff>33020</xdr:rowOff>
    </xdr:from>
    <xdr:ext cx="956" cy="1160922"/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24906D5F-AEBC-46E9-BCD2-70B1F9DA84B1}"/>
            </a:ext>
          </a:extLst>
        </xdr:cNvPr>
        <xdr:cNvCxnSpPr/>
      </xdr:nvCxnSpPr>
      <xdr:spPr>
        <a:xfrm flipH="1">
          <a:off x="2115820" y="24599900"/>
          <a:ext cx="956" cy="116092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1</xdr:col>
      <xdr:colOff>345440</xdr:colOff>
      <xdr:row>127</xdr:row>
      <xdr:rowOff>111760</xdr:rowOff>
    </xdr:from>
    <xdr:ext cx="4745153" cy="0"/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21B3DCB5-06F1-4527-A80A-2DEE62B2949F}"/>
            </a:ext>
          </a:extLst>
        </xdr:cNvPr>
        <xdr:cNvCxnSpPr/>
      </xdr:nvCxnSpPr>
      <xdr:spPr>
        <a:xfrm>
          <a:off x="1198880" y="25273000"/>
          <a:ext cx="4745153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4</xdr:col>
      <xdr:colOff>165100</xdr:colOff>
      <xdr:row>128</xdr:row>
      <xdr:rowOff>0</xdr:rowOff>
    </xdr:from>
    <xdr:ext cx="433754" cy="0"/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27531585-E2A9-4E42-9B8E-7031DE9FB82B}"/>
            </a:ext>
          </a:extLst>
        </xdr:cNvPr>
        <xdr:cNvCxnSpPr/>
      </xdr:nvCxnSpPr>
      <xdr:spPr>
        <a:xfrm>
          <a:off x="3578860" y="2535936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3</xdr:col>
      <xdr:colOff>398780</xdr:colOff>
      <xdr:row>123</xdr:row>
      <xdr:rowOff>60960</xdr:rowOff>
    </xdr:from>
    <xdr:ext cx="2758" cy="1280966"/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2324AC0E-2A9E-4251-B4FE-2ECFAC550BC4}"/>
            </a:ext>
          </a:extLst>
        </xdr:cNvPr>
        <xdr:cNvCxnSpPr/>
      </xdr:nvCxnSpPr>
      <xdr:spPr>
        <a:xfrm>
          <a:off x="2959100" y="24429720"/>
          <a:ext cx="2758" cy="1280966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139700</xdr:colOff>
      <xdr:row>126</xdr:row>
      <xdr:rowOff>121920</xdr:rowOff>
    </xdr:from>
    <xdr:ext cx="433754" cy="0"/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340AA331-3DCB-4BD8-AEEB-7366BD8B259C}"/>
            </a:ext>
          </a:extLst>
        </xdr:cNvPr>
        <xdr:cNvCxnSpPr/>
      </xdr:nvCxnSpPr>
      <xdr:spPr>
        <a:xfrm>
          <a:off x="6967220" y="25085040"/>
          <a:ext cx="43375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oneCellAnchor>
  <xdr:oneCellAnchor>
    <xdr:from>
      <xdr:col>3</xdr:col>
      <xdr:colOff>622300</xdr:colOff>
      <xdr:row>172</xdr:row>
      <xdr:rowOff>71120</xdr:rowOff>
    </xdr:from>
    <xdr:ext cx="1963350" cy="479576"/>
    <xdr:sp macro="" textlink="">
      <xdr:nvSpPr>
        <xdr:cNvPr id="84" name="Прямоугольник 83">
          <a:extLst>
            <a:ext uri="{FF2B5EF4-FFF2-40B4-BE49-F238E27FC236}">
              <a16:creationId xmlns:a16="http://schemas.microsoft.com/office/drawing/2014/main" id="{35BFB2E0-1878-4483-8965-74EAEE4A03B2}"/>
            </a:ext>
          </a:extLst>
        </xdr:cNvPr>
        <xdr:cNvSpPr/>
      </xdr:nvSpPr>
      <xdr:spPr>
        <a:xfrm>
          <a:off x="3182620" y="34147760"/>
          <a:ext cx="1963350" cy="479576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457200</xdr:colOff>
      <xdr:row>197</xdr:row>
      <xdr:rowOff>73660</xdr:rowOff>
    </xdr:from>
    <xdr:ext cx="2647818" cy="394024"/>
    <xdr:sp macro="" textlink="">
      <xdr:nvSpPr>
        <xdr:cNvPr id="85" name="Прямоугольник 84">
          <a:extLst>
            <a:ext uri="{FF2B5EF4-FFF2-40B4-BE49-F238E27FC236}">
              <a16:creationId xmlns:a16="http://schemas.microsoft.com/office/drawing/2014/main" id="{4D4338E8-7996-4905-A18D-AA3FE76C8467}"/>
            </a:ext>
          </a:extLst>
        </xdr:cNvPr>
        <xdr:cNvSpPr/>
      </xdr:nvSpPr>
      <xdr:spPr>
        <a:xfrm>
          <a:off x="3870960" y="39103300"/>
          <a:ext cx="2647818" cy="394024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11746" cy="4040155"/>
    <xdr:pic>
      <xdr:nvPicPr>
        <xdr:cNvPr id="2" name="Рисунок 1">
          <a:extLst>
            <a:ext uri="{FF2B5EF4-FFF2-40B4-BE49-F238E27FC236}">
              <a16:creationId xmlns:a16="http://schemas.microsoft.com/office/drawing/2014/main" id="{4D607998-065D-44F5-8C36-1D2D8CC2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11746" cy="4040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208017</xdr:rowOff>
    </xdr:from>
    <xdr:ext cx="2375647" cy="759426"/>
    <xdr:pic>
      <xdr:nvPicPr>
        <xdr:cNvPr id="3" name="Рисунок 2">
          <a:extLst>
            <a:ext uri="{FF2B5EF4-FFF2-40B4-BE49-F238E27FC236}">
              <a16:creationId xmlns:a16="http://schemas.microsoft.com/office/drawing/2014/main" id="{D5E7142C-73AF-4A50-A695-9E2FA8DE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36477"/>
          <a:ext cx="2375647" cy="759426"/>
        </a:xfrm>
        <a:prstGeom prst="rect">
          <a:avLst/>
        </a:prstGeom>
      </xdr:spPr>
    </xdr:pic>
    <xdr:clientData/>
  </xdr:oneCellAnchor>
  <xdr:oneCellAnchor>
    <xdr:from>
      <xdr:col>2</xdr:col>
      <xdr:colOff>10947</xdr:colOff>
      <xdr:row>39</xdr:row>
      <xdr:rowOff>208017</xdr:rowOff>
    </xdr:from>
    <xdr:ext cx="2403214" cy="560498"/>
    <xdr:pic>
      <xdr:nvPicPr>
        <xdr:cNvPr id="4" name="Рисунок 3">
          <a:extLst>
            <a:ext uri="{FF2B5EF4-FFF2-40B4-BE49-F238E27FC236}">
              <a16:creationId xmlns:a16="http://schemas.microsoft.com/office/drawing/2014/main" id="{02A79ADD-6E8F-466D-85D6-AB2077AB4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827" y="7927077"/>
          <a:ext cx="2403214" cy="560498"/>
        </a:xfrm>
        <a:prstGeom prst="rect">
          <a:avLst/>
        </a:prstGeom>
      </xdr:spPr>
    </xdr:pic>
    <xdr:clientData/>
  </xdr:oneCellAnchor>
  <xdr:oneCellAnchor>
    <xdr:from>
      <xdr:col>2</xdr:col>
      <xdr:colOff>10948</xdr:colOff>
      <xdr:row>51</xdr:row>
      <xdr:rowOff>32846</xdr:rowOff>
    </xdr:from>
    <xdr:ext cx="2425110" cy="566260"/>
    <xdr:pic>
      <xdr:nvPicPr>
        <xdr:cNvPr id="5" name="Рисунок 4">
          <a:extLst>
            <a:ext uri="{FF2B5EF4-FFF2-40B4-BE49-F238E27FC236}">
              <a16:creationId xmlns:a16="http://schemas.microsoft.com/office/drawing/2014/main" id="{2E80CBE1-1FDD-414A-B811-68BE6BC36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828" y="10136966"/>
          <a:ext cx="2425110" cy="5662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3478825" cy="640454"/>
    <xdr:pic>
      <xdr:nvPicPr>
        <xdr:cNvPr id="6" name="Рисунок 5">
          <a:extLst>
            <a:ext uri="{FF2B5EF4-FFF2-40B4-BE49-F238E27FC236}">
              <a16:creationId xmlns:a16="http://schemas.microsoft.com/office/drawing/2014/main" id="{23C77AB0-AC3D-494B-8302-41EC0494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" y="15651480"/>
          <a:ext cx="3478825" cy="640454"/>
        </a:xfrm>
        <a:prstGeom prst="rect">
          <a:avLst/>
        </a:prstGeom>
      </xdr:spPr>
    </xdr:pic>
    <xdr:clientData/>
  </xdr:oneCellAnchor>
  <xdr:oneCellAnchor>
    <xdr:from>
      <xdr:col>4</xdr:col>
      <xdr:colOff>426983</xdr:colOff>
      <xdr:row>21</xdr:row>
      <xdr:rowOff>109482</xdr:rowOff>
    </xdr:from>
    <xdr:ext cx="8018398" cy="3353671"/>
    <xdr:pic>
      <xdr:nvPicPr>
        <xdr:cNvPr id="7" name="Рисунок 6">
          <a:extLst>
            <a:ext uri="{FF2B5EF4-FFF2-40B4-BE49-F238E27FC236}">
              <a16:creationId xmlns:a16="http://schemas.microsoft.com/office/drawing/2014/main" id="{40909411-D504-4015-816E-CC1DAE88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743" y="4270002"/>
          <a:ext cx="8018398" cy="3353671"/>
        </a:xfrm>
        <a:prstGeom prst="rect">
          <a:avLst/>
        </a:prstGeom>
      </xdr:spPr>
    </xdr:pic>
    <xdr:clientData/>
  </xdr:oneCellAnchor>
  <xdr:oneCellAnchor>
    <xdr:from>
      <xdr:col>6</xdr:col>
      <xdr:colOff>699247</xdr:colOff>
      <xdr:row>65</xdr:row>
      <xdr:rowOff>116543</xdr:rowOff>
    </xdr:from>
    <xdr:ext cx="7525339" cy="3143313"/>
    <xdr:pic>
      <xdr:nvPicPr>
        <xdr:cNvPr id="8" name="Рисунок 7">
          <a:extLst>
            <a:ext uri="{FF2B5EF4-FFF2-40B4-BE49-F238E27FC236}">
              <a16:creationId xmlns:a16="http://schemas.microsoft.com/office/drawing/2014/main" id="{FE1BA027-8A82-48FA-B842-7ACA3BC72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887" y="12994343"/>
          <a:ext cx="7525339" cy="3143313"/>
        </a:xfrm>
        <a:prstGeom prst="rect">
          <a:avLst/>
        </a:prstGeom>
      </xdr:spPr>
    </xdr:pic>
    <xdr:clientData/>
  </xdr:oneCellAnchor>
  <xdr:twoCellAnchor>
    <xdr:from>
      <xdr:col>12</xdr:col>
      <xdr:colOff>616164</xdr:colOff>
      <xdr:row>73</xdr:row>
      <xdr:rowOff>54689</xdr:rowOff>
    </xdr:from>
    <xdr:to>
      <xdr:col>12</xdr:col>
      <xdr:colOff>661883</xdr:colOff>
      <xdr:row>73</xdr:row>
      <xdr:rowOff>100408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66595944-82D9-4704-A4AB-1811A3B51A9D}"/>
            </a:ext>
          </a:extLst>
        </xdr:cNvPr>
        <xdr:cNvSpPr/>
      </xdr:nvSpPr>
      <xdr:spPr>
        <a:xfrm>
          <a:off x="10857444" y="14517449"/>
          <a:ext cx="45719" cy="457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BY" sz="1100"/>
        </a:p>
      </xdr:txBody>
    </xdr:sp>
    <xdr:clientData/>
  </xdr:twoCellAnchor>
  <xdr:oneCellAnchor>
    <xdr:from>
      <xdr:col>12</xdr:col>
      <xdr:colOff>493745</xdr:colOff>
      <xdr:row>72</xdr:row>
      <xdr:rowOff>31101</xdr:rowOff>
    </xdr:from>
    <xdr:ext cx="1093313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15A0A4-1FDE-4DDB-B381-F3D9746195DF}"/>
            </a:ext>
          </a:extLst>
        </xdr:cNvPr>
        <xdr:cNvSpPr txBox="1"/>
      </xdr:nvSpPr>
      <xdr:spPr>
        <a:xfrm>
          <a:off x="10735025" y="14295741"/>
          <a:ext cx="1093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(122,14;313,93)</a:t>
          </a:r>
          <a:endParaRPr lang="ru-BY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278509</xdr:colOff>
      <xdr:row>9</xdr:row>
      <xdr:rowOff>11141</xdr:rowOff>
    </xdr:from>
    <xdr:ext cx="6845553" cy="3388078"/>
    <xdr:pic>
      <xdr:nvPicPr>
        <xdr:cNvPr id="2" name="Рисунок 1">
          <a:extLst>
            <a:ext uri="{FF2B5EF4-FFF2-40B4-BE49-F238E27FC236}">
              <a16:creationId xmlns:a16="http://schemas.microsoft.com/office/drawing/2014/main" id="{58DFB247-2E09-406D-A7D6-0F25B9F9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409" y="1657061"/>
          <a:ext cx="6845553" cy="338807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1225215</xdr:colOff>
      <xdr:row>13</xdr:row>
      <xdr:rowOff>83354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7A000D-0521-4F6D-BD53-2822D9699BAE}"/>
            </a:ext>
          </a:extLst>
        </xdr:cNvPr>
        <xdr:cNvSpPr txBox="1"/>
      </xdr:nvSpPr>
      <xdr:spPr>
        <a:xfrm>
          <a:off x="1202355" y="24607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endParaRPr lang="ru-RU" sz="1100"/>
        </a:p>
      </xdr:txBody>
    </xdr:sp>
    <xdr:clientData/>
  </xdr:oneCellAnchor>
  <xdr:oneCellAnchor>
    <xdr:from>
      <xdr:col>5</xdr:col>
      <xdr:colOff>0</xdr:colOff>
      <xdr:row>9</xdr:row>
      <xdr:rowOff>0</xdr:rowOff>
    </xdr:from>
    <xdr:ext cx="6764143" cy="3194191"/>
    <xdr:pic>
      <xdr:nvPicPr>
        <xdr:cNvPr id="3" name="Рисунок 2">
          <a:extLst>
            <a:ext uri="{FF2B5EF4-FFF2-40B4-BE49-F238E27FC236}">
              <a16:creationId xmlns:a16="http://schemas.microsoft.com/office/drawing/2014/main" id="{6685B60C-3742-4EFD-B504-55852FEFD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645920"/>
          <a:ext cx="6764143" cy="31941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26397</xdr:colOff>
      <xdr:row>15</xdr:row>
      <xdr:rowOff>23991</xdr:rowOff>
    </xdr:from>
    <xdr:ext cx="2397708" cy="6567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A54D31-6994-466E-9A93-7C6AE850F85F}"/>
                </a:ext>
              </a:extLst>
            </xdr:cNvPr>
            <xdr:cNvSpPr txBox="1"/>
          </xdr:nvSpPr>
          <xdr:spPr>
            <a:xfrm>
              <a:off x="62837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grow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=0</m:t>
                                </m:r>
                              </m:sub>
                              <m:sup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ru-RU" sz="11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!</m:t>
                                    </m:r>
                                  </m:den>
                                </m:f>
                              </m:e>
                            </m:nary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!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𝜌</m:t>
                                    </m:r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𝜌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A54D31-6994-466E-9A93-7C6AE850F85F}"/>
                </a:ext>
              </a:extLst>
            </xdr:cNvPr>
            <xdr:cNvSpPr txBox="1"/>
          </xdr:nvSpPr>
          <xdr:spPr>
            <a:xfrm>
              <a:off x="62837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[∑129_(</a:t>
              </a:r>
              <a:r>
                <a:rPr lang="ru-RU" sz="1100" i="0">
                  <a:latin typeface="Cambria Math" panose="02040503050406030204" pitchFamily="18" charset="0"/>
                </a:rPr>
                <a:t>𝑖=0)^𝑚▒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𝑖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 i="0">
                  <a:latin typeface="Cambria Math" panose="02040503050406030204" pitchFamily="18" charset="0"/>
                </a:rPr>
                <a:t>𝑖!+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ru-RU" sz="1100" i="0">
                  <a:latin typeface="Cambria Math" panose="02040503050406030204" pitchFamily="18" charset="0"/>
                </a:rPr>
                <a:t>𝑚+1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𝑚⋅𝑚!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𝑛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)]^(</a:t>
              </a:r>
              <a:r>
                <a:rPr lang="ru-RU" sz="1100" i="0">
                  <a:latin typeface="Cambria Math" panose="02040503050406030204" pitchFamily="18" charset="0"/>
                </a:rPr>
                <a:t>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9</xdr:row>
      <xdr:rowOff>0</xdr:rowOff>
    </xdr:from>
    <xdr:ext cx="6830593" cy="3388448"/>
    <xdr:pic>
      <xdr:nvPicPr>
        <xdr:cNvPr id="3" name="Рисунок 2">
          <a:extLst>
            <a:ext uri="{FF2B5EF4-FFF2-40B4-BE49-F238E27FC236}">
              <a16:creationId xmlns:a16="http://schemas.microsoft.com/office/drawing/2014/main" id="{BD9196F7-3D6E-4401-B795-93BA63942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3860" y="1645920"/>
          <a:ext cx="6830593" cy="338844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314960</xdr:colOff>
      <xdr:row>5</xdr:row>
      <xdr:rowOff>63499</xdr:rowOff>
    </xdr:from>
    <xdr:ext cx="5623560" cy="2554547"/>
    <xdr:pic>
      <xdr:nvPicPr>
        <xdr:cNvPr id="2" name="Рисунок 1">
          <a:extLst>
            <a:ext uri="{FF2B5EF4-FFF2-40B4-BE49-F238E27FC236}">
              <a16:creationId xmlns:a16="http://schemas.microsoft.com/office/drawing/2014/main" id="{A71B8038-B999-40C2-A79B-45AAC20EF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880" y="977899"/>
          <a:ext cx="5623560" cy="255454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26397</xdr:colOff>
      <xdr:row>15</xdr:row>
      <xdr:rowOff>23991</xdr:rowOff>
    </xdr:from>
    <xdr:ext cx="2397708" cy="6567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73710D5-2E73-4908-BE24-7483F7B95B17}"/>
                </a:ext>
              </a:extLst>
            </xdr:cNvPr>
            <xdr:cNvSpPr txBox="1"/>
          </xdr:nvSpPr>
          <xdr:spPr>
            <a:xfrm>
              <a:off x="81887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limLoc m:val="undOvr"/>
                                <m:grow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=0</m:t>
                                </m:r>
                              </m:sub>
                              <m:sup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ru-RU" sz="1100" i="1">
                                                <a:solidFill>
                                                  <a:srgbClr val="836967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𝑚</m:t>
                                            </m:r>
                                            <m:r>
                                              <a:rPr lang="ru-RU" sz="1100" i="1">
                                                <a:latin typeface="Cambria Math" panose="02040503050406030204" pitchFamily="18" charset="0"/>
                                              </a:rPr>
                                              <m:t>𝜌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!</m:t>
                                    </m:r>
                                  </m:den>
                                </m:f>
                              </m:e>
                            </m:nary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ru-RU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𝑚</m:t>
                                        </m:r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𝜌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!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lang="ru-RU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𝜌</m:t>
                                    </m:r>
                                  </m:e>
                                  <m:sup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𝜌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73710D5-2E73-4908-BE24-7483F7B95B17}"/>
                </a:ext>
              </a:extLst>
            </xdr:cNvPr>
            <xdr:cNvSpPr txBox="1"/>
          </xdr:nvSpPr>
          <xdr:spPr>
            <a:xfrm>
              <a:off x="818877" y="2767191"/>
              <a:ext cx="2397708" cy="656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ctr"/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[∑129_(</a:t>
              </a:r>
              <a:r>
                <a:rPr lang="ru-RU" sz="1100" i="0">
                  <a:latin typeface="Cambria Math" panose="02040503050406030204" pitchFamily="18" charset="0"/>
                </a:rPr>
                <a:t>𝑖=0)^𝑚▒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𝑖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ru-RU" sz="1100" i="0">
                  <a:latin typeface="Cambria Math" panose="02040503050406030204" pitchFamily="18" charset="0"/>
                </a:rPr>
                <a:t>𝑖!+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𝑚𝜌)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ru-RU" sz="1100" i="0">
                  <a:latin typeface="Cambria Math" panose="02040503050406030204" pitchFamily="18" charset="0"/>
                </a:rPr>
                <a:t>𝑚+1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𝑚⋅𝑚!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ru-RU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𝑛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ru-RU" sz="1100" i="0">
                  <a:latin typeface="Cambria Math" panose="02040503050406030204" pitchFamily="18" charset="0"/>
                </a:rPr>
                <a:t>1−𝜌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)]^(</a:t>
              </a:r>
              <a:r>
                <a:rPr lang="ru-RU" sz="1100" i="0">
                  <a:latin typeface="Cambria Math" panose="02040503050406030204" pitchFamily="18" charset="0"/>
                </a:rPr>
                <a:t>−1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3</xdr:row>
      <xdr:rowOff>0</xdr:rowOff>
    </xdr:from>
    <xdr:ext cx="5630141" cy="2560115"/>
    <xdr:pic>
      <xdr:nvPicPr>
        <xdr:cNvPr id="3" name="Рисунок 2">
          <a:extLst>
            <a:ext uri="{FF2B5EF4-FFF2-40B4-BE49-F238E27FC236}">
              <a16:creationId xmlns:a16="http://schemas.microsoft.com/office/drawing/2014/main" id="{18504BCF-A4ED-4DED-A4B1-9E91C43D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548640"/>
          <a:ext cx="5630141" cy="256011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1225215</xdr:colOff>
      <xdr:row>13</xdr:row>
      <xdr:rowOff>83354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D3DAE4-2F67-428E-A4B5-9142901DB1DC}"/>
            </a:ext>
          </a:extLst>
        </xdr:cNvPr>
        <xdr:cNvSpPr txBox="1"/>
      </xdr:nvSpPr>
      <xdr:spPr>
        <a:xfrm>
          <a:off x="1583355" y="24607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0</xdr:rowOff>
    </xdr:from>
    <xdr:ext cx="5593927" cy="2507134"/>
    <xdr:pic>
      <xdr:nvPicPr>
        <xdr:cNvPr id="3" name="Рисунок 2">
          <a:extLst>
            <a:ext uri="{FF2B5EF4-FFF2-40B4-BE49-F238E27FC236}">
              <a16:creationId xmlns:a16="http://schemas.microsoft.com/office/drawing/2014/main" id="{20989829-04B3-4681-9F46-7E831EBB9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" y="365760"/>
          <a:ext cx="5593927" cy="25071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FAED-5B95-47A4-B657-563138698D01}">
  <dimension ref="A1:AA143"/>
  <sheetViews>
    <sheetView zoomScale="63" zoomScaleNormal="100" workbookViewId="0">
      <selection activeCell="L34" sqref="L34"/>
    </sheetView>
  </sheetViews>
  <sheetFormatPr defaultColWidth="8.77734375" defaultRowHeight="14.4" x14ac:dyDescent="0.3"/>
  <cols>
    <col min="1" max="1" width="15.77734375" bestFit="1" customWidth="1"/>
    <col min="2" max="3" width="22" customWidth="1"/>
    <col min="4" max="4" width="10.6640625" customWidth="1"/>
    <col min="5" max="5" width="13.33203125" bestFit="1" customWidth="1"/>
    <col min="6" max="6" width="17.77734375" customWidth="1"/>
    <col min="7" max="7" width="9.109375" bestFit="1" customWidth="1"/>
    <col min="8" max="8" width="9.44140625" customWidth="1"/>
    <col min="9" max="9" width="16.33203125" bestFit="1" customWidth="1"/>
    <col min="14" max="14" width="13.77734375" bestFit="1" customWidth="1"/>
    <col min="15" max="15" width="15.5546875" bestFit="1" customWidth="1"/>
    <col min="16" max="16" width="17.21875" bestFit="1" customWidth="1"/>
    <col min="17" max="17" width="6.5546875" customWidth="1"/>
    <col min="18" max="18" width="11.5546875" bestFit="1" customWidth="1"/>
  </cols>
  <sheetData>
    <row r="1" spans="1:9" ht="14.55" customHeight="1" x14ac:dyDescent="0.3">
      <c r="A1" s="104" t="s">
        <v>5</v>
      </c>
      <c r="B1" s="104"/>
      <c r="C1" s="104"/>
      <c r="D1" s="104"/>
      <c r="E1" s="104"/>
      <c r="F1" s="4"/>
      <c r="G1" s="4"/>
      <c r="H1" s="4"/>
      <c r="I1" s="4"/>
    </row>
    <row r="2" spans="1:9" ht="14.55" customHeight="1" x14ac:dyDescent="0.3">
      <c r="A2" s="104"/>
      <c r="B2" s="104"/>
      <c r="C2" s="104"/>
      <c r="D2" s="104"/>
      <c r="E2" s="104"/>
      <c r="F2" s="4"/>
      <c r="G2" s="4"/>
      <c r="H2" s="4"/>
      <c r="I2" s="4"/>
    </row>
    <row r="3" spans="1:9" ht="14.55" customHeight="1" x14ac:dyDescent="0.3">
      <c r="A3" s="104"/>
      <c r="B3" s="104"/>
      <c r="C3" s="104"/>
      <c r="D3" s="104"/>
      <c r="E3" s="104"/>
      <c r="F3" s="4"/>
      <c r="G3" s="4"/>
      <c r="H3" s="4"/>
      <c r="I3" s="4"/>
    </row>
    <row r="4" spans="1:9" ht="14.55" customHeight="1" x14ac:dyDescent="0.3">
      <c r="A4" s="104"/>
      <c r="B4" s="104"/>
      <c r="C4" s="104"/>
      <c r="D4" s="104"/>
      <c r="E4" s="104"/>
      <c r="F4" s="4"/>
      <c r="G4" s="4"/>
      <c r="H4" s="4"/>
      <c r="I4" s="4"/>
    </row>
    <row r="5" spans="1:9" ht="14.55" customHeight="1" x14ac:dyDescent="0.3">
      <c r="A5" s="104"/>
      <c r="B5" s="104"/>
      <c r="C5" s="104"/>
      <c r="D5" s="104"/>
      <c r="E5" s="104"/>
      <c r="F5" s="4"/>
      <c r="G5" s="4"/>
      <c r="H5" s="4"/>
      <c r="I5" s="4"/>
    </row>
    <row r="6" spans="1:9" ht="18" x14ac:dyDescent="0.3">
      <c r="A6" s="104"/>
      <c r="B6" s="104"/>
      <c r="C6" s="104"/>
      <c r="D6" s="104"/>
      <c r="E6" s="104"/>
      <c r="F6" s="4"/>
      <c r="G6" s="4"/>
      <c r="H6" s="4"/>
      <c r="I6" s="4"/>
    </row>
    <row r="7" spans="1:9" ht="18" x14ac:dyDescent="0.3">
      <c r="A7" s="104"/>
      <c r="B7" s="104"/>
      <c r="C7" s="104"/>
      <c r="D7" s="104"/>
      <c r="E7" s="104"/>
      <c r="F7" s="4"/>
      <c r="G7" s="4"/>
      <c r="H7" s="4"/>
      <c r="I7" s="4"/>
    </row>
    <row r="8" spans="1:9" ht="18" x14ac:dyDescent="0.3">
      <c r="A8" s="104"/>
      <c r="B8" s="104"/>
      <c r="C8" s="104"/>
      <c r="D8" s="104"/>
      <c r="E8" s="104"/>
      <c r="F8" s="4"/>
      <c r="G8" s="4"/>
      <c r="H8" s="4"/>
      <c r="I8" s="4"/>
    </row>
    <row r="9" spans="1:9" ht="18" x14ac:dyDescent="0.3">
      <c r="A9" s="104"/>
      <c r="B9" s="104"/>
      <c r="C9" s="104"/>
      <c r="D9" s="104"/>
      <c r="E9" s="104"/>
      <c r="F9" s="4"/>
      <c r="G9" s="4"/>
      <c r="H9" s="4"/>
      <c r="I9" s="4"/>
    </row>
    <row r="10" spans="1:9" ht="14.55" customHeight="1" x14ac:dyDescent="0.3">
      <c r="A10" s="4"/>
      <c r="B10" s="4"/>
      <c r="C10" s="4"/>
      <c r="D10" s="4"/>
      <c r="E10" s="4"/>
      <c r="F10" s="4"/>
      <c r="G10" s="4"/>
      <c r="H10" s="4"/>
      <c r="I10" s="4"/>
    </row>
    <row r="11" spans="1:9" ht="14.55" customHeight="1" thickBot="1" x14ac:dyDescent="0.35">
      <c r="A11" s="4"/>
      <c r="B11" s="4"/>
      <c r="C11" s="4"/>
      <c r="D11" s="4"/>
      <c r="E11" s="4"/>
      <c r="F11" s="4"/>
      <c r="G11" s="4"/>
    </row>
    <row r="12" spans="1:9" ht="29.4" customHeight="1" thickBot="1" x14ac:dyDescent="0.35">
      <c r="A12" s="125" t="s">
        <v>0</v>
      </c>
      <c r="B12" s="127" t="s">
        <v>1</v>
      </c>
      <c r="C12" s="128"/>
      <c r="E12" s="105" t="s">
        <v>0</v>
      </c>
      <c r="F12" s="105" t="s">
        <v>19</v>
      </c>
      <c r="H12" s="105" t="s">
        <v>6</v>
      </c>
      <c r="I12" s="105" t="s">
        <v>8</v>
      </c>
    </row>
    <row r="13" spans="1:9" ht="15" thickBot="1" x14ac:dyDescent="0.35">
      <c r="A13" s="126"/>
      <c r="B13" s="1" t="s">
        <v>7</v>
      </c>
      <c r="C13" s="1" t="s">
        <v>9</v>
      </c>
      <c r="E13" s="105"/>
      <c r="F13" s="105"/>
      <c r="H13" s="105"/>
      <c r="I13" s="105"/>
    </row>
    <row r="14" spans="1:9" ht="15" thickBot="1" x14ac:dyDescent="0.35">
      <c r="A14" s="2" t="s">
        <v>2</v>
      </c>
      <c r="B14" s="3">
        <v>12</v>
      </c>
      <c r="C14" s="3">
        <v>5</v>
      </c>
      <c r="E14" s="5" t="s">
        <v>2</v>
      </c>
      <c r="F14" s="5">
        <v>600</v>
      </c>
      <c r="H14" s="7" t="s">
        <v>7</v>
      </c>
      <c r="I14" s="7">
        <v>4</v>
      </c>
    </row>
    <row r="15" spans="1:9" ht="15" thickBot="1" x14ac:dyDescent="0.35">
      <c r="A15" s="2" t="s">
        <v>3</v>
      </c>
      <c r="B15" s="3">
        <v>6</v>
      </c>
      <c r="C15" s="3">
        <v>11</v>
      </c>
      <c r="E15" s="5" t="s">
        <v>3</v>
      </c>
      <c r="F15" s="5">
        <v>480</v>
      </c>
      <c r="H15" s="106" t="s">
        <v>9</v>
      </c>
      <c r="I15" s="123">
        <v>5</v>
      </c>
    </row>
    <row r="16" spans="1:9" ht="19.8" customHeight="1" thickBot="1" x14ac:dyDescent="0.35">
      <c r="A16" s="2" t="s">
        <v>4</v>
      </c>
      <c r="B16" s="3">
        <v>10</v>
      </c>
      <c r="C16" s="3">
        <v>10</v>
      </c>
      <c r="E16" s="5" t="s">
        <v>4</v>
      </c>
      <c r="F16" s="5">
        <v>600</v>
      </c>
      <c r="H16" s="107"/>
      <c r="I16" s="123"/>
    </row>
    <row r="18" spans="1:22" x14ac:dyDescent="0.3">
      <c r="A18" s="6" t="s">
        <v>10</v>
      </c>
      <c r="B18" s="8" t="s">
        <v>7</v>
      </c>
    </row>
    <row r="19" spans="1:22" x14ac:dyDescent="0.3">
      <c r="A19" s="6" t="s">
        <v>11</v>
      </c>
      <c r="B19" s="8" t="s">
        <v>9</v>
      </c>
      <c r="F19" s="10" t="s">
        <v>11</v>
      </c>
    </row>
    <row r="21" spans="1:22" x14ac:dyDescent="0.3">
      <c r="A21" s="124" t="s">
        <v>21</v>
      </c>
      <c r="B21" s="124"/>
      <c r="C21" s="6"/>
    </row>
    <row r="22" spans="1:22" x14ac:dyDescent="0.3">
      <c r="A22" s="6" t="s">
        <v>2</v>
      </c>
      <c r="B22" s="7" t="s">
        <v>12</v>
      </c>
      <c r="C22" s="118" t="s">
        <v>20</v>
      </c>
    </row>
    <row r="23" spans="1:22" x14ac:dyDescent="0.3">
      <c r="A23" s="6" t="s">
        <v>3</v>
      </c>
      <c r="B23" s="7" t="s">
        <v>17</v>
      </c>
      <c r="C23" s="119"/>
    </row>
    <row r="24" spans="1:22" x14ac:dyDescent="0.3">
      <c r="A24" s="6" t="s">
        <v>4</v>
      </c>
      <c r="B24" s="7" t="s">
        <v>18</v>
      </c>
      <c r="C24" s="119"/>
    </row>
    <row r="25" spans="1:22" x14ac:dyDescent="0.3">
      <c r="A25" s="6"/>
      <c r="B25" s="7" t="s">
        <v>13</v>
      </c>
      <c r="C25" s="119"/>
    </row>
    <row r="26" spans="1:22" x14ac:dyDescent="0.3">
      <c r="A26" s="6"/>
      <c r="B26" s="7" t="s">
        <v>14</v>
      </c>
      <c r="C26" s="120"/>
    </row>
    <row r="27" spans="1:22" x14ac:dyDescent="0.3">
      <c r="A27" s="9" t="s">
        <v>15</v>
      </c>
      <c r="B27" s="7" t="s">
        <v>16</v>
      </c>
      <c r="C27" s="6" t="s">
        <v>22</v>
      </c>
    </row>
    <row r="30" spans="1:22" ht="14.4" customHeight="1" x14ac:dyDescent="0.3">
      <c r="A30" s="9" t="s">
        <v>26</v>
      </c>
      <c r="B30" s="11">
        <f>$I$14*0+$I$15*0</f>
        <v>0</v>
      </c>
      <c r="N30" s="103" t="s">
        <v>123</v>
      </c>
      <c r="O30" s="103"/>
      <c r="P30" s="103"/>
      <c r="Q30" s="103"/>
      <c r="R30" s="103"/>
      <c r="S30" s="103"/>
      <c r="T30" s="103"/>
      <c r="U30" s="98"/>
      <c r="V30" s="98"/>
    </row>
    <row r="31" spans="1:22" x14ac:dyDescent="0.3">
      <c r="A31" s="9" t="s">
        <v>23</v>
      </c>
      <c r="B31" s="11">
        <f>$I$14*0+$I$15*43.63636</f>
        <v>218.18180000000001</v>
      </c>
      <c r="N31" s="103"/>
      <c r="O31" s="103"/>
      <c r="P31" s="103"/>
      <c r="Q31" s="103"/>
      <c r="R31" s="103"/>
      <c r="S31" s="103"/>
      <c r="T31" s="103"/>
      <c r="U31" s="98"/>
      <c r="V31" s="98"/>
    </row>
    <row r="32" spans="1:22" x14ac:dyDescent="0.3">
      <c r="A32" s="9" t="s">
        <v>24</v>
      </c>
      <c r="B32" s="12">
        <f>$I$14*36+$I$15*24</f>
        <v>264</v>
      </c>
      <c r="N32" s="103"/>
      <c r="O32" s="103"/>
      <c r="P32" s="103"/>
      <c r="Q32" s="103"/>
      <c r="R32" s="103"/>
      <c r="S32" s="103"/>
      <c r="T32" s="103"/>
      <c r="U32" s="98"/>
      <c r="V32" s="98"/>
    </row>
    <row r="33" spans="1:27" x14ac:dyDescent="0.3">
      <c r="A33" s="9" t="s">
        <v>25</v>
      </c>
      <c r="B33" s="11">
        <f>$I$14*42.85714+$I$15*17.14286</f>
        <v>257.14285999999998</v>
      </c>
      <c r="N33" s="103"/>
      <c r="O33" s="103"/>
      <c r="P33" s="103"/>
      <c r="Q33" s="103"/>
      <c r="R33" s="103"/>
      <c r="S33" s="103"/>
      <c r="T33" s="103"/>
      <c r="U33" s="98"/>
      <c r="V33" s="98"/>
    </row>
    <row r="34" spans="1:27" x14ac:dyDescent="0.3">
      <c r="A34" s="9" t="s">
        <v>27</v>
      </c>
      <c r="B34" s="11">
        <f>$I$14*50+$I$15*0</f>
        <v>200</v>
      </c>
      <c r="L34" t="s">
        <v>10</v>
      </c>
      <c r="N34" s="103"/>
      <c r="O34" s="103"/>
      <c r="P34" s="103"/>
      <c r="Q34" s="103"/>
      <c r="R34" s="103"/>
      <c r="S34" s="103"/>
      <c r="T34" s="103"/>
      <c r="U34" s="98"/>
      <c r="V34" s="98"/>
    </row>
    <row r="35" spans="1:27" x14ac:dyDescent="0.3">
      <c r="N35" s="103"/>
      <c r="O35" s="103"/>
      <c r="P35" s="103"/>
      <c r="Q35" s="103"/>
      <c r="R35" s="103"/>
      <c r="S35" s="103"/>
      <c r="T35" s="103"/>
      <c r="U35" s="98"/>
      <c r="V35" s="98"/>
    </row>
    <row r="36" spans="1:27" x14ac:dyDescent="0.3">
      <c r="N36" s="98"/>
      <c r="O36" s="98"/>
      <c r="P36" s="98"/>
      <c r="Q36" s="98"/>
      <c r="R36" s="98"/>
      <c r="S36" s="98"/>
      <c r="T36" s="98"/>
      <c r="U36" s="98"/>
      <c r="V36" s="98"/>
    </row>
    <row r="37" spans="1:27" x14ac:dyDescent="0.3">
      <c r="N37" s="98"/>
      <c r="O37" s="98"/>
      <c r="P37" s="98"/>
      <c r="Q37" s="98"/>
      <c r="R37" s="98"/>
      <c r="S37" s="98"/>
      <c r="T37" s="98"/>
      <c r="U37" s="98"/>
      <c r="V37" s="98"/>
    </row>
    <row r="38" spans="1:27" x14ac:dyDescent="0.3">
      <c r="A38" s="17" t="s">
        <v>48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40" spans="1:27" x14ac:dyDescent="0.3">
      <c r="A40" s="25" t="s">
        <v>28</v>
      </c>
      <c r="B40" s="25"/>
      <c r="C40" s="25"/>
    </row>
    <row r="41" spans="1:27" x14ac:dyDescent="0.3">
      <c r="A41" s="6" t="s">
        <v>2</v>
      </c>
      <c r="B41" s="18" t="s">
        <v>29</v>
      </c>
      <c r="C41" s="19">
        <v>600</v>
      </c>
      <c r="E41" s="14"/>
      <c r="H41" s="15"/>
    </row>
    <row r="42" spans="1:27" x14ac:dyDescent="0.3">
      <c r="A42" s="6" t="s">
        <v>3</v>
      </c>
      <c r="B42" s="18" t="s">
        <v>49</v>
      </c>
      <c r="C42" s="19">
        <v>480</v>
      </c>
      <c r="H42" s="15"/>
    </row>
    <row r="43" spans="1:27" x14ac:dyDescent="0.3">
      <c r="A43" s="23" t="s">
        <v>4</v>
      </c>
      <c r="B43" s="21" t="s">
        <v>50</v>
      </c>
      <c r="C43" s="19">
        <v>600</v>
      </c>
      <c r="H43" s="15"/>
    </row>
    <row r="44" spans="1:27" x14ac:dyDescent="0.3">
      <c r="A44" s="22"/>
      <c r="B44" s="26" t="s">
        <v>30</v>
      </c>
      <c r="C44" s="26"/>
      <c r="H44" s="15"/>
    </row>
    <row r="45" spans="1:27" x14ac:dyDescent="0.3">
      <c r="A45" s="9" t="s">
        <v>15</v>
      </c>
      <c r="B45" s="26" t="s">
        <v>16</v>
      </c>
      <c r="C45" s="26"/>
      <c r="H45" s="15"/>
    </row>
    <row r="46" spans="1:27" x14ac:dyDescent="0.3">
      <c r="A46" s="13"/>
      <c r="H46" s="15"/>
    </row>
    <row r="47" spans="1:27" x14ac:dyDescent="0.3">
      <c r="A47" s="25" t="s">
        <v>31</v>
      </c>
      <c r="B47" s="25"/>
      <c r="D47" s="25" t="s">
        <v>32</v>
      </c>
      <c r="E47" s="25"/>
      <c r="H47" s="15"/>
    </row>
    <row r="48" spans="1:27" x14ac:dyDescent="0.3">
      <c r="A48" s="18" t="s">
        <v>33</v>
      </c>
      <c r="B48" s="19">
        <v>600</v>
      </c>
      <c r="D48" s="18" t="s">
        <v>34</v>
      </c>
      <c r="E48" s="19">
        <v>0</v>
      </c>
      <c r="H48" s="15"/>
    </row>
    <row r="49" spans="1:14" x14ac:dyDescent="0.3">
      <c r="A49" s="18" t="s">
        <v>35</v>
      </c>
      <c r="B49" s="19">
        <v>480</v>
      </c>
      <c r="D49" s="18" t="s">
        <v>36</v>
      </c>
      <c r="E49" s="19">
        <v>0</v>
      </c>
      <c r="H49" s="15"/>
    </row>
    <row r="50" spans="1:14" x14ac:dyDescent="0.3">
      <c r="A50" s="18" t="s">
        <v>37</v>
      </c>
      <c r="B50" s="19">
        <v>600</v>
      </c>
      <c r="H50" s="15"/>
    </row>
    <row r="51" spans="1:14" x14ac:dyDescent="0.3">
      <c r="A51" s="13"/>
      <c r="H51" s="15"/>
    </row>
    <row r="52" spans="1:14" ht="15" thickBot="1" x14ac:dyDescent="0.35">
      <c r="A52" s="13"/>
      <c r="H52" s="15"/>
    </row>
    <row r="53" spans="1:14" ht="14.4" customHeight="1" x14ac:dyDescent="0.3">
      <c r="A53" s="24" t="s">
        <v>38</v>
      </c>
      <c r="B53" s="24" t="s">
        <v>39</v>
      </c>
      <c r="C53" s="24" t="s">
        <v>40</v>
      </c>
      <c r="D53" s="24" t="s">
        <v>41</v>
      </c>
      <c r="E53" s="24" t="s">
        <v>42</v>
      </c>
      <c r="F53" s="24" t="s">
        <v>43</v>
      </c>
      <c r="G53" s="28" t="s">
        <v>44</v>
      </c>
      <c r="H53" s="15"/>
      <c r="I53" s="108" t="s">
        <v>124</v>
      </c>
      <c r="J53" s="109"/>
      <c r="K53" s="109"/>
      <c r="L53" s="109"/>
      <c r="M53" s="109"/>
      <c r="N53" s="109"/>
    </row>
    <row r="54" spans="1:14" x14ac:dyDescent="0.3">
      <c r="A54" s="20" t="s">
        <v>45</v>
      </c>
      <c r="B54" s="27">
        <v>-4</v>
      </c>
      <c r="C54" s="34">
        <v>-5</v>
      </c>
      <c r="D54" s="27">
        <v>0</v>
      </c>
      <c r="E54" s="27">
        <v>0</v>
      </c>
      <c r="F54" s="27">
        <v>0</v>
      </c>
      <c r="G54" s="29">
        <v>0</v>
      </c>
      <c r="H54" s="15"/>
      <c r="I54" s="108"/>
      <c r="J54" s="109"/>
      <c r="K54" s="109"/>
      <c r="L54" s="109"/>
      <c r="M54" s="109"/>
      <c r="N54" s="109"/>
    </row>
    <row r="55" spans="1:14" x14ac:dyDescent="0.3">
      <c r="A55" s="20" t="s">
        <v>41</v>
      </c>
      <c r="B55" s="27">
        <v>12</v>
      </c>
      <c r="C55" s="32">
        <v>5</v>
      </c>
      <c r="D55" s="27">
        <v>1</v>
      </c>
      <c r="E55" s="27">
        <v>0</v>
      </c>
      <c r="F55" s="27">
        <v>0</v>
      </c>
      <c r="G55" s="29">
        <v>600</v>
      </c>
      <c r="H55" s="15"/>
      <c r="I55" s="108"/>
      <c r="J55" s="109"/>
      <c r="K55" s="109"/>
      <c r="L55" s="109"/>
      <c r="M55" s="109"/>
      <c r="N55" s="109"/>
    </row>
    <row r="56" spans="1:14" x14ac:dyDescent="0.3">
      <c r="A56" s="20" t="s">
        <v>42</v>
      </c>
      <c r="B56" s="32">
        <v>6</v>
      </c>
      <c r="C56" s="31">
        <v>11</v>
      </c>
      <c r="D56" s="32">
        <v>0</v>
      </c>
      <c r="E56" s="32">
        <v>1</v>
      </c>
      <c r="F56" s="32">
        <v>0</v>
      </c>
      <c r="G56" s="33">
        <v>480</v>
      </c>
      <c r="H56" s="15"/>
      <c r="I56" s="108"/>
      <c r="J56" s="109"/>
      <c r="K56" s="109"/>
      <c r="L56" s="109"/>
      <c r="M56" s="109"/>
      <c r="N56" s="109"/>
    </row>
    <row r="57" spans="1:14" ht="15" thickBot="1" x14ac:dyDescent="0.35">
      <c r="A57" s="20" t="s">
        <v>43</v>
      </c>
      <c r="B57" s="27">
        <v>10</v>
      </c>
      <c r="C57" s="32">
        <v>10</v>
      </c>
      <c r="D57" s="27">
        <v>0</v>
      </c>
      <c r="E57" s="27">
        <v>0</v>
      </c>
      <c r="F57" s="27">
        <v>1</v>
      </c>
      <c r="G57" s="30">
        <v>600</v>
      </c>
      <c r="H57" s="15"/>
      <c r="I57" s="108"/>
      <c r="J57" s="109"/>
      <c r="K57" s="109"/>
      <c r="L57" s="109"/>
      <c r="M57" s="109"/>
      <c r="N57" s="109"/>
    </row>
    <row r="58" spans="1:14" x14ac:dyDescent="0.3">
      <c r="A58" s="13"/>
      <c r="H58" s="15"/>
      <c r="I58" s="108"/>
      <c r="J58" s="109"/>
      <c r="K58" s="109"/>
      <c r="L58" s="109"/>
      <c r="M58" s="109"/>
      <c r="N58" s="109"/>
    </row>
    <row r="59" spans="1:14" x14ac:dyDescent="0.3">
      <c r="A59" s="13"/>
      <c r="B59" s="117" t="s">
        <v>46</v>
      </c>
      <c r="C59" s="117"/>
      <c r="F59" t="s">
        <v>107</v>
      </c>
      <c r="H59" s="15"/>
      <c r="I59" s="108"/>
      <c r="J59" s="109"/>
      <c r="K59" s="109"/>
      <c r="L59" s="109"/>
      <c r="M59" s="109"/>
      <c r="N59" s="109"/>
    </row>
    <row r="60" spans="1:14" x14ac:dyDescent="0.3">
      <c r="A60" s="13"/>
      <c r="B60" s="18" t="s">
        <v>51</v>
      </c>
      <c r="C60" s="19">
        <f>G55/C55</f>
        <v>120</v>
      </c>
      <c r="F60" t="s">
        <v>108</v>
      </c>
      <c r="H60" s="15"/>
    </row>
    <row r="61" spans="1:14" x14ac:dyDescent="0.3">
      <c r="A61" s="13"/>
      <c r="B61" s="18" t="s">
        <v>52</v>
      </c>
      <c r="C61" s="46">
        <f>G56/C56</f>
        <v>43.636363636363633</v>
      </c>
      <c r="D61" t="s">
        <v>47</v>
      </c>
      <c r="F61" t="s">
        <v>109</v>
      </c>
      <c r="H61" s="15"/>
    </row>
    <row r="62" spans="1:14" x14ac:dyDescent="0.3">
      <c r="A62" s="13"/>
      <c r="B62" s="18" t="s">
        <v>53</v>
      </c>
      <c r="C62" s="19">
        <f>G57/C57</f>
        <v>60</v>
      </c>
      <c r="F62" t="s">
        <v>110</v>
      </c>
      <c r="H62" s="15"/>
    </row>
    <row r="63" spans="1:14" x14ac:dyDescent="0.3">
      <c r="A63" s="13"/>
      <c r="F63" t="s">
        <v>111</v>
      </c>
      <c r="H63" s="15"/>
    </row>
    <row r="64" spans="1:14" ht="15" thickBot="1" x14ac:dyDescent="0.35">
      <c r="F64" t="s">
        <v>112</v>
      </c>
    </row>
    <row r="65" spans="1:7" x14ac:dyDescent="0.3">
      <c r="A65" s="35" t="s">
        <v>38</v>
      </c>
      <c r="B65" s="36" t="s">
        <v>39</v>
      </c>
      <c r="C65" s="36" t="s">
        <v>40</v>
      </c>
      <c r="D65" s="36" t="s">
        <v>41</v>
      </c>
      <c r="E65" s="36" t="s">
        <v>42</v>
      </c>
      <c r="F65" s="36" t="s">
        <v>43</v>
      </c>
      <c r="G65" s="37" t="s">
        <v>44</v>
      </c>
    </row>
    <row r="66" spans="1:7" x14ac:dyDescent="0.3">
      <c r="A66" s="38" t="s">
        <v>45</v>
      </c>
      <c r="B66" s="40">
        <f>(C56*B54-C54*B56)/C56</f>
        <v>-1.2727272727272727</v>
      </c>
      <c r="C66" s="49">
        <v>0</v>
      </c>
      <c r="D66" s="50">
        <v>0</v>
      </c>
      <c r="E66" s="39">
        <f>(C56*E54-C54*E56)/C56</f>
        <v>0.45454545454545453</v>
      </c>
      <c r="F66" s="50">
        <v>0</v>
      </c>
      <c r="G66" s="47">
        <f>(C56*G54-C54*G56)/C56</f>
        <v>218.18181818181819</v>
      </c>
    </row>
    <row r="67" spans="1:7" x14ac:dyDescent="0.3">
      <c r="A67" s="38" t="s">
        <v>41</v>
      </c>
      <c r="B67" s="41">
        <f>(C56*B55-B56*C55)/C56</f>
        <v>9.2727272727272734</v>
      </c>
      <c r="C67" s="50">
        <v>0</v>
      </c>
      <c r="D67" s="50">
        <v>1</v>
      </c>
      <c r="E67" s="39">
        <f>(C56*E55-C55*E56)/C56</f>
        <v>-0.45454545454545453</v>
      </c>
      <c r="F67" s="50">
        <v>0</v>
      </c>
      <c r="G67" s="47">
        <f>(C56*G55-C55*G56)/C56</f>
        <v>381.81818181818181</v>
      </c>
    </row>
    <row r="68" spans="1:7" x14ac:dyDescent="0.3">
      <c r="A68" s="38" t="s">
        <v>40</v>
      </c>
      <c r="B68" s="41">
        <f>B56/C56</f>
        <v>0.54545454545454541</v>
      </c>
      <c r="C68" s="50">
        <f>C56/C56</f>
        <v>1</v>
      </c>
      <c r="D68" s="50">
        <v>0</v>
      </c>
      <c r="E68" s="39">
        <f>E56/C56</f>
        <v>9.0909090909090912E-2</v>
      </c>
      <c r="F68" s="50">
        <v>0</v>
      </c>
      <c r="G68" s="47">
        <f>G56/C56</f>
        <v>43.636363636363633</v>
      </c>
    </row>
    <row r="69" spans="1:7" ht="15" thickBot="1" x14ac:dyDescent="0.35">
      <c r="A69" s="38" t="s">
        <v>43</v>
      </c>
      <c r="B69" s="45">
        <f>(C56*B57-B56*C57)/C56</f>
        <v>4.5454545454545459</v>
      </c>
      <c r="C69" s="51">
        <v>0</v>
      </c>
      <c r="D69" s="51">
        <v>0</v>
      </c>
      <c r="E69" s="41">
        <f>(C56*E57-C57*E56)/C56</f>
        <v>-0.90909090909090906</v>
      </c>
      <c r="F69" s="51">
        <v>1</v>
      </c>
      <c r="G69" s="48">
        <f>(C56*G57-C57*G56)/C56</f>
        <v>163.63636363636363</v>
      </c>
    </row>
    <row r="71" spans="1:7" x14ac:dyDescent="0.3">
      <c r="B71" s="117" t="s">
        <v>46</v>
      </c>
      <c r="C71" s="117"/>
      <c r="F71" t="s">
        <v>113</v>
      </c>
    </row>
    <row r="72" spans="1:7" x14ac:dyDescent="0.3">
      <c r="B72" s="18" t="s">
        <v>54</v>
      </c>
      <c r="C72" s="42">
        <f>G67/B67</f>
        <v>41.17647058823529</v>
      </c>
      <c r="F72" t="s">
        <v>114</v>
      </c>
    </row>
    <row r="73" spans="1:7" x14ac:dyDescent="0.3">
      <c r="B73" s="18" t="s">
        <v>55</v>
      </c>
      <c r="C73" s="43">
        <f>G68/B68</f>
        <v>80</v>
      </c>
      <c r="F73" t="s">
        <v>115</v>
      </c>
    </row>
    <row r="74" spans="1:7" x14ac:dyDescent="0.3">
      <c r="B74" s="18" t="s">
        <v>56</v>
      </c>
      <c r="C74" s="44">
        <f>G69/B69</f>
        <v>35.999999999999993</v>
      </c>
      <c r="D74" t="s">
        <v>47</v>
      </c>
      <c r="F74" t="s">
        <v>116</v>
      </c>
    </row>
    <row r="75" spans="1:7" x14ac:dyDescent="0.3">
      <c r="F75" t="s">
        <v>117</v>
      </c>
    </row>
    <row r="76" spans="1:7" ht="15" thickBot="1" x14ac:dyDescent="0.35">
      <c r="F76" t="s">
        <v>118</v>
      </c>
    </row>
    <row r="77" spans="1:7" x14ac:dyDescent="0.3">
      <c r="A77" s="35" t="s">
        <v>38</v>
      </c>
      <c r="B77" s="36" t="s">
        <v>39</v>
      </c>
      <c r="C77" s="36" t="s">
        <v>40</v>
      </c>
      <c r="D77" s="36" t="s">
        <v>41</v>
      </c>
      <c r="E77" s="36" t="s">
        <v>42</v>
      </c>
      <c r="F77" s="36" t="s">
        <v>43</v>
      </c>
      <c r="G77" s="37" t="s">
        <v>44</v>
      </c>
    </row>
    <row r="78" spans="1:7" x14ac:dyDescent="0.3">
      <c r="A78" s="38" t="s">
        <v>45</v>
      </c>
      <c r="B78" s="49">
        <v>0</v>
      </c>
      <c r="C78" s="49">
        <v>0</v>
      </c>
      <c r="D78" s="50">
        <v>0</v>
      </c>
      <c r="E78" s="39">
        <f>(B69*E66-B66*E69)/B69</f>
        <v>0.20000000000000004</v>
      </c>
      <c r="F78" s="39">
        <f>(B69*F66-B66*F69)/B69</f>
        <v>0.27999999999999997</v>
      </c>
      <c r="G78" s="47">
        <f>(B69*G66-B66*G69)/B69</f>
        <v>264</v>
      </c>
    </row>
    <row r="79" spans="1:7" x14ac:dyDescent="0.3">
      <c r="A79" s="38" t="s">
        <v>41</v>
      </c>
      <c r="B79" s="50">
        <v>0</v>
      </c>
      <c r="C79" s="50">
        <v>0</v>
      </c>
      <c r="D79" s="50">
        <v>1</v>
      </c>
      <c r="E79" s="39">
        <f>(B69*E67-B67*E69)/B69</f>
        <v>1.4</v>
      </c>
      <c r="F79" s="39">
        <f>(B69*F67-B67*F69)/B69</f>
        <v>-2.04</v>
      </c>
      <c r="G79" s="47">
        <f>(B69*G67-B67*G69)/B69</f>
        <v>48.000000000000007</v>
      </c>
    </row>
    <row r="80" spans="1:7" x14ac:dyDescent="0.3">
      <c r="A80" s="38" t="s">
        <v>40</v>
      </c>
      <c r="B80" s="50">
        <v>0</v>
      </c>
      <c r="C80" s="50">
        <f>C68/C68</f>
        <v>1</v>
      </c>
      <c r="D80" s="50">
        <v>0</v>
      </c>
      <c r="E80" s="39">
        <f>(B69*E68-B68*E69)/B69</f>
        <v>0.2</v>
      </c>
      <c r="F80" s="39">
        <f>(B69*F68-B68*F69)/B69</f>
        <v>-0.11999999999999998</v>
      </c>
      <c r="G80" s="47">
        <f>(B69*G68-B68*G69)/B69</f>
        <v>24</v>
      </c>
    </row>
    <row r="81" spans="1:14" ht="15" thickBot="1" x14ac:dyDescent="0.35">
      <c r="A81" s="38" t="s">
        <v>39</v>
      </c>
      <c r="B81" s="50">
        <f>B69/B69</f>
        <v>1</v>
      </c>
      <c r="C81" s="50">
        <f>C69/B69</f>
        <v>0</v>
      </c>
      <c r="D81" s="50">
        <v>0</v>
      </c>
      <c r="E81" s="39">
        <f>E69/B69</f>
        <v>-0.19999999999999998</v>
      </c>
      <c r="F81" s="39">
        <f>F69/B69</f>
        <v>0.21999999999999997</v>
      </c>
      <c r="G81" s="52">
        <f>G69/B69</f>
        <v>35.999999999999993</v>
      </c>
    </row>
    <row r="82" spans="1:14" x14ac:dyDescent="0.3">
      <c r="I82" s="102" t="s">
        <v>125</v>
      </c>
      <c r="J82" s="102"/>
      <c r="K82" s="102"/>
      <c r="L82" s="102"/>
      <c r="M82" s="102"/>
      <c r="N82" s="102"/>
    </row>
    <row r="83" spans="1:14" ht="15" thickBot="1" x14ac:dyDescent="0.35">
      <c r="F83" t="s">
        <v>119</v>
      </c>
      <c r="I83" s="103" t="s">
        <v>126</v>
      </c>
      <c r="J83" s="103"/>
      <c r="K83" s="103"/>
      <c r="L83" s="103"/>
      <c r="M83" s="103"/>
      <c r="N83" s="103"/>
    </row>
    <row r="84" spans="1:14" x14ac:dyDescent="0.3">
      <c r="B84" s="53" t="s">
        <v>60</v>
      </c>
      <c r="F84" t="s">
        <v>120</v>
      </c>
      <c r="I84" s="103"/>
      <c r="J84" s="103"/>
      <c r="K84" s="103"/>
      <c r="L84" s="103"/>
      <c r="M84" s="103"/>
      <c r="N84" s="103"/>
    </row>
    <row r="85" spans="1:14" x14ac:dyDescent="0.3">
      <c r="B85" s="54" t="s">
        <v>61</v>
      </c>
      <c r="F85" t="s">
        <v>121</v>
      </c>
    </row>
    <row r="86" spans="1:14" x14ac:dyDescent="0.3">
      <c r="B86" s="54" t="s">
        <v>57</v>
      </c>
      <c r="F86" t="s">
        <v>116</v>
      </c>
    </row>
    <row r="87" spans="1:14" x14ac:dyDescent="0.3">
      <c r="B87" s="54" t="s">
        <v>106</v>
      </c>
      <c r="F87" t="s">
        <v>122</v>
      </c>
    </row>
    <row r="88" spans="1:14" x14ac:dyDescent="0.3">
      <c r="B88" s="54" t="s">
        <v>58</v>
      </c>
      <c r="F88" t="s">
        <v>60</v>
      </c>
    </row>
    <row r="89" spans="1:14" ht="15" thickBot="1" x14ac:dyDescent="0.35">
      <c r="B89" s="55" t="s">
        <v>59</v>
      </c>
    </row>
    <row r="92" spans="1:14" ht="15" thickBot="1" x14ac:dyDescent="0.35"/>
    <row r="93" spans="1:14" ht="15" thickBot="1" x14ac:dyDescent="0.35">
      <c r="B93" s="58"/>
      <c r="C93" s="68" t="s">
        <v>39</v>
      </c>
      <c r="D93" s="69" t="s">
        <v>40</v>
      </c>
      <c r="E93" s="70"/>
      <c r="F93" s="70"/>
      <c r="G93" s="71"/>
    </row>
    <row r="94" spans="1:14" x14ac:dyDescent="0.3">
      <c r="B94" s="72" t="s">
        <v>44</v>
      </c>
      <c r="C94" s="59">
        <v>35.999999999999993</v>
      </c>
      <c r="D94" s="60">
        <v>24.000000000000011</v>
      </c>
      <c r="E94" s="60"/>
      <c r="F94" s="60"/>
      <c r="G94" s="61"/>
    </row>
    <row r="95" spans="1:14" x14ac:dyDescent="0.3">
      <c r="B95" s="73" t="s">
        <v>22</v>
      </c>
      <c r="C95" s="62">
        <v>4</v>
      </c>
      <c r="D95" s="63">
        <v>5</v>
      </c>
      <c r="E95" s="63">
        <f>SUMPRODUCT(C95:D95,C94:D94)</f>
        <v>264</v>
      </c>
      <c r="F95" s="63" t="s">
        <v>63</v>
      </c>
      <c r="G95" s="64" t="s">
        <v>62</v>
      </c>
    </row>
    <row r="96" spans="1:14" x14ac:dyDescent="0.3">
      <c r="B96" s="73" t="s">
        <v>20</v>
      </c>
      <c r="C96" s="62">
        <v>12</v>
      </c>
      <c r="D96" s="63">
        <v>5</v>
      </c>
      <c r="E96" s="63">
        <f>SUMPRODUCT(C96:D96,C94:D94)</f>
        <v>552</v>
      </c>
      <c r="F96" s="63" t="s">
        <v>64</v>
      </c>
      <c r="G96" s="64">
        <v>600</v>
      </c>
    </row>
    <row r="97" spans="1:25" x14ac:dyDescent="0.3">
      <c r="B97" s="73"/>
      <c r="C97" s="62">
        <v>6</v>
      </c>
      <c r="D97" s="63">
        <v>11</v>
      </c>
      <c r="E97" s="63">
        <f>SUMPRODUCT(C97:D97,C94:D94)</f>
        <v>480.00000000000006</v>
      </c>
      <c r="F97" s="63" t="s">
        <v>64</v>
      </c>
      <c r="G97" s="64">
        <v>480</v>
      </c>
    </row>
    <row r="98" spans="1:25" ht="15" thickBot="1" x14ac:dyDescent="0.35">
      <c r="B98" s="74"/>
      <c r="C98" s="65">
        <v>10</v>
      </c>
      <c r="D98" s="66">
        <v>10</v>
      </c>
      <c r="E98" s="66">
        <f>SUMPRODUCT(C98:D98,C94:D94)</f>
        <v>600</v>
      </c>
      <c r="F98" s="66" t="s">
        <v>64</v>
      </c>
      <c r="G98" s="67">
        <v>600</v>
      </c>
    </row>
    <row r="101" spans="1:25" ht="23.4" x14ac:dyDescent="0.45">
      <c r="A101" s="76" t="s">
        <v>65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3" spans="1:25" ht="15.6" x14ac:dyDescent="0.3">
      <c r="A103" s="110" t="s">
        <v>90</v>
      </c>
      <c r="B103" s="111"/>
      <c r="C103" s="111"/>
      <c r="D103" s="111"/>
      <c r="E103" s="111"/>
      <c r="F103" s="111"/>
      <c r="G103" s="111"/>
      <c r="H103" s="112"/>
      <c r="N103" s="110" t="s">
        <v>91</v>
      </c>
      <c r="O103" s="111"/>
      <c r="P103" s="111"/>
      <c r="Q103" s="111"/>
      <c r="R103" s="111"/>
      <c r="S103" s="111"/>
      <c r="T103" s="111"/>
      <c r="U103" s="112"/>
    </row>
    <row r="105" spans="1:25" ht="15" thickBot="1" x14ac:dyDescent="0.35">
      <c r="O105" t="s">
        <v>80</v>
      </c>
      <c r="P105" s="77" t="s">
        <v>71</v>
      </c>
      <c r="Q105" s="77">
        <v>670</v>
      </c>
    </row>
    <row r="106" spans="1:25" ht="15" thickBot="1" x14ac:dyDescent="0.35">
      <c r="B106" t="s">
        <v>69</v>
      </c>
      <c r="C106" s="77" t="s">
        <v>71</v>
      </c>
      <c r="D106" s="77">
        <v>640</v>
      </c>
      <c r="R106" s="78" t="s">
        <v>72</v>
      </c>
      <c r="S106" s="79">
        <f>Q105-480</f>
        <v>190</v>
      </c>
    </row>
    <row r="107" spans="1:25" ht="15" thickBot="1" x14ac:dyDescent="0.35">
      <c r="C107" s="78" t="s">
        <v>72</v>
      </c>
      <c r="D107" s="79">
        <f>D106-600</f>
        <v>40</v>
      </c>
      <c r="O107" t="s">
        <v>81</v>
      </c>
      <c r="R107" s="77"/>
      <c r="S107" s="77"/>
    </row>
    <row r="108" spans="1:25" ht="15" thickBot="1" x14ac:dyDescent="0.35">
      <c r="B108" t="s">
        <v>66</v>
      </c>
      <c r="C108" s="77"/>
      <c r="D108" s="77"/>
      <c r="O108" t="s">
        <v>82</v>
      </c>
      <c r="Q108" s="95"/>
      <c r="R108" s="93" t="s">
        <v>84</v>
      </c>
      <c r="S108" s="91">
        <f>G78+E78*S106</f>
        <v>302</v>
      </c>
    </row>
    <row r="109" spans="1:25" x14ac:dyDescent="0.3">
      <c r="B109" t="s">
        <v>67</v>
      </c>
      <c r="C109" s="80" t="s">
        <v>73</v>
      </c>
      <c r="D109" s="81">
        <f>G78+F78*D107</f>
        <v>275.2</v>
      </c>
      <c r="O109" t="s">
        <v>83</v>
      </c>
      <c r="Q109" s="95"/>
      <c r="R109" s="93" t="s">
        <v>85</v>
      </c>
      <c r="S109" s="91">
        <f>G81+E81*S106</f>
        <v>-2.0000000000000071</v>
      </c>
    </row>
    <row r="110" spans="1:25" x14ac:dyDescent="0.3">
      <c r="B110" t="s">
        <v>68</v>
      </c>
      <c r="C110" s="82" t="s">
        <v>74</v>
      </c>
      <c r="D110" s="83">
        <f>G81+F81*D107</f>
        <v>44.79999999999999</v>
      </c>
      <c r="O110" t="s">
        <v>88</v>
      </c>
      <c r="Q110" s="95"/>
      <c r="R110" s="93" t="s">
        <v>86</v>
      </c>
      <c r="S110" s="91">
        <f>G80+E80*S106</f>
        <v>62</v>
      </c>
    </row>
    <row r="111" spans="1:25" x14ac:dyDescent="0.3">
      <c r="B111" t="s">
        <v>70</v>
      </c>
      <c r="C111" s="82" t="s">
        <v>75</v>
      </c>
      <c r="D111" s="83">
        <f>G80+F80*D107</f>
        <v>19.200000000000003</v>
      </c>
      <c r="Q111" s="95"/>
      <c r="R111" s="94" t="s">
        <v>87</v>
      </c>
      <c r="S111" s="92">
        <f>G79+E79*S106</f>
        <v>314</v>
      </c>
    </row>
    <row r="112" spans="1:25" ht="15" thickBot="1" x14ac:dyDescent="0.35">
      <c r="C112" s="84" t="s">
        <v>76</v>
      </c>
      <c r="D112" s="85">
        <f>G79+F79*D107</f>
        <v>-33.599999999999987</v>
      </c>
      <c r="P112" s="77"/>
      <c r="Q112" s="77"/>
    </row>
    <row r="113" spans="1:20" ht="15" thickBot="1" x14ac:dyDescent="0.35">
      <c r="C113" s="77"/>
      <c r="D113" s="77"/>
      <c r="P113" s="86" t="s">
        <v>77</v>
      </c>
      <c r="Q113" s="87" t="s">
        <v>78</v>
      </c>
      <c r="R113" s="57">
        <f>480-34.3</f>
        <v>445.7</v>
      </c>
    </row>
    <row r="114" spans="1:20" ht="15" thickBot="1" x14ac:dyDescent="0.35">
      <c r="C114" s="86" t="s">
        <v>77</v>
      </c>
      <c r="D114" s="88" t="s">
        <v>78</v>
      </c>
      <c r="E114" s="90">
        <f>600-163.8</f>
        <v>436.2</v>
      </c>
      <c r="Q114" s="56" t="s">
        <v>79</v>
      </c>
      <c r="R114" s="57">
        <f>480+180</f>
        <v>660</v>
      </c>
    </row>
    <row r="115" spans="1:20" ht="15" thickBot="1" x14ac:dyDescent="0.35">
      <c r="D115" s="89" t="s">
        <v>79</v>
      </c>
      <c r="E115" s="56">
        <f>600+23.4</f>
        <v>623.4</v>
      </c>
    </row>
    <row r="119" spans="1:20" ht="15.6" x14ac:dyDescent="0.3">
      <c r="M119" s="129" t="s">
        <v>99</v>
      </c>
      <c r="N119" s="130"/>
      <c r="O119" s="130"/>
      <c r="P119" s="130"/>
      <c r="Q119" s="130"/>
      <c r="R119" s="130"/>
      <c r="S119" s="130"/>
      <c r="T119" s="131"/>
    </row>
    <row r="120" spans="1:20" ht="15.6" x14ac:dyDescent="0.3">
      <c r="A120" s="129" t="s">
        <v>89</v>
      </c>
      <c r="B120" s="130"/>
      <c r="C120" s="130"/>
      <c r="D120" s="130"/>
      <c r="E120" s="130"/>
      <c r="F120" s="130"/>
      <c r="G120" s="130"/>
      <c r="H120" s="131"/>
    </row>
    <row r="121" spans="1:20" ht="15" thickBot="1" x14ac:dyDescent="0.35"/>
    <row r="122" spans="1:20" ht="15" thickBot="1" x14ac:dyDescent="0.35">
      <c r="C122">
        <v>7</v>
      </c>
      <c r="N122" s="78" t="s">
        <v>72</v>
      </c>
      <c r="O122" s="79">
        <v>5</v>
      </c>
      <c r="P122" s="77"/>
      <c r="Q122" s="77"/>
      <c r="R122" s="77"/>
    </row>
    <row r="123" spans="1:20" ht="15" thickBot="1" x14ac:dyDescent="0.35">
      <c r="B123" s="78" t="s">
        <v>72</v>
      </c>
      <c r="C123" s="79">
        <v>4</v>
      </c>
      <c r="D123" s="77"/>
      <c r="E123" s="77"/>
      <c r="F123" s="77"/>
      <c r="N123" s="77"/>
      <c r="O123" s="77"/>
      <c r="P123" s="77"/>
      <c r="Q123" s="77"/>
      <c r="R123" s="77"/>
    </row>
    <row r="124" spans="1:20" ht="15" thickBot="1" x14ac:dyDescent="0.35">
      <c r="B124" s="77"/>
      <c r="C124" s="77"/>
      <c r="D124" s="77"/>
      <c r="E124" s="77"/>
      <c r="F124" s="77"/>
      <c r="N124" s="80" t="s">
        <v>100</v>
      </c>
      <c r="O124" s="81">
        <f>0.2+0.2*O122</f>
        <v>1.2</v>
      </c>
      <c r="P124" s="77"/>
      <c r="Q124" s="113" t="s">
        <v>103</v>
      </c>
      <c r="R124" s="114"/>
    </row>
    <row r="125" spans="1:20" ht="15" thickBot="1" x14ac:dyDescent="0.35">
      <c r="B125" s="80" t="s">
        <v>92</v>
      </c>
      <c r="C125" s="81">
        <f>0.2-0.2*C123</f>
        <v>-0.60000000000000009</v>
      </c>
      <c r="D125" s="77"/>
      <c r="E125" s="113" t="s">
        <v>95</v>
      </c>
      <c r="F125" s="114"/>
      <c r="N125" s="82" t="s">
        <v>101</v>
      </c>
      <c r="O125" s="83">
        <f>0.28-0.12*O122</f>
        <v>-0.31999999999999995</v>
      </c>
      <c r="P125" s="77"/>
      <c r="Q125" s="115" t="s">
        <v>104</v>
      </c>
      <c r="R125" s="116"/>
    </row>
    <row r="126" spans="1:20" ht="15" thickBot="1" x14ac:dyDescent="0.35">
      <c r="B126" s="82" t="s">
        <v>93</v>
      </c>
      <c r="C126" s="83">
        <f>0.28+0.22*C123</f>
        <v>1.1600000000000001</v>
      </c>
      <c r="D126" s="77"/>
      <c r="E126" s="115" t="s">
        <v>96</v>
      </c>
      <c r="F126" s="116"/>
      <c r="N126" s="84" t="s">
        <v>102</v>
      </c>
      <c r="O126" s="85">
        <f>264+24*O122</f>
        <v>384</v>
      </c>
      <c r="P126" s="77"/>
      <c r="Q126" s="121" t="s">
        <v>105</v>
      </c>
      <c r="R126" s="122"/>
    </row>
    <row r="127" spans="1:20" ht="15" thickBot="1" x14ac:dyDescent="0.35">
      <c r="B127" s="84" t="s">
        <v>94</v>
      </c>
      <c r="C127" s="85">
        <f>264+36*C123</f>
        <v>408</v>
      </c>
      <c r="D127" s="77"/>
      <c r="E127" s="121" t="s">
        <v>97</v>
      </c>
      <c r="F127" s="122"/>
      <c r="N127" s="77"/>
      <c r="O127" s="77"/>
      <c r="P127" s="77"/>
      <c r="Q127" s="121" t="s">
        <v>98</v>
      </c>
      <c r="R127" s="122"/>
      <c r="S127" s="87" t="s">
        <v>78</v>
      </c>
      <c r="T127" s="57">
        <f>-1+5</f>
        <v>4</v>
      </c>
    </row>
    <row r="128" spans="1:20" ht="15" thickBot="1" x14ac:dyDescent="0.35">
      <c r="B128" s="77"/>
      <c r="C128" s="77"/>
      <c r="D128" s="77"/>
      <c r="E128" s="121" t="s">
        <v>98</v>
      </c>
      <c r="F128" s="122"/>
      <c r="G128" s="87" t="s">
        <v>78</v>
      </c>
      <c r="H128" s="57">
        <f>-1.27+4</f>
        <v>2.73</v>
      </c>
      <c r="S128" s="56" t="s">
        <v>79</v>
      </c>
      <c r="T128" s="57">
        <f>2.33+5</f>
        <v>7.33</v>
      </c>
    </row>
    <row r="129" spans="3:13" ht="15" thickBot="1" x14ac:dyDescent="0.35">
      <c r="G129" s="56" t="s">
        <v>79</v>
      </c>
      <c r="H129" s="57">
        <f>1+4</f>
        <v>5</v>
      </c>
    </row>
    <row r="133" spans="3:13" x14ac:dyDescent="0.3">
      <c r="C133" s="104" t="s">
        <v>127</v>
      </c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</row>
    <row r="134" spans="3:13" x14ac:dyDescent="0.3"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</row>
    <row r="135" spans="3:13" x14ac:dyDescent="0.3"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</row>
    <row r="136" spans="3:13" x14ac:dyDescent="0.3"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</row>
    <row r="137" spans="3:13" x14ac:dyDescent="0.3"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</row>
    <row r="138" spans="3:13" x14ac:dyDescent="0.3"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</row>
    <row r="139" spans="3:13" x14ac:dyDescent="0.3"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</row>
    <row r="140" spans="3:13" x14ac:dyDescent="0.3"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</row>
    <row r="141" spans="3:13" x14ac:dyDescent="0.3"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</row>
    <row r="142" spans="3:13" x14ac:dyDescent="0.3"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</row>
    <row r="143" spans="3:13" x14ac:dyDescent="0.3"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</row>
  </sheetData>
  <mergeCells count="30">
    <mergeCell ref="M119:T119"/>
    <mergeCell ref="Q124:R124"/>
    <mergeCell ref="Q125:R125"/>
    <mergeCell ref="A120:H120"/>
    <mergeCell ref="A1:E9"/>
    <mergeCell ref="E12:E13"/>
    <mergeCell ref="B71:C71"/>
    <mergeCell ref="A103:H103"/>
    <mergeCell ref="B59:C59"/>
    <mergeCell ref="C22:C26"/>
    <mergeCell ref="A21:B21"/>
    <mergeCell ref="A12:A13"/>
    <mergeCell ref="B12:C12"/>
    <mergeCell ref="F12:F13"/>
    <mergeCell ref="I82:N82"/>
    <mergeCell ref="I83:N84"/>
    <mergeCell ref="C133:M143"/>
    <mergeCell ref="H12:H13"/>
    <mergeCell ref="H15:H16"/>
    <mergeCell ref="N30:T35"/>
    <mergeCell ref="I53:N59"/>
    <mergeCell ref="N103:U103"/>
    <mergeCell ref="E125:F125"/>
    <mergeCell ref="E126:F126"/>
    <mergeCell ref="Q126:R126"/>
    <mergeCell ref="I12:I13"/>
    <mergeCell ref="I15:I16"/>
    <mergeCell ref="Q127:R127"/>
    <mergeCell ref="E127:F127"/>
    <mergeCell ref="E128:F1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DC60-488F-47B1-8672-56D33C025268}">
  <dimension ref="A1:CC250"/>
  <sheetViews>
    <sheetView zoomScale="73" workbookViewId="0">
      <selection activeCell="B185" sqref="B185"/>
    </sheetView>
  </sheetViews>
  <sheetFormatPr defaultColWidth="8.77734375" defaultRowHeight="14.4" x14ac:dyDescent="0.3"/>
  <cols>
    <col min="1" max="1" width="21.6640625" customWidth="1"/>
    <col min="2" max="2" width="7.6640625" bestFit="1" customWidth="1"/>
    <col min="4" max="4" width="12" customWidth="1"/>
    <col min="5" max="5" width="11.44140625" customWidth="1"/>
    <col min="6" max="6" width="16.109375" customWidth="1"/>
    <col min="7" max="7" width="11.77734375" customWidth="1"/>
    <col min="8" max="8" width="13.109375" customWidth="1"/>
    <col min="9" max="9" width="10.44140625" customWidth="1"/>
    <col min="12" max="12" width="9" bestFit="1" customWidth="1"/>
    <col min="13" max="13" width="10.109375" bestFit="1" customWidth="1"/>
  </cols>
  <sheetData>
    <row r="1" spans="1:81" ht="28.8" x14ac:dyDescent="0.3">
      <c r="A1" s="96" t="s">
        <v>255</v>
      </c>
      <c r="B1" s="96" t="s">
        <v>254</v>
      </c>
      <c r="C1" s="96" t="s">
        <v>253</v>
      </c>
      <c r="D1" s="96" t="s">
        <v>252</v>
      </c>
      <c r="E1" s="6" t="s">
        <v>251</v>
      </c>
      <c r="F1" s="96" t="s">
        <v>250</v>
      </c>
    </row>
    <row r="2" spans="1:81" x14ac:dyDescent="0.3">
      <c r="A2" s="6" t="s">
        <v>245</v>
      </c>
      <c r="B2" s="7">
        <v>3</v>
      </c>
      <c r="C2" s="7">
        <v>12.5</v>
      </c>
      <c r="D2" s="7">
        <v>100</v>
      </c>
      <c r="E2" s="7" t="s">
        <v>249</v>
      </c>
      <c r="F2" s="7">
        <v>1</v>
      </c>
    </row>
    <row r="3" spans="1:81" ht="28.8" x14ac:dyDescent="0.3">
      <c r="A3" s="96" t="s">
        <v>244</v>
      </c>
      <c r="B3" s="7">
        <v>4</v>
      </c>
      <c r="C3" s="7">
        <v>6</v>
      </c>
      <c r="D3" s="7">
        <v>250</v>
      </c>
      <c r="E3" s="7"/>
      <c r="F3" s="7">
        <v>2</v>
      </c>
    </row>
    <row r="4" spans="1:81" x14ac:dyDescent="0.3">
      <c r="A4" s="6"/>
      <c r="B4" s="7" t="s">
        <v>248</v>
      </c>
      <c r="C4" s="7" t="s">
        <v>247</v>
      </c>
      <c r="D4" s="7"/>
      <c r="E4" s="7"/>
      <c r="F4" s="135"/>
    </row>
    <row r="7" spans="1:81" ht="18" x14ac:dyDescent="0.35">
      <c r="A7" s="207" t="s">
        <v>246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</row>
    <row r="9" spans="1:81" x14ac:dyDescent="0.3">
      <c r="A9" s="6" t="s">
        <v>245</v>
      </c>
      <c r="B9" s="7" t="s">
        <v>39</v>
      </c>
      <c r="D9" s="134" t="s">
        <v>21</v>
      </c>
      <c r="E9" s="134"/>
      <c r="G9" s="117" t="s">
        <v>230</v>
      </c>
      <c r="H9" s="117"/>
    </row>
    <row r="10" spans="1:81" ht="28.8" x14ac:dyDescent="0.3">
      <c r="A10" s="96" t="s">
        <v>244</v>
      </c>
      <c r="B10" s="7" t="s">
        <v>40</v>
      </c>
      <c r="D10" s="133" t="s">
        <v>131</v>
      </c>
      <c r="E10" s="133"/>
      <c r="G10" s="133" t="s">
        <v>229</v>
      </c>
      <c r="H10" s="133"/>
    </row>
    <row r="11" spans="1:81" x14ac:dyDescent="0.3">
      <c r="D11" s="133" t="s">
        <v>130</v>
      </c>
      <c r="E11" s="133"/>
      <c r="G11" s="133" t="s">
        <v>228</v>
      </c>
      <c r="H11" s="133"/>
    </row>
    <row r="12" spans="1:81" x14ac:dyDescent="0.3">
      <c r="D12" s="133" t="s">
        <v>129</v>
      </c>
      <c r="E12" s="133"/>
      <c r="G12" s="133" t="s">
        <v>226</v>
      </c>
      <c r="H12" s="133"/>
    </row>
    <row r="13" spans="1:81" x14ac:dyDescent="0.3">
      <c r="D13" s="133" t="s">
        <v>128</v>
      </c>
      <c r="E13" s="133"/>
      <c r="G13" s="133" t="s">
        <v>225</v>
      </c>
      <c r="H13" s="133"/>
    </row>
    <row r="14" spans="1:81" x14ac:dyDescent="0.3">
      <c r="G14" s="200" t="s">
        <v>212</v>
      </c>
      <c r="H14" s="133"/>
    </row>
    <row r="16" spans="1:81" ht="15.6" x14ac:dyDescent="0.3">
      <c r="A16" s="206" t="s">
        <v>243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</row>
    <row r="18" spans="1:9" x14ac:dyDescent="0.3">
      <c r="A18" s="193" t="s">
        <v>217</v>
      </c>
      <c r="B18" s="191"/>
      <c r="D18" s="193" t="s">
        <v>224</v>
      </c>
      <c r="E18" s="192"/>
      <c r="F18" s="191"/>
    </row>
    <row r="19" spans="1:9" x14ac:dyDescent="0.3">
      <c r="A19" s="190" t="s">
        <v>216</v>
      </c>
      <c r="B19" s="188"/>
      <c r="D19" s="199" t="s">
        <v>222</v>
      </c>
      <c r="E19" s="198"/>
      <c r="F19" s="197"/>
    </row>
    <row r="20" spans="1:9" x14ac:dyDescent="0.3">
      <c r="A20" s="190" t="s">
        <v>214</v>
      </c>
      <c r="B20" s="188"/>
      <c r="D20" s="196" t="s">
        <v>242</v>
      </c>
      <c r="E20" s="196"/>
      <c r="F20" s="196"/>
    </row>
    <row r="21" spans="1:9" x14ac:dyDescent="0.3">
      <c r="A21" s="190" t="s">
        <v>239</v>
      </c>
      <c r="B21" s="188"/>
      <c r="D21" s="184" t="s">
        <v>241</v>
      </c>
      <c r="E21" s="183"/>
      <c r="F21" s="182"/>
    </row>
    <row r="22" spans="1:9" x14ac:dyDescent="0.3">
      <c r="A22" s="187" t="s">
        <v>212</v>
      </c>
      <c r="B22" s="179"/>
    </row>
    <row r="23" spans="1:9" x14ac:dyDescent="0.3">
      <c r="A23" s="195" t="s">
        <v>240</v>
      </c>
      <c r="B23" s="194"/>
    </row>
    <row r="25" spans="1:9" x14ac:dyDescent="0.3">
      <c r="A25" s="117" t="s">
        <v>219</v>
      </c>
      <c r="B25" s="117"/>
      <c r="C25" s="117"/>
      <c r="E25" s="124" t="s">
        <v>31</v>
      </c>
      <c r="F25" s="124"/>
      <c r="H25" s="124" t="s">
        <v>218</v>
      </c>
      <c r="I25" s="124"/>
    </row>
    <row r="26" spans="1:9" x14ac:dyDescent="0.3">
      <c r="A26" s="193" t="s">
        <v>217</v>
      </c>
      <c r="B26" s="192"/>
      <c r="C26" s="191"/>
      <c r="E26" s="7" t="s">
        <v>43</v>
      </c>
      <c r="F26" s="7">
        <v>5000</v>
      </c>
      <c r="H26" s="7" t="s">
        <v>39</v>
      </c>
      <c r="I26" s="7">
        <v>0</v>
      </c>
    </row>
    <row r="27" spans="1:9" x14ac:dyDescent="0.3">
      <c r="A27" s="190" t="s">
        <v>216</v>
      </c>
      <c r="B27" s="189"/>
      <c r="C27" s="188"/>
      <c r="E27" s="7" t="s">
        <v>208</v>
      </c>
      <c r="F27" s="7">
        <v>200</v>
      </c>
      <c r="H27" s="7" t="s">
        <v>40</v>
      </c>
      <c r="I27" s="7">
        <v>0</v>
      </c>
    </row>
    <row r="28" spans="1:9" x14ac:dyDescent="0.3">
      <c r="A28" s="190" t="s">
        <v>214</v>
      </c>
      <c r="B28" s="189"/>
      <c r="C28" s="188"/>
      <c r="E28" s="7" t="s">
        <v>207</v>
      </c>
      <c r="F28" s="7">
        <v>1500</v>
      </c>
      <c r="H28" s="7" t="s">
        <v>41</v>
      </c>
      <c r="I28" s="7">
        <v>0</v>
      </c>
    </row>
    <row r="29" spans="1:9" x14ac:dyDescent="0.3">
      <c r="A29" s="190" t="s">
        <v>239</v>
      </c>
      <c r="B29" s="189"/>
      <c r="C29" s="188"/>
      <c r="H29" s="7" t="s">
        <v>42</v>
      </c>
      <c r="I29" s="7">
        <v>0</v>
      </c>
    </row>
    <row r="30" spans="1:9" x14ac:dyDescent="0.3">
      <c r="A30" s="187" t="s">
        <v>212</v>
      </c>
      <c r="B30" s="186"/>
      <c r="C30" s="185"/>
    </row>
    <row r="31" spans="1:9" x14ac:dyDescent="0.3">
      <c r="A31" s="184" t="s">
        <v>238</v>
      </c>
      <c r="B31" s="183"/>
      <c r="C31" s="182"/>
    </row>
    <row r="33" spans="1:9" x14ac:dyDescent="0.3">
      <c r="A33" s="181" t="s">
        <v>210</v>
      </c>
      <c r="B33" s="180"/>
      <c r="C33" s="180"/>
      <c r="D33" s="180"/>
      <c r="E33" s="180"/>
      <c r="F33" s="180"/>
      <c r="G33" s="179"/>
    </row>
    <row r="35" spans="1:9" x14ac:dyDescent="0.3">
      <c r="A35" s="178" t="s">
        <v>209</v>
      </c>
      <c r="B35" s="178"/>
      <c r="C35" s="178"/>
      <c r="D35" s="178"/>
      <c r="E35" s="178"/>
      <c r="F35" s="178"/>
      <c r="G35" s="178"/>
      <c r="H35" s="178"/>
      <c r="I35" s="178"/>
    </row>
    <row r="36" spans="1:9" x14ac:dyDescent="0.3">
      <c r="A36" s="176" t="s">
        <v>152</v>
      </c>
      <c r="B36" s="132" t="s">
        <v>39</v>
      </c>
      <c r="C36" s="6" t="s">
        <v>40</v>
      </c>
      <c r="D36" s="6" t="s">
        <v>41</v>
      </c>
      <c r="E36" s="6" t="s">
        <v>42</v>
      </c>
      <c r="F36" s="6" t="s">
        <v>43</v>
      </c>
      <c r="G36" s="6" t="s">
        <v>208</v>
      </c>
      <c r="H36" s="6" t="s">
        <v>207</v>
      </c>
      <c r="I36" s="6" t="s">
        <v>44</v>
      </c>
    </row>
    <row r="37" spans="1:9" x14ac:dyDescent="0.3">
      <c r="A37" s="177" t="s">
        <v>150</v>
      </c>
      <c r="B37" s="132">
        <v>100</v>
      </c>
      <c r="C37" s="7">
        <v>250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</row>
    <row r="38" spans="1:9" x14ac:dyDescent="0.3">
      <c r="A38" s="177" t="s">
        <v>205</v>
      </c>
      <c r="B38" s="132">
        <v>-4</v>
      </c>
      <c r="C38" s="7">
        <v>-4</v>
      </c>
      <c r="D38" s="7">
        <v>1</v>
      </c>
      <c r="E38" s="7">
        <v>1</v>
      </c>
      <c r="F38" s="7">
        <v>0</v>
      </c>
      <c r="G38" s="7">
        <v>0</v>
      </c>
      <c r="H38" s="7">
        <v>0</v>
      </c>
      <c r="I38" s="7">
        <v>-1700</v>
      </c>
    </row>
    <row r="39" spans="1:9" x14ac:dyDescent="0.3">
      <c r="A39" s="176" t="s">
        <v>204</v>
      </c>
      <c r="B39" s="132">
        <v>12.5</v>
      </c>
      <c r="C39" s="7">
        <v>6</v>
      </c>
      <c r="D39" s="7">
        <v>0</v>
      </c>
      <c r="E39" s="7">
        <v>0</v>
      </c>
      <c r="F39" s="7">
        <v>1</v>
      </c>
      <c r="G39" s="7">
        <v>0</v>
      </c>
      <c r="H39" s="7">
        <v>0</v>
      </c>
      <c r="I39" s="7">
        <v>5000</v>
      </c>
    </row>
    <row r="40" spans="1:9" x14ac:dyDescent="0.3">
      <c r="A40" s="12" t="s">
        <v>203</v>
      </c>
      <c r="B40" s="205">
        <v>1</v>
      </c>
      <c r="C40" s="132">
        <v>0</v>
      </c>
      <c r="D40" s="132">
        <v>-1</v>
      </c>
      <c r="E40" s="132">
        <v>0</v>
      </c>
      <c r="F40" s="132">
        <v>0</v>
      </c>
      <c r="G40" s="132">
        <v>1</v>
      </c>
      <c r="H40" s="132">
        <v>0</v>
      </c>
      <c r="I40" s="132">
        <v>200</v>
      </c>
    </row>
    <row r="41" spans="1:9" x14ac:dyDescent="0.3">
      <c r="A41" s="176" t="s">
        <v>202</v>
      </c>
      <c r="B41" s="132">
        <v>3</v>
      </c>
      <c r="C41" s="7">
        <v>4</v>
      </c>
      <c r="D41" s="7">
        <v>0</v>
      </c>
      <c r="E41" s="7">
        <v>-1</v>
      </c>
      <c r="F41" s="7">
        <v>0</v>
      </c>
      <c r="G41" s="7">
        <v>0</v>
      </c>
      <c r="H41" s="7">
        <v>1</v>
      </c>
      <c r="I41" s="7">
        <v>1500</v>
      </c>
    </row>
    <row r="43" spans="1:9" x14ac:dyDescent="0.3">
      <c r="A43" s="202" t="s">
        <v>235</v>
      </c>
      <c r="B43" s="201"/>
    </row>
    <row r="44" spans="1:9" x14ac:dyDescent="0.3">
      <c r="A44" s="6" t="s">
        <v>204</v>
      </c>
      <c r="B44" s="6">
        <f>I39/B39</f>
        <v>400</v>
      </c>
    </row>
    <row r="45" spans="1:9" x14ac:dyDescent="0.3">
      <c r="A45" s="132" t="s">
        <v>203</v>
      </c>
      <c r="B45" s="132">
        <f>I40/B40</f>
        <v>200</v>
      </c>
    </row>
    <row r="46" spans="1:9" x14ac:dyDescent="0.3">
      <c r="A46" s="6" t="s">
        <v>202</v>
      </c>
      <c r="B46" s="6">
        <f>I41/B41</f>
        <v>500</v>
      </c>
    </row>
    <row r="48" spans="1:9" x14ac:dyDescent="0.3">
      <c r="A48" s="176" t="s">
        <v>152</v>
      </c>
      <c r="B48" s="6" t="s">
        <v>39</v>
      </c>
      <c r="C48" s="132" t="s">
        <v>40</v>
      </c>
      <c r="D48" s="6" t="s">
        <v>41</v>
      </c>
      <c r="E48" s="6" t="s">
        <v>42</v>
      </c>
      <c r="F48" s="6" t="s">
        <v>43</v>
      </c>
      <c r="G48" s="6" t="s">
        <v>208</v>
      </c>
      <c r="H48" s="6" t="s">
        <v>207</v>
      </c>
      <c r="I48" s="6" t="s">
        <v>44</v>
      </c>
    </row>
    <row r="49" spans="1:9" x14ac:dyDescent="0.3">
      <c r="A49" s="177" t="s">
        <v>150</v>
      </c>
      <c r="B49" s="7">
        <v>0</v>
      </c>
      <c r="C49" s="132">
        <f>(B40*C37-B37*C40)/B40</f>
        <v>250</v>
      </c>
      <c r="D49" s="7">
        <f>(B40*D37-B37*D40)/B40</f>
        <v>100</v>
      </c>
      <c r="E49" s="7">
        <f>($B$40*E37-$B$37*E40)/$B$40</f>
        <v>0</v>
      </c>
      <c r="F49" s="7">
        <f>($B$40*F37-$B$37*F40)/$B$40</f>
        <v>0</v>
      </c>
      <c r="G49" s="7">
        <f>($B$40*G37-$B$37*G40)/$B$40</f>
        <v>-100</v>
      </c>
      <c r="H49" s="7">
        <f>($B$40*H37-$B$37*H40)/$B$40</f>
        <v>0</v>
      </c>
      <c r="I49" s="7">
        <f>($B$40*I37-$B$37*I40)/$B$40</f>
        <v>-20000</v>
      </c>
    </row>
    <row r="50" spans="1:9" x14ac:dyDescent="0.3">
      <c r="A50" s="177" t="s">
        <v>205</v>
      </c>
      <c r="B50" s="7">
        <v>0</v>
      </c>
      <c r="C50" s="132">
        <f>(B40*C38-B38*C40)/B40</f>
        <v>-4</v>
      </c>
      <c r="D50" s="7">
        <f>(B40*D38-B38*D40)/B40</f>
        <v>-3</v>
      </c>
      <c r="E50" s="7">
        <f>($B$40*E38-$B$38*E40)/$B$40</f>
        <v>1</v>
      </c>
      <c r="F50" s="7">
        <f>($B$40*F38-$B$38*F40)/$B$40</f>
        <v>0</v>
      </c>
      <c r="G50" s="7">
        <f>($B$40*G38-$B$38*G40)/$B$40</f>
        <v>4</v>
      </c>
      <c r="H50" s="7">
        <f>($B$40*H38-$B$38*H40)/$B$40</f>
        <v>0</v>
      </c>
      <c r="I50" s="7">
        <f>($B$40*I38-$B$38*I40)/$B$40</f>
        <v>-900</v>
      </c>
    </row>
    <row r="51" spans="1:9" x14ac:dyDescent="0.3">
      <c r="A51" s="176" t="s">
        <v>204</v>
      </c>
      <c r="B51" s="7">
        <v>0</v>
      </c>
      <c r="C51" s="132">
        <f>(B40*C39-B39*C40)/B40</f>
        <v>6</v>
      </c>
      <c r="D51" s="7">
        <f>(B40*D39-B39*D40)/B40</f>
        <v>12.5</v>
      </c>
      <c r="E51" s="7">
        <f>($B$40*E39-$B$39*E40)/$B$40</f>
        <v>0</v>
      </c>
      <c r="F51" s="7">
        <f>($B$40*F39-$B$39*F40)/$B$40</f>
        <v>1</v>
      </c>
      <c r="G51" s="7">
        <f>($B$40*G39-$B$39*G40)/$B$40</f>
        <v>-12.5</v>
      </c>
      <c r="H51" s="7">
        <f>($B$40*H39-$B$39*H40)/$B$40</f>
        <v>0</v>
      </c>
      <c r="I51" s="7">
        <f>($B$40*I39-$B$39*I40)/$B$40</f>
        <v>2500</v>
      </c>
    </row>
    <row r="52" spans="1:9" x14ac:dyDescent="0.3">
      <c r="A52" s="176" t="s">
        <v>10</v>
      </c>
      <c r="B52" s="7">
        <f>B40/B40</f>
        <v>1</v>
      </c>
      <c r="C52" s="132">
        <f>C40/B40</f>
        <v>0</v>
      </c>
      <c r="D52" s="7">
        <f>D40/B40</f>
        <v>-1</v>
      </c>
      <c r="E52" s="7">
        <f>E40/$B$40</f>
        <v>0</v>
      </c>
      <c r="F52" s="7">
        <f>F40/$B$40</f>
        <v>0</v>
      </c>
      <c r="G52" s="7">
        <f>G40/$B$40</f>
        <v>1</v>
      </c>
      <c r="H52" s="7">
        <f>H40/$B$40</f>
        <v>0</v>
      </c>
      <c r="I52" s="7">
        <f>I40/$B$40</f>
        <v>200</v>
      </c>
    </row>
    <row r="53" spans="1:9" x14ac:dyDescent="0.3">
      <c r="A53" s="12" t="s">
        <v>202</v>
      </c>
      <c r="B53" s="132">
        <v>0</v>
      </c>
      <c r="C53" s="205">
        <f>(B40*C41-B41*C40)/B40</f>
        <v>4</v>
      </c>
      <c r="D53" s="132">
        <f>(B40*D41-B41*D40)/B40</f>
        <v>3</v>
      </c>
      <c r="E53" s="132">
        <f>($B$40*E41-$B$41*E40)/$B$40</f>
        <v>-1</v>
      </c>
      <c r="F53" s="132">
        <f>($B$40*F41-$B$41*F40)/$B$40</f>
        <v>0</v>
      </c>
      <c r="G53" s="132">
        <f>($B$40*G41-$B$41*G40)/$B$40</f>
        <v>-3</v>
      </c>
      <c r="H53" s="132">
        <f>($B$40*H41-$B$41*H40)/$B$40</f>
        <v>1</v>
      </c>
      <c r="I53" s="132">
        <f>($B$40*I41-$B$41*I40)/$B$40</f>
        <v>900</v>
      </c>
    </row>
    <row r="55" spans="1:9" x14ac:dyDescent="0.3">
      <c r="A55" s="202" t="s">
        <v>235</v>
      </c>
      <c r="B55" s="201"/>
    </row>
    <row r="56" spans="1:9" x14ac:dyDescent="0.3">
      <c r="A56" s="6" t="s">
        <v>204</v>
      </c>
      <c r="B56" s="6">
        <f>I51/C51</f>
        <v>416.66666666666669</v>
      </c>
    </row>
    <row r="57" spans="1:9" x14ac:dyDescent="0.3">
      <c r="A57" s="132" t="s">
        <v>202</v>
      </c>
      <c r="B57" s="132">
        <f>I53/C53</f>
        <v>225</v>
      </c>
    </row>
    <row r="59" spans="1:9" x14ac:dyDescent="0.3">
      <c r="A59" s="176" t="s">
        <v>152</v>
      </c>
      <c r="B59" s="6" t="s">
        <v>39</v>
      </c>
      <c r="C59" s="6" t="s">
        <v>40</v>
      </c>
      <c r="D59" s="6" t="s">
        <v>41</v>
      </c>
      <c r="E59" s="6" t="s">
        <v>42</v>
      </c>
      <c r="F59" s="6" t="s">
        <v>43</v>
      </c>
      <c r="G59" s="6" t="s">
        <v>208</v>
      </c>
      <c r="H59" s="6" t="s">
        <v>207</v>
      </c>
      <c r="I59" s="6" t="s">
        <v>44</v>
      </c>
    </row>
    <row r="60" spans="1:9" x14ac:dyDescent="0.3">
      <c r="A60" s="177" t="s">
        <v>150</v>
      </c>
      <c r="B60" s="7">
        <f>($C$53*B49-$C$49*B53)/$C$53</f>
        <v>0</v>
      </c>
      <c r="C60" s="7">
        <v>0</v>
      </c>
      <c r="D60" s="7">
        <f>($C$53*D49-$C$49*D53)/$C$53</f>
        <v>-87.5</v>
      </c>
      <c r="E60" s="7">
        <f>($C$53*E49-$C$49*E53)/$C$53</f>
        <v>62.5</v>
      </c>
      <c r="F60" s="7">
        <f>($C$53*F49-$C$49*F53)/$C$53</f>
        <v>0</v>
      </c>
      <c r="G60" s="7">
        <f>($C$53*G49-$C$49*G53)/$C$53</f>
        <v>87.5</v>
      </c>
      <c r="H60" s="7">
        <f>($C$53*H49-$C$49*H53)/$C$53</f>
        <v>-62.5</v>
      </c>
      <c r="I60" s="7">
        <f>($C$53*I49-$C$49*I53)/$C$53</f>
        <v>-76250</v>
      </c>
    </row>
    <row r="61" spans="1:9" x14ac:dyDescent="0.3">
      <c r="A61" s="177" t="s">
        <v>205</v>
      </c>
      <c r="B61" s="7">
        <f>($C$53*B50-C50*$B$53)/$C$53</f>
        <v>0</v>
      </c>
      <c r="C61" s="7">
        <v>0</v>
      </c>
      <c r="D61" s="7">
        <f>($C$53*D50-$C$50*D53)/$C$53</f>
        <v>0</v>
      </c>
      <c r="E61" s="7">
        <f>($C$53*E50-$C$50*E53)/$C$53</f>
        <v>0</v>
      </c>
      <c r="F61" s="7">
        <f>($C$53*F50-$C$50*F53)/$C$53</f>
        <v>0</v>
      </c>
      <c r="G61" s="7">
        <f>($C$53*G50-$C$50*G53)/$C$53</f>
        <v>1</v>
      </c>
      <c r="H61" s="7">
        <f>($C$53*H50-$C$50*H53)/$C$53</f>
        <v>1</v>
      </c>
      <c r="I61" s="7">
        <f>($C$53*I50-$C$50*I53)/$C$53</f>
        <v>0</v>
      </c>
    </row>
    <row r="62" spans="1:9" x14ac:dyDescent="0.3">
      <c r="A62" s="176" t="s">
        <v>204</v>
      </c>
      <c r="B62" s="7">
        <f>($C$53*B51-C51*$B$53)/$C$53</f>
        <v>0</v>
      </c>
      <c r="C62" s="7">
        <v>0</v>
      </c>
      <c r="D62" s="7">
        <f>($C$53*D51-$C$51*D53)/$C$53</f>
        <v>8</v>
      </c>
      <c r="E62" s="7">
        <f>($C$53*E51-$C$51*E53)/$C$53</f>
        <v>1.5</v>
      </c>
      <c r="F62" s="7">
        <f>($C$53*F51-$C$51*F53)/$C$53</f>
        <v>1</v>
      </c>
      <c r="G62" s="7">
        <f>($C$53*G51-$C$51*G53)/$C$53</f>
        <v>-8</v>
      </c>
      <c r="H62" s="7">
        <f>($C$53*H51-$C$51*H53)/$C$53</f>
        <v>-1.5</v>
      </c>
      <c r="I62" s="7">
        <f>($C$53*I51-$C$51*I53)/$C$53</f>
        <v>1150</v>
      </c>
    </row>
    <row r="63" spans="1:9" x14ac:dyDescent="0.3">
      <c r="A63" s="176" t="s">
        <v>10</v>
      </c>
      <c r="B63" s="7">
        <f>($C$53*B52-C52*$B$53)/$C$53</f>
        <v>1</v>
      </c>
      <c r="C63" s="7">
        <v>0</v>
      </c>
      <c r="D63" s="7">
        <f>($C$53*D52-$C$52*D53)/$C$53</f>
        <v>-1</v>
      </c>
      <c r="E63" s="7">
        <f>($C$53*E52-$C$52*E53)/$C$53</f>
        <v>0</v>
      </c>
      <c r="F63" s="7">
        <f>($C$53*F52-$C$52*F53)/$C$53</f>
        <v>0</v>
      </c>
      <c r="G63" s="7">
        <f>($C$53*G52-$C$52*G53)/$C$53</f>
        <v>1</v>
      </c>
      <c r="H63" s="7">
        <f>($C$53*H52-$C$52*H53)/$C$53</f>
        <v>0</v>
      </c>
      <c r="I63" s="7">
        <f>($C$53*I52-$C$52*I53)/$C$53</f>
        <v>200</v>
      </c>
    </row>
    <row r="64" spans="1:9" x14ac:dyDescent="0.3">
      <c r="A64" s="176" t="s">
        <v>11</v>
      </c>
      <c r="B64" s="7">
        <f>B53/$C$53</f>
        <v>0</v>
      </c>
      <c r="C64" s="7">
        <f>C53/$C$53</f>
        <v>1</v>
      </c>
      <c r="D64" s="7">
        <f>D53/$C$53</f>
        <v>0.75</v>
      </c>
      <c r="E64" s="7">
        <f>E53/$C$53</f>
        <v>-0.25</v>
      </c>
      <c r="F64" s="7">
        <f>F53/$C$53</f>
        <v>0</v>
      </c>
      <c r="G64" s="7">
        <f>G53/$C$53</f>
        <v>-0.75</v>
      </c>
      <c r="H64" s="7">
        <f>H53/$C$53</f>
        <v>0.25</v>
      </c>
      <c r="I64" s="7">
        <f>I53/$C$53</f>
        <v>225</v>
      </c>
    </row>
    <row r="66" spans="1:81" x14ac:dyDescent="0.3">
      <c r="A66" s="103" t="s">
        <v>237</v>
      </c>
      <c r="B66" s="103"/>
      <c r="C66" s="103"/>
      <c r="D66" s="103"/>
      <c r="E66" s="103"/>
      <c r="F66" s="103"/>
      <c r="G66" s="103"/>
      <c r="H66" s="103"/>
    </row>
    <row r="67" spans="1:81" x14ac:dyDescent="0.3">
      <c r="A67" s="103"/>
      <c r="B67" s="103"/>
      <c r="C67" s="103"/>
      <c r="D67" s="103"/>
      <c r="E67" s="103"/>
      <c r="F67" s="103"/>
      <c r="G67" s="103"/>
      <c r="H67" s="103"/>
    </row>
    <row r="68" spans="1:81" x14ac:dyDescent="0.3">
      <c r="A68" s="103"/>
      <c r="B68" s="103"/>
      <c r="C68" s="103"/>
      <c r="D68" s="103"/>
      <c r="E68" s="103"/>
      <c r="F68" s="103"/>
      <c r="G68" s="103"/>
      <c r="H68" s="103"/>
    </row>
    <row r="69" spans="1:81" x14ac:dyDescent="0.3">
      <c r="A69" s="103"/>
      <c r="B69" s="103"/>
      <c r="C69" s="103"/>
      <c r="D69" s="103"/>
      <c r="E69" s="103"/>
      <c r="F69" s="103"/>
      <c r="G69" s="103"/>
      <c r="H69" s="103"/>
    </row>
    <row r="71" spans="1:81" x14ac:dyDescent="0.3">
      <c r="A71" s="136" t="s">
        <v>152</v>
      </c>
      <c r="B71" s="136" t="s">
        <v>39</v>
      </c>
      <c r="C71" s="136" t="s">
        <v>40</v>
      </c>
      <c r="D71" s="136" t="s">
        <v>41</v>
      </c>
      <c r="E71" s="136" t="s">
        <v>42</v>
      </c>
      <c r="F71" s="136" t="s">
        <v>43</v>
      </c>
      <c r="G71" s="136" t="s">
        <v>44</v>
      </c>
    </row>
    <row r="72" spans="1:81" x14ac:dyDescent="0.3">
      <c r="A72" s="136" t="s">
        <v>150</v>
      </c>
      <c r="B72" s="135">
        <v>0</v>
      </c>
      <c r="C72" s="135">
        <v>0</v>
      </c>
      <c r="D72" s="135">
        <v>-87.5</v>
      </c>
      <c r="E72" s="135">
        <v>62.5</v>
      </c>
      <c r="F72" s="135">
        <v>0</v>
      </c>
      <c r="G72" s="135">
        <v>-76250</v>
      </c>
    </row>
    <row r="73" spans="1:81" x14ac:dyDescent="0.3">
      <c r="A73" s="136" t="s">
        <v>204</v>
      </c>
      <c r="B73" s="135">
        <v>0</v>
      </c>
      <c r="C73" s="135">
        <v>0</v>
      </c>
      <c r="D73" s="135">
        <v>8</v>
      </c>
      <c r="E73" s="135">
        <v>1.5</v>
      </c>
      <c r="F73" s="135">
        <v>1</v>
      </c>
      <c r="G73" s="135">
        <v>1150</v>
      </c>
    </row>
    <row r="74" spans="1:81" x14ac:dyDescent="0.3">
      <c r="A74" s="136" t="s">
        <v>10</v>
      </c>
      <c r="B74" s="135">
        <v>1</v>
      </c>
      <c r="C74" s="135">
        <v>0</v>
      </c>
      <c r="D74" s="135">
        <v>-1</v>
      </c>
      <c r="E74" s="135">
        <v>0</v>
      </c>
      <c r="F74" s="135">
        <v>0</v>
      </c>
      <c r="G74" s="135">
        <v>200</v>
      </c>
    </row>
    <row r="75" spans="1:81" x14ac:dyDescent="0.3">
      <c r="A75" s="136" t="s">
        <v>11</v>
      </c>
      <c r="B75" s="135">
        <v>0</v>
      </c>
      <c r="C75" s="135">
        <v>1</v>
      </c>
      <c r="D75" s="135">
        <v>0.75</v>
      </c>
      <c r="E75" s="135">
        <v>-0.25</v>
      </c>
      <c r="F75" s="135">
        <v>0</v>
      </c>
      <c r="G75" s="135">
        <v>225</v>
      </c>
    </row>
    <row r="77" spans="1:81" ht="15.6" x14ac:dyDescent="0.3">
      <c r="A77" s="204" t="s">
        <v>236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</row>
    <row r="79" spans="1:81" x14ac:dyDescent="0.3">
      <c r="A79" s="136" t="s">
        <v>152</v>
      </c>
      <c r="B79" s="136" t="s">
        <v>39</v>
      </c>
      <c r="C79" s="136" t="s">
        <v>40</v>
      </c>
      <c r="D79" s="137" t="s">
        <v>41</v>
      </c>
      <c r="E79" s="136" t="s">
        <v>42</v>
      </c>
      <c r="F79" s="136" t="s">
        <v>43</v>
      </c>
      <c r="G79" s="136" t="s">
        <v>44</v>
      </c>
    </row>
    <row r="80" spans="1:81" x14ac:dyDescent="0.3">
      <c r="A80" s="136" t="s">
        <v>150</v>
      </c>
      <c r="B80" s="135">
        <v>0</v>
      </c>
      <c r="C80" s="135">
        <v>0</v>
      </c>
      <c r="D80" s="137">
        <v>-87.5</v>
      </c>
      <c r="E80" s="135">
        <v>62.5</v>
      </c>
      <c r="F80" s="135">
        <v>0</v>
      </c>
      <c r="G80" s="135">
        <v>-76250</v>
      </c>
    </row>
    <row r="81" spans="1:7" x14ac:dyDescent="0.3">
      <c r="A81" s="137" t="s">
        <v>204</v>
      </c>
      <c r="B81" s="137">
        <v>0</v>
      </c>
      <c r="C81" s="137">
        <v>0</v>
      </c>
      <c r="D81" s="203">
        <v>8</v>
      </c>
      <c r="E81" s="137">
        <v>1.5</v>
      </c>
      <c r="F81" s="137">
        <v>1</v>
      </c>
      <c r="G81" s="137">
        <v>1150</v>
      </c>
    </row>
    <row r="82" spans="1:7" x14ac:dyDescent="0.3">
      <c r="A82" s="136" t="s">
        <v>10</v>
      </c>
      <c r="B82" s="135">
        <v>1</v>
      </c>
      <c r="C82" s="135">
        <v>0</v>
      </c>
      <c r="D82" s="137">
        <v>-1</v>
      </c>
      <c r="E82" s="135">
        <v>0</v>
      </c>
      <c r="F82" s="135">
        <v>0</v>
      </c>
      <c r="G82" s="135">
        <v>200</v>
      </c>
    </row>
    <row r="83" spans="1:7" x14ac:dyDescent="0.3">
      <c r="A83" s="136" t="s">
        <v>11</v>
      </c>
      <c r="B83" s="135">
        <v>0</v>
      </c>
      <c r="C83" s="135">
        <v>1</v>
      </c>
      <c r="D83" s="137">
        <v>0.75</v>
      </c>
      <c r="E83" s="135">
        <v>-0.25</v>
      </c>
      <c r="F83" s="135">
        <v>0</v>
      </c>
      <c r="G83" s="135">
        <v>225</v>
      </c>
    </row>
    <row r="85" spans="1:7" x14ac:dyDescent="0.3">
      <c r="A85" s="202" t="s">
        <v>235</v>
      </c>
      <c r="B85" s="201"/>
    </row>
    <row r="86" spans="1:7" x14ac:dyDescent="0.3">
      <c r="A86" s="132" t="s">
        <v>204</v>
      </c>
      <c r="B86" s="132">
        <f>G81/D81</f>
        <v>143.75</v>
      </c>
    </row>
    <row r="87" spans="1:7" x14ac:dyDescent="0.3">
      <c r="A87" s="6" t="s">
        <v>11</v>
      </c>
      <c r="B87" s="6">
        <f>G83/D83</f>
        <v>300</v>
      </c>
    </row>
    <row r="89" spans="1:7" x14ac:dyDescent="0.3">
      <c r="A89" s="136" t="s">
        <v>152</v>
      </c>
      <c r="B89" s="136" t="s">
        <v>39</v>
      </c>
      <c r="C89" s="136" t="s">
        <v>40</v>
      </c>
      <c r="D89" s="136" t="s">
        <v>41</v>
      </c>
      <c r="E89" s="136" t="s">
        <v>42</v>
      </c>
      <c r="F89" s="136" t="s">
        <v>43</v>
      </c>
      <c r="G89" s="136" t="s">
        <v>44</v>
      </c>
    </row>
    <row r="90" spans="1:7" x14ac:dyDescent="0.3">
      <c r="A90" s="136" t="s">
        <v>150</v>
      </c>
      <c r="B90" s="135">
        <f>(D81*B80-D80*B81)/D81</f>
        <v>0</v>
      </c>
      <c r="C90" s="135">
        <f>(D81*C80-D80*C81)/D81</f>
        <v>0</v>
      </c>
      <c r="D90" s="135">
        <v>0</v>
      </c>
      <c r="E90" s="135">
        <f>(D81*E80-D80*E81)/D81</f>
        <v>78.90625</v>
      </c>
      <c r="F90" s="135">
        <f>(D81*F80-D80*F81)/D81</f>
        <v>10.9375</v>
      </c>
      <c r="G90" s="135">
        <f>(D81*G80-D80*G81)/D81</f>
        <v>-63671.875</v>
      </c>
    </row>
    <row r="91" spans="1:7" x14ac:dyDescent="0.3">
      <c r="A91" s="136" t="s">
        <v>148</v>
      </c>
      <c r="B91" s="135">
        <f>B81/$D$81</f>
        <v>0</v>
      </c>
      <c r="C91" s="135">
        <f>C81/$D$81</f>
        <v>0</v>
      </c>
      <c r="D91" s="135">
        <f>D81/$D$81</f>
        <v>1</v>
      </c>
      <c r="E91" s="135">
        <f>E81/$D$81</f>
        <v>0.1875</v>
      </c>
      <c r="F91" s="135">
        <f>F81/$D$81</f>
        <v>0.125</v>
      </c>
      <c r="G91" s="135">
        <f>G81/$D$81</f>
        <v>143.75</v>
      </c>
    </row>
    <row r="92" spans="1:7" x14ac:dyDescent="0.3">
      <c r="A92" s="136" t="s">
        <v>10</v>
      </c>
      <c r="B92" s="135">
        <f>(D81*B82-B81*D82)/D81</f>
        <v>1</v>
      </c>
      <c r="C92" s="135">
        <f>(D81*C82-C81*D82)/D81</f>
        <v>0</v>
      </c>
      <c r="D92" s="135">
        <v>0</v>
      </c>
      <c r="E92" s="135">
        <f>(D81*E82-E81*D82)/D81</f>
        <v>0.1875</v>
      </c>
      <c r="F92" s="135">
        <f>(D81*F82-F81*D82)/D81</f>
        <v>0.125</v>
      </c>
      <c r="G92" s="135">
        <f>(D81*G82-G81*D82)/D81</f>
        <v>343.75</v>
      </c>
    </row>
    <row r="93" spans="1:7" x14ac:dyDescent="0.3">
      <c r="A93" s="136" t="s">
        <v>11</v>
      </c>
      <c r="B93" s="135">
        <f>(D81*B83-B81*D83)/D81</f>
        <v>0</v>
      </c>
      <c r="C93" s="135">
        <f>(D82*C83-C82*D83)/D82</f>
        <v>1</v>
      </c>
      <c r="D93" s="135">
        <v>0</v>
      </c>
      <c r="E93" s="135">
        <f>(D81*E83-E81*D83)/D81</f>
        <v>-0.390625</v>
      </c>
      <c r="F93" s="135">
        <f>(D81*F83-F81*D83)/D81</f>
        <v>-9.375E-2</v>
      </c>
      <c r="G93" s="135">
        <f>(D81*G83-G81*D83)/D81</f>
        <v>117.1875</v>
      </c>
    </row>
    <row r="96" spans="1:7" x14ac:dyDescent="0.3">
      <c r="A96" s="117" t="s">
        <v>234</v>
      </c>
      <c r="B96" s="117"/>
      <c r="C96" s="117"/>
      <c r="D96" s="117"/>
      <c r="E96" s="117"/>
    </row>
    <row r="98" spans="1:81" x14ac:dyDescent="0.3">
      <c r="A98" s="117" t="s">
        <v>233</v>
      </c>
      <c r="B98" s="117"/>
      <c r="C98" s="117"/>
    </row>
    <row r="99" spans="1:81" x14ac:dyDescent="0.3">
      <c r="A99" s="117" t="s">
        <v>232</v>
      </c>
      <c r="B99" s="117"/>
      <c r="C99" s="117"/>
    </row>
    <row r="101" spans="1:81" x14ac:dyDescent="0.3">
      <c r="A101" s="16" t="s">
        <v>231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</row>
    <row r="103" spans="1:81" x14ac:dyDescent="0.3">
      <c r="A103" s="134" t="s">
        <v>21</v>
      </c>
      <c r="B103" s="134"/>
      <c r="D103" s="117" t="s">
        <v>230</v>
      </c>
      <c r="E103" s="117"/>
    </row>
    <row r="104" spans="1:81" x14ac:dyDescent="0.3">
      <c r="A104" s="133" t="s">
        <v>131</v>
      </c>
      <c r="B104" s="133"/>
      <c r="D104" s="133" t="s">
        <v>229</v>
      </c>
      <c r="E104" s="133"/>
    </row>
    <row r="105" spans="1:81" x14ac:dyDescent="0.3">
      <c r="A105" s="133" t="s">
        <v>130</v>
      </c>
      <c r="B105" s="133"/>
      <c r="D105" s="133" t="s">
        <v>228</v>
      </c>
      <c r="E105" s="133"/>
    </row>
    <row r="106" spans="1:81" x14ac:dyDescent="0.3">
      <c r="A106" s="181" t="s">
        <v>227</v>
      </c>
      <c r="B106" s="179"/>
      <c r="D106" s="181" t="s">
        <v>227</v>
      </c>
      <c r="E106" s="179"/>
    </row>
    <row r="107" spans="1:81" x14ac:dyDescent="0.3">
      <c r="A107" s="133" t="s">
        <v>129</v>
      </c>
      <c r="B107" s="133"/>
      <c r="D107" s="181" t="s">
        <v>226</v>
      </c>
      <c r="E107" s="179"/>
    </row>
    <row r="108" spans="1:81" x14ac:dyDescent="0.3">
      <c r="A108" s="133" t="s">
        <v>128</v>
      </c>
      <c r="B108" s="133"/>
      <c r="D108" s="181" t="s">
        <v>225</v>
      </c>
      <c r="E108" s="179"/>
    </row>
    <row r="109" spans="1:81" x14ac:dyDescent="0.3">
      <c r="D109" s="200" t="s">
        <v>212</v>
      </c>
      <c r="E109" s="133"/>
    </row>
    <row r="111" spans="1:81" x14ac:dyDescent="0.3">
      <c r="A111" s="193" t="s">
        <v>217</v>
      </c>
      <c r="B111" s="191"/>
      <c r="D111" s="193" t="s">
        <v>224</v>
      </c>
      <c r="E111" s="192"/>
      <c r="F111" s="191"/>
    </row>
    <row r="112" spans="1:81" x14ac:dyDescent="0.3">
      <c r="A112" s="190" t="s">
        <v>215</v>
      </c>
      <c r="B112" s="188"/>
      <c r="D112" s="190" t="s">
        <v>223</v>
      </c>
      <c r="E112" s="189"/>
      <c r="F112" s="188"/>
    </row>
    <row r="113" spans="1:9" x14ac:dyDescent="0.3">
      <c r="A113" s="190" t="s">
        <v>216</v>
      </c>
      <c r="B113" s="188"/>
      <c r="D113" s="199" t="s">
        <v>222</v>
      </c>
      <c r="E113" s="198"/>
      <c r="F113" s="197"/>
    </row>
    <row r="114" spans="1:9" x14ac:dyDescent="0.3">
      <c r="A114" s="190" t="s">
        <v>214</v>
      </c>
      <c r="B114" s="188"/>
      <c r="D114" s="196" t="s">
        <v>221</v>
      </c>
      <c r="E114" s="196"/>
      <c r="F114" s="196"/>
    </row>
    <row r="115" spans="1:9" x14ac:dyDescent="0.3">
      <c r="A115" s="190" t="s">
        <v>213</v>
      </c>
      <c r="B115" s="188"/>
      <c r="D115" s="184" t="s">
        <v>211</v>
      </c>
      <c r="E115" s="183"/>
      <c r="F115" s="182"/>
    </row>
    <row r="116" spans="1:9" x14ac:dyDescent="0.3">
      <c r="A116" s="187" t="s">
        <v>212</v>
      </c>
      <c r="B116" s="179"/>
    </row>
    <row r="117" spans="1:9" x14ac:dyDescent="0.3">
      <c r="A117" s="195" t="s">
        <v>220</v>
      </c>
      <c r="B117" s="194"/>
    </row>
    <row r="119" spans="1:9" x14ac:dyDescent="0.3">
      <c r="A119" s="117" t="s">
        <v>219</v>
      </c>
      <c r="B119" s="117"/>
      <c r="C119" s="117"/>
      <c r="E119" s="124" t="s">
        <v>31</v>
      </c>
      <c r="F119" s="124"/>
      <c r="H119" s="124" t="s">
        <v>218</v>
      </c>
      <c r="I119" s="124"/>
    </row>
    <row r="120" spans="1:9" x14ac:dyDescent="0.3">
      <c r="A120" s="193" t="s">
        <v>217</v>
      </c>
      <c r="B120" s="192"/>
      <c r="C120" s="191"/>
      <c r="E120" s="7" t="s">
        <v>43</v>
      </c>
      <c r="F120" s="7">
        <v>5000</v>
      </c>
      <c r="H120" s="7" t="s">
        <v>39</v>
      </c>
      <c r="I120" s="7">
        <v>0</v>
      </c>
    </row>
    <row r="121" spans="1:9" x14ac:dyDescent="0.3">
      <c r="A121" s="190" t="s">
        <v>216</v>
      </c>
      <c r="B121" s="189"/>
      <c r="C121" s="188"/>
      <c r="E121" s="7" t="s">
        <v>208</v>
      </c>
      <c r="F121" s="7">
        <v>200</v>
      </c>
      <c r="H121" s="7" t="s">
        <v>40</v>
      </c>
      <c r="I121" s="7">
        <v>0</v>
      </c>
    </row>
    <row r="122" spans="1:9" x14ac:dyDescent="0.3">
      <c r="A122" s="190" t="s">
        <v>215</v>
      </c>
      <c r="B122" s="189"/>
      <c r="C122" s="188"/>
      <c r="E122" s="7" t="s">
        <v>207</v>
      </c>
      <c r="F122" s="7">
        <v>1500</v>
      </c>
      <c r="H122" s="7" t="s">
        <v>41</v>
      </c>
      <c r="I122" s="7">
        <v>0</v>
      </c>
    </row>
    <row r="123" spans="1:9" x14ac:dyDescent="0.3">
      <c r="A123" s="190" t="s">
        <v>214</v>
      </c>
      <c r="B123" s="189"/>
      <c r="C123" s="188"/>
      <c r="E123" s="7" t="s">
        <v>206</v>
      </c>
      <c r="F123" s="7">
        <v>0</v>
      </c>
      <c r="H123" s="7" t="s">
        <v>42</v>
      </c>
      <c r="I123" s="7">
        <v>0</v>
      </c>
    </row>
    <row r="124" spans="1:9" x14ac:dyDescent="0.3">
      <c r="A124" s="190" t="s">
        <v>213</v>
      </c>
      <c r="B124" s="189"/>
      <c r="C124" s="188"/>
    </row>
    <row r="125" spans="1:9" x14ac:dyDescent="0.3">
      <c r="A125" s="187" t="s">
        <v>212</v>
      </c>
      <c r="B125" s="186"/>
      <c r="C125" s="185"/>
    </row>
    <row r="126" spans="1:9" x14ac:dyDescent="0.3">
      <c r="A126" s="184" t="s">
        <v>211</v>
      </c>
      <c r="B126" s="183"/>
      <c r="C126" s="182"/>
    </row>
    <row r="128" spans="1:9" x14ac:dyDescent="0.3">
      <c r="A128" s="181" t="s">
        <v>210</v>
      </c>
      <c r="B128" s="180"/>
      <c r="C128" s="180"/>
      <c r="D128" s="180"/>
      <c r="E128" s="180"/>
      <c r="F128" s="180"/>
      <c r="G128" s="179"/>
    </row>
    <row r="130" spans="1:10" x14ac:dyDescent="0.3">
      <c r="A130" s="178" t="s">
        <v>209</v>
      </c>
      <c r="B130" s="178"/>
      <c r="C130" s="178"/>
      <c r="D130" s="178"/>
      <c r="E130" s="178"/>
      <c r="F130" s="178"/>
      <c r="G130" s="178"/>
      <c r="H130" s="178"/>
      <c r="I130" s="178"/>
      <c r="J130" s="178"/>
    </row>
    <row r="131" spans="1:10" x14ac:dyDescent="0.3">
      <c r="A131" s="176" t="s">
        <v>152</v>
      </c>
      <c r="B131" s="6" t="s">
        <v>39</v>
      </c>
      <c r="C131" s="6" t="s">
        <v>40</v>
      </c>
      <c r="D131" s="6" t="s">
        <v>41</v>
      </c>
      <c r="E131" s="6" t="s">
        <v>42</v>
      </c>
      <c r="F131" s="6" t="s">
        <v>43</v>
      </c>
      <c r="G131" s="6" t="s">
        <v>208</v>
      </c>
      <c r="H131" s="6" t="s">
        <v>207</v>
      </c>
      <c r="I131" s="6" t="s">
        <v>206</v>
      </c>
      <c r="J131" s="6" t="s">
        <v>44</v>
      </c>
    </row>
    <row r="132" spans="1:10" x14ac:dyDescent="0.3">
      <c r="A132" s="177" t="s">
        <v>150</v>
      </c>
      <c r="B132" s="7">
        <v>100</v>
      </c>
      <c r="C132" s="7">
        <v>250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</row>
    <row r="133" spans="1:10" x14ac:dyDescent="0.3">
      <c r="A133" s="177" t="s">
        <v>205</v>
      </c>
      <c r="B133" s="7">
        <v>-6</v>
      </c>
      <c r="C133" s="7">
        <v>-3</v>
      </c>
      <c r="D133" s="7">
        <v>1</v>
      </c>
      <c r="E133" s="7">
        <v>1</v>
      </c>
      <c r="F133" s="7">
        <v>0</v>
      </c>
      <c r="G133" s="7">
        <v>0</v>
      </c>
      <c r="H133" s="7">
        <v>0</v>
      </c>
      <c r="I133" s="7">
        <v>0</v>
      </c>
      <c r="J133" s="7">
        <v>-1700</v>
      </c>
    </row>
    <row r="134" spans="1:10" x14ac:dyDescent="0.3">
      <c r="A134" s="176" t="s">
        <v>204</v>
      </c>
      <c r="B134" s="7">
        <v>12.5</v>
      </c>
      <c r="C134" s="7">
        <v>6</v>
      </c>
      <c r="D134" s="7">
        <v>0</v>
      </c>
      <c r="E134" s="7">
        <v>0</v>
      </c>
      <c r="F134" s="7">
        <v>1</v>
      </c>
      <c r="G134" s="7">
        <v>0</v>
      </c>
      <c r="H134" s="7">
        <v>0</v>
      </c>
      <c r="I134" s="7">
        <v>0</v>
      </c>
      <c r="J134" s="7">
        <v>5000</v>
      </c>
    </row>
    <row r="135" spans="1:10" x14ac:dyDescent="0.3">
      <c r="A135" s="176" t="s">
        <v>203</v>
      </c>
      <c r="B135" s="7">
        <v>1</v>
      </c>
      <c r="C135" s="7">
        <v>0</v>
      </c>
      <c r="D135" s="7">
        <v>-1</v>
      </c>
      <c r="E135" s="7">
        <v>0</v>
      </c>
      <c r="F135" s="7">
        <v>0</v>
      </c>
      <c r="G135" s="7">
        <v>1</v>
      </c>
      <c r="H135" s="7">
        <v>0</v>
      </c>
      <c r="I135" s="7">
        <v>0</v>
      </c>
      <c r="J135" s="7">
        <v>200</v>
      </c>
    </row>
    <row r="136" spans="1:10" x14ac:dyDescent="0.3">
      <c r="A136" s="176" t="s">
        <v>202</v>
      </c>
      <c r="B136" s="7">
        <v>3</v>
      </c>
      <c r="C136" s="7">
        <v>4</v>
      </c>
      <c r="D136" s="7">
        <v>0</v>
      </c>
      <c r="E136" s="7">
        <v>-1</v>
      </c>
      <c r="F136" s="7">
        <v>0</v>
      </c>
      <c r="G136" s="7">
        <v>0</v>
      </c>
      <c r="H136" s="7">
        <v>1</v>
      </c>
      <c r="I136" s="7">
        <v>1</v>
      </c>
      <c r="J136" s="7">
        <v>1500</v>
      </c>
    </row>
    <row r="137" spans="1:10" x14ac:dyDescent="0.3">
      <c r="A137" s="176" t="s">
        <v>201</v>
      </c>
      <c r="B137" s="7">
        <v>2</v>
      </c>
      <c r="C137" s="7">
        <v>-1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1</v>
      </c>
      <c r="J137" s="7">
        <v>0</v>
      </c>
    </row>
    <row r="139" spans="1:10" x14ac:dyDescent="0.3">
      <c r="A139" s="175" t="s">
        <v>200</v>
      </c>
      <c r="B139" s="175"/>
      <c r="C139" s="175"/>
      <c r="D139" s="175"/>
      <c r="E139" s="175"/>
      <c r="F139" s="175"/>
      <c r="G139" s="175"/>
      <c r="H139" s="175"/>
      <c r="I139" s="175"/>
      <c r="J139" s="175"/>
    </row>
    <row r="140" spans="1:10" x14ac:dyDescent="0.3">
      <c r="A140" s="173" t="s">
        <v>152</v>
      </c>
      <c r="B140" s="173" t="s">
        <v>199</v>
      </c>
      <c r="C140" s="173" t="s">
        <v>198</v>
      </c>
      <c r="D140" s="173" t="s">
        <v>197</v>
      </c>
      <c r="E140" s="173" t="s">
        <v>196</v>
      </c>
      <c r="F140" s="173" t="s">
        <v>195</v>
      </c>
      <c r="G140" s="173" t="s">
        <v>194</v>
      </c>
      <c r="H140" s="173" t="s">
        <v>193</v>
      </c>
      <c r="I140" s="173" t="s">
        <v>192</v>
      </c>
      <c r="J140" s="173" t="s">
        <v>191</v>
      </c>
    </row>
    <row r="141" spans="1:10" x14ac:dyDescent="0.3">
      <c r="A141" s="173" t="s">
        <v>190</v>
      </c>
      <c r="B141" s="173" t="s">
        <v>189</v>
      </c>
      <c r="C141" s="173" t="s">
        <v>171</v>
      </c>
      <c r="D141" s="173" t="s">
        <v>171</v>
      </c>
      <c r="E141" s="174" t="s">
        <v>188</v>
      </c>
      <c r="F141" s="174" t="s">
        <v>175</v>
      </c>
      <c r="G141" s="174" t="s">
        <v>171</v>
      </c>
      <c r="H141" s="174" t="s">
        <v>187</v>
      </c>
      <c r="I141" s="174" t="s">
        <v>176</v>
      </c>
      <c r="J141" s="174" t="s">
        <v>186</v>
      </c>
    </row>
    <row r="142" spans="1:10" x14ac:dyDescent="0.3">
      <c r="A142" s="173" t="s">
        <v>185</v>
      </c>
      <c r="B142" s="173" t="s">
        <v>184</v>
      </c>
      <c r="C142" s="173" t="s">
        <v>171</v>
      </c>
      <c r="D142" s="173" t="s">
        <v>175</v>
      </c>
      <c r="E142" s="174" t="s">
        <v>183</v>
      </c>
      <c r="F142" s="174" t="s">
        <v>171</v>
      </c>
      <c r="G142" s="174" t="s">
        <v>171</v>
      </c>
      <c r="H142" s="174" t="s">
        <v>182</v>
      </c>
      <c r="I142" s="174" t="s">
        <v>171</v>
      </c>
      <c r="J142" s="174" t="s">
        <v>176</v>
      </c>
    </row>
    <row r="143" spans="1:10" x14ac:dyDescent="0.3">
      <c r="A143" s="173" t="s">
        <v>181</v>
      </c>
      <c r="B143" s="173" t="s">
        <v>180</v>
      </c>
      <c r="C143" s="173" t="s">
        <v>171</v>
      </c>
      <c r="D143" s="173" t="s">
        <v>171</v>
      </c>
      <c r="E143" s="174">
        <v>24.5</v>
      </c>
      <c r="F143" s="174" t="s">
        <v>171</v>
      </c>
      <c r="G143" s="174" t="s">
        <v>175</v>
      </c>
      <c r="H143" s="174">
        <v>-24.5</v>
      </c>
      <c r="I143" s="174" t="s">
        <v>171</v>
      </c>
      <c r="J143" s="174" t="s">
        <v>179</v>
      </c>
    </row>
    <row r="144" spans="1:10" x14ac:dyDescent="0.3">
      <c r="A144" s="173" t="s">
        <v>178</v>
      </c>
      <c r="B144" s="173" t="s">
        <v>177</v>
      </c>
      <c r="C144" s="173" t="s">
        <v>175</v>
      </c>
      <c r="D144" s="173" t="s">
        <v>171</v>
      </c>
      <c r="E144" s="174" t="s">
        <v>176</v>
      </c>
      <c r="F144" s="174" t="s">
        <v>171</v>
      </c>
      <c r="G144" s="174" t="s">
        <v>171</v>
      </c>
      <c r="H144" s="174" t="s">
        <v>175</v>
      </c>
      <c r="I144" s="174" t="s">
        <v>171</v>
      </c>
      <c r="J144" s="174" t="s">
        <v>171</v>
      </c>
    </row>
    <row r="145" spans="1:10" x14ac:dyDescent="0.3">
      <c r="A145" s="173" t="s">
        <v>174</v>
      </c>
      <c r="B145" s="173" t="s">
        <v>173</v>
      </c>
      <c r="C145" s="173" t="s">
        <v>171</v>
      </c>
      <c r="D145" s="173" t="s">
        <v>171</v>
      </c>
      <c r="E145" s="173" t="s">
        <v>172</v>
      </c>
      <c r="F145" s="173" t="s">
        <v>171</v>
      </c>
      <c r="G145" s="173" t="s">
        <v>171</v>
      </c>
      <c r="H145" s="173" t="s">
        <v>170</v>
      </c>
      <c r="I145" s="173" t="s">
        <v>169</v>
      </c>
      <c r="J145" s="173" t="s">
        <v>168</v>
      </c>
    </row>
    <row r="174" spans="1:81" x14ac:dyDescent="0.3">
      <c r="A174" s="16" t="s">
        <v>167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</row>
    <row r="176" spans="1:81" x14ac:dyDescent="0.3">
      <c r="A176">
        <v>5000</v>
      </c>
    </row>
    <row r="177" spans="1:10" x14ac:dyDescent="0.3">
      <c r="A177" t="s">
        <v>166</v>
      </c>
      <c r="D177" s="166" t="s">
        <v>152</v>
      </c>
      <c r="E177" s="164" t="s">
        <v>39</v>
      </c>
      <c r="F177" s="164" t="s">
        <v>40</v>
      </c>
      <c r="G177" s="164" t="s">
        <v>41</v>
      </c>
      <c r="H177" s="164" t="s">
        <v>42</v>
      </c>
      <c r="I177" s="165" t="s">
        <v>43</v>
      </c>
      <c r="J177" s="164" t="s">
        <v>44</v>
      </c>
    </row>
    <row r="178" spans="1:10" x14ac:dyDescent="0.3">
      <c r="D178" s="160" t="s">
        <v>150</v>
      </c>
      <c r="E178" s="159">
        <v>0</v>
      </c>
      <c r="F178" s="159">
        <v>0</v>
      </c>
      <c r="G178" s="159">
        <v>0</v>
      </c>
      <c r="H178" s="157">
        <v>78.90625</v>
      </c>
      <c r="I178" s="172">
        <v>10.9375</v>
      </c>
      <c r="J178" s="156">
        <v>-63671.875</v>
      </c>
    </row>
    <row r="179" spans="1:10" x14ac:dyDescent="0.3">
      <c r="A179" t="s">
        <v>72</v>
      </c>
      <c r="B179">
        <v>0</v>
      </c>
      <c r="D179" s="160" t="s">
        <v>148</v>
      </c>
      <c r="E179" s="159">
        <v>0</v>
      </c>
      <c r="F179" s="159">
        <v>0</v>
      </c>
      <c r="G179" s="159">
        <v>1</v>
      </c>
      <c r="H179" s="157">
        <v>0.1875</v>
      </c>
      <c r="I179" s="172">
        <v>0.125</v>
      </c>
      <c r="J179" s="156">
        <v>143.75</v>
      </c>
    </row>
    <row r="180" spans="1:10" x14ac:dyDescent="0.3">
      <c r="A180" t="s">
        <v>165</v>
      </c>
      <c r="B180">
        <f>5000+B179</f>
        <v>5000</v>
      </c>
      <c r="D180" s="160" t="s">
        <v>10</v>
      </c>
      <c r="E180" s="159">
        <v>1</v>
      </c>
      <c r="F180" s="159">
        <v>0</v>
      </c>
      <c r="G180" s="159">
        <v>0</v>
      </c>
      <c r="H180" s="157">
        <v>0.1875</v>
      </c>
      <c r="I180" s="172">
        <v>0.125</v>
      </c>
      <c r="J180" s="156">
        <v>343.75</v>
      </c>
    </row>
    <row r="181" spans="1:10" x14ac:dyDescent="0.3">
      <c r="D181" s="160" t="s">
        <v>11</v>
      </c>
      <c r="E181" s="159">
        <v>0</v>
      </c>
      <c r="F181" s="159">
        <v>1</v>
      </c>
      <c r="G181" s="159">
        <v>0</v>
      </c>
      <c r="H181" s="157">
        <v>-0.390625</v>
      </c>
      <c r="I181" s="172">
        <v>-9.375E-2</v>
      </c>
      <c r="J181" s="156">
        <v>117.1875</v>
      </c>
    </row>
    <row r="183" spans="1:10" x14ac:dyDescent="0.3">
      <c r="A183" s="169" t="s">
        <v>164</v>
      </c>
      <c r="B183" s="171">
        <f>344+0.1*B179</f>
        <v>344</v>
      </c>
    </row>
    <row r="184" spans="1:10" x14ac:dyDescent="0.3">
      <c r="A184" s="169" t="s">
        <v>163</v>
      </c>
      <c r="B184">
        <f>117-0.1*B179</f>
        <v>117</v>
      </c>
    </row>
    <row r="185" spans="1:10" x14ac:dyDescent="0.3">
      <c r="A185" s="168" t="s">
        <v>162</v>
      </c>
      <c r="B185">
        <f>144+0.1*B179</f>
        <v>144</v>
      </c>
    </row>
    <row r="186" spans="1:10" x14ac:dyDescent="0.3">
      <c r="A186" s="170" t="s">
        <v>161</v>
      </c>
      <c r="B186">
        <f>-63672+10.9*B179</f>
        <v>-63672</v>
      </c>
    </row>
    <row r="188" spans="1:10" x14ac:dyDescent="0.3">
      <c r="A188" s="169" t="s">
        <v>160</v>
      </c>
    </row>
    <row r="189" spans="1:10" x14ac:dyDescent="0.3">
      <c r="A189" s="169" t="s">
        <v>159</v>
      </c>
    </row>
    <row r="190" spans="1:10" x14ac:dyDescent="0.3">
      <c r="A190" s="168" t="s">
        <v>158</v>
      </c>
    </row>
    <row r="191" spans="1:10" ht="15" thickBot="1" x14ac:dyDescent="0.35">
      <c r="A191" s="154" t="s">
        <v>157</v>
      </c>
      <c r="B191" s="167"/>
    </row>
    <row r="192" spans="1:10" ht="15" thickBot="1" x14ac:dyDescent="0.35">
      <c r="A192" s="153" t="s">
        <v>77</v>
      </c>
      <c r="B192" s="152" t="s">
        <v>78</v>
      </c>
      <c r="C192" s="151">
        <f>-1440+A176</f>
        <v>3560</v>
      </c>
      <c r="E192" t="s">
        <v>156</v>
      </c>
    </row>
    <row r="193" spans="1:81" ht="15" thickBot="1" x14ac:dyDescent="0.35">
      <c r="A193" s="150"/>
      <c r="B193" s="149" t="s">
        <v>79</v>
      </c>
      <c r="C193" s="148">
        <f>1170+A176</f>
        <v>6170</v>
      </c>
    </row>
    <row r="195" spans="1:81" x14ac:dyDescent="0.3">
      <c r="A195" s="16" t="s">
        <v>155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</row>
    <row r="196" spans="1:81" x14ac:dyDescent="0.3">
      <c r="A196">
        <v>1500</v>
      </c>
    </row>
    <row r="197" spans="1:81" x14ac:dyDescent="0.3">
      <c r="A197" t="s">
        <v>72</v>
      </c>
      <c r="B197">
        <v>0</v>
      </c>
    </row>
    <row r="198" spans="1:81" x14ac:dyDescent="0.3">
      <c r="A198" t="s">
        <v>154</v>
      </c>
      <c r="B198">
        <f>1500+B197</f>
        <v>1500</v>
      </c>
    </row>
    <row r="200" spans="1:81" x14ac:dyDescent="0.3">
      <c r="A200" t="s">
        <v>153</v>
      </c>
    </row>
    <row r="201" spans="1:81" x14ac:dyDescent="0.3">
      <c r="D201" s="166" t="s">
        <v>152</v>
      </c>
      <c r="E201" s="164" t="s">
        <v>39</v>
      </c>
      <c r="F201" s="164" t="s">
        <v>40</v>
      </c>
      <c r="G201" s="164" t="s">
        <v>41</v>
      </c>
      <c r="H201" s="165" t="s">
        <v>42</v>
      </c>
      <c r="I201" s="164" t="s">
        <v>43</v>
      </c>
      <c r="J201" s="164" t="s">
        <v>44</v>
      </c>
    </row>
    <row r="202" spans="1:81" x14ac:dyDescent="0.3">
      <c r="A202" s="155" t="s">
        <v>151</v>
      </c>
      <c r="B202" s="163">
        <f>344-0.19*B197</f>
        <v>344</v>
      </c>
      <c r="D202" s="160" t="s">
        <v>150</v>
      </c>
      <c r="E202" s="159">
        <v>0</v>
      </c>
      <c r="F202" s="159">
        <v>0</v>
      </c>
      <c r="G202" s="159">
        <v>0</v>
      </c>
      <c r="H202" s="158">
        <v>78.90625</v>
      </c>
      <c r="I202" s="157">
        <v>10.9375</v>
      </c>
      <c r="J202" s="156">
        <v>-63671.875</v>
      </c>
    </row>
    <row r="203" spans="1:81" x14ac:dyDescent="0.3">
      <c r="A203" s="155" t="s">
        <v>149</v>
      </c>
      <c r="B203" s="161">
        <f>117+0.39*B197</f>
        <v>117</v>
      </c>
      <c r="D203" s="160" t="s">
        <v>148</v>
      </c>
      <c r="E203" s="159">
        <v>0</v>
      </c>
      <c r="F203" s="159">
        <v>0</v>
      </c>
      <c r="G203" s="159">
        <v>1</v>
      </c>
      <c r="H203" s="158">
        <v>0.1875</v>
      </c>
      <c r="I203" s="157">
        <v>0.125</v>
      </c>
      <c r="J203" s="156">
        <v>143.75</v>
      </c>
    </row>
    <row r="204" spans="1:81" x14ac:dyDescent="0.3">
      <c r="A204" s="145" t="s">
        <v>147</v>
      </c>
      <c r="B204" s="161">
        <f>144-0.19*B197</f>
        <v>144</v>
      </c>
      <c r="D204" s="160" t="s">
        <v>10</v>
      </c>
      <c r="E204" s="159">
        <v>1</v>
      </c>
      <c r="F204" s="159">
        <v>0</v>
      </c>
      <c r="G204" s="159">
        <v>0</v>
      </c>
      <c r="H204" s="158">
        <v>0.1875</v>
      </c>
      <c r="I204" s="157">
        <v>0.125</v>
      </c>
      <c r="J204" s="156">
        <v>343.75</v>
      </c>
    </row>
    <row r="205" spans="1:81" x14ac:dyDescent="0.3">
      <c r="A205" s="162" t="s">
        <v>146</v>
      </c>
      <c r="B205" s="161">
        <f>-63672-78.91*B197</f>
        <v>-63672</v>
      </c>
      <c r="D205" s="160" t="s">
        <v>11</v>
      </c>
      <c r="E205" s="159">
        <v>0</v>
      </c>
      <c r="F205" s="159">
        <v>1</v>
      </c>
      <c r="G205" s="159">
        <v>0</v>
      </c>
      <c r="H205" s="158">
        <v>-0.390625</v>
      </c>
      <c r="I205" s="157">
        <v>-9.375E-2</v>
      </c>
      <c r="J205" s="156">
        <v>117.1875</v>
      </c>
    </row>
    <row r="207" spans="1:81" x14ac:dyDescent="0.3">
      <c r="A207" s="155" t="s">
        <v>145</v>
      </c>
    </row>
    <row r="208" spans="1:81" x14ac:dyDescent="0.3">
      <c r="A208" s="155" t="s">
        <v>144</v>
      </c>
    </row>
    <row r="209" spans="1:81" x14ac:dyDescent="0.3">
      <c r="A209" s="145" t="s">
        <v>143</v>
      </c>
    </row>
    <row r="210" spans="1:81" ht="15" thickBot="1" x14ac:dyDescent="0.35">
      <c r="A210" s="154" t="s">
        <v>142</v>
      </c>
    </row>
    <row r="211" spans="1:81" ht="15" thickBot="1" x14ac:dyDescent="0.35">
      <c r="A211" s="153" t="s">
        <v>133</v>
      </c>
      <c r="B211" s="152" t="s">
        <v>78</v>
      </c>
      <c r="C211" s="151">
        <f>-300+A196</f>
        <v>1200</v>
      </c>
    </row>
    <row r="212" spans="1:81" ht="15" thickBot="1" x14ac:dyDescent="0.35">
      <c r="A212" s="150"/>
      <c r="B212" s="149" t="s">
        <v>79</v>
      </c>
      <c r="C212" s="148">
        <f>767+A196</f>
        <v>2267</v>
      </c>
    </row>
    <row r="214" spans="1:81" x14ac:dyDescent="0.3">
      <c r="A214" s="16" t="s">
        <v>141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</row>
    <row r="215" spans="1:81" x14ac:dyDescent="0.3">
      <c r="A215">
        <v>100</v>
      </c>
    </row>
    <row r="216" spans="1:81" x14ac:dyDescent="0.3">
      <c r="A216" t="s">
        <v>72</v>
      </c>
      <c r="B216">
        <v>0</v>
      </c>
    </row>
    <row r="217" spans="1:81" x14ac:dyDescent="0.3">
      <c r="A217" t="s">
        <v>140</v>
      </c>
      <c r="B217">
        <f>100+B216</f>
        <v>100</v>
      </c>
    </row>
    <row r="219" spans="1:81" x14ac:dyDescent="0.3">
      <c r="A219" s="147" t="s">
        <v>139</v>
      </c>
      <c r="B219">
        <f>78.91-0.19*B216</f>
        <v>78.91</v>
      </c>
    </row>
    <row r="220" spans="1:81" x14ac:dyDescent="0.3">
      <c r="A220" s="147" t="s">
        <v>138</v>
      </c>
      <c r="B220">
        <f>10.94-0.13*B216</f>
        <v>10.94</v>
      </c>
    </row>
    <row r="221" spans="1:81" x14ac:dyDescent="0.3">
      <c r="A221" s="146" t="s">
        <v>137</v>
      </c>
      <c r="B221">
        <f>-63672-344*B216</f>
        <v>-63672</v>
      </c>
    </row>
    <row r="223" spans="1:81" x14ac:dyDescent="0.3">
      <c r="A223" s="145" t="s">
        <v>136</v>
      </c>
    </row>
    <row r="224" spans="1:81" x14ac:dyDescent="0.3">
      <c r="A224" s="145" t="s">
        <v>135</v>
      </c>
    </row>
    <row r="225" spans="1:6" x14ac:dyDescent="0.3">
      <c r="A225" s="144" t="s">
        <v>134</v>
      </c>
    </row>
    <row r="226" spans="1:6" ht="15" thickBot="1" x14ac:dyDescent="0.35"/>
    <row r="227" spans="1:6" ht="15" thickBot="1" x14ac:dyDescent="0.35">
      <c r="A227" s="143" t="s">
        <v>133</v>
      </c>
      <c r="B227" s="142" t="s">
        <v>78</v>
      </c>
      <c r="C227" s="141">
        <v>0</v>
      </c>
    </row>
    <row r="228" spans="1:6" ht="15" thickBot="1" x14ac:dyDescent="0.35">
      <c r="A228" s="140"/>
      <c r="B228" s="139" t="s">
        <v>79</v>
      </c>
      <c r="C228" s="138">
        <f>87.5+A215</f>
        <v>187.5</v>
      </c>
    </row>
    <row r="230" spans="1:6" x14ac:dyDescent="0.3">
      <c r="A230" s="136"/>
      <c r="B230" s="136" t="s">
        <v>39</v>
      </c>
      <c r="C230" s="136" t="s">
        <v>40</v>
      </c>
      <c r="D230" s="136"/>
      <c r="E230" s="136"/>
      <c r="F230" s="136"/>
    </row>
    <row r="231" spans="1:6" x14ac:dyDescent="0.3">
      <c r="A231" s="136" t="s">
        <v>44</v>
      </c>
      <c r="B231" s="137">
        <v>343.75</v>
      </c>
      <c r="C231" s="137">
        <v>117.1875</v>
      </c>
      <c r="D231" s="135"/>
      <c r="E231" s="135"/>
      <c r="F231" s="135"/>
    </row>
    <row r="232" spans="1:6" x14ac:dyDescent="0.3">
      <c r="A232" s="136" t="s">
        <v>22</v>
      </c>
      <c r="B232" s="135">
        <v>100</v>
      </c>
      <c r="C232" s="135">
        <v>250</v>
      </c>
      <c r="D232" s="137">
        <f>SUMPRODUCT(B232:C232,B231:C231)</f>
        <v>63671.875</v>
      </c>
      <c r="E232" s="135"/>
      <c r="F232" s="135"/>
    </row>
    <row r="233" spans="1:6" x14ac:dyDescent="0.3">
      <c r="A233" s="136" t="s">
        <v>132</v>
      </c>
      <c r="B233" s="135">
        <v>3</v>
      </c>
      <c r="C233" s="135">
        <v>4</v>
      </c>
      <c r="D233" s="135">
        <f>SUMPRODUCT(B233:C233,B231:C231)</f>
        <v>1500</v>
      </c>
      <c r="E233" s="135"/>
      <c r="F233" s="135">
        <v>1500</v>
      </c>
    </row>
    <row r="234" spans="1:6" x14ac:dyDescent="0.3">
      <c r="A234" s="136"/>
      <c r="B234" s="135">
        <v>1</v>
      </c>
      <c r="C234" s="135">
        <v>0</v>
      </c>
      <c r="D234" s="135">
        <f>SUMPRODUCT(B234:C234,B231:C231)</f>
        <v>343.75</v>
      </c>
      <c r="E234" s="135"/>
      <c r="F234" s="135">
        <v>200</v>
      </c>
    </row>
    <row r="235" spans="1:6" x14ac:dyDescent="0.3">
      <c r="A235" s="136"/>
      <c r="B235" s="135">
        <v>12.5</v>
      </c>
      <c r="C235" s="135">
        <v>6</v>
      </c>
      <c r="D235" s="135">
        <f>SUMPRODUCT(B235:C235,B231:C231)</f>
        <v>5000</v>
      </c>
      <c r="E235" s="135"/>
      <c r="F235" s="135">
        <v>5000</v>
      </c>
    </row>
    <row r="237" spans="1:6" x14ac:dyDescent="0.3">
      <c r="A237" s="134" t="s">
        <v>21</v>
      </c>
      <c r="B237" s="134"/>
      <c r="F237" t="s">
        <v>11</v>
      </c>
    </row>
    <row r="238" spans="1:6" x14ac:dyDescent="0.3">
      <c r="A238" s="133" t="s">
        <v>131</v>
      </c>
      <c r="B238" s="133"/>
    </row>
    <row r="239" spans="1:6" x14ac:dyDescent="0.3">
      <c r="A239" s="133" t="s">
        <v>130</v>
      </c>
      <c r="B239" s="133"/>
    </row>
    <row r="240" spans="1:6" x14ac:dyDescent="0.3">
      <c r="A240" s="133" t="s">
        <v>129</v>
      </c>
      <c r="B240" s="133"/>
    </row>
    <row r="241" spans="1:10" x14ac:dyDescent="0.3">
      <c r="A241" s="133" t="s">
        <v>128</v>
      </c>
      <c r="B241" s="133"/>
    </row>
    <row r="244" spans="1:10" x14ac:dyDescent="0.3">
      <c r="A244" s="6" t="s">
        <v>23</v>
      </c>
      <c r="B244" s="7">
        <f>$D$2*200+$D$3*225</f>
        <v>76250</v>
      </c>
    </row>
    <row r="245" spans="1:10" x14ac:dyDescent="0.3">
      <c r="A245" s="6" t="s">
        <v>24</v>
      </c>
      <c r="B245" s="7">
        <f>$D$2*200+$D$3*416.67</f>
        <v>124167.5</v>
      </c>
    </row>
    <row r="246" spans="1:10" x14ac:dyDescent="0.3">
      <c r="A246" s="132" t="s">
        <v>25</v>
      </c>
      <c r="B246" s="132">
        <f>$D$2*343.75+$D$3*117.1875</f>
        <v>63671.875</v>
      </c>
    </row>
    <row r="250" spans="1:10" x14ac:dyDescent="0.3">
      <c r="J250" t="s">
        <v>10</v>
      </c>
    </row>
  </sheetData>
  <mergeCells count="81">
    <mergeCell ref="D18:F18"/>
    <mergeCell ref="D19:F19"/>
    <mergeCell ref="D21:F21"/>
    <mergeCell ref="A18:B18"/>
    <mergeCell ref="A19:B19"/>
    <mergeCell ref="A22:B22"/>
    <mergeCell ref="A23:B23"/>
    <mergeCell ref="D9:E9"/>
    <mergeCell ref="D10:E10"/>
    <mergeCell ref="D11:E11"/>
    <mergeCell ref="D12:E12"/>
    <mergeCell ref="D13:E13"/>
    <mergeCell ref="A20:B20"/>
    <mergeCell ref="A21:B21"/>
    <mergeCell ref="D20:F20"/>
    <mergeCell ref="A43:B43"/>
    <mergeCell ref="A55:B55"/>
    <mergeCell ref="A66:H69"/>
    <mergeCell ref="A31:C31"/>
    <mergeCell ref="A27:C27"/>
    <mergeCell ref="A28:C28"/>
    <mergeCell ref="A29:C29"/>
    <mergeCell ref="A30:C30"/>
    <mergeCell ref="G12:H12"/>
    <mergeCell ref="G14:H14"/>
    <mergeCell ref="G9:H9"/>
    <mergeCell ref="G10:H10"/>
    <mergeCell ref="G11:H11"/>
    <mergeCell ref="G13:H13"/>
    <mergeCell ref="E25:F25"/>
    <mergeCell ref="H25:I25"/>
    <mergeCell ref="A33:G33"/>
    <mergeCell ref="A35:I35"/>
    <mergeCell ref="A25:C25"/>
    <mergeCell ref="A26:C26"/>
    <mergeCell ref="A104:B104"/>
    <mergeCell ref="D104:E104"/>
    <mergeCell ref="A105:B105"/>
    <mergeCell ref="D105:E105"/>
    <mergeCell ref="A107:B107"/>
    <mergeCell ref="D107:E107"/>
    <mergeCell ref="A85:B85"/>
    <mergeCell ref="A96:E96"/>
    <mergeCell ref="A98:C98"/>
    <mergeCell ref="A99:C99"/>
    <mergeCell ref="A103:B103"/>
    <mergeCell ref="D103:E103"/>
    <mergeCell ref="A119:C119"/>
    <mergeCell ref="E119:F119"/>
    <mergeCell ref="A113:B113"/>
    <mergeCell ref="D113:F113"/>
    <mergeCell ref="A112:B112"/>
    <mergeCell ref="A108:B108"/>
    <mergeCell ref="D108:E108"/>
    <mergeCell ref="D109:E109"/>
    <mergeCell ref="A111:B111"/>
    <mergeCell ref="A114:B114"/>
    <mergeCell ref="D114:F114"/>
    <mergeCell ref="A115:B115"/>
    <mergeCell ref="D115:F115"/>
    <mergeCell ref="A116:B116"/>
    <mergeCell ref="A117:B117"/>
    <mergeCell ref="D112:F112"/>
    <mergeCell ref="H119:I119"/>
    <mergeCell ref="A120:C120"/>
    <mergeCell ref="A121:C121"/>
    <mergeCell ref="A238:B238"/>
    <mergeCell ref="A106:B106"/>
    <mergeCell ref="D106:E106"/>
    <mergeCell ref="D111:F111"/>
    <mergeCell ref="A123:C123"/>
    <mergeCell ref="A122:C122"/>
    <mergeCell ref="A239:B239"/>
    <mergeCell ref="A240:B240"/>
    <mergeCell ref="A241:B241"/>
    <mergeCell ref="A124:C124"/>
    <mergeCell ref="A125:C125"/>
    <mergeCell ref="A126:C126"/>
    <mergeCell ref="A128:G128"/>
    <mergeCell ref="A237:B237"/>
    <mergeCell ref="A130:J1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5BA8-E889-4083-9E7E-0E76DD1B197B}">
  <dimension ref="A1:V126"/>
  <sheetViews>
    <sheetView topLeftCell="B20" zoomScale="83" workbookViewId="0">
      <selection activeCell="J69" sqref="J69"/>
    </sheetView>
  </sheetViews>
  <sheetFormatPr defaultRowHeight="14.4" x14ac:dyDescent="0.3"/>
  <cols>
    <col min="1" max="1" width="15.5546875" bestFit="1" customWidth="1"/>
    <col min="2" max="2" width="18.109375" bestFit="1" customWidth="1"/>
    <col min="3" max="4" width="12.21875" customWidth="1"/>
    <col min="9" max="9" width="11.44140625" customWidth="1"/>
    <col min="10" max="10" width="12.88671875" customWidth="1"/>
    <col min="11" max="11" width="13" customWidth="1"/>
    <col min="12" max="12" width="11" customWidth="1"/>
    <col min="13" max="13" width="11.109375" customWidth="1"/>
    <col min="14" max="14" width="11.5546875" customWidth="1"/>
    <col min="15" max="15" width="13" customWidth="1"/>
    <col min="16" max="16" width="11.6640625" customWidth="1"/>
    <col min="17" max="17" width="12.109375" customWidth="1"/>
    <col min="18" max="18" width="10.88671875" customWidth="1"/>
    <col min="19" max="19" width="13.44140625" customWidth="1"/>
    <col min="20" max="20" width="12.33203125" customWidth="1"/>
    <col min="21" max="21" width="11.44140625" customWidth="1"/>
    <col min="22" max="22" width="11.6640625" customWidth="1"/>
  </cols>
  <sheetData>
    <row r="1" spans="1:10" x14ac:dyDescent="0.3">
      <c r="A1" s="124" t="s">
        <v>317</v>
      </c>
      <c r="B1" s="124" t="s">
        <v>316</v>
      </c>
      <c r="C1" s="117" t="s">
        <v>315</v>
      </c>
      <c r="D1" s="117"/>
    </row>
    <row r="2" spans="1:10" x14ac:dyDescent="0.3">
      <c r="A2" s="124"/>
      <c r="B2" s="124"/>
      <c r="C2" s="6" t="s">
        <v>314</v>
      </c>
      <c r="D2" s="6" t="s">
        <v>313</v>
      </c>
    </row>
    <row r="3" spans="1:10" x14ac:dyDescent="0.3">
      <c r="A3" s="136" t="s">
        <v>312</v>
      </c>
      <c r="B3" s="27">
        <v>120</v>
      </c>
      <c r="C3" s="27">
        <v>4</v>
      </c>
      <c r="D3" s="27">
        <v>7</v>
      </c>
    </row>
    <row r="4" spans="1:10" x14ac:dyDescent="0.3">
      <c r="A4" s="136" t="s">
        <v>311</v>
      </c>
      <c r="B4" s="27">
        <v>100</v>
      </c>
      <c r="C4" s="27">
        <v>6</v>
      </c>
      <c r="D4" s="27">
        <v>4</v>
      </c>
    </row>
    <row r="5" spans="1:10" x14ac:dyDescent="0.3">
      <c r="A5" s="117" t="s">
        <v>8</v>
      </c>
      <c r="B5" s="117"/>
      <c r="C5" s="27">
        <v>200</v>
      </c>
      <c r="D5" s="27">
        <v>300</v>
      </c>
    </row>
    <row r="7" spans="1:10" x14ac:dyDescent="0.3">
      <c r="A7" s="136" t="s">
        <v>39</v>
      </c>
      <c r="B7" s="135" t="s">
        <v>310</v>
      </c>
    </row>
    <row r="8" spans="1:10" x14ac:dyDescent="0.3">
      <c r="A8" s="136" t="s">
        <v>40</v>
      </c>
      <c r="B8" s="135" t="s">
        <v>309</v>
      </c>
    </row>
    <row r="10" spans="1:10" x14ac:dyDescent="0.3">
      <c r="A10" s="117" t="s">
        <v>21</v>
      </c>
      <c r="B10" s="117"/>
      <c r="D10" s="117" t="s">
        <v>230</v>
      </c>
      <c r="E10" s="117"/>
      <c r="G10" s="103" t="s">
        <v>308</v>
      </c>
      <c r="H10" s="103"/>
      <c r="I10" s="103"/>
      <c r="J10" s="103"/>
    </row>
    <row r="11" spans="1:10" x14ac:dyDescent="0.3">
      <c r="A11" s="193" t="s">
        <v>276</v>
      </c>
      <c r="B11" s="191"/>
      <c r="D11" s="193" t="s">
        <v>307</v>
      </c>
      <c r="E11" s="191"/>
      <c r="G11" s="103"/>
      <c r="H11" s="103"/>
      <c r="I11" s="103"/>
      <c r="J11" s="103"/>
    </row>
    <row r="12" spans="1:10" x14ac:dyDescent="0.3">
      <c r="A12" s="190" t="s">
        <v>275</v>
      </c>
      <c r="B12" s="188"/>
      <c r="D12" s="190" t="s">
        <v>306</v>
      </c>
      <c r="E12" s="188"/>
      <c r="G12" s="103"/>
      <c r="H12" s="103"/>
      <c r="I12" s="103"/>
      <c r="J12" s="103"/>
    </row>
    <row r="13" spans="1:10" x14ac:dyDescent="0.3">
      <c r="A13" s="190" t="s">
        <v>305</v>
      </c>
      <c r="B13" s="188"/>
      <c r="D13" s="190" t="s">
        <v>304</v>
      </c>
      <c r="E13" s="188"/>
      <c r="G13" s="103"/>
      <c r="H13" s="103"/>
      <c r="I13" s="103"/>
      <c r="J13" s="103"/>
    </row>
    <row r="14" spans="1:10" x14ac:dyDescent="0.3">
      <c r="A14" s="199" t="s">
        <v>303</v>
      </c>
      <c r="B14" s="197"/>
      <c r="D14" s="199" t="s">
        <v>302</v>
      </c>
      <c r="E14" s="197"/>
      <c r="G14" s="103"/>
      <c r="H14" s="103"/>
      <c r="I14" s="103"/>
      <c r="J14" s="103"/>
    </row>
    <row r="15" spans="1:10" x14ac:dyDescent="0.3">
      <c r="A15" s="133" t="s">
        <v>272</v>
      </c>
      <c r="B15" s="133"/>
      <c r="D15" s="133" t="s">
        <v>272</v>
      </c>
      <c r="E15" s="133"/>
      <c r="G15" s="103"/>
      <c r="H15" s="103"/>
      <c r="I15" s="103"/>
      <c r="J15" s="103"/>
    </row>
    <row r="16" spans="1:10" x14ac:dyDescent="0.3">
      <c r="G16" s="103"/>
      <c r="H16" s="103"/>
      <c r="I16" s="103"/>
      <c r="J16" s="103"/>
    </row>
    <row r="17" spans="1:20" x14ac:dyDescent="0.3">
      <c r="A17" t="s">
        <v>301</v>
      </c>
    </row>
    <row r="18" spans="1:20" x14ac:dyDescent="0.3">
      <c r="A18" s="6"/>
      <c r="B18" s="6" t="s">
        <v>10</v>
      </c>
      <c r="C18" s="6" t="s">
        <v>11</v>
      </c>
      <c r="D18" s="6"/>
      <c r="E18" s="6"/>
      <c r="F18" s="6"/>
    </row>
    <row r="19" spans="1:20" x14ac:dyDescent="0.3">
      <c r="A19" s="6" t="s">
        <v>44</v>
      </c>
      <c r="B19" s="7">
        <v>8.4615384615384599</v>
      </c>
      <c r="C19" s="7">
        <v>12.307692307692308</v>
      </c>
      <c r="D19" s="7"/>
      <c r="E19" s="7"/>
      <c r="F19" s="7"/>
      <c r="O19" s="202">
        <v>1</v>
      </c>
      <c r="P19" s="201"/>
    </row>
    <row r="20" spans="1:20" x14ac:dyDescent="0.3">
      <c r="A20" s="6" t="s">
        <v>22</v>
      </c>
      <c r="B20" s="7">
        <v>200</v>
      </c>
      <c r="C20" s="7">
        <v>300</v>
      </c>
      <c r="D20" s="7">
        <f>SUMPRODUCT(B20:C20,B19:C19)</f>
        <v>5384.6153846153848</v>
      </c>
      <c r="E20" s="7" t="s">
        <v>258</v>
      </c>
      <c r="F20" s="7" t="s">
        <v>257</v>
      </c>
      <c r="O20" s="123" t="s">
        <v>276</v>
      </c>
      <c r="P20" s="123"/>
    </row>
    <row r="21" spans="1:20" x14ac:dyDescent="0.3">
      <c r="A21" s="118" t="s">
        <v>20</v>
      </c>
      <c r="B21" s="7">
        <v>4</v>
      </c>
      <c r="C21" s="7">
        <v>7</v>
      </c>
      <c r="D21" s="7">
        <f>SUMPRODUCT(B21:C21,B19:C19)</f>
        <v>120</v>
      </c>
      <c r="E21" s="7" t="s">
        <v>256</v>
      </c>
      <c r="F21" s="7">
        <v>120</v>
      </c>
      <c r="O21" s="214" t="s">
        <v>275</v>
      </c>
      <c r="P21" s="213"/>
    </row>
    <row r="22" spans="1:20" x14ac:dyDescent="0.3">
      <c r="A22" s="120"/>
      <c r="B22" s="7">
        <v>6</v>
      </c>
      <c r="C22" s="7">
        <v>4</v>
      </c>
      <c r="D22" s="7">
        <f>SUMPRODUCT(B22:C22,B19:C19)</f>
        <v>100</v>
      </c>
      <c r="E22" s="7" t="s">
        <v>256</v>
      </c>
      <c r="F22" s="7">
        <v>100</v>
      </c>
      <c r="O22" s="214" t="s">
        <v>272</v>
      </c>
      <c r="P22" s="213"/>
    </row>
    <row r="23" spans="1:20" x14ac:dyDescent="0.3">
      <c r="O23" s="7" t="s">
        <v>300</v>
      </c>
      <c r="P23" s="7" t="s">
        <v>299</v>
      </c>
    </row>
    <row r="24" spans="1:20" x14ac:dyDescent="0.3">
      <c r="A24" t="s">
        <v>298</v>
      </c>
      <c r="O24" s="209" t="s">
        <v>15</v>
      </c>
      <c r="P24" s="91">
        <f>D20</f>
        <v>5384.6153846153848</v>
      </c>
    </row>
    <row r="25" spans="1:20" x14ac:dyDescent="0.3">
      <c r="A25" s="6"/>
      <c r="B25" s="6" t="s">
        <v>10</v>
      </c>
      <c r="C25" s="6" t="s">
        <v>11</v>
      </c>
      <c r="D25" s="6"/>
      <c r="E25" s="6"/>
      <c r="F25" s="6"/>
      <c r="K25" s="202">
        <v>2</v>
      </c>
      <c r="L25" s="201"/>
      <c r="S25" s="202">
        <v>3</v>
      </c>
      <c r="T25" s="201"/>
    </row>
    <row r="26" spans="1:20" x14ac:dyDescent="0.3">
      <c r="A26" s="6" t="s">
        <v>44</v>
      </c>
      <c r="B26" s="7">
        <v>8</v>
      </c>
      <c r="C26" s="7">
        <v>12.571428571428571</v>
      </c>
      <c r="D26" s="7"/>
      <c r="E26" s="7"/>
      <c r="F26" s="7"/>
      <c r="K26" s="123" t="s">
        <v>276</v>
      </c>
      <c r="L26" s="123"/>
      <c r="S26" s="123" t="s">
        <v>276</v>
      </c>
      <c r="T26" s="123"/>
    </row>
    <row r="27" spans="1:20" x14ac:dyDescent="0.3">
      <c r="A27" s="6" t="s">
        <v>22</v>
      </c>
      <c r="B27" s="7">
        <v>200</v>
      </c>
      <c r="C27" s="7">
        <v>300</v>
      </c>
      <c r="D27" s="7">
        <f>SUMPRODUCT(B27:C27,B26:C26)</f>
        <v>5371.4285714285716</v>
      </c>
      <c r="E27" s="7" t="s">
        <v>258</v>
      </c>
      <c r="F27" s="7" t="s">
        <v>257</v>
      </c>
      <c r="K27" s="123" t="s">
        <v>275</v>
      </c>
      <c r="L27" s="123"/>
      <c r="S27" s="123" t="s">
        <v>275</v>
      </c>
      <c r="T27" s="123"/>
    </row>
    <row r="28" spans="1:20" x14ac:dyDescent="0.3">
      <c r="A28" s="118" t="s">
        <v>20</v>
      </c>
      <c r="B28" s="7">
        <v>4</v>
      </c>
      <c r="C28" s="7">
        <v>7</v>
      </c>
      <c r="D28" s="7">
        <f>SUMPRODUCT(B28:C28,B26:C26)</f>
        <v>120</v>
      </c>
      <c r="E28" s="7" t="s">
        <v>256</v>
      </c>
      <c r="F28" s="7">
        <v>120</v>
      </c>
      <c r="K28" s="214" t="s">
        <v>297</v>
      </c>
      <c r="L28" s="213"/>
      <c r="S28" s="214" t="s">
        <v>296</v>
      </c>
      <c r="T28" s="213"/>
    </row>
    <row r="29" spans="1:20" x14ac:dyDescent="0.3">
      <c r="A29" s="119"/>
      <c r="B29" s="7">
        <v>6</v>
      </c>
      <c r="C29" s="7">
        <v>4</v>
      </c>
      <c r="D29" s="7">
        <f>SUMPRODUCT(B29:C29,B26:C26)</f>
        <v>98.285714285714278</v>
      </c>
      <c r="E29" s="7" t="s">
        <v>256</v>
      </c>
      <c r="F29" s="7">
        <v>100</v>
      </c>
      <c r="K29" s="123" t="s">
        <v>272</v>
      </c>
      <c r="L29" s="123"/>
      <c r="S29" s="123" t="s">
        <v>272</v>
      </c>
      <c r="T29" s="123"/>
    </row>
    <row r="30" spans="1:20" x14ac:dyDescent="0.3">
      <c r="A30" s="120"/>
      <c r="B30" s="7">
        <v>1</v>
      </c>
      <c r="C30" s="7">
        <v>0</v>
      </c>
      <c r="D30" s="7">
        <f>SUMPRODUCT(B26:C26,B30:C30)</f>
        <v>8</v>
      </c>
      <c r="E30" s="7" t="s">
        <v>256</v>
      </c>
      <c r="F30" s="7">
        <v>8</v>
      </c>
      <c r="K30" s="7" t="s">
        <v>287</v>
      </c>
      <c r="L30" s="7" t="s">
        <v>295</v>
      </c>
      <c r="S30" s="7" t="s">
        <v>294</v>
      </c>
      <c r="T30" s="7" t="s">
        <v>293</v>
      </c>
    </row>
    <row r="31" spans="1:20" x14ac:dyDescent="0.3">
      <c r="K31" s="209" t="s">
        <v>15</v>
      </c>
      <c r="L31" s="91">
        <f>D27</f>
        <v>5371.4285714285716</v>
      </c>
      <c r="S31" s="209" t="s">
        <v>15</v>
      </c>
      <c r="T31" s="91">
        <f>D35</f>
        <v>5250</v>
      </c>
    </row>
    <row r="32" spans="1:20" x14ac:dyDescent="0.3">
      <c r="A32" t="s">
        <v>292</v>
      </c>
    </row>
    <row r="33" spans="1:22" x14ac:dyDescent="0.3">
      <c r="A33" s="6"/>
      <c r="B33" s="6" t="s">
        <v>10</v>
      </c>
      <c r="C33" s="6" t="s">
        <v>11</v>
      </c>
      <c r="D33" s="6"/>
      <c r="E33" s="6"/>
      <c r="F33" s="6"/>
      <c r="I33" s="216">
        <v>4</v>
      </c>
      <c r="J33" s="215"/>
      <c r="M33" s="202">
        <v>5</v>
      </c>
      <c r="N33" s="201"/>
      <c r="Q33" s="202">
        <v>6</v>
      </c>
      <c r="R33" s="201"/>
      <c r="U33" s="202">
        <v>7</v>
      </c>
      <c r="V33" s="201"/>
    </row>
    <row r="34" spans="1:22" x14ac:dyDescent="0.3">
      <c r="A34" s="6" t="s">
        <v>44</v>
      </c>
      <c r="B34" s="7">
        <v>9</v>
      </c>
      <c r="C34" s="7">
        <v>11.5</v>
      </c>
      <c r="D34" s="7"/>
      <c r="E34" s="7"/>
      <c r="F34" s="7"/>
      <c r="I34" s="225" t="s">
        <v>276</v>
      </c>
      <c r="J34" s="225"/>
      <c r="M34" s="123" t="s">
        <v>276</v>
      </c>
      <c r="N34" s="123"/>
      <c r="Q34" s="123" t="s">
        <v>276</v>
      </c>
      <c r="R34" s="123"/>
      <c r="U34" s="123" t="s">
        <v>276</v>
      </c>
      <c r="V34" s="123"/>
    </row>
    <row r="35" spans="1:22" x14ac:dyDescent="0.3">
      <c r="A35" s="6" t="s">
        <v>22</v>
      </c>
      <c r="B35" s="7">
        <v>200</v>
      </c>
      <c r="C35" s="7">
        <v>300</v>
      </c>
      <c r="D35" s="7">
        <f>SUMPRODUCT(B35:C35,B34:C34)</f>
        <v>5250</v>
      </c>
      <c r="E35" s="7" t="s">
        <v>258</v>
      </c>
      <c r="F35" s="7" t="s">
        <v>257</v>
      </c>
      <c r="I35" s="225" t="s">
        <v>275</v>
      </c>
      <c r="J35" s="225"/>
      <c r="M35" s="123" t="s">
        <v>275</v>
      </c>
      <c r="N35" s="123"/>
      <c r="Q35" s="123" t="s">
        <v>275</v>
      </c>
      <c r="R35" s="123"/>
      <c r="U35" s="123" t="s">
        <v>275</v>
      </c>
      <c r="V35" s="123"/>
    </row>
    <row r="36" spans="1:22" x14ac:dyDescent="0.3">
      <c r="A36" s="118" t="s">
        <v>20</v>
      </c>
      <c r="B36" s="7">
        <v>4</v>
      </c>
      <c r="C36" s="7">
        <v>7</v>
      </c>
      <c r="D36" s="7">
        <f>SUMPRODUCT(B36:C36,B34:C34)</f>
        <v>116.5</v>
      </c>
      <c r="E36" s="7" t="s">
        <v>256</v>
      </c>
      <c r="F36" s="7">
        <v>120</v>
      </c>
      <c r="I36" s="227" t="s">
        <v>291</v>
      </c>
      <c r="J36" s="226"/>
      <c r="M36" s="214" t="s">
        <v>290</v>
      </c>
      <c r="N36" s="213"/>
      <c r="Q36" s="214" t="s">
        <v>289</v>
      </c>
      <c r="R36" s="213"/>
      <c r="U36" s="214" t="s">
        <v>288</v>
      </c>
      <c r="V36" s="213"/>
    </row>
    <row r="37" spans="1:22" x14ac:dyDescent="0.3">
      <c r="A37" s="119"/>
      <c r="B37" s="7">
        <v>6</v>
      </c>
      <c r="C37" s="7">
        <v>4</v>
      </c>
      <c r="D37" s="7">
        <f>SUMPRODUCT(B37:C37,B34:C34)</f>
        <v>100</v>
      </c>
      <c r="E37" s="7" t="s">
        <v>256</v>
      </c>
      <c r="F37" s="7">
        <v>100</v>
      </c>
      <c r="I37" s="225" t="s">
        <v>272</v>
      </c>
      <c r="J37" s="225"/>
      <c r="M37" s="123" t="s">
        <v>272</v>
      </c>
      <c r="N37" s="123"/>
      <c r="Q37" s="123" t="s">
        <v>272</v>
      </c>
      <c r="R37" s="123"/>
      <c r="U37" s="123" t="s">
        <v>272</v>
      </c>
      <c r="V37" s="123"/>
    </row>
    <row r="38" spans="1:22" x14ac:dyDescent="0.3">
      <c r="A38" s="120"/>
      <c r="B38" s="7">
        <v>1</v>
      </c>
      <c r="C38" s="7">
        <v>0</v>
      </c>
      <c r="D38" s="7">
        <f>SUMPRODUCT(B34:C34,B38:C38)</f>
        <v>9</v>
      </c>
      <c r="E38" s="7" t="s">
        <v>260</v>
      </c>
      <c r="F38" s="7">
        <v>9</v>
      </c>
      <c r="I38" s="132" t="s">
        <v>287</v>
      </c>
      <c r="J38" s="132" t="s">
        <v>286</v>
      </c>
      <c r="M38" s="7" t="s">
        <v>285</v>
      </c>
      <c r="N38" s="7" t="s">
        <v>270</v>
      </c>
      <c r="Q38" s="7" t="s">
        <v>284</v>
      </c>
      <c r="R38" s="7" t="s">
        <v>283</v>
      </c>
      <c r="U38" s="222" t="s">
        <v>278</v>
      </c>
      <c r="V38" s="221"/>
    </row>
    <row r="39" spans="1:22" x14ac:dyDescent="0.3">
      <c r="I39" s="224" t="s">
        <v>15</v>
      </c>
      <c r="J39" s="223">
        <f>D43</f>
        <v>5200</v>
      </c>
      <c r="M39" s="209" t="s">
        <v>15</v>
      </c>
      <c r="N39" s="91">
        <f>D52</f>
        <v>5350</v>
      </c>
      <c r="Q39" s="209" t="s">
        <v>15</v>
      </c>
      <c r="R39" s="91">
        <f>D61</f>
        <v>5166.666666666667</v>
      </c>
      <c r="U39" s="220"/>
      <c r="V39" s="219"/>
    </row>
    <row r="40" spans="1:22" x14ac:dyDescent="0.3">
      <c r="A40" t="s">
        <v>282</v>
      </c>
    </row>
    <row r="41" spans="1:22" x14ac:dyDescent="0.3">
      <c r="A41" s="6"/>
      <c r="B41" s="6" t="s">
        <v>10</v>
      </c>
      <c r="C41" s="6" t="s">
        <v>11</v>
      </c>
      <c r="D41" s="6"/>
      <c r="E41" s="6"/>
      <c r="F41" s="6"/>
      <c r="K41" s="202">
        <v>8</v>
      </c>
      <c r="L41" s="201"/>
      <c r="O41" s="202">
        <v>9</v>
      </c>
      <c r="P41" s="201"/>
    </row>
    <row r="42" spans="1:22" x14ac:dyDescent="0.3">
      <c r="A42" s="6" t="s">
        <v>44</v>
      </c>
      <c r="B42" s="7">
        <v>8</v>
      </c>
      <c r="C42" s="7">
        <v>12</v>
      </c>
      <c r="D42" s="7"/>
      <c r="E42" s="7"/>
      <c r="F42" s="7"/>
      <c r="K42" s="123" t="s">
        <v>276</v>
      </c>
      <c r="L42" s="123"/>
      <c r="O42" s="123" t="s">
        <v>276</v>
      </c>
      <c r="P42" s="123"/>
    </row>
    <row r="43" spans="1:22" x14ac:dyDescent="0.3">
      <c r="A43" s="6" t="s">
        <v>22</v>
      </c>
      <c r="B43" s="7">
        <v>200</v>
      </c>
      <c r="C43" s="7">
        <v>300</v>
      </c>
      <c r="D43" s="7">
        <f>SUMPRODUCT(B43:C43,B42:C42)</f>
        <v>5200</v>
      </c>
      <c r="E43" s="7" t="s">
        <v>258</v>
      </c>
      <c r="F43" s="7" t="s">
        <v>257</v>
      </c>
      <c r="K43" s="123" t="s">
        <v>275</v>
      </c>
      <c r="L43" s="123"/>
      <c r="O43" s="123" t="s">
        <v>275</v>
      </c>
      <c r="P43" s="123"/>
    </row>
    <row r="44" spans="1:22" x14ac:dyDescent="0.3">
      <c r="A44" s="118" t="s">
        <v>20</v>
      </c>
      <c r="B44" s="7">
        <v>4</v>
      </c>
      <c r="C44" s="7">
        <v>7</v>
      </c>
      <c r="D44" s="7">
        <f>SUMPRODUCT(B44:C44,B42:C42)</f>
        <v>116</v>
      </c>
      <c r="E44" s="7" t="s">
        <v>256</v>
      </c>
      <c r="F44" s="7">
        <v>120</v>
      </c>
      <c r="K44" s="214" t="s">
        <v>281</v>
      </c>
      <c r="L44" s="213"/>
      <c r="O44" s="214" t="s">
        <v>280</v>
      </c>
      <c r="P44" s="213"/>
    </row>
    <row r="45" spans="1:22" x14ac:dyDescent="0.3">
      <c r="A45" s="119"/>
      <c r="B45" s="7">
        <v>6</v>
      </c>
      <c r="C45" s="7">
        <v>4</v>
      </c>
      <c r="D45" s="7">
        <f>SUMPRODUCT(B45:C45,B42:C42)</f>
        <v>96</v>
      </c>
      <c r="E45" s="7" t="s">
        <v>256</v>
      </c>
      <c r="F45" s="7">
        <v>100</v>
      </c>
      <c r="K45" s="123" t="s">
        <v>272</v>
      </c>
      <c r="L45" s="123"/>
      <c r="O45" s="123" t="s">
        <v>272</v>
      </c>
      <c r="P45" s="123"/>
    </row>
    <row r="46" spans="1:22" x14ac:dyDescent="0.3">
      <c r="A46" s="119"/>
      <c r="B46" s="7">
        <v>1</v>
      </c>
      <c r="C46" s="7">
        <v>0</v>
      </c>
      <c r="D46" s="7">
        <f>SUMPRODUCT(B42:C42,B46:C46)</f>
        <v>8</v>
      </c>
      <c r="E46" s="7" t="s">
        <v>256</v>
      </c>
      <c r="F46" s="7">
        <v>8</v>
      </c>
      <c r="K46" s="7" t="s">
        <v>271</v>
      </c>
      <c r="L46" s="7" t="s">
        <v>279</v>
      </c>
      <c r="O46" s="222" t="s">
        <v>278</v>
      </c>
      <c r="P46" s="221"/>
    </row>
    <row r="47" spans="1:22" x14ac:dyDescent="0.3">
      <c r="A47" s="120"/>
      <c r="B47" s="7">
        <v>0</v>
      </c>
      <c r="C47" s="7">
        <v>1</v>
      </c>
      <c r="D47" s="7">
        <f>SUMPRODUCT(B42:C42,B47:C47)</f>
        <v>12</v>
      </c>
      <c r="E47" s="7" t="s">
        <v>256</v>
      </c>
      <c r="F47" s="7">
        <v>12</v>
      </c>
      <c r="K47" s="209" t="s">
        <v>15</v>
      </c>
      <c r="L47" s="91">
        <f>D79</f>
        <v>5342.8571428571431</v>
      </c>
      <c r="O47" s="220"/>
      <c r="P47" s="219"/>
    </row>
    <row r="49" spans="1:14" x14ac:dyDescent="0.3">
      <c r="A49" t="s">
        <v>277</v>
      </c>
      <c r="I49" s="218">
        <v>10</v>
      </c>
      <c r="J49" s="217"/>
      <c r="M49" s="202">
        <v>11</v>
      </c>
      <c r="N49" s="201"/>
    </row>
    <row r="50" spans="1:14" x14ac:dyDescent="0.3">
      <c r="A50" s="6"/>
      <c r="B50" s="6" t="s">
        <v>10</v>
      </c>
      <c r="C50" s="6" t="s">
        <v>11</v>
      </c>
      <c r="D50" s="6"/>
      <c r="E50" s="6"/>
      <c r="F50" s="6"/>
      <c r="I50" s="212" t="s">
        <v>276</v>
      </c>
      <c r="J50" s="212"/>
      <c r="M50" s="123" t="s">
        <v>276</v>
      </c>
      <c r="N50" s="123"/>
    </row>
    <row r="51" spans="1:14" x14ac:dyDescent="0.3">
      <c r="A51" s="6" t="s">
        <v>44</v>
      </c>
      <c r="B51" s="7">
        <v>7.25</v>
      </c>
      <c r="C51" s="7">
        <v>13</v>
      </c>
      <c r="D51" s="7"/>
      <c r="E51" s="7"/>
      <c r="F51" s="7"/>
      <c r="I51" s="212" t="s">
        <v>275</v>
      </c>
      <c r="J51" s="212"/>
      <c r="M51" s="123" t="s">
        <v>275</v>
      </c>
      <c r="N51" s="123"/>
    </row>
    <row r="52" spans="1:14" x14ac:dyDescent="0.3">
      <c r="A52" s="6" t="s">
        <v>22</v>
      </c>
      <c r="B52" s="7">
        <v>200</v>
      </c>
      <c r="C52" s="7">
        <v>300</v>
      </c>
      <c r="D52" s="7">
        <f>SUMPRODUCT(B52:C52,B51:C51)</f>
        <v>5350</v>
      </c>
      <c r="E52" s="7" t="s">
        <v>258</v>
      </c>
      <c r="F52" s="7" t="s">
        <v>257</v>
      </c>
      <c r="I52" s="216" t="s">
        <v>274</v>
      </c>
      <c r="J52" s="215"/>
      <c r="M52" s="214" t="s">
        <v>273</v>
      </c>
      <c r="N52" s="213"/>
    </row>
    <row r="53" spans="1:14" x14ac:dyDescent="0.3">
      <c r="A53" s="118" t="s">
        <v>20</v>
      </c>
      <c r="B53" s="7">
        <v>4</v>
      </c>
      <c r="C53" s="7">
        <v>7</v>
      </c>
      <c r="D53" s="7">
        <f>SUMPRODUCT(B53:C53,B51:C51)</f>
        <v>120</v>
      </c>
      <c r="E53" s="7" t="s">
        <v>256</v>
      </c>
      <c r="F53" s="7">
        <v>120</v>
      </c>
      <c r="I53" s="212" t="s">
        <v>272</v>
      </c>
      <c r="J53" s="212"/>
      <c r="M53" s="123" t="s">
        <v>272</v>
      </c>
      <c r="N53" s="123"/>
    </row>
    <row r="54" spans="1:14" x14ac:dyDescent="0.3">
      <c r="A54" s="119"/>
      <c r="B54" s="7">
        <v>6</v>
      </c>
      <c r="C54" s="7">
        <v>4</v>
      </c>
      <c r="D54" s="7">
        <f>SUMPRODUCT(B54:C54,B51:C51)</f>
        <v>95.5</v>
      </c>
      <c r="E54" s="7" t="s">
        <v>256</v>
      </c>
      <c r="F54" s="7">
        <v>100</v>
      </c>
      <c r="I54" s="205" t="s">
        <v>271</v>
      </c>
      <c r="J54" s="205" t="s">
        <v>270</v>
      </c>
      <c r="M54" s="7" t="s">
        <v>269</v>
      </c>
      <c r="N54" s="7" t="s">
        <v>268</v>
      </c>
    </row>
    <row r="55" spans="1:14" x14ac:dyDescent="0.3">
      <c r="A55" s="119"/>
      <c r="B55" s="7">
        <v>1</v>
      </c>
      <c r="C55" s="7">
        <v>0</v>
      </c>
      <c r="D55" s="7">
        <f>SUMPRODUCT(B51:C51,B55:C55)</f>
        <v>7.25</v>
      </c>
      <c r="E55" s="7" t="s">
        <v>256</v>
      </c>
      <c r="F55" s="7">
        <v>8</v>
      </c>
      <c r="I55" s="211" t="s">
        <v>15</v>
      </c>
      <c r="J55" s="210">
        <f>D100</f>
        <v>5300</v>
      </c>
      <c r="M55" s="209" t="s">
        <v>15</v>
      </c>
      <c r="N55" s="91">
        <f>D111</f>
        <v>5300</v>
      </c>
    </row>
    <row r="56" spans="1:14" x14ac:dyDescent="0.3">
      <c r="A56" s="120"/>
      <c r="B56" s="7">
        <v>0</v>
      </c>
      <c r="C56" s="7">
        <v>1</v>
      </c>
      <c r="D56" s="7">
        <f>SUMPRODUCT(B51:C51,B56:C56)</f>
        <v>13</v>
      </c>
      <c r="E56" s="7" t="s">
        <v>260</v>
      </c>
      <c r="F56" s="7">
        <v>13</v>
      </c>
    </row>
    <row r="58" spans="1:14" x14ac:dyDescent="0.3">
      <c r="A58" t="s">
        <v>267</v>
      </c>
    </row>
    <row r="59" spans="1:14" x14ac:dyDescent="0.3">
      <c r="A59" s="6"/>
      <c r="B59" s="6" t="s">
        <v>10</v>
      </c>
      <c r="C59" s="6" t="s">
        <v>11</v>
      </c>
      <c r="D59" s="6"/>
      <c r="E59" s="6"/>
      <c r="F59" s="6"/>
    </row>
    <row r="60" spans="1:14" x14ac:dyDescent="0.3">
      <c r="A60" s="6" t="s">
        <v>44</v>
      </c>
      <c r="B60" s="7">
        <v>9.3333333333333339</v>
      </c>
      <c r="C60" s="7">
        <v>11</v>
      </c>
      <c r="D60" s="7"/>
      <c r="E60" s="7"/>
      <c r="F60" s="7"/>
      <c r="I60" s="208" t="s">
        <v>266</v>
      </c>
      <c r="J60" s="208"/>
      <c r="K60" s="208"/>
      <c r="L60" s="208"/>
    </row>
    <row r="61" spans="1:14" x14ac:dyDescent="0.3">
      <c r="A61" s="6" t="s">
        <v>22</v>
      </c>
      <c r="B61" s="7">
        <v>200</v>
      </c>
      <c r="C61" s="7">
        <v>300</v>
      </c>
      <c r="D61" s="7">
        <f>SUMPRODUCT(B61:C61,B60:C60)</f>
        <v>5166.666666666667</v>
      </c>
      <c r="E61" s="7" t="s">
        <v>258</v>
      </c>
      <c r="F61" s="7" t="s">
        <v>257</v>
      </c>
      <c r="I61" s="208"/>
      <c r="J61" s="208"/>
      <c r="K61" s="208"/>
      <c r="L61" s="208"/>
    </row>
    <row r="62" spans="1:14" x14ac:dyDescent="0.3">
      <c r="A62" s="118" t="s">
        <v>20</v>
      </c>
      <c r="B62" s="7">
        <v>4</v>
      </c>
      <c r="C62" s="7">
        <v>7</v>
      </c>
      <c r="D62" s="7">
        <f>SUMPRODUCT(B62:C62,B60:C60)</f>
        <v>114.33333333333334</v>
      </c>
      <c r="E62" s="7" t="s">
        <v>256</v>
      </c>
      <c r="F62" s="7">
        <v>120</v>
      </c>
      <c r="I62" s="208"/>
      <c r="J62" s="208"/>
      <c r="K62" s="208"/>
      <c r="L62" s="208"/>
    </row>
    <row r="63" spans="1:14" x14ac:dyDescent="0.3">
      <c r="A63" s="119"/>
      <c r="B63" s="7">
        <v>6</v>
      </c>
      <c r="C63" s="7">
        <v>4</v>
      </c>
      <c r="D63" s="7">
        <f>SUMPRODUCT(B63:C63,B60:C60)</f>
        <v>100</v>
      </c>
      <c r="E63" s="7" t="s">
        <v>256</v>
      </c>
      <c r="F63" s="7">
        <v>100</v>
      </c>
      <c r="I63" s="208"/>
      <c r="J63" s="208"/>
      <c r="K63" s="208"/>
      <c r="L63" s="208"/>
    </row>
    <row r="64" spans="1:14" x14ac:dyDescent="0.3">
      <c r="A64" s="119"/>
      <c r="B64" s="7">
        <v>1</v>
      </c>
      <c r="C64" s="7">
        <v>0</v>
      </c>
      <c r="D64" s="7">
        <f>SUMPRODUCT(B60:C60,B64:C64)</f>
        <v>9.3333333333333339</v>
      </c>
      <c r="E64" s="7" t="s">
        <v>260</v>
      </c>
      <c r="F64" s="7">
        <v>9</v>
      </c>
      <c r="I64" s="208"/>
      <c r="J64" s="208"/>
      <c r="K64" s="208"/>
      <c r="L64" s="208"/>
    </row>
    <row r="65" spans="1:6" x14ac:dyDescent="0.3">
      <c r="A65" s="120"/>
      <c r="B65" s="7">
        <v>0</v>
      </c>
      <c r="C65" s="7">
        <v>1</v>
      </c>
      <c r="D65" s="7">
        <f>SUMPRODUCT(B60:C60,B65:C65)</f>
        <v>11</v>
      </c>
      <c r="E65" s="7" t="s">
        <v>256</v>
      </c>
      <c r="F65" s="7">
        <v>11</v>
      </c>
    </row>
    <row r="67" spans="1:6" x14ac:dyDescent="0.3">
      <c r="A67" t="s">
        <v>265</v>
      </c>
    </row>
    <row r="68" spans="1:6" x14ac:dyDescent="0.3">
      <c r="A68" s="6"/>
      <c r="B68" s="6" t="s">
        <v>10</v>
      </c>
      <c r="C68" s="6" t="s">
        <v>11</v>
      </c>
      <c r="D68" s="6"/>
      <c r="E68" s="6"/>
      <c r="F68" s="6"/>
    </row>
    <row r="69" spans="1:6" x14ac:dyDescent="0.3">
      <c r="A69" s="6" t="s">
        <v>44</v>
      </c>
      <c r="B69" s="7">
        <v>9</v>
      </c>
      <c r="C69" s="7">
        <v>11.5</v>
      </c>
      <c r="D69" s="7"/>
      <c r="E69" s="7"/>
      <c r="F69" s="7"/>
    </row>
    <row r="70" spans="1:6" x14ac:dyDescent="0.3">
      <c r="A70" s="6" t="s">
        <v>22</v>
      </c>
      <c r="B70" s="7">
        <v>200</v>
      </c>
      <c r="C70" s="7">
        <v>300</v>
      </c>
      <c r="D70" s="7">
        <f>SUMPRODUCT(B70:C70,B69:C69)</f>
        <v>5250</v>
      </c>
      <c r="E70" s="7" t="s">
        <v>258</v>
      </c>
      <c r="F70" s="7" t="s">
        <v>257</v>
      </c>
    </row>
    <row r="71" spans="1:6" x14ac:dyDescent="0.3">
      <c r="A71" s="118" t="s">
        <v>20</v>
      </c>
      <c r="B71" s="7">
        <v>4</v>
      </c>
      <c r="C71" s="7">
        <v>7</v>
      </c>
      <c r="D71" s="7">
        <f>SUMPRODUCT(B71:C71,B69:C69)</f>
        <v>116.5</v>
      </c>
      <c r="E71" s="7" t="s">
        <v>256</v>
      </c>
      <c r="F71" s="7">
        <v>120</v>
      </c>
    </row>
    <row r="72" spans="1:6" x14ac:dyDescent="0.3">
      <c r="A72" s="119"/>
      <c r="B72" s="7">
        <v>6</v>
      </c>
      <c r="C72" s="7">
        <v>4</v>
      </c>
      <c r="D72" s="7">
        <f>SUMPRODUCT(B72:C72,B69:C69)</f>
        <v>100</v>
      </c>
      <c r="E72" s="7" t="s">
        <v>256</v>
      </c>
      <c r="F72" s="7">
        <v>100</v>
      </c>
    </row>
    <row r="73" spans="1:6" x14ac:dyDescent="0.3">
      <c r="A73" s="119"/>
      <c r="B73" s="7">
        <v>1</v>
      </c>
      <c r="C73" s="7">
        <v>0</v>
      </c>
      <c r="D73" s="7">
        <f>SUMPRODUCT(B69:C69,B73:C73)</f>
        <v>9</v>
      </c>
      <c r="E73" s="7" t="s">
        <v>260</v>
      </c>
      <c r="F73" s="7">
        <v>9</v>
      </c>
    </row>
    <row r="74" spans="1:6" x14ac:dyDescent="0.3">
      <c r="A74" s="120"/>
      <c r="B74" s="7">
        <v>0</v>
      </c>
      <c r="C74" s="7">
        <v>1</v>
      </c>
      <c r="D74" s="7">
        <f>SUMPRODUCT(B69:C69,B74:C74)</f>
        <v>11.5</v>
      </c>
      <c r="E74" s="7" t="s">
        <v>260</v>
      </c>
      <c r="F74" s="7">
        <v>12</v>
      </c>
    </row>
    <row r="76" spans="1:6" x14ac:dyDescent="0.3">
      <c r="A76" t="s">
        <v>264</v>
      </c>
    </row>
    <row r="77" spans="1:6" x14ac:dyDescent="0.3">
      <c r="A77" s="6"/>
      <c r="B77" s="6" t="s">
        <v>10</v>
      </c>
      <c r="C77" s="6" t="s">
        <v>11</v>
      </c>
      <c r="D77" s="6"/>
      <c r="E77" s="6"/>
      <c r="F77" s="6"/>
    </row>
    <row r="78" spans="1:6" x14ac:dyDescent="0.3">
      <c r="A78" s="6" t="s">
        <v>44</v>
      </c>
      <c r="B78" s="7">
        <v>7</v>
      </c>
      <c r="C78" s="7">
        <v>13.142857142857142</v>
      </c>
      <c r="D78" s="7"/>
      <c r="E78" s="7"/>
      <c r="F78" s="7"/>
    </row>
    <row r="79" spans="1:6" x14ac:dyDescent="0.3">
      <c r="A79" s="6" t="s">
        <v>22</v>
      </c>
      <c r="B79" s="7">
        <v>200</v>
      </c>
      <c r="C79" s="7">
        <v>300</v>
      </c>
      <c r="D79" s="7">
        <f>SUMPRODUCT(B79:C79,B78:C78)</f>
        <v>5342.8571428571431</v>
      </c>
      <c r="E79" s="7" t="s">
        <v>258</v>
      </c>
      <c r="F79" s="7" t="s">
        <v>257</v>
      </c>
    </row>
    <row r="80" spans="1:6" x14ac:dyDescent="0.3">
      <c r="A80" s="118" t="s">
        <v>20</v>
      </c>
      <c r="B80" s="7">
        <v>4</v>
      </c>
      <c r="C80" s="7">
        <v>7</v>
      </c>
      <c r="D80" s="7">
        <f>SUMPRODUCT(B80:C80,B78:C78)</f>
        <v>120</v>
      </c>
      <c r="E80" s="7" t="s">
        <v>256</v>
      </c>
      <c r="F80" s="7">
        <v>120</v>
      </c>
    </row>
    <row r="81" spans="1:6" x14ac:dyDescent="0.3">
      <c r="A81" s="119"/>
      <c r="B81" s="7">
        <v>6</v>
      </c>
      <c r="C81" s="7">
        <v>4</v>
      </c>
      <c r="D81" s="7">
        <f>SUMPRODUCT(B81:C81,B78:C78)</f>
        <v>94.571428571428569</v>
      </c>
      <c r="E81" s="7" t="s">
        <v>256</v>
      </c>
      <c r="F81" s="7">
        <v>100</v>
      </c>
    </row>
    <row r="82" spans="1:6" x14ac:dyDescent="0.3">
      <c r="A82" s="119"/>
      <c r="B82" s="7">
        <v>1</v>
      </c>
      <c r="C82" s="7">
        <v>0</v>
      </c>
      <c r="D82" s="7">
        <f>SUMPRODUCT(B78:C78,B82:C82)</f>
        <v>7</v>
      </c>
      <c r="E82" s="7" t="s">
        <v>256</v>
      </c>
      <c r="F82" s="7">
        <v>8</v>
      </c>
    </row>
    <row r="83" spans="1:6" x14ac:dyDescent="0.3">
      <c r="A83" s="120"/>
      <c r="B83" s="7">
        <v>0</v>
      </c>
      <c r="C83" s="7">
        <v>1</v>
      </c>
      <c r="D83" s="7">
        <f>SUMPRODUCT(B78:C78,B83:C83)</f>
        <v>13.142857142857142</v>
      </c>
      <c r="E83" s="7" t="s">
        <v>260</v>
      </c>
      <c r="F83" s="7">
        <v>13</v>
      </c>
    </row>
    <row r="84" spans="1:6" x14ac:dyDescent="0.3">
      <c r="B84" s="7">
        <v>1</v>
      </c>
      <c r="C84" s="7">
        <v>0</v>
      </c>
      <c r="D84" s="7">
        <f>SUMPRODUCT(B78:C78,B84:C84)</f>
        <v>7</v>
      </c>
      <c r="E84" s="7" t="s">
        <v>256</v>
      </c>
      <c r="F84" s="7">
        <v>7</v>
      </c>
    </row>
    <row r="86" spans="1:6" x14ac:dyDescent="0.3">
      <c r="A86" t="s">
        <v>263</v>
      </c>
    </row>
    <row r="87" spans="1:6" x14ac:dyDescent="0.3">
      <c r="A87" s="6"/>
      <c r="B87" s="6" t="s">
        <v>10</v>
      </c>
      <c r="C87" s="6" t="s">
        <v>11</v>
      </c>
      <c r="D87" s="6"/>
      <c r="E87" s="6"/>
      <c r="F87" s="6"/>
    </row>
    <row r="88" spans="1:6" x14ac:dyDescent="0.3">
      <c r="A88" s="6" t="s">
        <v>44</v>
      </c>
      <c r="B88" s="7">
        <v>8</v>
      </c>
      <c r="C88" s="7">
        <v>12.571428571428571</v>
      </c>
      <c r="D88" s="7"/>
      <c r="E88" s="7"/>
      <c r="F88" s="7"/>
    </row>
    <row r="89" spans="1:6" x14ac:dyDescent="0.3">
      <c r="A89" s="6" t="s">
        <v>22</v>
      </c>
      <c r="B89" s="7">
        <v>200</v>
      </c>
      <c r="C89" s="7">
        <v>300</v>
      </c>
      <c r="D89" s="7">
        <f>SUMPRODUCT(B89:C89,B88:C88)</f>
        <v>5371.4285714285716</v>
      </c>
      <c r="E89" s="7" t="s">
        <v>258</v>
      </c>
      <c r="F89" s="7" t="s">
        <v>257</v>
      </c>
    </row>
    <row r="90" spans="1:6" x14ac:dyDescent="0.3">
      <c r="A90" s="118" t="s">
        <v>20</v>
      </c>
      <c r="B90" s="7">
        <v>4</v>
      </c>
      <c r="C90" s="7">
        <v>7</v>
      </c>
      <c r="D90" s="7">
        <f>SUMPRODUCT(B90:C90,B88:C88)</f>
        <v>120</v>
      </c>
      <c r="E90" s="7" t="s">
        <v>256</v>
      </c>
      <c r="F90" s="7">
        <v>120</v>
      </c>
    </row>
    <row r="91" spans="1:6" x14ac:dyDescent="0.3">
      <c r="A91" s="119"/>
      <c r="B91" s="7">
        <v>6</v>
      </c>
      <c r="C91" s="7">
        <v>4</v>
      </c>
      <c r="D91" s="7">
        <f>SUMPRODUCT(B91:C91,B88:C88)</f>
        <v>98.285714285714278</v>
      </c>
      <c r="E91" s="7" t="s">
        <v>256</v>
      </c>
      <c r="F91" s="7">
        <v>100</v>
      </c>
    </row>
    <row r="92" spans="1:6" x14ac:dyDescent="0.3">
      <c r="A92" s="119"/>
      <c r="B92" s="7">
        <v>1</v>
      </c>
      <c r="C92" s="7">
        <v>0</v>
      </c>
      <c r="D92" s="7">
        <f>SUMPRODUCT(B88:C88,B92:C92)</f>
        <v>8</v>
      </c>
      <c r="E92" s="7" t="s">
        <v>256</v>
      </c>
      <c r="F92" s="7">
        <v>8</v>
      </c>
    </row>
    <row r="93" spans="1:6" x14ac:dyDescent="0.3">
      <c r="A93" s="120"/>
      <c r="B93" s="7">
        <v>0</v>
      </c>
      <c r="C93" s="7">
        <v>1</v>
      </c>
      <c r="D93" s="7">
        <f>SUMPRODUCT(B88:C88,B93:C93)</f>
        <v>12.571428571428571</v>
      </c>
      <c r="E93" s="7" t="s">
        <v>260</v>
      </c>
      <c r="F93" s="7">
        <v>13</v>
      </c>
    </row>
    <row r="94" spans="1:6" x14ac:dyDescent="0.3">
      <c r="B94" s="7">
        <v>1</v>
      </c>
      <c r="C94" s="7">
        <v>0</v>
      </c>
      <c r="D94" s="7">
        <f>SUMPRODUCT(B88:C88,B94:C94)</f>
        <v>8</v>
      </c>
      <c r="E94" s="7" t="s">
        <v>260</v>
      </c>
      <c r="F94" s="7">
        <v>8</v>
      </c>
    </row>
    <row r="97" spans="1:6" x14ac:dyDescent="0.3">
      <c r="A97" t="s">
        <v>262</v>
      </c>
    </row>
    <row r="98" spans="1:6" x14ac:dyDescent="0.3">
      <c r="A98" s="6"/>
      <c r="B98" s="6" t="s">
        <v>10</v>
      </c>
      <c r="C98" s="6" t="s">
        <v>11</v>
      </c>
      <c r="D98" s="6"/>
      <c r="E98" s="6"/>
      <c r="F98" s="6"/>
    </row>
    <row r="99" spans="1:6" x14ac:dyDescent="0.3">
      <c r="A99" s="6" t="s">
        <v>44</v>
      </c>
      <c r="B99" s="7">
        <v>7</v>
      </c>
      <c r="C99" s="7">
        <v>13</v>
      </c>
      <c r="D99" s="7"/>
      <c r="E99" s="7"/>
      <c r="F99" s="7"/>
    </row>
    <row r="100" spans="1:6" x14ac:dyDescent="0.3">
      <c r="A100" s="6" t="s">
        <v>22</v>
      </c>
      <c r="B100" s="7">
        <v>200</v>
      </c>
      <c r="C100" s="7">
        <v>300</v>
      </c>
      <c r="D100" s="7">
        <f>SUMPRODUCT(B100:C100,B99:C99)</f>
        <v>5300</v>
      </c>
      <c r="E100" s="7" t="s">
        <v>258</v>
      </c>
      <c r="F100" s="7" t="s">
        <v>257</v>
      </c>
    </row>
    <row r="101" spans="1:6" x14ac:dyDescent="0.3">
      <c r="A101" s="118" t="s">
        <v>20</v>
      </c>
      <c r="B101" s="7">
        <v>4</v>
      </c>
      <c r="C101" s="7">
        <v>7</v>
      </c>
      <c r="D101" s="7">
        <f>SUMPRODUCT(B101:C101,B99:C99)</f>
        <v>119</v>
      </c>
      <c r="E101" s="7" t="s">
        <v>256</v>
      </c>
      <c r="F101" s="7">
        <v>120</v>
      </c>
    </row>
    <row r="102" spans="1:6" x14ac:dyDescent="0.3">
      <c r="A102" s="119"/>
      <c r="B102" s="7">
        <v>6</v>
      </c>
      <c r="C102" s="7">
        <v>4</v>
      </c>
      <c r="D102" s="7">
        <f>SUMPRODUCT(B102:C102,B99:C99)</f>
        <v>94</v>
      </c>
      <c r="E102" s="7" t="s">
        <v>256</v>
      </c>
      <c r="F102" s="7">
        <v>100</v>
      </c>
    </row>
    <row r="103" spans="1:6" x14ac:dyDescent="0.3">
      <c r="A103" s="119"/>
      <c r="B103" s="7">
        <v>1</v>
      </c>
      <c r="C103" s="7">
        <v>0</v>
      </c>
      <c r="D103" s="7">
        <f>SUMPRODUCT(B99:C99,B103:C103)</f>
        <v>7</v>
      </c>
      <c r="E103" s="7" t="s">
        <v>256</v>
      </c>
      <c r="F103" s="7">
        <v>8</v>
      </c>
    </row>
    <row r="104" spans="1:6" x14ac:dyDescent="0.3">
      <c r="A104" s="120"/>
      <c r="B104" s="7">
        <v>0</v>
      </c>
      <c r="C104" s="7">
        <v>1</v>
      </c>
      <c r="D104" s="7">
        <f>SUMPRODUCT(B99:C99,B104:C104)</f>
        <v>13</v>
      </c>
      <c r="E104" s="7" t="s">
        <v>260</v>
      </c>
      <c r="F104" s="7">
        <v>13</v>
      </c>
    </row>
    <row r="105" spans="1:6" x14ac:dyDescent="0.3">
      <c r="B105" s="7">
        <v>1</v>
      </c>
      <c r="C105" s="7">
        <v>0</v>
      </c>
      <c r="D105" s="7">
        <f>SUMPRODUCT(B99:C99,B105:C105)</f>
        <v>7</v>
      </c>
      <c r="E105" s="7" t="s">
        <v>256</v>
      </c>
      <c r="F105" s="7">
        <v>7</v>
      </c>
    </row>
    <row r="106" spans="1:6" x14ac:dyDescent="0.3">
      <c r="B106" s="7">
        <v>0</v>
      </c>
      <c r="C106" s="7">
        <v>1</v>
      </c>
      <c r="D106" s="7">
        <f>SUMPRODUCT(B99:C99,B106:C106)</f>
        <v>13</v>
      </c>
      <c r="E106" s="7" t="s">
        <v>256</v>
      </c>
      <c r="F106" s="7">
        <v>13</v>
      </c>
    </row>
    <row r="108" spans="1:6" x14ac:dyDescent="0.3">
      <c r="A108" t="s">
        <v>261</v>
      </c>
    </row>
    <row r="109" spans="1:6" x14ac:dyDescent="0.3">
      <c r="A109" s="6"/>
      <c r="B109" s="6" t="s">
        <v>10</v>
      </c>
      <c r="C109" s="6" t="s">
        <v>11</v>
      </c>
      <c r="D109" s="6"/>
      <c r="E109" s="6"/>
      <c r="F109" s="6"/>
    </row>
    <row r="110" spans="1:6" x14ac:dyDescent="0.3">
      <c r="A110" s="6" t="s">
        <v>44</v>
      </c>
      <c r="B110" s="7">
        <v>5.5</v>
      </c>
      <c r="C110" s="7">
        <v>14</v>
      </c>
      <c r="D110" s="7"/>
      <c r="E110" s="7"/>
      <c r="F110" s="7"/>
    </row>
    <row r="111" spans="1:6" x14ac:dyDescent="0.3">
      <c r="A111" s="6" t="s">
        <v>22</v>
      </c>
      <c r="B111" s="7">
        <v>200</v>
      </c>
      <c r="C111" s="7">
        <v>300</v>
      </c>
      <c r="D111" s="7">
        <f>SUMPRODUCT(B111:C111,B110:C110)</f>
        <v>5300</v>
      </c>
      <c r="E111" s="7" t="s">
        <v>258</v>
      </c>
      <c r="F111" s="7" t="s">
        <v>257</v>
      </c>
    </row>
    <row r="112" spans="1:6" x14ac:dyDescent="0.3">
      <c r="A112" s="118" t="s">
        <v>20</v>
      </c>
      <c r="B112" s="7">
        <v>4</v>
      </c>
      <c r="C112" s="7">
        <v>7</v>
      </c>
      <c r="D112" s="7">
        <f>SUMPRODUCT(B112:C112,B110:C110)</f>
        <v>120</v>
      </c>
      <c r="E112" s="7" t="s">
        <v>256</v>
      </c>
      <c r="F112" s="7">
        <v>120</v>
      </c>
    </row>
    <row r="113" spans="1:8" x14ac:dyDescent="0.3">
      <c r="A113" s="119"/>
      <c r="B113" s="7">
        <v>6</v>
      </c>
      <c r="C113" s="7">
        <v>4</v>
      </c>
      <c r="D113" s="7">
        <f>SUMPRODUCT(B113:C113,B110:C110)</f>
        <v>89</v>
      </c>
      <c r="E113" s="7" t="s">
        <v>256</v>
      </c>
      <c r="F113" s="7">
        <v>100</v>
      </c>
    </row>
    <row r="114" spans="1:8" x14ac:dyDescent="0.3">
      <c r="A114" s="119"/>
      <c r="B114" s="7">
        <v>1</v>
      </c>
      <c r="C114" s="7">
        <v>0</v>
      </c>
      <c r="D114" s="7">
        <f>SUMPRODUCT(B110:C110,B114:C114)</f>
        <v>5.5</v>
      </c>
      <c r="E114" s="7" t="s">
        <v>256</v>
      </c>
      <c r="F114" s="7">
        <v>8</v>
      </c>
    </row>
    <row r="115" spans="1:8" x14ac:dyDescent="0.3">
      <c r="A115" s="120"/>
      <c r="B115" s="7">
        <v>0</v>
      </c>
      <c r="C115" s="7">
        <v>1</v>
      </c>
      <c r="D115" s="7">
        <f>SUMPRODUCT(B110:C110,B115:C115)</f>
        <v>14</v>
      </c>
      <c r="E115" s="7" t="s">
        <v>260</v>
      </c>
      <c r="F115" s="7">
        <v>13</v>
      </c>
    </row>
    <row r="116" spans="1:8" x14ac:dyDescent="0.3">
      <c r="B116" s="7">
        <v>1</v>
      </c>
      <c r="C116" s="7">
        <v>0</v>
      </c>
      <c r="D116" s="7">
        <f>SUMPRODUCT(B110:C110,B116:C116)</f>
        <v>5.5</v>
      </c>
      <c r="E116" s="7" t="s">
        <v>256</v>
      </c>
      <c r="F116" s="7">
        <v>7</v>
      </c>
    </row>
    <row r="117" spans="1:8" x14ac:dyDescent="0.3">
      <c r="B117" s="7">
        <v>0</v>
      </c>
      <c r="C117" s="7">
        <v>1</v>
      </c>
      <c r="D117" s="7">
        <f>SUMPRODUCT(B110:C110,B117:C117)</f>
        <v>14</v>
      </c>
      <c r="E117" s="7" t="s">
        <v>260</v>
      </c>
      <c r="F117" s="7">
        <v>14</v>
      </c>
    </row>
    <row r="120" spans="1:8" x14ac:dyDescent="0.3">
      <c r="A120" s="16" t="s">
        <v>259</v>
      </c>
      <c r="B120" s="16"/>
      <c r="C120" s="16"/>
      <c r="D120" s="16"/>
      <c r="E120" s="16"/>
      <c r="F120" s="16"/>
      <c r="G120" s="16"/>
      <c r="H120" s="16"/>
    </row>
    <row r="122" spans="1:8" x14ac:dyDescent="0.3">
      <c r="A122" s="6"/>
      <c r="B122" s="6" t="s">
        <v>10</v>
      </c>
      <c r="C122" s="6" t="s">
        <v>11</v>
      </c>
      <c r="D122" s="6"/>
      <c r="E122" s="6"/>
      <c r="F122" s="6"/>
    </row>
    <row r="123" spans="1:8" x14ac:dyDescent="0.3">
      <c r="A123" s="6" t="s">
        <v>44</v>
      </c>
      <c r="B123" s="7">
        <v>7</v>
      </c>
      <c r="C123" s="7">
        <v>13</v>
      </c>
      <c r="D123" s="7"/>
      <c r="E123" s="7"/>
      <c r="F123" s="7"/>
    </row>
    <row r="124" spans="1:8" x14ac:dyDescent="0.3">
      <c r="A124" s="6" t="s">
        <v>22</v>
      </c>
      <c r="B124" s="7">
        <v>200</v>
      </c>
      <c r="C124" s="7">
        <v>300</v>
      </c>
      <c r="D124" s="7">
        <f>SUMPRODUCT(B124:C124,B123:C123)</f>
        <v>5300</v>
      </c>
      <c r="E124" s="7" t="s">
        <v>258</v>
      </c>
      <c r="F124" s="7" t="s">
        <v>257</v>
      </c>
    </row>
    <row r="125" spans="1:8" x14ac:dyDescent="0.3">
      <c r="A125" s="118" t="s">
        <v>20</v>
      </c>
      <c r="B125" s="7">
        <v>4</v>
      </c>
      <c r="C125" s="7">
        <v>7</v>
      </c>
      <c r="D125" s="7">
        <f>SUMPRODUCT(B125:C125,B123:C123)</f>
        <v>119</v>
      </c>
      <c r="E125" s="7" t="s">
        <v>256</v>
      </c>
      <c r="F125" s="7">
        <v>120</v>
      </c>
    </row>
    <row r="126" spans="1:8" x14ac:dyDescent="0.3">
      <c r="A126" s="120"/>
      <c r="B126" s="7">
        <v>6</v>
      </c>
      <c r="C126" s="7">
        <v>4</v>
      </c>
      <c r="D126" s="7">
        <f>SUMPRODUCT(B126:C126,B123:C123)</f>
        <v>94</v>
      </c>
      <c r="E126" s="7" t="s">
        <v>256</v>
      </c>
      <c r="F126" s="7">
        <v>100</v>
      </c>
    </row>
  </sheetData>
  <scenarios current="0">
    <scenario name="7" count="2" user="11" comment="Автор: 11 , 10/4/2025">
      <inputCells r="B88" val="8"/>
      <inputCells r="C88" val="12.5714285714286"/>
    </scenario>
  </scenarios>
  <mergeCells count="86">
    <mergeCell ref="A125:A126"/>
    <mergeCell ref="G10:J16"/>
    <mergeCell ref="A80:A83"/>
    <mergeCell ref="A90:A93"/>
    <mergeCell ref="K26:L26"/>
    <mergeCell ref="K27:L27"/>
    <mergeCell ref="K29:L29"/>
    <mergeCell ref="A15:B15"/>
    <mergeCell ref="D10:E10"/>
    <mergeCell ref="D11:E11"/>
    <mergeCell ref="M50:N50"/>
    <mergeCell ref="M51:N51"/>
    <mergeCell ref="M52:N52"/>
    <mergeCell ref="M53:N53"/>
    <mergeCell ref="A101:A104"/>
    <mergeCell ref="A112:A115"/>
    <mergeCell ref="I60:L64"/>
    <mergeCell ref="O46:P47"/>
    <mergeCell ref="A62:A65"/>
    <mergeCell ref="A71:A74"/>
    <mergeCell ref="U38:V39"/>
    <mergeCell ref="I49:J49"/>
    <mergeCell ref="I50:J50"/>
    <mergeCell ref="I51:J51"/>
    <mergeCell ref="I52:J52"/>
    <mergeCell ref="I53:J53"/>
    <mergeCell ref="M49:N49"/>
    <mergeCell ref="O42:P42"/>
    <mergeCell ref="O43:P43"/>
    <mergeCell ref="O44:P44"/>
    <mergeCell ref="O45:P45"/>
    <mergeCell ref="I37:J37"/>
    <mergeCell ref="M37:N37"/>
    <mergeCell ref="Q37:R37"/>
    <mergeCell ref="U37:V37"/>
    <mergeCell ref="A44:A47"/>
    <mergeCell ref="A53:A56"/>
    <mergeCell ref="K41:L41"/>
    <mergeCell ref="K42:L42"/>
    <mergeCell ref="K43:L43"/>
    <mergeCell ref="K44:L44"/>
    <mergeCell ref="K45:L45"/>
    <mergeCell ref="O41:P41"/>
    <mergeCell ref="M35:N35"/>
    <mergeCell ref="M36:N36"/>
    <mergeCell ref="Q33:R33"/>
    <mergeCell ref="Q34:R34"/>
    <mergeCell ref="Q35:R35"/>
    <mergeCell ref="Q36:R36"/>
    <mergeCell ref="U33:V33"/>
    <mergeCell ref="U34:V34"/>
    <mergeCell ref="U35:V35"/>
    <mergeCell ref="U36:V36"/>
    <mergeCell ref="I33:J33"/>
    <mergeCell ref="I34:J34"/>
    <mergeCell ref="I35:J35"/>
    <mergeCell ref="I36:J36"/>
    <mergeCell ref="M33:N33"/>
    <mergeCell ref="M34:N34"/>
    <mergeCell ref="S29:T29"/>
    <mergeCell ref="K28:L28"/>
    <mergeCell ref="S28:T28"/>
    <mergeCell ref="O20:P20"/>
    <mergeCell ref="O21:P21"/>
    <mergeCell ref="O22:P22"/>
    <mergeCell ref="K25:L25"/>
    <mergeCell ref="A12:B12"/>
    <mergeCell ref="A13:B13"/>
    <mergeCell ref="A14:B14"/>
    <mergeCell ref="S25:T25"/>
    <mergeCell ref="S26:T26"/>
    <mergeCell ref="S27:T27"/>
    <mergeCell ref="O19:P19"/>
    <mergeCell ref="D12:E12"/>
    <mergeCell ref="D13:E13"/>
    <mergeCell ref="D14:E14"/>
    <mergeCell ref="D15:E15"/>
    <mergeCell ref="A21:A22"/>
    <mergeCell ref="A28:A30"/>
    <mergeCell ref="A36:A38"/>
    <mergeCell ref="C1:D1"/>
    <mergeCell ref="A1:A2"/>
    <mergeCell ref="B1:B2"/>
    <mergeCell ref="A5:B5"/>
    <mergeCell ref="A10:B10"/>
    <mergeCell ref="A11:B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9378-4639-4888-9898-145A74FD48BF}">
  <dimension ref="A1:BT256"/>
  <sheetViews>
    <sheetView topLeftCell="A14" zoomScale="73" zoomScaleNormal="67" workbookViewId="0">
      <selection activeCell="Q126" sqref="Q126"/>
    </sheetView>
  </sheetViews>
  <sheetFormatPr defaultColWidth="12.44140625" defaultRowHeight="15.6" x14ac:dyDescent="0.3"/>
  <cols>
    <col min="1" max="1" width="13.88671875" style="228" customWidth="1"/>
    <col min="2" max="5" width="12.44140625" style="228"/>
    <col min="6" max="6" width="17.77734375" style="228" customWidth="1"/>
    <col min="7" max="16384" width="12.44140625" style="228"/>
  </cols>
  <sheetData>
    <row r="1" spans="1:12" ht="16.2" customHeight="1" x14ac:dyDescent="0.3">
      <c r="A1" s="124" t="s">
        <v>320</v>
      </c>
      <c r="B1" s="117" t="s">
        <v>319</v>
      </c>
      <c r="C1" s="117"/>
      <c r="D1" s="117"/>
      <c r="E1" s="117"/>
      <c r="F1" s="105" t="s">
        <v>440</v>
      </c>
      <c r="H1" s="363" t="s">
        <v>439</v>
      </c>
      <c r="I1" s="363"/>
      <c r="J1" s="363"/>
      <c r="K1" s="363"/>
      <c r="L1" s="362"/>
    </row>
    <row r="2" spans="1:12" x14ac:dyDescent="0.3">
      <c r="A2" s="124"/>
      <c r="B2" s="6">
        <v>1</v>
      </c>
      <c r="C2" s="6">
        <v>2</v>
      </c>
      <c r="D2" s="6">
        <v>3</v>
      </c>
      <c r="E2" s="6">
        <v>4</v>
      </c>
      <c r="F2" s="105"/>
      <c r="H2" s="363"/>
      <c r="I2" s="363"/>
      <c r="J2" s="363"/>
      <c r="K2" s="363"/>
      <c r="L2" s="362"/>
    </row>
    <row r="3" spans="1:12" x14ac:dyDescent="0.3">
      <c r="A3" s="6">
        <v>1</v>
      </c>
      <c r="B3" s="7">
        <v>6</v>
      </c>
      <c r="C3" s="7">
        <v>2</v>
      </c>
      <c r="D3" s="7">
        <v>3</v>
      </c>
      <c r="E3" s="7">
        <v>5</v>
      </c>
      <c r="F3" s="7">
        <v>100</v>
      </c>
      <c r="H3" s="363"/>
      <c r="I3" s="363"/>
      <c r="J3" s="363"/>
      <c r="K3" s="363"/>
      <c r="L3" s="362"/>
    </row>
    <row r="4" spans="1:12" x14ac:dyDescent="0.3">
      <c r="A4" s="6">
        <v>2</v>
      </c>
      <c r="B4" s="7">
        <v>1</v>
      </c>
      <c r="C4" s="7">
        <v>2</v>
      </c>
      <c r="D4" s="7">
        <v>5</v>
      </c>
      <c r="E4" s="7">
        <v>6</v>
      </c>
      <c r="F4" s="7">
        <v>150</v>
      </c>
      <c r="H4" s="363"/>
      <c r="I4" s="363"/>
      <c r="J4" s="363"/>
      <c r="K4" s="363"/>
      <c r="L4" s="362"/>
    </row>
    <row r="5" spans="1:12" x14ac:dyDescent="0.3">
      <c r="A5" s="6">
        <v>3</v>
      </c>
      <c r="B5" s="7">
        <v>3</v>
      </c>
      <c r="C5" s="7">
        <v>10</v>
      </c>
      <c r="D5" s="7">
        <v>20</v>
      </c>
      <c r="E5" s="7">
        <v>4</v>
      </c>
      <c r="F5" s="7">
        <v>50</v>
      </c>
      <c r="H5" s="363"/>
      <c r="I5" s="363"/>
      <c r="J5" s="363"/>
      <c r="K5" s="363"/>
      <c r="L5" s="362"/>
    </row>
    <row r="6" spans="1:12" ht="28.8" x14ac:dyDescent="0.3">
      <c r="A6" s="96" t="s">
        <v>438</v>
      </c>
      <c r="B6" s="7">
        <v>75</v>
      </c>
      <c r="C6" s="7">
        <v>80</v>
      </c>
      <c r="D6" s="7">
        <v>60</v>
      </c>
      <c r="E6" s="7">
        <v>85</v>
      </c>
      <c r="F6" s="7"/>
    </row>
    <row r="8" spans="1:12" ht="27" customHeight="1" x14ac:dyDescent="0.3">
      <c r="A8" s="134" t="s">
        <v>437</v>
      </c>
      <c r="B8" s="134"/>
      <c r="C8" s="134"/>
    </row>
    <row r="10" spans="1:12" x14ac:dyDescent="0.3">
      <c r="A10" s="361" t="s">
        <v>436</v>
      </c>
      <c r="B10" s="360"/>
      <c r="C10" s="213"/>
    </row>
    <row r="11" spans="1:12" x14ac:dyDescent="0.3">
      <c r="A11" s="361" t="s">
        <v>435</v>
      </c>
      <c r="B11" s="360"/>
      <c r="C11" s="213"/>
    </row>
    <row r="12" spans="1:12" x14ac:dyDescent="0.3">
      <c r="A12" s="359" t="s">
        <v>434</v>
      </c>
      <c r="B12" s="123"/>
      <c r="C12" s="123"/>
    </row>
    <row r="14" spans="1:12" x14ac:dyDescent="0.3">
      <c r="A14" s="117" t="s">
        <v>433</v>
      </c>
      <c r="B14" s="117"/>
      <c r="C14" s="117"/>
    </row>
    <row r="16" spans="1:12" x14ac:dyDescent="0.3">
      <c r="A16" s="359" t="s">
        <v>432</v>
      </c>
      <c r="B16" s="123"/>
      <c r="C16" s="123"/>
    </row>
    <row r="17" spans="1:66" x14ac:dyDescent="0.3">
      <c r="A17" s="359" t="s">
        <v>431</v>
      </c>
      <c r="B17" s="123"/>
      <c r="C17" s="123"/>
    </row>
    <row r="18" spans="1:66" x14ac:dyDescent="0.3">
      <c r="A18" s="359" t="s">
        <v>430</v>
      </c>
      <c r="B18" s="123"/>
      <c r="C18" s="123"/>
    </row>
    <row r="19" spans="1:66" x14ac:dyDescent="0.3">
      <c r="A19" s="358" t="s">
        <v>429</v>
      </c>
      <c r="B19" s="133"/>
      <c r="C19" s="133"/>
    </row>
    <row r="21" spans="1:66" x14ac:dyDescent="0.3">
      <c r="A21" s="117" t="s">
        <v>428</v>
      </c>
      <c r="B21" s="117"/>
      <c r="C21" s="117"/>
    </row>
    <row r="23" spans="1:66" x14ac:dyDescent="0.3">
      <c r="A23" s="117" t="s">
        <v>427</v>
      </c>
      <c r="B23" s="117"/>
      <c r="C23" s="117"/>
      <c r="D23" s="117"/>
      <c r="E23" s="117"/>
      <c r="F23" s="117"/>
      <c r="G23" s="117"/>
    </row>
    <row r="24" spans="1:66" x14ac:dyDescent="0.3">
      <c r="A24" s="357" t="s">
        <v>426</v>
      </c>
      <c r="B24" s="357"/>
      <c r="C24" s="357"/>
      <c r="D24" s="357"/>
      <c r="E24" s="357"/>
      <c r="F24" s="357"/>
      <c r="G24" s="357"/>
    </row>
    <row r="26" spans="1:66" x14ac:dyDescent="0.3">
      <c r="A26" s="356" t="s">
        <v>425</v>
      </c>
      <c r="B26" s="356"/>
      <c r="C26" s="356"/>
      <c r="D26" s="356"/>
      <c r="E26" s="356"/>
      <c r="F26" s="356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0"/>
      <c r="AR26" s="290"/>
      <c r="AS26" s="290"/>
      <c r="AT26" s="290"/>
      <c r="AU26" s="290"/>
      <c r="AV26" s="290"/>
      <c r="AW26" s="290"/>
      <c r="AX26" s="290"/>
      <c r="AY26" s="290"/>
      <c r="AZ26" s="290"/>
      <c r="BA26" s="290"/>
      <c r="BB26" s="290"/>
      <c r="BC26" s="290"/>
      <c r="BD26" s="290"/>
      <c r="BE26" s="290"/>
      <c r="BF26" s="290"/>
      <c r="BG26" s="290"/>
      <c r="BH26" s="290"/>
      <c r="BI26" s="290"/>
      <c r="BJ26" s="290"/>
      <c r="BK26" s="290"/>
      <c r="BL26" s="290"/>
      <c r="BM26" s="290"/>
      <c r="BN26" s="290"/>
    </row>
    <row r="27" spans="1:66" x14ac:dyDescent="0.3">
      <c r="H27" s="355"/>
    </row>
    <row r="28" spans="1:66" x14ac:dyDescent="0.3">
      <c r="A28" s="124" t="s">
        <v>320</v>
      </c>
      <c r="B28" s="124" t="s">
        <v>403</v>
      </c>
      <c r="C28" s="124"/>
      <c r="D28" s="124"/>
      <c r="E28" s="124"/>
      <c r="I28" s="124" t="s">
        <v>320</v>
      </c>
      <c r="J28" s="124" t="s">
        <v>403</v>
      </c>
      <c r="K28" s="124"/>
      <c r="L28" s="124"/>
      <c r="M28" s="124"/>
    </row>
    <row r="29" spans="1:66" x14ac:dyDescent="0.3">
      <c r="A29" s="124"/>
      <c r="B29" s="6">
        <v>1</v>
      </c>
      <c r="C29" s="6">
        <v>2</v>
      </c>
      <c r="D29" s="6">
        <v>3</v>
      </c>
      <c r="E29" s="6">
        <v>4</v>
      </c>
      <c r="I29" s="124"/>
      <c r="J29" s="6">
        <v>1</v>
      </c>
      <c r="K29" s="6">
        <v>2</v>
      </c>
      <c r="L29" s="6">
        <v>3</v>
      </c>
      <c r="M29" s="6">
        <v>4</v>
      </c>
    </row>
    <row r="30" spans="1:66" x14ac:dyDescent="0.3">
      <c r="A30" s="6">
        <v>1</v>
      </c>
      <c r="B30" s="336">
        <v>6</v>
      </c>
      <c r="C30" s="336">
        <v>2</v>
      </c>
      <c r="D30" s="336">
        <v>3</v>
      </c>
      <c r="E30" s="354">
        <v>5</v>
      </c>
      <c r="F30" s="336">
        <v>100</v>
      </c>
      <c r="I30" s="6">
        <v>1</v>
      </c>
      <c r="J30" s="336">
        <v>6</v>
      </c>
      <c r="K30" s="336">
        <v>2</v>
      </c>
      <c r="L30" s="336">
        <v>3</v>
      </c>
      <c r="M30" s="336">
        <v>5</v>
      </c>
      <c r="N30" s="336">
        <v>100</v>
      </c>
    </row>
    <row r="31" spans="1:66" x14ac:dyDescent="0.3">
      <c r="A31" s="6">
        <v>2</v>
      </c>
      <c r="B31" s="336">
        <v>1</v>
      </c>
      <c r="C31" s="336">
        <v>2</v>
      </c>
      <c r="D31" s="336">
        <v>5</v>
      </c>
      <c r="E31" s="354">
        <v>6</v>
      </c>
      <c r="F31" s="336">
        <v>150</v>
      </c>
      <c r="I31" s="6">
        <v>2</v>
      </c>
      <c r="J31" s="353" t="s">
        <v>424</v>
      </c>
      <c r="K31" s="336">
        <v>2</v>
      </c>
      <c r="L31" s="336">
        <v>5</v>
      </c>
      <c r="M31" s="336">
        <v>6</v>
      </c>
      <c r="N31" s="336">
        <v>150</v>
      </c>
      <c r="O31" s="336">
        <v>75</v>
      </c>
    </row>
    <row r="32" spans="1:66" x14ac:dyDescent="0.3">
      <c r="A32" s="6">
        <v>3</v>
      </c>
      <c r="B32" s="352">
        <v>3</v>
      </c>
      <c r="C32" s="352">
        <v>10</v>
      </c>
      <c r="D32" s="352">
        <v>20</v>
      </c>
      <c r="E32" s="351">
        <v>4</v>
      </c>
      <c r="F32" s="336">
        <v>50</v>
      </c>
      <c r="I32" s="6">
        <v>3</v>
      </c>
      <c r="J32" s="336">
        <v>3</v>
      </c>
      <c r="K32" s="336">
        <v>10</v>
      </c>
      <c r="L32" s="336">
        <v>20</v>
      </c>
      <c r="M32" s="336">
        <v>4</v>
      </c>
      <c r="N32" s="336">
        <v>50</v>
      </c>
    </row>
    <row r="33" spans="1:17" x14ac:dyDescent="0.3">
      <c r="A33" s="337"/>
      <c r="B33" s="336">
        <v>75</v>
      </c>
      <c r="C33" s="336">
        <v>80</v>
      </c>
      <c r="D33" s="336">
        <v>60</v>
      </c>
      <c r="E33" s="336">
        <v>85</v>
      </c>
      <c r="J33" s="336">
        <v>75</v>
      </c>
      <c r="K33" s="336">
        <v>80</v>
      </c>
      <c r="L33" s="336">
        <v>60</v>
      </c>
      <c r="M33" s="336">
        <v>85</v>
      </c>
    </row>
    <row r="35" spans="1:17" x14ac:dyDescent="0.3">
      <c r="E35" s="350"/>
      <c r="F35" s="349"/>
      <c r="G35" s="348"/>
      <c r="H35" s="347"/>
    </row>
    <row r="36" spans="1:17" x14ac:dyDescent="0.3">
      <c r="F36" s="346"/>
    </row>
    <row r="37" spans="1:17" x14ac:dyDescent="0.3">
      <c r="A37" s="124" t="s">
        <v>320</v>
      </c>
      <c r="B37" s="124" t="s">
        <v>403</v>
      </c>
      <c r="C37" s="124"/>
      <c r="D37" s="124"/>
      <c r="E37" s="124"/>
      <c r="F37" s="293"/>
      <c r="G37" s="293"/>
      <c r="I37" s="124" t="s">
        <v>320</v>
      </c>
      <c r="J37" s="124" t="s">
        <v>403</v>
      </c>
      <c r="K37" s="124"/>
      <c r="L37" s="124"/>
      <c r="M37" s="124"/>
      <c r="N37" s="293"/>
      <c r="O37" s="293"/>
    </row>
    <row r="38" spans="1:17" x14ac:dyDescent="0.3">
      <c r="A38" s="124"/>
      <c r="B38" s="6">
        <v>1</v>
      </c>
      <c r="C38" s="6">
        <v>2</v>
      </c>
      <c r="D38" s="6">
        <v>3</v>
      </c>
      <c r="E38" s="6">
        <v>4</v>
      </c>
      <c r="F38" s="293"/>
      <c r="G38" s="293"/>
      <c r="I38" s="124"/>
      <c r="J38" s="6">
        <v>1</v>
      </c>
      <c r="K38" s="6">
        <v>2</v>
      </c>
      <c r="L38" s="6">
        <v>3</v>
      </c>
      <c r="M38" s="6">
        <v>4</v>
      </c>
      <c r="N38" s="293"/>
      <c r="O38" s="293"/>
    </row>
    <row r="39" spans="1:17" x14ac:dyDescent="0.3">
      <c r="A39" s="6">
        <v>1</v>
      </c>
      <c r="B39" s="231">
        <v>6</v>
      </c>
      <c r="C39" s="231">
        <v>2</v>
      </c>
      <c r="D39" s="231">
        <v>3</v>
      </c>
      <c r="E39" s="231">
        <v>5</v>
      </c>
      <c r="F39" s="231">
        <v>100</v>
      </c>
      <c r="G39" s="293"/>
      <c r="I39" s="6">
        <v>1</v>
      </c>
      <c r="J39" s="231">
        <v>6</v>
      </c>
      <c r="K39" s="345" t="s">
        <v>423</v>
      </c>
      <c r="L39" s="231">
        <v>3</v>
      </c>
      <c r="M39" s="231">
        <v>5</v>
      </c>
      <c r="N39" s="231">
        <v>100</v>
      </c>
      <c r="O39" s="300">
        <v>95</v>
      </c>
    </row>
    <row r="40" spans="1:17" x14ac:dyDescent="0.3">
      <c r="A40" s="6">
        <v>2</v>
      </c>
      <c r="B40" s="344" t="s">
        <v>420</v>
      </c>
      <c r="C40" s="341" t="s">
        <v>419</v>
      </c>
      <c r="D40" s="231">
        <v>5</v>
      </c>
      <c r="E40" s="231">
        <v>6</v>
      </c>
      <c r="F40" s="231">
        <v>150</v>
      </c>
      <c r="G40" s="231">
        <v>75</v>
      </c>
      <c r="I40" s="6">
        <v>2</v>
      </c>
      <c r="J40" s="344" t="s">
        <v>420</v>
      </c>
      <c r="K40" s="344" t="s">
        <v>419</v>
      </c>
      <c r="L40" s="231">
        <v>5</v>
      </c>
      <c r="M40" s="231">
        <v>6</v>
      </c>
      <c r="N40" s="231">
        <v>150</v>
      </c>
      <c r="O40" s="231">
        <v>75</v>
      </c>
    </row>
    <row r="41" spans="1:17" x14ac:dyDescent="0.3">
      <c r="A41" s="6">
        <v>3</v>
      </c>
      <c r="B41" s="231">
        <v>3</v>
      </c>
      <c r="C41" s="231">
        <v>10</v>
      </c>
      <c r="D41" s="231">
        <v>20</v>
      </c>
      <c r="E41" s="231">
        <v>4</v>
      </c>
      <c r="F41" s="231">
        <v>50</v>
      </c>
      <c r="G41" s="293"/>
      <c r="I41" s="6">
        <v>3</v>
      </c>
      <c r="J41" s="231">
        <v>3</v>
      </c>
      <c r="K41" s="231">
        <v>10</v>
      </c>
      <c r="L41" s="231">
        <v>20</v>
      </c>
      <c r="M41" s="231">
        <v>4</v>
      </c>
      <c r="N41" s="231">
        <v>50</v>
      </c>
      <c r="O41" s="293"/>
    </row>
    <row r="42" spans="1:17" x14ac:dyDescent="0.3">
      <c r="A42" s="293"/>
      <c r="B42" s="231">
        <v>75</v>
      </c>
      <c r="C42" s="231">
        <v>80</v>
      </c>
      <c r="D42" s="231">
        <v>60</v>
      </c>
      <c r="E42" s="231">
        <v>85</v>
      </c>
      <c r="F42" s="293"/>
      <c r="G42" s="293"/>
      <c r="I42" s="293"/>
      <c r="J42" s="231">
        <v>75</v>
      </c>
      <c r="K42" s="231">
        <v>80</v>
      </c>
      <c r="L42" s="231">
        <v>60</v>
      </c>
      <c r="M42" s="231">
        <v>85</v>
      </c>
      <c r="N42" s="293"/>
      <c r="O42" s="293"/>
    </row>
    <row r="43" spans="1:17" x14ac:dyDescent="0.3">
      <c r="C43" s="231">
        <v>5</v>
      </c>
      <c r="I43" s="293"/>
      <c r="J43" s="293"/>
      <c r="K43" s="231">
        <v>5</v>
      </c>
      <c r="L43" s="293"/>
      <c r="M43" s="293"/>
      <c r="N43" s="293"/>
      <c r="O43" s="293"/>
    </row>
    <row r="46" spans="1:17" x14ac:dyDescent="0.3">
      <c r="A46" s="124" t="s">
        <v>320</v>
      </c>
      <c r="B46" s="124" t="s">
        <v>403</v>
      </c>
      <c r="C46" s="124"/>
      <c r="D46" s="124"/>
      <c r="E46" s="124"/>
      <c r="F46" s="293"/>
      <c r="G46" s="293"/>
      <c r="J46" s="124" t="s">
        <v>320</v>
      </c>
      <c r="K46" s="124" t="s">
        <v>403</v>
      </c>
      <c r="L46" s="124"/>
      <c r="M46" s="124"/>
      <c r="N46" s="124"/>
      <c r="O46" s="293"/>
      <c r="P46" s="293"/>
    </row>
    <row r="47" spans="1:17" x14ac:dyDescent="0.3">
      <c r="A47" s="124"/>
      <c r="B47" s="6">
        <v>1</v>
      </c>
      <c r="C47" s="6">
        <v>2</v>
      </c>
      <c r="D47" s="6">
        <v>3</v>
      </c>
      <c r="E47" s="6">
        <v>4</v>
      </c>
      <c r="F47" s="293"/>
      <c r="G47" s="293"/>
      <c r="J47" s="124"/>
      <c r="K47" s="6">
        <v>1</v>
      </c>
      <c r="L47" s="6">
        <v>2</v>
      </c>
      <c r="M47" s="6">
        <v>3</v>
      </c>
      <c r="N47" s="6">
        <v>4</v>
      </c>
      <c r="O47" s="293"/>
      <c r="P47" s="293"/>
    </row>
    <row r="48" spans="1:17" ht="18" customHeight="1" x14ac:dyDescent="0.3">
      <c r="A48" s="6">
        <v>1</v>
      </c>
      <c r="B48" s="231">
        <v>6</v>
      </c>
      <c r="C48" s="345" t="s">
        <v>423</v>
      </c>
      <c r="D48" s="344" t="s">
        <v>416</v>
      </c>
      <c r="E48" s="231">
        <v>5</v>
      </c>
      <c r="F48" s="231">
        <v>100</v>
      </c>
      <c r="G48" s="231">
        <v>95</v>
      </c>
      <c r="H48" s="231">
        <v>35</v>
      </c>
      <c r="J48" s="6">
        <v>1</v>
      </c>
      <c r="K48" s="231">
        <v>6</v>
      </c>
      <c r="L48" s="345" t="s">
        <v>422</v>
      </c>
      <c r="M48" s="344" t="s">
        <v>421</v>
      </c>
      <c r="N48" s="336">
        <v>5</v>
      </c>
      <c r="O48" s="231">
        <v>100</v>
      </c>
      <c r="P48" s="231">
        <v>95</v>
      </c>
      <c r="Q48" s="231">
        <v>35</v>
      </c>
    </row>
    <row r="49" spans="1:16" ht="16.95" customHeight="1" x14ac:dyDescent="0.3">
      <c r="A49" s="6">
        <v>2</v>
      </c>
      <c r="B49" s="344" t="s">
        <v>420</v>
      </c>
      <c r="C49" s="341" t="s">
        <v>419</v>
      </c>
      <c r="D49" s="231">
        <v>5</v>
      </c>
      <c r="E49" s="231">
        <v>6</v>
      </c>
      <c r="F49" s="231">
        <v>150</v>
      </c>
      <c r="G49" s="231">
        <v>75</v>
      </c>
      <c r="J49" s="6">
        <v>2</v>
      </c>
      <c r="K49" s="344" t="s">
        <v>420</v>
      </c>
      <c r="L49" s="344" t="s">
        <v>419</v>
      </c>
      <c r="M49" s="231">
        <v>5</v>
      </c>
      <c r="N49" s="231">
        <v>6</v>
      </c>
      <c r="O49" s="231">
        <v>150</v>
      </c>
      <c r="P49" s="231">
        <v>75</v>
      </c>
    </row>
    <row r="50" spans="1:16" x14ac:dyDescent="0.3">
      <c r="A50" s="6">
        <v>3</v>
      </c>
      <c r="B50" s="231">
        <v>3</v>
      </c>
      <c r="C50" s="231">
        <v>10</v>
      </c>
      <c r="D50" s="231">
        <v>20</v>
      </c>
      <c r="E50" s="231">
        <v>4</v>
      </c>
      <c r="F50" s="231">
        <v>50</v>
      </c>
      <c r="G50" s="293"/>
      <c r="J50" s="6">
        <v>3</v>
      </c>
      <c r="K50" s="231">
        <v>3</v>
      </c>
      <c r="L50" s="231">
        <v>10</v>
      </c>
      <c r="M50" s="231">
        <v>20</v>
      </c>
      <c r="N50" s="339" t="s">
        <v>412</v>
      </c>
      <c r="O50" s="231">
        <v>50</v>
      </c>
      <c r="P50" s="293"/>
    </row>
    <row r="51" spans="1:16" ht="16.95" customHeight="1" x14ac:dyDescent="0.3">
      <c r="A51" s="293"/>
      <c r="B51" s="231">
        <v>75</v>
      </c>
      <c r="C51" s="231">
        <v>80</v>
      </c>
      <c r="D51" s="231">
        <v>60</v>
      </c>
      <c r="E51" s="231">
        <v>85</v>
      </c>
      <c r="F51" s="293"/>
      <c r="G51" s="293"/>
      <c r="J51" s="293"/>
      <c r="K51" s="231">
        <v>75</v>
      </c>
      <c r="L51" s="231">
        <v>80</v>
      </c>
      <c r="M51" s="231">
        <v>60</v>
      </c>
      <c r="N51" s="231">
        <v>85</v>
      </c>
      <c r="O51" s="293"/>
      <c r="P51" s="293"/>
    </row>
    <row r="52" spans="1:16" x14ac:dyDescent="0.3">
      <c r="A52" s="293"/>
      <c r="B52" s="293"/>
      <c r="C52" s="231">
        <v>5</v>
      </c>
      <c r="D52" s="293"/>
      <c r="E52" s="293"/>
      <c r="F52" s="293"/>
      <c r="G52" s="293"/>
      <c r="J52" s="293"/>
      <c r="K52" s="293"/>
      <c r="L52" s="231">
        <v>5</v>
      </c>
      <c r="M52" s="293"/>
      <c r="N52" s="300">
        <v>35</v>
      </c>
      <c r="O52" s="293"/>
      <c r="P52" s="293"/>
    </row>
    <row r="55" spans="1:16" x14ac:dyDescent="0.3">
      <c r="I55" s="136" t="s">
        <v>418</v>
      </c>
      <c r="J55" s="135"/>
    </row>
    <row r="56" spans="1:16" x14ac:dyDescent="0.3">
      <c r="A56" s="124" t="s">
        <v>320</v>
      </c>
      <c r="B56" s="124" t="s">
        <v>403</v>
      </c>
      <c r="C56" s="124"/>
      <c r="D56" s="124"/>
      <c r="E56" s="124"/>
      <c r="F56" s="293"/>
      <c r="G56" s="335"/>
      <c r="H56" s="229"/>
      <c r="I56" s="20" t="s">
        <v>328</v>
      </c>
      <c r="J56" s="234">
        <v>5000</v>
      </c>
      <c r="L56" s="343" t="s">
        <v>391</v>
      </c>
    </row>
    <row r="57" spans="1:16" x14ac:dyDescent="0.3">
      <c r="A57" s="124"/>
      <c r="B57" s="6">
        <v>1</v>
      </c>
      <c r="C57" s="6">
        <v>2</v>
      </c>
      <c r="D57" s="6">
        <v>3</v>
      </c>
      <c r="E57" s="6">
        <v>4</v>
      </c>
      <c r="F57" s="293"/>
      <c r="G57" s="335"/>
      <c r="H57" s="229"/>
      <c r="I57" s="20" t="s">
        <v>327</v>
      </c>
      <c r="J57" s="234">
        <v>60000</v>
      </c>
      <c r="L57" s="343" t="s">
        <v>409</v>
      </c>
    </row>
    <row r="58" spans="1:16" x14ac:dyDescent="0.3">
      <c r="A58" s="6">
        <v>1</v>
      </c>
      <c r="B58" s="336">
        <v>6</v>
      </c>
      <c r="C58" s="342" t="s">
        <v>417</v>
      </c>
      <c r="D58" s="344" t="s">
        <v>416</v>
      </c>
      <c r="E58" s="342" t="s">
        <v>415</v>
      </c>
      <c r="F58" s="336">
        <v>100</v>
      </c>
      <c r="G58" s="340"/>
      <c r="H58" s="229"/>
      <c r="I58" s="20" t="s">
        <v>326</v>
      </c>
      <c r="J58" s="234">
        <v>35000</v>
      </c>
      <c r="L58" s="343" t="s">
        <v>408</v>
      </c>
    </row>
    <row r="59" spans="1:16" x14ac:dyDescent="0.3">
      <c r="A59" s="6">
        <v>2</v>
      </c>
      <c r="B59" s="342" t="s">
        <v>414</v>
      </c>
      <c r="C59" s="341" t="s">
        <v>413</v>
      </c>
      <c r="D59" s="336">
        <v>5</v>
      </c>
      <c r="E59" s="336">
        <v>6</v>
      </c>
      <c r="F59" s="336">
        <v>150</v>
      </c>
      <c r="G59" s="340"/>
      <c r="H59" s="229"/>
      <c r="I59" s="20" t="s">
        <v>324</v>
      </c>
      <c r="J59" s="234">
        <v>75000</v>
      </c>
    </row>
    <row r="60" spans="1:16" x14ac:dyDescent="0.3">
      <c r="A60" s="6">
        <v>3</v>
      </c>
      <c r="B60" s="336">
        <v>3</v>
      </c>
      <c r="C60" s="336">
        <v>10</v>
      </c>
      <c r="D60" s="336">
        <v>20</v>
      </c>
      <c r="E60" s="339" t="s">
        <v>412</v>
      </c>
      <c r="F60" s="336">
        <v>50</v>
      </c>
      <c r="G60" s="338"/>
      <c r="H60" s="229"/>
      <c r="I60" s="20" t="s">
        <v>323</v>
      </c>
      <c r="J60" s="234">
        <v>75000</v>
      </c>
    </row>
    <row r="61" spans="1:16" x14ac:dyDescent="0.3">
      <c r="A61" s="337"/>
      <c r="B61" s="336">
        <v>75</v>
      </c>
      <c r="C61" s="336">
        <v>80</v>
      </c>
      <c r="D61" s="336">
        <v>60</v>
      </c>
      <c r="E61" s="336">
        <v>85</v>
      </c>
      <c r="G61" s="335"/>
      <c r="H61" s="229"/>
      <c r="I61" s="20" t="s">
        <v>322</v>
      </c>
      <c r="J61" s="234">
        <v>50000</v>
      </c>
    </row>
    <row r="62" spans="1:16" x14ac:dyDescent="0.3">
      <c r="G62" s="335"/>
      <c r="I62" s="20" t="s">
        <v>15</v>
      </c>
      <c r="J62" s="232">
        <f>J56*2+J57*3+J58*5+J59+J60*2+J61*4</f>
        <v>790000</v>
      </c>
    </row>
    <row r="65" spans="1:45" x14ac:dyDescent="0.3">
      <c r="A65" s="290" t="s">
        <v>411</v>
      </c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  <c r="AJ65" s="290"/>
      <c r="AK65" s="290"/>
      <c r="AL65" s="290"/>
      <c r="AM65" s="290"/>
      <c r="AN65" s="290"/>
      <c r="AO65" s="290"/>
      <c r="AP65" s="290"/>
      <c r="AQ65" s="290"/>
      <c r="AR65" s="290"/>
      <c r="AS65" s="290"/>
    </row>
    <row r="67" spans="1:45" x14ac:dyDescent="0.3">
      <c r="A67" s="289" t="s">
        <v>391</v>
      </c>
      <c r="C67" s="260" t="s">
        <v>372</v>
      </c>
      <c r="D67" s="332"/>
      <c r="E67" s="334" t="s">
        <v>410</v>
      </c>
      <c r="F67" s="333">
        <v>0</v>
      </c>
      <c r="I67" s="124" t="s">
        <v>320</v>
      </c>
      <c r="J67" s="117" t="s">
        <v>319</v>
      </c>
      <c r="K67" s="117"/>
      <c r="L67" s="117"/>
      <c r="M67" s="117"/>
    </row>
    <row r="68" spans="1:45" x14ac:dyDescent="0.3">
      <c r="A68" s="287" t="s">
        <v>409</v>
      </c>
      <c r="C68" s="260" t="s">
        <v>368</v>
      </c>
      <c r="E68" s="330" t="s">
        <v>365</v>
      </c>
      <c r="F68" s="258">
        <v>2</v>
      </c>
      <c r="H68" s="327"/>
      <c r="I68" s="124"/>
      <c r="J68" s="97">
        <v>1</v>
      </c>
      <c r="K68" s="97">
        <v>2</v>
      </c>
      <c r="L68" s="97">
        <v>3</v>
      </c>
      <c r="M68" s="97">
        <v>4</v>
      </c>
    </row>
    <row r="69" spans="1:45" x14ac:dyDescent="0.3">
      <c r="A69" s="287" t="s">
        <v>408</v>
      </c>
      <c r="C69" s="260" t="s">
        <v>366</v>
      </c>
      <c r="E69" s="330" t="s">
        <v>361</v>
      </c>
      <c r="F69" s="258">
        <v>3</v>
      </c>
      <c r="H69" s="327"/>
      <c r="I69" s="230">
        <v>1</v>
      </c>
      <c r="J69" s="231">
        <v>6</v>
      </c>
      <c r="K69" s="231">
        <v>2</v>
      </c>
      <c r="L69" s="231">
        <v>3</v>
      </c>
      <c r="M69" s="231">
        <v>5</v>
      </c>
    </row>
    <row r="70" spans="1:45" x14ac:dyDescent="0.3">
      <c r="C70" s="260" t="s">
        <v>358</v>
      </c>
      <c r="E70" s="330" t="s">
        <v>357</v>
      </c>
      <c r="F70" s="258">
        <v>5</v>
      </c>
      <c r="H70" s="327"/>
      <c r="I70" s="230">
        <v>2</v>
      </c>
      <c r="J70" s="231">
        <v>1</v>
      </c>
      <c r="K70" s="231">
        <v>2</v>
      </c>
      <c r="L70" s="231">
        <v>5</v>
      </c>
      <c r="M70" s="231">
        <v>6</v>
      </c>
    </row>
    <row r="71" spans="1:45" x14ac:dyDescent="0.3">
      <c r="C71" s="260" t="s">
        <v>354</v>
      </c>
      <c r="D71" s="332"/>
      <c r="E71" s="331" t="s">
        <v>346</v>
      </c>
      <c r="F71" s="258">
        <v>0</v>
      </c>
      <c r="H71" s="327"/>
      <c r="I71" s="230">
        <v>3</v>
      </c>
      <c r="J71" s="231">
        <v>3</v>
      </c>
      <c r="K71" s="231">
        <v>10</v>
      </c>
      <c r="L71" s="231">
        <v>20</v>
      </c>
      <c r="M71" s="231">
        <v>4</v>
      </c>
    </row>
    <row r="72" spans="1:45" x14ac:dyDescent="0.3">
      <c r="C72" s="260" t="s">
        <v>350</v>
      </c>
      <c r="E72" s="330" t="s">
        <v>349</v>
      </c>
      <c r="F72" s="258">
        <v>1</v>
      </c>
      <c r="H72" s="327"/>
    </row>
    <row r="73" spans="1:45" x14ac:dyDescent="0.3">
      <c r="E73" s="329" t="s">
        <v>343</v>
      </c>
      <c r="F73" s="328">
        <v>-1</v>
      </c>
      <c r="H73" s="327"/>
      <c r="I73" s="228" t="s">
        <v>321</v>
      </c>
    </row>
    <row r="74" spans="1:45" x14ac:dyDescent="0.3">
      <c r="E74" s="326"/>
      <c r="F74" s="325"/>
      <c r="I74" s="124" t="s">
        <v>320</v>
      </c>
      <c r="J74" s="117" t="s">
        <v>319</v>
      </c>
      <c r="K74" s="117"/>
      <c r="L74" s="117"/>
      <c r="M74" s="117"/>
    </row>
    <row r="75" spans="1:45" x14ac:dyDescent="0.3">
      <c r="A75" s="279" t="s">
        <v>370</v>
      </c>
      <c r="B75" s="278"/>
      <c r="D75" s="279" t="s">
        <v>369</v>
      </c>
      <c r="E75" s="278"/>
      <c r="F75" s="324"/>
      <c r="I75" s="124"/>
      <c r="J75" s="97">
        <v>1</v>
      </c>
      <c r="K75" s="97">
        <v>2</v>
      </c>
      <c r="L75" s="97">
        <v>3</v>
      </c>
      <c r="M75" s="97">
        <v>4</v>
      </c>
    </row>
    <row r="76" spans="1:45" x14ac:dyDescent="0.3">
      <c r="A76" s="275"/>
      <c r="B76" s="274"/>
      <c r="D76" s="275"/>
      <c r="E76" s="274"/>
      <c r="I76" s="230">
        <v>1</v>
      </c>
      <c r="J76" s="135">
        <v>0</v>
      </c>
      <c r="K76" s="135">
        <v>5</v>
      </c>
      <c r="L76" s="135">
        <v>60</v>
      </c>
      <c r="M76" s="135">
        <v>35</v>
      </c>
      <c r="N76" s="229">
        <f>SUM(J76:M76)</f>
        <v>100</v>
      </c>
      <c r="O76" s="229" t="s">
        <v>318</v>
      </c>
      <c r="P76" s="229">
        <v>100</v>
      </c>
    </row>
    <row r="77" spans="1:45" x14ac:dyDescent="0.3">
      <c r="A77" s="259" t="s">
        <v>364</v>
      </c>
      <c r="B77" s="258">
        <f>F67+F72</f>
        <v>1</v>
      </c>
      <c r="D77" s="259" t="s">
        <v>363</v>
      </c>
      <c r="E77" s="258">
        <f>B58-B77</f>
        <v>5</v>
      </c>
      <c r="I77" s="230">
        <v>2</v>
      </c>
      <c r="J77" s="135">
        <v>75</v>
      </c>
      <c r="K77" s="135">
        <v>75</v>
      </c>
      <c r="L77" s="135">
        <v>0</v>
      </c>
      <c r="M77" s="135">
        <v>0</v>
      </c>
      <c r="N77" s="229">
        <f>SUM(J77:M77)</f>
        <v>150</v>
      </c>
      <c r="O77" s="229" t="s">
        <v>318</v>
      </c>
      <c r="P77" s="229">
        <v>150</v>
      </c>
    </row>
    <row r="78" spans="1:45" x14ac:dyDescent="0.3">
      <c r="A78" s="259" t="s">
        <v>360</v>
      </c>
      <c r="B78" s="258">
        <f>F71+F69</f>
        <v>3</v>
      </c>
      <c r="D78" s="259" t="s">
        <v>359</v>
      </c>
      <c r="E78" s="258">
        <f>D59-B78</f>
        <v>2</v>
      </c>
      <c r="I78" s="230">
        <v>3</v>
      </c>
      <c r="J78" s="135">
        <v>0</v>
      </c>
      <c r="K78" s="135">
        <v>0</v>
      </c>
      <c r="L78" s="135">
        <v>0</v>
      </c>
      <c r="M78" s="135">
        <v>50</v>
      </c>
      <c r="N78" s="229">
        <f>SUM(J78:M78)</f>
        <v>50</v>
      </c>
      <c r="O78" s="229" t="s">
        <v>318</v>
      </c>
      <c r="P78" s="229">
        <v>50</v>
      </c>
    </row>
    <row r="79" spans="1:45" x14ac:dyDescent="0.3">
      <c r="A79" s="259" t="s">
        <v>356</v>
      </c>
      <c r="B79" s="258">
        <f>F71+F70</f>
        <v>5</v>
      </c>
      <c r="D79" s="259" t="s">
        <v>355</v>
      </c>
      <c r="E79" s="258">
        <f>E59-B79</f>
        <v>1</v>
      </c>
      <c r="J79" s="229">
        <f>SUM(J76:J78)</f>
        <v>75</v>
      </c>
      <c r="K79" s="229">
        <f>SUM(K76:K78)</f>
        <v>80</v>
      </c>
      <c r="L79" s="229">
        <f>SUM(L76:L78)</f>
        <v>60</v>
      </c>
      <c r="M79" s="229">
        <f>SUM(M76:M78)</f>
        <v>85</v>
      </c>
    </row>
    <row r="80" spans="1:45" x14ac:dyDescent="0.3">
      <c r="A80" s="259" t="s">
        <v>348</v>
      </c>
      <c r="B80" s="258">
        <f>F73+F72</f>
        <v>0</v>
      </c>
      <c r="D80" s="259" t="s">
        <v>347</v>
      </c>
      <c r="E80" s="258">
        <f>B60-B80</f>
        <v>3</v>
      </c>
      <c r="J80" s="229" t="s">
        <v>318</v>
      </c>
      <c r="K80" s="229" t="s">
        <v>318</v>
      </c>
      <c r="L80" s="229" t="s">
        <v>318</v>
      </c>
      <c r="M80" s="229" t="s">
        <v>318</v>
      </c>
    </row>
    <row r="81" spans="1:71" x14ac:dyDescent="0.3">
      <c r="A81" s="259" t="s">
        <v>345</v>
      </c>
      <c r="B81" s="258">
        <f>F73+F68</f>
        <v>1</v>
      </c>
      <c r="D81" s="259" t="s">
        <v>344</v>
      </c>
      <c r="E81" s="258">
        <f>C60-B81</f>
        <v>9</v>
      </c>
      <c r="J81" s="229">
        <v>75</v>
      </c>
      <c r="K81" s="229">
        <v>80</v>
      </c>
      <c r="L81" s="229">
        <v>60</v>
      </c>
      <c r="M81" s="229">
        <v>85</v>
      </c>
    </row>
    <row r="82" spans="1:71" x14ac:dyDescent="0.3">
      <c r="A82" s="259" t="s">
        <v>342</v>
      </c>
      <c r="B82" s="258">
        <f>F73+F69</f>
        <v>2</v>
      </c>
      <c r="D82" s="259" t="s">
        <v>341</v>
      </c>
      <c r="E82" s="258">
        <f>D60-B82</f>
        <v>18</v>
      </c>
    </row>
    <row r="83" spans="1:71" x14ac:dyDescent="0.3">
      <c r="M83" s="228">
        <f>SUMPRODUCT(J69:M71,J76:M78)</f>
        <v>790</v>
      </c>
    </row>
    <row r="84" spans="1:71" x14ac:dyDescent="0.3">
      <c r="D84" s="323" t="s">
        <v>338</v>
      </c>
    </row>
    <row r="86" spans="1:71" x14ac:dyDescent="0.3">
      <c r="A86" s="124" t="s">
        <v>320</v>
      </c>
      <c r="B86" s="117" t="s">
        <v>337</v>
      </c>
      <c r="C86" s="117"/>
      <c r="D86" s="117"/>
      <c r="E86" s="117"/>
      <c r="F86" s="117"/>
      <c r="G86" s="117"/>
      <c r="H86" s="117"/>
      <c r="I86" s="117"/>
      <c r="J86" s="235"/>
    </row>
    <row r="87" spans="1:71" x14ac:dyDescent="0.3">
      <c r="A87" s="124"/>
      <c r="B87" s="117">
        <v>1</v>
      </c>
      <c r="C87" s="117"/>
      <c r="D87" s="117">
        <v>2</v>
      </c>
      <c r="E87" s="117"/>
      <c r="F87" s="117">
        <v>3</v>
      </c>
      <c r="G87" s="117"/>
      <c r="H87" s="117">
        <v>4</v>
      </c>
      <c r="I87" s="117"/>
      <c r="J87" s="235"/>
    </row>
    <row r="88" spans="1:71" x14ac:dyDescent="0.3">
      <c r="A88" s="124">
        <v>1</v>
      </c>
      <c r="B88" s="316">
        <v>1</v>
      </c>
      <c r="C88" s="315">
        <v>6</v>
      </c>
      <c r="D88" s="321"/>
      <c r="E88" s="320">
        <v>2</v>
      </c>
      <c r="F88" s="321"/>
      <c r="G88" s="320">
        <v>3</v>
      </c>
      <c r="H88" s="321"/>
      <c r="I88" s="320">
        <v>5</v>
      </c>
      <c r="J88" s="307" t="s">
        <v>336</v>
      </c>
    </row>
    <row r="89" spans="1:71" x14ac:dyDescent="0.3">
      <c r="A89" s="124"/>
      <c r="B89" s="312"/>
      <c r="C89" s="322">
        <v>5</v>
      </c>
      <c r="D89" s="319">
        <v>5</v>
      </c>
      <c r="E89" s="318"/>
      <c r="F89" s="319">
        <v>60</v>
      </c>
      <c r="G89" s="318"/>
      <c r="H89" s="319">
        <v>35</v>
      </c>
      <c r="I89" s="318"/>
      <c r="J89" s="307"/>
    </row>
    <row r="90" spans="1:71" x14ac:dyDescent="0.3">
      <c r="A90" s="124">
        <v>2</v>
      </c>
      <c r="B90" s="309"/>
      <c r="C90" s="309">
        <v>1</v>
      </c>
      <c r="D90" s="321"/>
      <c r="E90" s="320">
        <v>2</v>
      </c>
      <c r="F90" s="313">
        <v>3</v>
      </c>
      <c r="G90" s="313">
        <v>5</v>
      </c>
      <c r="H90" s="316">
        <v>5</v>
      </c>
      <c r="I90" s="315">
        <v>6</v>
      </c>
      <c r="J90" s="307" t="s">
        <v>335</v>
      </c>
    </row>
    <row r="91" spans="1:71" x14ac:dyDescent="0.3">
      <c r="A91" s="124"/>
      <c r="B91" s="310">
        <v>75</v>
      </c>
      <c r="C91" s="309"/>
      <c r="D91" s="319">
        <v>75</v>
      </c>
      <c r="E91" s="318"/>
      <c r="F91" s="317"/>
      <c r="G91" s="313">
        <v>2</v>
      </c>
      <c r="H91" s="314"/>
      <c r="I91" s="311">
        <v>1</v>
      </c>
      <c r="J91" s="307"/>
    </row>
    <row r="92" spans="1:71" x14ac:dyDescent="0.3">
      <c r="A92" s="124">
        <v>3</v>
      </c>
      <c r="B92" s="316">
        <v>0</v>
      </c>
      <c r="C92" s="315">
        <v>3</v>
      </c>
      <c r="D92" s="313">
        <v>1</v>
      </c>
      <c r="E92" s="313">
        <v>10</v>
      </c>
      <c r="F92" s="316">
        <v>2</v>
      </c>
      <c r="G92" s="315">
        <v>20</v>
      </c>
      <c r="H92" s="309"/>
      <c r="I92" s="309">
        <v>4</v>
      </c>
      <c r="J92" s="307" t="s">
        <v>407</v>
      </c>
    </row>
    <row r="93" spans="1:71" x14ac:dyDescent="0.3">
      <c r="A93" s="124"/>
      <c r="B93" s="314"/>
      <c r="C93" s="311">
        <v>3</v>
      </c>
      <c r="D93" s="313"/>
      <c r="E93" s="313">
        <v>9</v>
      </c>
      <c r="F93" s="312"/>
      <c r="G93" s="311">
        <v>18</v>
      </c>
      <c r="H93" s="310">
        <v>50</v>
      </c>
      <c r="I93" s="309"/>
      <c r="J93" s="307"/>
    </row>
    <row r="94" spans="1:71" x14ac:dyDescent="0.3">
      <c r="A94" s="308"/>
      <c r="B94" s="307" t="s">
        <v>333</v>
      </c>
      <c r="C94" s="307"/>
      <c r="D94" s="307" t="s">
        <v>332</v>
      </c>
      <c r="E94" s="307"/>
      <c r="F94" s="307" t="s">
        <v>406</v>
      </c>
      <c r="G94" s="307"/>
      <c r="H94" s="307" t="s">
        <v>405</v>
      </c>
      <c r="I94" s="307"/>
      <c r="J94" s="235"/>
    </row>
    <row r="96" spans="1:71" x14ac:dyDescent="0.3">
      <c r="A96" s="290" t="s">
        <v>404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90"/>
      <c r="AB96" s="290"/>
      <c r="AC96" s="290"/>
      <c r="AD96" s="290"/>
      <c r="AE96" s="290"/>
      <c r="AF96" s="290"/>
      <c r="AG96" s="290"/>
      <c r="AH96" s="290"/>
      <c r="AI96" s="290"/>
      <c r="AJ96" s="290"/>
      <c r="AK96" s="290"/>
      <c r="AL96" s="290"/>
      <c r="AM96" s="290"/>
      <c r="AN96" s="290"/>
      <c r="AO96" s="290"/>
      <c r="AP96" s="290"/>
      <c r="AQ96" s="290"/>
      <c r="AR96" s="290"/>
      <c r="AS96" s="290"/>
      <c r="AT96" s="290"/>
      <c r="AU96" s="290"/>
      <c r="AV96" s="290"/>
      <c r="AW96" s="290"/>
      <c r="AX96" s="290"/>
      <c r="AY96" s="290"/>
      <c r="AZ96" s="290"/>
      <c r="BA96" s="290"/>
      <c r="BB96" s="290"/>
      <c r="BC96" s="290"/>
      <c r="BD96" s="290"/>
      <c r="BE96" s="290"/>
      <c r="BF96" s="290"/>
      <c r="BG96" s="290"/>
      <c r="BH96" s="290"/>
      <c r="BI96" s="290"/>
      <c r="BJ96" s="290"/>
      <c r="BK96" s="290"/>
      <c r="BL96" s="290"/>
      <c r="BM96" s="290"/>
      <c r="BN96" s="290"/>
      <c r="BO96" s="290"/>
      <c r="BP96" s="290"/>
      <c r="BQ96" s="290"/>
      <c r="BR96" s="290"/>
      <c r="BS96" s="290"/>
    </row>
    <row r="98" spans="1:17" x14ac:dyDescent="0.3">
      <c r="A98" s="124" t="s">
        <v>320</v>
      </c>
      <c r="B98" s="124" t="s">
        <v>403</v>
      </c>
      <c r="C98" s="124"/>
      <c r="D98" s="124"/>
      <c r="E98" s="124"/>
      <c r="F98" s="124"/>
      <c r="J98" s="124" t="s">
        <v>320</v>
      </c>
      <c r="K98" s="124" t="s">
        <v>403</v>
      </c>
      <c r="L98" s="124"/>
      <c r="M98" s="124"/>
      <c r="N98" s="124"/>
      <c r="O98" s="124"/>
      <c r="P98" s="293"/>
    </row>
    <row r="99" spans="1:17" x14ac:dyDescent="0.3">
      <c r="A99" s="124"/>
      <c r="B99" s="6">
        <v>1</v>
      </c>
      <c r="C99" s="6">
        <v>2</v>
      </c>
      <c r="D99" s="6">
        <v>3</v>
      </c>
      <c r="E99" s="6">
        <v>4</v>
      </c>
      <c r="F99" s="6">
        <v>5</v>
      </c>
      <c r="J99" s="124"/>
      <c r="K99" s="6">
        <v>1</v>
      </c>
      <c r="L99" s="6">
        <v>2</v>
      </c>
      <c r="M99" s="6">
        <v>3</v>
      </c>
      <c r="N99" s="6">
        <v>4</v>
      </c>
      <c r="O99" s="6">
        <v>5</v>
      </c>
      <c r="P99" s="293"/>
    </row>
    <row r="100" spans="1:17" x14ac:dyDescent="0.3">
      <c r="A100" s="6">
        <v>1</v>
      </c>
      <c r="B100" s="231">
        <v>6</v>
      </c>
      <c r="C100" s="231">
        <v>2</v>
      </c>
      <c r="D100" s="231">
        <v>3</v>
      </c>
      <c r="E100" s="231">
        <v>5</v>
      </c>
      <c r="F100" s="231">
        <v>0</v>
      </c>
      <c r="G100" s="231">
        <v>100</v>
      </c>
      <c r="J100" s="6">
        <v>1</v>
      </c>
      <c r="K100" s="231">
        <v>6</v>
      </c>
      <c r="L100" s="231">
        <v>2</v>
      </c>
      <c r="M100" s="231">
        <v>3</v>
      </c>
      <c r="N100" s="231">
        <v>5</v>
      </c>
      <c r="O100" s="296" t="s">
        <v>401</v>
      </c>
      <c r="P100" s="231">
        <v>100</v>
      </c>
      <c r="Q100" s="231">
        <v>70</v>
      </c>
    </row>
    <row r="101" spans="1:17" x14ac:dyDescent="0.3">
      <c r="A101" s="6">
        <v>2</v>
      </c>
      <c r="B101" s="231">
        <v>1</v>
      </c>
      <c r="C101" s="231">
        <v>2</v>
      </c>
      <c r="D101" s="231">
        <v>5</v>
      </c>
      <c r="E101" s="231">
        <v>6</v>
      </c>
      <c r="F101" s="231">
        <v>0</v>
      </c>
      <c r="G101" s="231">
        <v>150</v>
      </c>
      <c r="J101" s="6">
        <v>2</v>
      </c>
      <c r="K101" s="231">
        <v>1</v>
      </c>
      <c r="L101" s="231">
        <v>2</v>
      </c>
      <c r="M101" s="231">
        <v>5</v>
      </c>
      <c r="N101" s="231">
        <v>6</v>
      </c>
      <c r="O101" s="231">
        <v>0</v>
      </c>
      <c r="P101" s="231">
        <v>150</v>
      </c>
    </row>
    <row r="102" spans="1:17" x14ac:dyDescent="0.3">
      <c r="A102" s="6">
        <v>3</v>
      </c>
      <c r="B102" s="231">
        <v>3</v>
      </c>
      <c r="C102" s="231">
        <v>10</v>
      </c>
      <c r="D102" s="231">
        <v>20</v>
      </c>
      <c r="E102" s="231">
        <v>4</v>
      </c>
      <c r="F102" s="231">
        <v>0</v>
      </c>
      <c r="G102" s="231">
        <v>80</v>
      </c>
      <c r="J102" s="6">
        <v>3</v>
      </c>
      <c r="K102" s="231">
        <v>3</v>
      </c>
      <c r="L102" s="231">
        <v>10</v>
      </c>
      <c r="M102" s="231">
        <v>20</v>
      </c>
      <c r="N102" s="231">
        <v>4</v>
      </c>
      <c r="O102" s="231">
        <v>0</v>
      </c>
      <c r="P102" s="231">
        <v>80</v>
      </c>
    </row>
    <row r="103" spans="1:17" x14ac:dyDescent="0.3">
      <c r="A103" s="305"/>
      <c r="B103" s="231">
        <v>75</v>
      </c>
      <c r="C103" s="231">
        <v>80</v>
      </c>
      <c r="D103" s="231">
        <v>60</v>
      </c>
      <c r="E103" s="231">
        <v>85</v>
      </c>
      <c r="F103" s="300">
        <v>30</v>
      </c>
      <c r="J103" s="305"/>
      <c r="K103" s="231">
        <v>75</v>
      </c>
      <c r="L103" s="231">
        <v>80</v>
      </c>
      <c r="M103" s="231">
        <v>60</v>
      </c>
      <c r="N103" s="231">
        <v>85</v>
      </c>
      <c r="O103" s="231">
        <v>30</v>
      </c>
      <c r="P103" s="293"/>
    </row>
    <row r="104" spans="1:17" x14ac:dyDescent="0.3">
      <c r="O104" s="306"/>
    </row>
    <row r="106" spans="1:17" x14ac:dyDescent="0.3">
      <c r="A106" s="124" t="s">
        <v>320</v>
      </c>
      <c r="B106" s="124" t="s">
        <v>403</v>
      </c>
      <c r="C106" s="124"/>
      <c r="D106" s="124"/>
      <c r="E106" s="124"/>
      <c r="F106" s="124"/>
      <c r="G106" s="293"/>
      <c r="H106" s="293"/>
      <c r="J106" s="124" t="s">
        <v>320</v>
      </c>
      <c r="K106" s="124" t="s">
        <v>403</v>
      </c>
      <c r="L106" s="124"/>
      <c r="M106" s="124"/>
      <c r="N106" s="124"/>
      <c r="O106" s="124"/>
      <c r="P106" s="293"/>
      <c r="Q106" s="293"/>
    </row>
    <row r="107" spans="1:17" x14ac:dyDescent="0.3">
      <c r="A107" s="124"/>
      <c r="B107" s="6">
        <v>1</v>
      </c>
      <c r="C107" s="6">
        <v>2</v>
      </c>
      <c r="D107" s="6">
        <v>3</v>
      </c>
      <c r="E107" s="6">
        <v>4</v>
      </c>
      <c r="F107" s="6">
        <v>5</v>
      </c>
      <c r="G107" s="293"/>
      <c r="H107" s="293"/>
      <c r="J107" s="124"/>
      <c r="K107" s="6">
        <v>1</v>
      </c>
      <c r="L107" s="6">
        <v>2</v>
      </c>
      <c r="M107" s="6">
        <v>3</v>
      </c>
      <c r="N107" s="6">
        <v>4</v>
      </c>
      <c r="O107" s="6">
        <v>5</v>
      </c>
      <c r="P107" s="293"/>
      <c r="Q107" s="293"/>
    </row>
    <row r="108" spans="1:17" x14ac:dyDescent="0.3">
      <c r="A108" s="6">
        <v>1</v>
      </c>
      <c r="B108" s="231">
        <v>6</v>
      </c>
      <c r="C108" s="231">
        <v>2</v>
      </c>
      <c r="D108" s="231">
        <v>3</v>
      </c>
      <c r="E108" s="231">
        <v>5</v>
      </c>
      <c r="F108" s="296" t="s">
        <v>401</v>
      </c>
      <c r="G108" s="231">
        <v>100</v>
      </c>
      <c r="H108" s="231">
        <v>70</v>
      </c>
      <c r="J108" s="6">
        <v>1</v>
      </c>
      <c r="K108" s="231">
        <v>6</v>
      </c>
      <c r="L108" s="301" t="s">
        <v>402</v>
      </c>
      <c r="M108" s="231">
        <v>3</v>
      </c>
      <c r="N108" s="231">
        <v>5</v>
      </c>
      <c r="O108" s="296" t="s">
        <v>401</v>
      </c>
      <c r="P108" s="231">
        <v>100</v>
      </c>
      <c r="Q108" s="231">
        <v>70</v>
      </c>
    </row>
    <row r="109" spans="1:17" x14ac:dyDescent="0.3">
      <c r="A109" s="6">
        <v>2</v>
      </c>
      <c r="B109" s="299" t="s">
        <v>400</v>
      </c>
      <c r="C109" s="231">
        <v>2</v>
      </c>
      <c r="D109" s="231">
        <v>5</v>
      </c>
      <c r="E109" s="231">
        <v>6</v>
      </c>
      <c r="F109" s="231">
        <v>0</v>
      </c>
      <c r="G109" s="231">
        <v>150</v>
      </c>
      <c r="H109" s="300">
        <v>75</v>
      </c>
      <c r="J109" s="6">
        <v>2</v>
      </c>
      <c r="K109" s="296" t="s">
        <v>400</v>
      </c>
      <c r="L109" s="231">
        <v>2</v>
      </c>
      <c r="M109" s="231">
        <v>5</v>
      </c>
      <c r="N109" s="231">
        <v>6</v>
      </c>
      <c r="O109" s="231">
        <v>0</v>
      </c>
      <c r="P109" s="231">
        <v>150</v>
      </c>
      <c r="Q109" s="300">
        <v>75</v>
      </c>
    </row>
    <row r="110" spans="1:17" x14ac:dyDescent="0.3">
      <c r="A110" s="6">
        <v>3</v>
      </c>
      <c r="B110" s="231">
        <v>3</v>
      </c>
      <c r="C110" s="231">
        <v>10</v>
      </c>
      <c r="D110" s="231">
        <v>20</v>
      </c>
      <c r="E110" s="231">
        <v>4</v>
      </c>
      <c r="F110" s="231">
        <v>0</v>
      </c>
      <c r="G110" s="231">
        <v>80</v>
      </c>
      <c r="H110" s="293"/>
      <c r="J110" s="6">
        <v>3</v>
      </c>
      <c r="K110" s="231">
        <v>3</v>
      </c>
      <c r="L110" s="231">
        <v>10</v>
      </c>
      <c r="M110" s="231">
        <v>20</v>
      </c>
      <c r="N110" s="231">
        <v>4</v>
      </c>
      <c r="O110" s="231">
        <v>0</v>
      </c>
      <c r="P110" s="231">
        <v>80</v>
      </c>
      <c r="Q110" s="293"/>
    </row>
    <row r="111" spans="1:17" x14ac:dyDescent="0.3">
      <c r="A111" s="305"/>
      <c r="B111" s="231">
        <v>75</v>
      </c>
      <c r="C111" s="231">
        <v>80</v>
      </c>
      <c r="D111" s="231">
        <v>60</v>
      </c>
      <c r="E111" s="231">
        <v>85</v>
      </c>
      <c r="F111" s="231">
        <v>30</v>
      </c>
      <c r="G111" s="293"/>
      <c r="H111" s="293"/>
      <c r="I111" s="304"/>
      <c r="J111" s="293"/>
      <c r="K111" s="231">
        <v>75</v>
      </c>
      <c r="L111" s="231">
        <v>80</v>
      </c>
      <c r="M111" s="231">
        <v>60</v>
      </c>
      <c r="N111" s="231">
        <v>85</v>
      </c>
      <c r="O111" s="231">
        <v>30</v>
      </c>
      <c r="P111" s="293"/>
      <c r="Q111" s="293"/>
    </row>
    <row r="112" spans="1:17" x14ac:dyDescent="0.3">
      <c r="L112" s="231">
        <v>10</v>
      </c>
    </row>
    <row r="114" spans="1:19" x14ac:dyDescent="0.3">
      <c r="A114" s="293"/>
      <c r="B114" s="293"/>
      <c r="C114" s="293"/>
      <c r="D114" s="293"/>
      <c r="E114" s="293"/>
      <c r="F114" s="293"/>
      <c r="G114" s="293"/>
      <c r="H114" s="293"/>
    </row>
    <row r="115" spans="1:19" x14ac:dyDescent="0.3">
      <c r="A115" s="124" t="s">
        <v>320</v>
      </c>
      <c r="B115" s="124" t="s">
        <v>403</v>
      </c>
      <c r="C115" s="124"/>
      <c r="D115" s="124"/>
      <c r="E115" s="124"/>
      <c r="F115" s="124"/>
      <c r="G115" s="293"/>
      <c r="H115" s="293"/>
      <c r="K115" s="124" t="s">
        <v>320</v>
      </c>
      <c r="L115" s="124" t="s">
        <v>403</v>
      </c>
      <c r="M115" s="124"/>
      <c r="N115" s="124"/>
      <c r="O115" s="124"/>
      <c r="P115" s="124"/>
      <c r="Q115" s="293"/>
      <c r="R115" s="293"/>
    </row>
    <row r="116" spans="1:19" x14ac:dyDescent="0.3">
      <c r="A116" s="124"/>
      <c r="B116" s="6">
        <v>1</v>
      </c>
      <c r="C116" s="6">
        <v>2</v>
      </c>
      <c r="D116" s="6">
        <v>3</v>
      </c>
      <c r="E116" s="6">
        <v>4</v>
      </c>
      <c r="F116" s="6">
        <v>5</v>
      </c>
      <c r="G116" s="293"/>
      <c r="H116" s="293"/>
      <c r="K116" s="124"/>
      <c r="L116" s="6">
        <v>1</v>
      </c>
      <c r="M116" s="6">
        <v>2</v>
      </c>
      <c r="N116" s="6">
        <v>3</v>
      </c>
      <c r="O116" s="6">
        <v>4</v>
      </c>
      <c r="P116" s="6">
        <v>5</v>
      </c>
      <c r="Q116" s="293"/>
      <c r="R116" s="293"/>
    </row>
    <row r="117" spans="1:19" x14ac:dyDescent="0.3">
      <c r="A117" s="6">
        <v>1</v>
      </c>
      <c r="B117" s="231">
        <v>6</v>
      </c>
      <c r="C117" s="296" t="s">
        <v>402</v>
      </c>
      <c r="D117" s="231">
        <v>3</v>
      </c>
      <c r="E117" s="231">
        <v>5</v>
      </c>
      <c r="F117" s="296" t="s">
        <v>401</v>
      </c>
      <c r="G117" s="231">
        <v>100</v>
      </c>
      <c r="H117" s="231">
        <v>70</v>
      </c>
      <c r="K117" s="6">
        <v>1</v>
      </c>
      <c r="L117" s="231">
        <v>6</v>
      </c>
      <c r="M117" s="296" t="s">
        <v>402</v>
      </c>
      <c r="N117" s="231">
        <v>3</v>
      </c>
      <c r="O117" s="231">
        <v>5</v>
      </c>
      <c r="P117" s="296" t="s">
        <v>401</v>
      </c>
      <c r="Q117" s="231">
        <v>100</v>
      </c>
      <c r="R117" s="231">
        <v>70</v>
      </c>
    </row>
    <row r="118" spans="1:19" x14ac:dyDescent="0.3">
      <c r="A118" s="6">
        <v>2</v>
      </c>
      <c r="B118" s="296" t="s">
        <v>400</v>
      </c>
      <c r="C118" s="301" t="s">
        <v>399</v>
      </c>
      <c r="D118" s="231">
        <v>5</v>
      </c>
      <c r="E118" s="231">
        <v>6</v>
      </c>
      <c r="F118" s="231">
        <v>0</v>
      </c>
      <c r="G118" s="231">
        <v>150</v>
      </c>
      <c r="H118" s="300">
        <v>75</v>
      </c>
      <c r="I118" s="231">
        <v>65</v>
      </c>
      <c r="K118" s="6">
        <v>2</v>
      </c>
      <c r="L118" s="303" t="s">
        <v>400</v>
      </c>
      <c r="M118" s="302" t="s">
        <v>399</v>
      </c>
      <c r="N118" s="231">
        <v>5</v>
      </c>
      <c r="O118" s="231">
        <v>6</v>
      </c>
      <c r="P118" s="231">
        <v>0</v>
      </c>
      <c r="Q118" s="231">
        <v>150</v>
      </c>
      <c r="R118" s="300">
        <v>75</v>
      </c>
      <c r="S118" s="231">
        <v>65</v>
      </c>
    </row>
    <row r="119" spans="1:19" x14ac:dyDescent="0.3">
      <c r="A119" s="6">
        <v>3</v>
      </c>
      <c r="B119" s="231">
        <v>3</v>
      </c>
      <c r="C119" s="231">
        <v>10</v>
      </c>
      <c r="D119" s="231">
        <v>20</v>
      </c>
      <c r="E119" s="231">
        <v>4</v>
      </c>
      <c r="F119" s="231">
        <v>0</v>
      </c>
      <c r="G119" s="231">
        <v>80</v>
      </c>
      <c r="H119" s="293"/>
      <c r="K119" s="6">
        <v>3</v>
      </c>
      <c r="L119" s="231">
        <v>3</v>
      </c>
      <c r="M119" s="231">
        <v>10</v>
      </c>
      <c r="N119" s="231">
        <v>20</v>
      </c>
      <c r="O119" s="301" t="s">
        <v>396</v>
      </c>
      <c r="P119" s="231">
        <v>0</v>
      </c>
      <c r="Q119" s="231">
        <v>80</v>
      </c>
      <c r="R119" s="293"/>
    </row>
    <row r="120" spans="1:19" x14ac:dyDescent="0.3">
      <c r="A120" s="293"/>
      <c r="B120" s="231">
        <v>75</v>
      </c>
      <c r="C120" s="231">
        <v>80</v>
      </c>
      <c r="D120" s="231">
        <v>60</v>
      </c>
      <c r="E120" s="231">
        <v>85</v>
      </c>
      <c r="F120" s="231">
        <v>30</v>
      </c>
      <c r="G120" s="293"/>
      <c r="H120" s="293"/>
      <c r="K120" s="293"/>
      <c r="L120" s="231">
        <v>75</v>
      </c>
      <c r="M120" s="231">
        <v>80</v>
      </c>
      <c r="N120" s="231">
        <v>60</v>
      </c>
      <c r="O120" s="231">
        <v>85</v>
      </c>
      <c r="P120" s="231">
        <v>30</v>
      </c>
      <c r="Q120" s="293"/>
      <c r="R120" s="293"/>
    </row>
    <row r="121" spans="1:19" x14ac:dyDescent="0.3">
      <c r="A121" s="293"/>
      <c r="B121" s="293"/>
      <c r="C121" s="231">
        <v>10</v>
      </c>
      <c r="D121" s="293"/>
      <c r="E121" s="293"/>
      <c r="F121" s="293"/>
      <c r="G121" s="293"/>
      <c r="H121" s="293"/>
      <c r="K121" s="293"/>
      <c r="L121" s="293"/>
      <c r="M121" s="231">
        <v>10</v>
      </c>
      <c r="N121" s="293"/>
      <c r="O121" s="300">
        <v>5</v>
      </c>
      <c r="P121" s="293"/>
      <c r="Q121" s="293"/>
      <c r="R121" s="293"/>
    </row>
    <row r="124" spans="1:19" x14ac:dyDescent="0.3">
      <c r="A124" s="124" t="s">
        <v>320</v>
      </c>
      <c r="B124" s="124" t="s">
        <v>403</v>
      </c>
      <c r="C124" s="124"/>
      <c r="D124" s="124"/>
      <c r="E124" s="124"/>
      <c r="F124" s="124"/>
      <c r="G124" s="293"/>
      <c r="H124" s="293"/>
      <c r="I124" s="293"/>
      <c r="L124" s="124" t="s">
        <v>320</v>
      </c>
      <c r="M124" s="124" t="s">
        <v>403</v>
      </c>
      <c r="N124" s="124"/>
      <c r="O124" s="124"/>
      <c r="P124" s="124"/>
      <c r="Q124" s="124"/>
      <c r="R124" s="293"/>
    </row>
    <row r="125" spans="1:19" x14ac:dyDescent="0.3">
      <c r="A125" s="124"/>
      <c r="B125" s="6">
        <v>1</v>
      </c>
      <c r="C125" s="6">
        <v>2</v>
      </c>
      <c r="D125" s="6">
        <v>3</v>
      </c>
      <c r="E125" s="6">
        <v>4</v>
      </c>
      <c r="F125" s="6">
        <v>5</v>
      </c>
      <c r="G125" s="293"/>
      <c r="H125" s="293"/>
      <c r="I125" s="293"/>
      <c r="L125" s="124"/>
      <c r="M125" s="6">
        <v>1</v>
      </c>
      <c r="N125" s="6">
        <v>2</v>
      </c>
      <c r="O125" s="6">
        <v>3</v>
      </c>
      <c r="P125" s="6">
        <v>4</v>
      </c>
      <c r="Q125" s="6">
        <v>5</v>
      </c>
      <c r="R125" s="293"/>
    </row>
    <row r="126" spans="1:19" x14ac:dyDescent="0.3">
      <c r="A126" s="6">
        <v>1</v>
      </c>
      <c r="B126" s="231">
        <v>6</v>
      </c>
      <c r="C126" s="296" t="s">
        <v>402</v>
      </c>
      <c r="D126" s="231">
        <v>3</v>
      </c>
      <c r="E126" s="231">
        <v>5</v>
      </c>
      <c r="F126" s="296" t="s">
        <v>401</v>
      </c>
      <c r="G126" s="231">
        <v>100</v>
      </c>
      <c r="H126" s="231">
        <v>70</v>
      </c>
      <c r="I126" s="293"/>
      <c r="L126" s="6">
        <v>1</v>
      </c>
      <c r="M126" s="231">
        <v>6</v>
      </c>
      <c r="N126" s="295" t="s">
        <v>402</v>
      </c>
      <c r="O126" s="231">
        <v>3</v>
      </c>
      <c r="P126" s="231">
        <v>5</v>
      </c>
      <c r="Q126" s="297" t="s">
        <v>401</v>
      </c>
      <c r="R126" s="231">
        <v>100</v>
      </c>
    </row>
    <row r="127" spans="1:19" x14ac:dyDescent="0.3">
      <c r="A127" s="6">
        <v>2</v>
      </c>
      <c r="B127" s="296" t="s">
        <v>400</v>
      </c>
      <c r="C127" s="296" t="s">
        <v>399</v>
      </c>
      <c r="D127" s="299" t="s">
        <v>398</v>
      </c>
      <c r="E127" s="231">
        <v>6</v>
      </c>
      <c r="F127" s="231">
        <v>0</v>
      </c>
      <c r="G127" s="231">
        <v>150</v>
      </c>
      <c r="H127" s="231">
        <v>75</v>
      </c>
      <c r="I127" s="231">
        <v>65</v>
      </c>
      <c r="J127" s="231">
        <v>5</v>
      </c>
      <c r="L127" s="6">
        <v>2</v>
      </c>
      <c r="M127" s="298" t="s">
        <v>400</v>
      </c>
      <c r="N127" s="297" t="s">
        <v>399</v>
      </c>
      <c r="O127" s="297" t="s">
        <v>398</v>
      </c>
      <c r="P127" s="297" t="s">
        <v>397</v>
      </c>
      <c r="Q127" s="231">
        <v>0</v>
      </c>
      <c r="R127" s="231">
        <v>150</v>
      </c>
    </row>
    <row r="128" spans="1:19" x14ac:dyDescent="0.3">
      <c r="A128" s="6">
        <v>3</v>
      </c>
      <c r="B128" s="231">
        <v>3</v>
      </c>
      <c r="C128" s="231">
        <v>10</v>
      </c>
      <c r="D128" s="231">
        <v>20</v>
      </c>
      <c r="E128" s="296" t="s">
        <v>396</v>
      </c>
      <c r="F128" s="231">
        <v>0</v>
      </c>
      <c r="G128" s="231">
        <v>80</v>
      </c>
      <c r="H128" s="293"/>
      <c r="I128" s="293"/>
      <c r="L128" s="6">
        <v>3</v>
      </c>
      <c r="M128" s="231">
        <v>3</v>
      </c>
      <c r="N128" s="231">
        <v>10</v>
      </c>
      <c r="O128" s="231">
        <v>20</v>
      </c>
      <c r="P128" s="295" t="s">
        <v>396</v>
      </c>
      <c r="Q128" s="231">
        <v>0</v>
      </c>
      <c r="R128" s="231">
        <v>80</v>
      </c>
    </row>
    <row r="129" spans="1:72" x14ac:dyDescent="0.3">
      <c r="A129" s="293"/>
      <c r="B129" s="231">
        <v>75</v>
      </c>
      <c r="C129" s="231">
        <v>80</v>
      </c>
      <c r="D129" s="231">
        <v>60</v>
      </c>
      <c r="E129" s="231">
        <v>85</v>
      </c>
      <c r="F129" s="231">
        <v>30</v>
      </c>
      <c r="G129" s="293"/>
      <c r="H129" s="293"/>
      <c r="I129" s="293"/>
      <c r="L129" s="294"/>
      <c r="M129" s="231">
        <v>75</v>
      </c>
      <c r="N129" s="231">
        <v>80</v>
      </c>
      <c r="O129" s="231">
        <v>60</v>
      </c>
      <c r="P129" s="231">
        <v>85</v>
      </c>
      <c r="Q129" s="231">
        <v>30</v>
      </c>
      <c r="R129" s="293"/>
    </row>
    <row r="130" spans="1:72" x14ac:dyDescent="0.3">
      <c r="A130" s="293"/>
      <c r="B130" s="293"/>
      <c r="C130" s="231">
        <v>10</v>
      </c>
      <c r="D130" s="293"/>
      <c r="E130" s="231">
        <v>5</v>
      </c>
      <c r="F130" s="293"/>
      <c r="G130" s="293"/>
      <c r="H130" s="293"/>
      <c r="I130" s="293"/>
    </row>
    <row r="133" spans="1:72" x14ac:dyDescent="0.3">
      <c r="A133" s="136" t="s">
        <v>395</v>
      </c>
      <c r="B133" s="292"/>
    </row>
    <row r="134" spans="1:72" x14ac:dyDescent="0.3">
      <c r="A134" s="20" t="s">
        <v>328</v>
      </c>
      <c r="B134" s="234">
        <v>70000</v>
      </c>
    </row>
    <row r="135" spans="1:72" x14ac:dyDescent="0.3">
      <c r="A135" s="20" t="s">
        <v>325</v>
      </c>
      <c r="B135" s="234">
        <v>30000</v>
      </c>
    </row>
    <row r="136" spans="1:72" x14ac:dyDescent="0.3">
      <c r="A136" s="20" t="s">
        <v>324</v>
      </c>
      <c r="B136" s="234">
        <v>75000</v>
      </c>
    </row>
    <row r="137" spans="1:72" x14ac:dyDescent="0.3">
      <c r="A137" s="20" t="s">
        <v>323</v>
      </c>
      <c r="B137" s="234">
        <v>10000</v>
      </c>
    </row>
    <row r="138" spans="1:72" x14ac:dyDescent="0.3">
      <c r="A138" s="20" t="s">
        <v>394</v>
      </c>
      <c r="B138" s="234">
        <v>60000</v>
      </c>
    </row>
    <row r="139" spans="1:72" x14ac:dyDescent="0.3">
      <c r="A139" s="20" t="s">
        <v>393</v>
      </c>
      <c r="B139" s="234">
        <v>5000</v>
      </c>
    </row>
    <row r="140" spans="1:72" x14ac:dyDescent="0.3">
      <c r="A140" s="20" t="s">
        <v>322</v>
      </c>
      <c r="B140" s="234">
        <v>80000</v>
      </c>
    </row>
    <row r="141" spans="1:72" x14ac:dyDescent="0.3">
      <c r="A141" s="20" t="s">
        <v>15</v>
      </c>
      <c r="B141" s="232">
        <v>885000</v>
      </c>
    </row>
    <row r="143" spans="1:72" x14ac:dyDescent="0.3">
      <c r="A143" s="291" t="s">
        <v>392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90"/>
      <c r="AB143" s="290"/>
      <c r="AC143" s="290"/>
      <c r="AD143" s="290"/>
      <c r="AE143" s="290"/>
      <c r="AF143" s="290"/>
      <c r="AG143" s="290"/>
      <c r="AH143" s="290"/>
      <c r="AI143" s="290"/>
      <c r="AJ143" s="290"/>
      <c r="AK143" s="290"/>
      <c r="AL143" s="290"/>
      <c r="AM143" s="290"/>
      <c r="AN143" s="290"/>
      <c r="AO143" s="290"/>
      <c r="AP143" s="290"/>
      <c r="AQ143" s="290"/>
      <c r="AR143" s="290"/>
      <c r="AS143" s="290"/>
      <c r="AT143" s="290"/>
      <c r="AU143" s="290"/>
      <c r="AV143" s="290"/>
      <c r="AW143" s="290"/>
      <c r="AX143" s="290"/>
      <c r="AY143" s="290"/>
      <c r="AZ143" s="290"/>
      <c r="BA143" s="290"/>
      <c r="BB143" s="290"/>
      <c r="BC143" s="290"/>
      <c r="BD143" s="290"/>
      <c r="BE143" s="290"/>
      <c r="BF143" s="290"/>
      <c r="BG143" s="290"/>
      <c r="BH143" s="290"/>
      <c r="BI143" s="290"/>
      <c r="BJ143" s="290"/>
      <c r="BK143" s="290"/>
      <c r="BL143" s="290"/>
      <c r="BM143" s="290"/>
      <c r="BN143" s="290"/>
      <c r="BO143" s="290"/>
      <c r="BP143" s="290"/>
      <c r="BQ143" s="290"/>
      <c r="BR143" s="290"/>
      <c r="BS143" s="290"/>
      <c r="BT143" s="290"/>
    </row>
    <row r="145" spans="1:6" x14ac:dyDescent="0.3">
      <c r="A145" s="289" t="s">
        <v>391</v>
      </c>
      <c r="C145" s="260" t="s">
        <v>372</v>
      </c>
      <c r="E145" s="281" t="s">
        <v>371</v>
      </c>
      <c r="F145" s="288"/>
    </row>
    <row r="146" spans="1:6" x14ac:dyDescent="0.3">
      <c r="A146" s="287" t="s">
        <v>390</v>
      </c>
      <c r="C146" s="260" t="s">
        <v>362</v>
      </c>
      <c r="E146" s="286" t="s">
        <v>367</v>
      </c>
      <c r="F146" s="285">
        <v>0</v>
      </c>
    </row>
    <row r="147" spans="1:6" x14ac:dyDescent="0.3">
      <c r="A147" s="287" t="s">
        <v>389</v>
      </c>
      <c r="C147" s="260" t="s">
        <v>358</v>
      </c>
      <c r="E147" s="286" t="s">
        <v>365</v>
      </c>
      <c r="F147" s="285">
        <v>2</v>
      </c>
    </row>
    <row r="148" spans="1:6" x14ac:dyDescent="0.3">
      <c r="C148" s="260" t="s">
        <v>354</v>
      </c>
      <c r="E148" s="286" t="s">
        <v>353</v>
      </c>
      <c r="F148" s="285">
        <v>0</v>
      </c>
    </row>
    <row r="149" spans="1:6" x14ac:dyDescent="0.3">
      <c r="C149" s="260" t="s">
        <v>388</v>
      </c>
      <c r="E149" s="286" t="s">
        <v>346</v>
      </c>
      <c r="F149" s="285">
        <f>2-2</f>
        <v>0</v>
      </c>
    </row>
    <row r="150" spans="1:6" x14ac:dyDescent="0.3">
      <c r="C150" s="260" t="s">
        <v>378</v>
      </c>
      <c r="E150" s="286" t="s">
        <v>349</v>
      </c>
      <c r="F150" s="285">
        <v>1</v>
      </c>
    </row>
    <row r="151" spans="1:6" x14ac:dyDescent="0.3">
      <c r="C151" s="260" t="s">
        <v>350</v>
      </c>
      <c r="E151" s="286" t="s">
        <v>361</v>
      </c>
      <c r="F151" s="285">
        <v>5</v>
      </c>
    </row>
    <row r="152" spans="1:6" x14ac:dyDescent="0.3">
      <c r="E152" s="286" t="s">
        <v>357</v>
      </c>
      <c r="F152" s="285">
        <v>6</v>
      </c>
    </row>
    <row r="153" spans="1:6" x14ac:dyDescent="0.3">
      <c r="E153" s="286" t="s">
        <v>343</v>
      </c>
      <c r="F153" s="285">
        <f>4-6</f>
        <v>-2</v>
      </c>
    </row>
    <row r="155" spans="1:6" ht="16.05" customHeight="1" x14ac:dyDescent="0.3">
      <c r="A155" s="279" t="s">
        <v>370</v>
      </c>
      <c r="B155" s="278"/>
      <c r="D155" s="279" t="s">
        <v>369</v>
      </c>
      <c r="E155" s="278"/>
    </row>
    <row r="156" spans="1:6" x14ac:dyDescent="0.3">
      <c r="A156" s="275"/>
      <c r="B156" s="274"/>
      <c r="D156" s="273"/>
      <c r="E156" s="272"/>
    </row>
    <row r="157" spans="1:6" x14ac:dyDescent="0.3">
      <c r="A157" s="259" t="s">
        <v>364</v>
      </c>
      <c r="B157" s="258">
        <v>1</v>
      </c>
      <c r="D157" s="257" t="s">
        <v>363</v>
      </c>
      <c r="E157" s="256">
        <v>5</v>
      </c>
    </row>
    <row r="158" spans="1:6" x14ac:dyDescent="0.3">
      <c r="A158" s="259" t="s">
        <v>387</v>
      </c>
      <c r="B158" s="258">
        <v>5</v>
      </c>
      <c r="D158" s="271" t="s">
        <v>386</v>
      </c>
      <c r="E158" s="270">
        <v>-2</v>
      </c>
    </row>
    <row r="159" spans="1:6" x14ac:dyDescent="0.3">
      <c r="A159" s="259" t="s">
        <v>380</v>
      </c>
      <c r="B159" s="258">
        <v>6</v>
      </c>
      <c r="D159" s="257" t="s">
        <v>379</v>
      </c>
      <c r="E159" s="256">
        <v>-1</v>
      </c>
    </row>
    <row r="160" spans="1:6" x14ac:dyDescent="0.3">
      <c r="A160" s="259" t="s">
        <v>352</v>
      </c>
      <c r="B160" s="258">
        <v>0</v>
      </c>
      <c r="D160" s="257" t="s">
        <v>351</v>
      </c>
      <c r="E160" s="256">
        <v>0</v>
      </c>
    </row>
    <row r="161" spans="1:12" x14ac:dyDescent="0.3">
      <c r="A161" s="259" t="s">
        <v>348</v>
      </c>
      <c r="B161" s="258">
        <v>-1</v>
      </c>
      <c r="D161" s="257" t="s">
        <v>347</v>
      </c>
      <c r="E161" s="256">
        <v>4</v>
      </c>
    </row>
    <row r="162" spans="1:12" x14ac:dyDescent="0.3">
      <c r="A162" s="259" t="s">
        <v>345</v>
      </c>
      <c r="B162" s="258">
        <v>0</v>
      </c>
      <c r="D162" s="257" t="s">
        <v>344</v>
      </c>
      <c r="E162" s="256">
        <v>10</v>
      </c>
    </row>
    <row r="163" spans="1:12" x14ac:dyDescent="0.3">
      <c r="A163" s="259" t="s">
        <v>342</v>
      </c>
      <c r="B163" s="258">
        <v>3</v>
      </c>
      <c r="D163" s="257" t="s">
        <v>341</v>
      </c>
      <c r="E163" s="256">
        <v>17</v>
      </c>
    </row>
    <row r="164" spans="1:12" x14ac:dyDescent="0.3">
      <c r="A164" s="259" t="s">
        <v>340</v>
      </c>
      <c r="B164" s="258">
        <v>0</v>
      </c>
      <c r="D164" s="257" t="s">
        <v>339</v>
      </c>
      <c r="E164" s="256">
        <v>0</v>
      </c>
    </row>
    <row r="166" spans="1:12" x14ac:dyDescent="0.3">
      <c r="D166" s="255" t="s">
        <v>385</v>
      </c>
    </row>
    <row r="169" spans="1:12" x14ac:dyDescent="0.3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</row>
    <row r="170" spans="1:12" x14ac:dyDescent="0.3">
      <c r="A170" s="124" t="s">
        <v>320</v>
      </c>
      <c r="B170" s="117" t="s">
        <v>337</v>
      </c>
      <c r="C170" s="117"/>
      <c r="D170" s="117"/>
      <c r="E170" s="117"/>
      <c r="F170" s="117"/>
      <c r="G170" s="117"/>
      <c r="H170" s="117"/>
      <c r="I170" s="117"/>
      <c r="J170" s="117"/>
      <c r="K170" s="117"/>
      <c r="L170" s="235"/>
    </row>
    <row r="171" spans="1:12" x14ac:dyDescent="0.3">
      <c r="A171" s="124"/>
      <c r="B171" s="254">
        <v>1</v>
      </c>
      <c r="C171" s="254"/>
      <c r="D171" s="117">
        <v>2</v>
      </c>
      <c r="E171" s="117"/>
      <c r="F171" s="254">
        <v>3</v>
      </c>
      <c r="G171" s="254"/>
      <c r="H171" s="117">
        <v>4</v>
      </c>
      <c r="I171" s="117"/>
      <c r="J171" s="254">
        <v>5</v>
      </c>
      <c r="K171" s="254"/>
      <c r="L171" s="235"/>
    </row>
    <row r="172" spans="1:12" x14ac:dyDescent="0.3">
      <c r="A172" s="202">
        <v>1</v>
      </c>
      <c r="B172" s="245">
        <v>1</v>
      </c>
      <c r="C172" s="246">
        <v>6</v>
      </c>
      <c r="D172" s="239"/>
      <c r="E172" s="239">
        <v>2</v>
      </c>
      <c r="F172" s="245">
        <v>5</v>
      </c>
      <c r="G172" s="246">
        <v>3</v>
      </c>
      <c r="H172" s="239">
        <v>6</v>
      </c>
      <c r="I172" s="239">
        <v>5</v>
      </c>
      <c r="J172" s="245"/>
      <c r="K172" s="244">
        <v>0</v>
      </c>
      <c r="L172" s="238" t="s">
        <v>336</v>
      </c>
    </row>
    <row r="173" spans="1:12" ht="23.4" x14ac:dyDescent="0.35">
      <c r="A173" s="202"/>
      <c r="B173" s="253"/>
      <c r="C173" s="252">
        <v>5</v>
      </c>
      <c r="D173" s="284" t="s">
        <v>384</v>
      </c>
      <c r="E173" s="239"/>
      <c r="F173" s="283" t="s">
        <v>376</v>
      </c>
      <c r="G173" s="248">
        <v>-2</v>
      </c>
      <c r="H173" s="241"/>
      <c r="I173" s="239">
        <v>-1</v>
      </c>
      <c r="J173" s="249">
        <v>30</v>
      </c>
      <c r="K173" s="250"/>
      <c r="L173" s="238"/>
    </row>
    <row r="174" spans="1:12" x14ac:dyDescent="0.3">
      <c r="A174" s="124">
        <v>2</v>
      </c>
      <c r="B174" s="239"/>
      <c r="C174" s="239">
        <v>1</v>
      </c>
      <c r="D174" s="245"/>
      <c r="E174" s="246">
        <v>2</v>
      </c>
      <c r="F174" s="239"/>
      <c r="G174" s="239">
        <v>5</v>
      </c>
      <c r="H174" s="245"/>
      <c r="I174" s="246">
        <v>6</v>
      </c>
      <c r="J174" s="239">
        <v>0</v>
      </c>
      <c r="K174" s="239">
        <v>0</v>
      </c>
      <c r="L174" s="238" t="s">
        <v>335</v>
      </c>
    </row>
    <row r="175" spans="1:12" ht="18" x14ac:dyDescent="0.35">
      <c r="A175" s="124"/>
      <c r="B175" s="241">
        <v>75</v>
      </c>
      <c r="C175" s="239"/>
      <c r="D175" s="249" t="s">
        <v>383</v>
      </c>
      <c r="E175" s="248"/>
      <c r="F175" s="241" t="s">
        <v>382</v>
      </c>
      <c r="G175" s="239"/>
      <c r="H175" s="249">
        <v>5</v>
      </c>
      <c r="I175" s="248"/>
      <c r="J175" s="241"/>
      <c r="K175" s="239">
        <v>0</v>
      </c>
      <c r="L175" s="238"/>
    </row>
    <row r="176" spans="1:12" x14ac:dyDescent="0.3">
      <c r="A176" s="202">
        <v>3</v>
      </c>
      <c r="B176" s="245">
        <v>-1</v>
      </c>
      <c r="C176" s="246">
        <v>3</v>
      </c>
      <c r="D176" s="239">
        <v>0</v>
      </c>
      <c r="E176" s="239">
        <v>10</v>
      </c>
      <c r="F176" s="245">
        <v>3</v>
      </c>
      <c r="G176" s="246">
        <v>20</v>
      </c>
      <c r="H176" s="239"/>
      <c r="I176" s="239">
        <v>4</v>
      </c>
      <c r="J176" s="245">
        <v>0</v>
      </c>
      <c r="K176" s="244">
        <v>0</v>
      </c>
      <c r="L176" s="238" t="s">
        <v>334</v>
      </c>
    </row>
    <row r="177" spans="1:12" x14ac:dyDescent="0.3">
      <c r="A177" s="202"/>
      <c r="B177" s="240"/>
      <c r="C177" s="242">
        <v>4</v>
      </c>
      <c r="D177" s="239"/>
      <c r="E177" s="239">
        <v>10</v>
      </c>
      <c r="F177" s="243"/>
      <c r="G177" s="242">
        <v>17</v>
      </c>
      <c r="H177" s="241">
        <v>80</v>
      </c>
      <c r="I177" s="239"/>
      <c r="J177" s="240"/>
      <c r="K177" s="239">
        <v>0</v>
      </c>
      <c r="L177" s="238"/>
    </row>
    <row r="178" spans="1:12" x14ac:dyDescent="0.3">
      <c r="A178" s="235"/>
      <c r="B178" s="236" t="s">
        <v>333</v>
      </c>
      <c r="C178" s="236"/>
      <c r="D178" s="236" t="s">
        <v>332</v>
      </c>
      <c r="E178" s="236"/>
      <c r="F178" s="236" t="s">
        <v>331</v>
      </c>
      <c r="G178" s="236"/>
      <c r="H178" s="236" t="s">
        <v>330</v>
      </c>
      <c r="I178" s="236"/>
      <c r="J178" s="236" t="s">
        <v>329</v>
      </c>
      <c r="K178" s="236"/>
      <c r="L178" s="235"/>
    </row>
    <row r="181" spans="1:12" x14ac:dyDescent="0.3">
      <c r="A181" s="282" t="s">
        <v>381</v>
      </c>
      <c r="B181" s="282"/>
    </row>
    <row r="183" spans="1:12" ht="16.05" customHeight="1" x14ac:dyDescent="0.3">
      <c r="A183" s="269" t="s">
        <v>372</v>
      </c>
      <c r="C183" s="281" t="s">
        <v>371</v>
      </c>
      <c r="D183" s="280"/>
      <c r="F183" s="279" t="s">
        <v>370</v>
      </c>
      <c r="G183" s="278"/>
      <c r="I183" s="279" t="s">
        <v>369</v>
      </c>
      <c r="J183" s="278"/>
    </row>
    <row r="184" spans="1:12" x14ac:dyDescent="0.3">
      <c r="A184" s="269" t="s">
        <v>368</v>
      </c>
      <c r="C184" s="277" t="s">
        <v>367</v>
      </c>
      <c r="D184" s="276">
        <v>0</v>
      </c>
      <c r="F184" s="275"/>
      <c r="G184" s="274"/>
      <c r="I184" s="273"/>
      <c r="J184" s="272"/>
    </row>
    <row r="185" spans="1:12" x14ac:dyDescent="0.3">
      <c r="A185" s="269" t="s">
        <v>362</v>
      </c>
      <c r="C185" s="259" t="s">
        <v>365</v>
      </c>
      <c r="D185" s="258">
        <v>2</v>
      </c>
      <c r="F185" s="259" t="s">
        <v>364</v>
      </c>
      <c r="G185" s="258">
        <v>1</v>
      </c>
      <c r="I185" s="267" t="s">
        <v>363</v>
      </c>
      <c r="J185" s="266">
        <f>C172-G185</f>
        <v>5</v>
      </c>
    </row>
    <row r="186" spans="1:12" x14ac:dyDescent="0.3">
      <c r="A186" s="269" t="s">
        <v>358</v>
      </c>
      <c r="C186" s="259" t="s">
        <v>361</v>
      </c>
      <c r="D186" s="258">
        <v>3</v>
      </c>
      <c r="F186" s="259" t="s">
        <v>380</v>
      </c>
      <c r="G186" s="258">
        <v>6</v>
      </c>
      <c r="I186" s="271" t="s">
        <v>379</v>
      </c>
      <c r="J186" s="270">
        <f>I172-G186</f>
        <v>-1</v>
      </c>
    </row>
    <row r="187" spans="1:12" x14ac:dyDescent="0.3">
      <c r="A187" s="269" t="s">
        <v>354</v>
      </c>
      <c r="C187" s="259" t="s">
        <v>353</v>
      </c>
      <c r="D187" s="258">
        <v>0</v>
      </c>
      <c r="F187" s="259" t="s">
        <v>360</v>
      </c>
      <c r="G187" s="258">
        <v>3</v>
      </c>
      <c r="I187" s="267" t="s">
        <v>359</v>
      </c>
      <c r="J187" s="266">
        <f>G174-G187</f>
        <v>2</v>
      </c>
    </row>
    <row r="188" spans="1:12" x14ac:dyDescent="0.3">
      <c r="A188" s="269" t="s">
        <v>378</v>
      </c>
      <c r="C188" s="259" t="s">
        <v>346</v>
      </c>
      <c r="D188" s="258">
        <v>0</v>
      </c>
      <c r="F188" s="259" t="s">
        <v>352</v>
      </c>
      <c r="G188" s="258">
        <v>0</v>
      </c>
      <c r="I188" s="267" t="s">
        <v>351</v>
      </c>
      <c r="J188" s="266">
        <f>K174-G188</f>
        <v>0</v>
      </c>
    </row>
    <row r="189" spans="1:12" x14ac:dyDescent="0.3">
      <c r="A189" s="269" t="s">
        <v>350</v>
      </c>
      <c r="C189" s="259" t="s">
        <v>357</v>
      </c>
      <c r="D189" s="258">
        <v>6</v>
      </c>
      <c r="F189" s="259" t="s">
        <v>348</v>
      </c>
      <c r="G189" s="258">
        <v>-1</v>
      </c>
      <c r="I189" s="267" t="s">
        <v>347</v>
      </c>
      <c r="J189" s="268">
        <f>C176-G189</f>
        <v>4</v>
      </c>
    </row>
    <row r="190" spans="1:12" x14ac:dyDescent="0.3">
      <c r="C190" s="259" t="s">
        <v>343</v>
      </c>
      <c r="D190" s="258">
        <v>-2</v>
      </c>
      <c r="F190" s="259" t="s">
        <v>345</v>
      </c>
      <c r="G190" s="258">
        <v>0</v>
      </c>
      <c r="I190" s="267" t="s">
        <v>344</v>
      </c>
      <c r="J190" s="266">
        <f>E176-G190</f>
        <v>10</v>
      </c>
    </row>
    <row r="191" spans="1:12" x14ac:dyDescent="0.3">
      <c r="C191" s="259" t="s">
        <v>349</v>
      </c>
      <c r="D191" s="258">
        <v>1</v>
      </c>
      <c r="F191" s="259" t="s">
        <v>342</v>
      </c>
      <c r="G191" s="258">
        <v>3</v>
      </c>
      <c r="I191" s="267" t="s">
        <v>341</v>
      </c>
      <c r="J191" s="266">
        <f>G176-G191</f>
        <v>17</v>
      </c>
    </row>
    <row r="192" spans="1:12" x14ac:dyDescent="0.3">
      <c r="F192" s="259" t="s">
        <v>340</v>
      </c>
      <c r="G192" s="258">
        <v>0</v>
      </c>
      <c r="I192" s="267" t="s">
        <v>339</v>
      </c>
      <c r="J192" s="266">
        <f>K176-G192</f>
        <v>0</v>
      </c>
    </row>
    <row r="195" spans="1:12" x14ac:dyDescent="0.3">
      <c r="A195" s="124" t="s">
        <v>320</v>
      </c>
      <c r="B195" s="117" t="s">
        <v>337</v>
      </c>
      <c r="C195" s="117"/>
      <c r="D195" s="117"/>
      <c r="E195" s="117"/>
      <c r="F195" s="117"/>
      <c r="G195" s="117"/>
      <c r="H195" s="117"/>
      <c r="I195" s="117"/>
      <c r="J195" s="117"/>
      <c r="K195" s="117"/>
      <c r="L195" s="235"/>
    </row>
    <row r="196" spans="1:12" x14ac:dyDescent="0.3">
      <c r="A196" s="124"/>
      <c r="B196" s="254">
        <v>1</v>
      </c>
      <c r="C196" s="254"/>
      <c r="D196" s="117">
        <v>2</v>
      </c>
      <c r="E196" s="117"/>
      <c r="F196" s="254">
        <v>3</v>
      </c>
      <c r="G196" s="254"/>
      <c r="H196" s="117">
        <v>4</v>
      </c>
      <c r="I196" s="117"/>
      <c r="J196" s="254">
        <v>5</v>
      </c>
      <c r="K196" s="254"/>
      <c r="L196" s="235"/>
    </row>
    <row r="197" spans="1:12" x14ac:dyDescent="0.3">
      <c r="A197" s="202">
        <v>1</v>
      </c>
      <c r="B197" s="245">
        <v>1</v>
      </c>
      <c r="C197" s="246">
        <v>6</v>
      </c>
      <c r="D197" s="239"/>
      <c r="E197" s="239">
        <v>2</v>
      </c>
      <c r="F197" s="245"/>
      <c r="G197" s="246">
        <v>3</v>
      </c>
      <c r="H197" s="239">
        <v>6</v>
      </c>
      <c r="I197" s="239">
        <v>5</v>
      </c>
      <c r="J197" s="245"/>
      <c r="K197" s="246">
        <v>0</v>
      </c>
      <c r="L197" s="264" t="s">
        <v>336</v>
      </c>
    </row>
    <row r="198" spans="1:12" ht="18" x14ac:dyDescent="0.35">
      <c r="A198" s="202"/>
      <c r="B198" s="253"/>
      <c r="C198" s="252">
        <v>5</v>
      </c>
      <c r="D198" s="241" t="s">
        <v>377</v>
      </c>
      <c r="E198" s="239"/>
      <c r="F198" s="251">
        <v>60</v>
      </c>
      <c r="G198" s="248"/>
      <c r="H198" s="265" t="s">
        <v>376</v>
      </c>
      <c r="I198" s="239">
        <v>-1</v>
      </c>
      <c r="J198" s="249">
        <v>30</v>
      </c>
      <c r="K198" s="248"/>
      <c r="L198" s="264"/>
    </row>
    <row r="199" spans="1:12" x14ac:dyDescent="0.3">
      <c r="A199" s="124">
        <v>2</v>
      </c>
      <c r="B199" s="239"/>
      <c r="C199" s="239">
        <v>1</v>
      </c>
      <c r="D199" s="245"/>
      <c r="E199" s="246">
        <v>2</v>
      </c>
      <c r="F199" s="239">
        <v>3</v>
      </c>
      <c r="G199" s="239">
        <v>5</v>
      </c>
      <c r="H199" s="245"/>
      <c r="I199" s="246">
        <v>6</v>
      </c>
      <c r="J199" s="239">
        <v>0</v>
      </c>
      <c r="K199" s="239">
        <v>0</v>
      </c>
      <c r="L199" s="238" t="s">
        <v>335</v>
      </c>
    </row>
    <row r="200" spans="1:12" ht="18" x14ac:dyDescent="0.35">
      <c r="A200" s="124"/>
      <c r="B200" s="241">
        <v>75</v>
      </c>
      <c r="C200" s="239"/>
      <c r="D200" s="249" t="s">
        <v>375</v>
      </c>
      <c r="E200" s="248"/>
      <c r="F200" s="241"/>
      <c r="G200" s="239">
        <v>2</v>
      </c>
      <c r="H200" s="249" t="s">
        <v>374</v>
      </c>
      <c r="I200" s="248"/>
      <c r="J200" s="241"/>
      <c r="K200" s="239">
        <v>0</v>
      </c>
      <c r="L200" s="238"/>
    </row>
    <row r="201" spans="1:12" x14ac:dyDescent="0.3">
      <c r="A201" s="202">
        <v>3</v>
      </c>
      <c r="B201" s="245">
        <v>-1</v>
      </c>
      <c r="C201" s="246">
        <v>3</v>
      </c>
      <c r="D201" s="239">
        <v>0</v>
      </c>
      <c r="E201" s="239">
        <v>10</v>
      </c>
      <c r="F201" s="245">
        <v>3</v>
      </c>
      <c r="G201" s="246">
        <v>20</v>
      </c>
      <c r="H201" s="239"/>
      <c r="I201" s="239">
        <v>4</v>
      </c>
      <c r="J201" s="245">
        <v>0</v>
      </c>
      <c r="K201" s="246">
        <v>0</v>
      </c>
      <c r="L201" s="264" t="s">
        <v>334</v>
      </c>
    </row>
    <row r="202" spans="1:12" x14ac:dyDescent="0.3">
      <c r="A202" s="202"/>
      <c r="B202" s="249"/>
      <c r="C202" s="248">
        <v>4</v>
      </c>
      <c r="D202" s="239"/>
      <c r="E202" s="239">
        <v>10</v>
      </c>
      <c r="F202" s="253"/>
      <c r="G202" s="248">
        <v>17</v>
      </c>
      <c r="H202" s="241">
        <v>80</v>
      </c>
      <c r="I202" s="239"/>
      <c r="J202" s="249"/>
      <c r="K202" s="248">
        <v>0</v>
      </c>
      <c r="L202" s="264"/>
    </row>
    <row r="203" spans="1:12" x14ac:dyDescent="0.3">
      <c r="A203" s="235"/>
      <c r="B203" s="263" t="s">
        <v>333</v>
      </c>
      <c r="C203" s="263"/>
      <c r="D203" s="236" t="s">
        <v>332</v>
      </c>
      <c r="E203" s="236"/>
      <c r="F203" s="263" t="s">
        <v>331</v>
      </c>
      <c r="G203" s="263"/>
      <c r="H203" s="236" t="s">
        <v>330</v>
      </c>
      <c r="I203" s="236"/>
      <c r="J203" s="263" t="s">
        <v>329</v>
      </c>
      <c r="K203" s="263"/>
      <c r="L203" s="235"/>
    </row>
    <row r="205" spans="1:12" x14ac:dyDescent="0.3">
      <c r="A205" s="228" t="s">
        <v>373</v>
      </c>
    </row>
    <row r="207" spans="1:12" ht="16.05" customHeight="1" x14ac:dyDescent="0.3">
      <c r="A207" s="260" t="s">
        <v>372</v>
      </c>
      <c r="C207" s="117" t="s">
        <v>371</v>
      </c>
      <c r="D207" s="117"/>
      <c r="F207" s="105" t="s">
        <v>370</v>
      </c>
      <c r="G207" s="105"/>
      <c r="I207" s="105" t="s">
        <v>369</v>
      </c>
      <c r="J207" s="105"/>
    </row>
    <row r="208" spans="1:12" x14ac:dyDescent="0.3">
      <c r="A208" s="260" t="s">
        <v>368</v>
      </c>
      <c r="C208" s="259" t="s">
        <v>367</v>
      </c>
      <c r="D208" s="258">
        <v>0</v>
      </c>
      <c r="F208" s="105"/>
      <c r="G208" s="105"/>
      <c r="I208" s="105"/>
      <c r="J208" s="105"/>
    </row>
    <row r="209" spans="1:12" x14ac:dyDescent="0.3">
      <c r="A209" s="260" t="s">
        <v>366</v>
      </c>
      <c r="C209" s="259" t="s">
        <v>365</v>
      </c>
      <c r="D209" s="258">
        <v>2</v>
      </c>
      <c r="F209" s="259" t="s">
        <v>364</v>
      </c>
      <c r="G209" s="258">
        <v>1</v>
      </c>
      <c r="I209" s="262" t="s">
        <v>363</v>
      </c>
      <c r="J209" s="261">
        <v>5</v>
      </c>
    </row>
    <row r="210" spans="1:12" x14ac:dyDescent="0.3">
      <c r="A210" s="260" t="s">
        <v>362</v>
      </c>
      <c r="C210" s="259" t="s">
        <v>361</v>
      </c>
      <c r="D210" s="258">
        <v>3</v>
      </c>
      <c r="F210" s="259" t="s">
        <v>360</v>
      </c>
      <c r="G210" s="258">
        <v>3</v>
      </c>
      <c r="I210" s="257" t="s">
        <v>359</v>
      </c>
      <c r="J210" s="256">
        <v>2</v>
      </c>
    </row>
    <row r="211" spans="1:12" x14ac:dyDescent="0.3">
      <c r="A211" s="260" t="s">
        <v>358</v>
      </c>
      <c r="C211" s="259" t="s">
        <v>357</v>
      </c>
      <c r="D211" s="258">
        <v>5</v>
      </c>
      <c r="F211" s="259" t="s">
        <v>356</v>
      </c>
      <c r="G211" s="258">
        <v>5</v>
      </c>
      <c r="I211" s="257" t="s">
        <v>355</v>
      </c>
      <c r="J211" s="256">
        <v>1</v>
      </c>
    </row>
    <row r="212" spans="1:12" x14ac:dyDescent="0.3">
      <c r="A212" s="260" t="s">
        <v>354</v>
      </c>
      <c r="C212" s="259" t="s">
        <v>353</v>
      </c>
      <c r="D212" s="258">
        <v>0</v>
      </c>
      <c r="F212" s="259" t="s">
        <v>352</v>
      </c>
      <c r="G212" s="258">
        <v>0</v>
      </c>
      <c r="I212" s="257" t="s">
        <v>351</v>
      </c>
      <c r="J212" s="256">
        <v>0</v>
      </c>
    </row>
    <row r="213" spans="1:12" x14ac:dyDescent="0.3">
      <c r="A213" s="260" t="s">
        <v>350</v>
      </c>
      <c r="C213" s="259" t="s">
        <v>349</v>
      </c>
      <c r="D213" s="258">
        <v>1</v>
      </c>
      <c r="F213" s="259" t="s">
        <v>348</v>
      </c>
      <c r="G213" s="258">
        <v>-1</v>
      </c>
      <c r="I213" s="257" t="s">
        <v>347</v>
      </c>
      <c r="J213" s="256">
        <v>4</v>
      </c>
    </row>
    <row r="214" spans="1:12" x14ac:dyDescent="0.3">
      <c r="C214" s="259" t="s">
        <v>346</v>
      </c>
      <c r="D214" s="258">
        <v>0</v>
      </c>
      <c r="F214" s="259" t="s">
        <v>345</v>
      </c>
      <c r="G214" s="258">
        <v>0</v>
      </c>
      <c r="I214" s="257" t="s">
        <v>344</v>
      </c>
      <c r="J214" s="256">
        <v>10</v>
      </c>
    </row>
    <row r="215" spans="1:12" x14ac:dyDescent="0.3">
      <c r="C215" s="259" t="s">
        <v>343</v>
      </c>
      <c r="D215" s="258">
        <v>-1</v>
      </c>
      <c r="F215" s="259" t="s">
        <v>342</v>
      </c>
      <c r="G215" s="258">
        <v>3</v>
      </c>
      <c r="I215" s="257" t="s">
        <v>341</v>
      </c>
      <c r="J215" s="256">
        <v>17</v>
      </c>
    </row>
    <row r="216" spans="1:12" x14ac:dyDescent="0.3">
      <c r="F216" s="259" t="s">
        <v>340</v>
      </c>
      <c r="G216" s="258">
        <v>0</v>
      </c>
      <c r="I216" s="257" t="s">
        <v>339</v>
      </c>
      <c r="J216" s="256">
        <v>0</v>
      </c>
      <c r="L216" s="255" t="s">
        <v>338</v>
      </c>
    </row>
    <row r="219" spans="1:12" x14ac:dyDescent="0.3">
      <c r="A219" s="124" t="s">
        <v>320</v>
      </c>
      <c r="B219" s="117" t="s">
        <v>337</v>
      </c>
      <c r="C219" s="117"/>
      <c r="D219" s="117"/>
      <c r="E219" s="117"/>
      <c r="F219" s="117"/>
      <c r="G219" s="117"/>
      <c r="H219" s="117"/>
      <c r="I219" s="117"/>
      <c r="J219" s="117"/>
      <c r="K219" s="117"/>
      <c r="L219" s="235"/>
    </row>
    <row r="220" spans="1:12" x14ac:dyDescent="0.3">
      <c r="A220" s="124"/>
      <c r="B220" s="254">
        <v>1</v>
      </c>
      <c r="C220" s="254"/>
      <c r="D220" s="117">
        <v>2</v>
      </c>
      <c r="E220" s="117"/>
      <c r="F220" s="254">
        <v>3</v>
      </c>
      <c r="G220" s="254"/>
      <c r="H220" s="117">
        <v>4</v>
      </c>
      <c r="I220" s="117"/>
      <c r="J220" s="254">
        <v>5</v>
      </c>
      <c r="K220" s="254"/>
      <c r="L220" s="235"/>
    </row>
    <row r="221" spans="1:12" x14ac:dyDescent="0.3">
      <c r="A221" s="202">
        <v>1</v>
      </c>
      <c r="B221" s="245">
        <v>1</v>
      </c>
      <c r="C221" s="246">
        <v>6</v>
      </c>
      <c r="D221" s="239"/>
      <c r="E221" s="239">
        <v>2</v>
      </c>
      <c r="F221" s="245"/>
      <c r="G221" s="246">
        <v>3</v>
      </c>
      <c r="H221" s="239"/>
      <c r="I221" s="239">
        <v>5</v>
      </c>
      <c r="J221" s="245"/>
      <c r="K221" s="244">
        <v>0</v>
      </c>
      <c r="L221" s="238" t="s">
        <v>336</v>
      </c>
    </row>
    <row r="222" spans="1:12" x14ac:dyDescent="0.3">
      <c r="A222" s="202"/>
      <c r="B222" s="253"/>
      <c r="C222" s="252">
        <v>5</v>
      </c>
      <c r="D222" s="241">
        <v>5</v>
      </c>
      <c r="E222" s="239"/>
      <c r="F222" s="251">
        <v>60</v>
      </c>
      <c r="G222" s="248"/>
      <c r="H222" s="241">
        <v>5</v>
      </c>
      <c r="I222" s="239"/>
      <c r="J222" s="249">
        <v>30</v>
      </c>
      <c r="K222" s="250"/>
      <c r="L222" s="238"/>
    </row>
    <row r="223" spans="1:12" x14ac:dyDescent="0.3">
      <c r="A223" s="124">
        <v>2</v>
      </c>
      <c r="B223" s="239"/>
      <c r="C223" s="239">
        <v>1</v>
      </c>
      <c r="D223" s="245"/>
      <c r="E223" s="246">
        <v>2</v>
      </c>
      <c r="F223" s="239">
        <v>3</v>
      </c>
      <c r="G223" s="239">
        <v>5</v>
      </c>
      <c r="H223" s="245">
        <v>5</v>
      </c>
      <c r="I223" s="246">
        <v>6</v>
      </c>
      <c r="J223" s="239">
        <v>0</v>
      </c>
      <c r="K223" s="239">
        <v>0</v>
      </c>
      <c r="L223" s="247" t="s">
        <v>335</v>
      </c>
    </row>
    <row r="224" spans="1:12" x14ac:dyDescent="0.3">
      <c r="A224" s="124"/>
      <c r="B224" s="241">
        <v>75</v>
      </c>
      <c r="C224" s="239"/>
      <c r="D224" s="249">
        <v>75</v>
      </c>
      <c r="E224" s="248"/>
      <c r="F224" s="241"/>
      <c r="G224" s="239">
        <v>2</v>
      </c>
      <c r="H224" s="249"/>
      <c r="I224" s="248"/>
      <c r="J224" s="241"/>
      <c r="K224" s="239">
        <v>0</v>
      </c>
      <c r="L224" s="247"/>
    </row>
    <row r="225" spans="1:12" x14ac:dyDescent="0.3">
      <c r="A225" s="202">
        <v>3</v>
      </c>
      <c r="B225" s="245">
        <v>-1</v>
      </c>
      <c r="C225" s="246">
        <v>3</v>
      </c>
      <c r="D225" s="239">
        <v>0</v>
      </c>
      <c r="E225" s="239">
        <v>10</v>
      </c>
      <c r="F225" s="245">
        <v>3</v>
      </c>
      <c r="G225" s="246">
        <v>20</v>
      </c>
      <c r="H225" s="239"/>
      <c r="I225" s="239">
        <v>4</v>
      </c>
      <c r="J225" s="245">
        <v>0</v>
      </c>
      <c r="K225" s="244">
        <v>0</v>
      </c>
      <c r="L225" s="238" t="s">
        <v>334</v>
      </c>
    </row>
    <row r="226" spans="1:12" x14ac:dyDescent="0.3">
      <c r="A226" s="202"/>
      <c r="B226" s="240"/>
      <c r="C226" s="242">
        <v>4</v>
      </c>
      <c r="D226" s="239"/>
      <c r="E226" s="239">
        <v>10</v>
      </c>
      <c r="F226" s="243"/>
      <c r="G226" s="242">
        <v>17</v>
      </c>
      <c r="H226" s="241">
        <v>80</v>
      </c>
      <c r="I226" s="239"/>
      <c r="J226" s="240"/>
      <c r="K226" s="239">
        <v>0</v>
      </c>
      <c r="L226" s="238"/>
    </row>
    <row r="227" spans="1:12" x14ac:dyDescent="0.3">
      <c r="A227" s="235"/>
      <c r="B227" s="236" t="s">
        <v>333</v>
      </c>
      <c r="C227" s="236"/>
      <c r="D227" s="237" t="s">
        <v>332</v>
      </c>
      <c r="E227" s="237"/>
      <c r="F227" s="236" t="s">
        <v>331</v>
      </c>
      <c r="G227" s="236"/>
      <c r="H227" s="237" t="s">
        <v>330</v>
      </c>
      <c r="I227" s="237"/>
      <c r="J227" s="236" t="s">
        <v>329</v>
      </c>
      <c r="K227" s="236"/>
      <c r="L227" s="235"/>
    </row>
    <row r="230" spans="1:12" x14ac:dyDescent="0.3">
      <c r="A230" s="233" t="s">
        <v>328</v>
      </c>
      <c r="B230" s="234">
        <v>5000</v>
      </c>
    </row>
    <row r="231" spans="1:12" x14ac:dyDescent="0.3">
      <c r="A231" s="233" t="s">
        <v>327</v>
      </c>
      <c r="B231" s="234">
        <v>60000</v>
      </c>
    </row>
    <row r="232" spans="1:12" x14ac:dyDescent="0.3">
      <c r="A232" s="233" t="s">
        <v>326</v>
      </c>
      <c r="B232" s="234">
        <v>5000</v>
      </c>
    </row>
    <row r="233" spans="1:12" x14ac:dyDescent="0.3">
      <c r="A233" s="233" t="s">
        <v>325</v>
      </c>
      <c r="B233" s="234">
        <v>30000</v>
      </c>
    </row>
    <row r="234" spans="1:12" x14ac:dyDescent="0.3">
      <c r="A234" s="233" t="s">
        <v>324</v>
      </c>
      <c r="B234" s="234">
        <v>75000</v>
      </c>
    </row>
    <row r="235" spans="1:12" x14ac:dyDescent="0.3">
      <c r="A235" s="233" t="s">
        <v>323</v>
      </c>
      <c r="B235" s="234">
        <v>75000</v>
      </c>
    </row>
    <row r="236" spans="1:12" x14ac:dyDescent="0.3">
      <c r="A236" s="233" t="s">
        <v>322</v>
      </c>
      <c r="B236" s="234">
        <v>80000</v>
      </c>
    </row>
    <row r="237" spans="1:12" x14ac:dyDescent="0.3">
      <c r="A237" s="233" t="s">
        <v>15</v>
      </c>
      <c r="B237" s="232">
        <v>760000</v>
      </c>
    </row>
    <row r="240" spans="1:12" x14ac:dyDescent="0.3">
      <c r="A240" s="124" t="s">
        <v>320</v>
      </c>
      <c r="B240" s="117" t="s">
        <v>319</v>
      </c>
      <c r="C240" s="117"/>
      <c r="D240" s="117"/>
      <c r="E240" s="117"/>
    </row>
    <row r="241" spans="1:8" x14ac:dyDescent="0.3">
      <c r="A241" s="124"/>
      <c r="B241" s="97">
        <v>1</v>
      </c>
      <c r="C241" s="97">
        <v>2</v>
      </c>
      <c r="D241" s="97">
        <v>3</v>
      </c>
      <c r="E241" s="97">
        <v>4</v>
      </c>
    </row>
    <row r="242" spans="1:8" x14ac:dyDescent="0.3">
      <c r="A242" s="230">
        <v>1</v>
      </c>
      <c r="B242" s="231">
        <v>6</v>
      </c>
      <c r="C242" s="231">
        <v>2</v>
      </c>
      <c r="D242" s="231">
        <v>3</v>
      </c>
      <c r="E242" s="231">
        <v>5</v>
      </c>
    </row>
    <row r="243" spans="1:8" x14ac:dyDescent="0.3">
      <c r="A243" s="230">
        <v>2</v>
      </c>
      <c r="B243" s="231">
        <v>1</v>
      </c>
      <c r="C243" s="231">
        <v>2</v>
      </c>
      <c r="D243" s="231">
        <v>5</v>
      </c>
      <c r="E243" s="231">
        <v>6</v>
      </c>
    </row>
    <row r="244" spans="1:8" x14ac:dyDescent="0.3">
      <c r="A244" s="230">
        <v>3</v>
      </c>
      <c r="B244" s="231">
        <v>3</v>
      </c>
      <c r="C244" s="231">
        <v>10</v>
      </c>
      <c r="D244" s="231">
        <v>20</v>
      </c>
      <c r="E244" s="231">
        <v>4</v>
      </c>
    </row>
    <row r="246" spans="1:8" x14ac:dyDescent="0.3">
      <c r="A246" s="228" t="s">
        <v>321</v>
      </c>
    </row>
    <row r="247" spans="1:8" x14ac:dyDescent="0.3">
      <c r="A247" s="124" t="s">
        <v>320</v>
      </c>
      <c r="B247" s="117" t="s">
        <v>319</v>
      </c>
      <c r="C247" s="117"/>
      <c r="D247" s="117"/>
      <c r="E247" s="117"/>
    </row>
    <row r="248" spans="1:8" x14ac:dyDescent="0.3">
      <c r="A248" s="124"/>
      <c r="B248" s="97">
        <v>1</v>
      </c>
      <c r="C248" s="97">
        <v>2</v>
      </c>
      <c r="D248" s="97">
        <v>3</v>
      </c>
      <c r="E248" s="97">
        <v>4</v>
      </c>
    </row>
    <row r="249" spans="1:8" x14ac:dyDescent="0.3">
      <c r="A249" s="230">
        <v>1</v>
      </c>
      <c r="B249" s="135">
        <v>0</v>
      </c>
      <c r="C249" s="135">
        <v>5</v>
      </c>
      <c r="D249" s="135">
        <v>60</v>
      </c>
      <c r="E249" s="135">
        <v>35</v>
      </c>
      <c r="F249" s="229">
        <f>SUM(B249:E249)</f>
        <v>100</v>
      </c>
      <c r="G249" s="229" t="s">
        <v>318</v>
      </c>
      <c r="H249" s="229">
        <v>100</v>
      </c>
    </row>
    <row r="250" spans="1:8" x14ac:dyDescent="0.3">
      <c r="A250" s="230">
        <v>2</v>
      </c>
      <c r="B250" s="135">
        <v>75</v>
      </c>
      <c r="C250" s="135">
        <v>75</v>
      </c>
      <c r="D250" s="135">
        <v>0</v>
      </c>
      <c r="E250" s="135">
        <v>0</v>
      </c>
      <c r="F250" s="229">
        <f>SUM(B250:E250)</f>
        <v>150</v>
      </c>
      <c r="G250" s="229" t="s">
        <v>318</v>
      </c>
      <c r="H250" s="229">
        <v>150</v>
      </c>
    </row>
    <row r="251" spans="1:8" x14ac:dyDescent="0.3">
      <c r="A251" s="230">
        <v>3</v>
      </c>
      <c r="B251" s="135">
        <v>0</v>
      </c>
      <c r="C251" s="135">
        <v>0</v>
      </c>
      <c r="D251" s="135">
        <v>0</v>
      </c>
      <c r="E251" s="135">
        <v>50</v>
      </c>
      <c r="F251" s="229">
        <f>SUM(B251:E251)</f>
        <v>50</v>
      </c>
      <c r="G251" s="229" t="s">
        <v>318</v>
      </c>
      <c r="H251" s="229">
        <v>50</v>
      </c>
    </row>
    <row r="252" spans="1:8" x14ac:dyDescent="0.3">
      <c r="B252" s="229">
        <f>SUM(B249:B251)</f>
        <v>75</v>
      </c>
      <c r="C252" s="229">
        <f>SUM(C249:C251)</f>
        <v>80</v>
      </c>
      <c r="D252" s="229">
        <f>SUM(D249:D251)</f>
        <v>60</v>
      </c>
      <c r="E252" s="229">
        <f>SUM(E249:E251)</f>
        <v>85</v>
      </c>
    </row>
    <row r="253" spans="1:8" x14ac:dyDescent="0.3">
      <c r="B253" s="229" t="s">
        <v>318</v>
      </c>
      <c r="C253" s="229" t="s">
        <v>318</v>
      </c>
      <c r="D253" s="229" t="s">
        <v>318</v>
      </c>
      <c r="E253" s="229" t="s">
        <v>318</v>
      </c>
    </row>
    <row r="254" spans="1:8" x14ac:dyDescent="0.3">
      <c r="B254" s="229">
        <v>75</v>
      </c>
      <c r="C254" s="229">
        <v>80</v>
      </c>
      <c r="D254" s="229">
        <v>60</v>
      </c>
      <c r="E254" s="229">
        <v>85</v>
      </c>
    </row>
    <row r="256" spans="1:8" x14ac:dyDescent="0.3">
      <c r="E256" s="228">
        <f>SUMPRODUCT(B242:E244,B249:E251)</f>
        <v>790</v>
      </c>
    </row>
  </sheetData>
  <mergeCells count="136">
    <mergeCell ref="K46:N46"/>
    <mergeCell ref="A11:C11"/>
    <mergeCell ref="A12:C12"/>
    <mergeCell ref="A16:C16"/>
    <mergeCell ref="A46:A47"/>
    <mergeCell ref="B46:E46"/>
    <mergeCell ref="J46:J47"/>
    <mergeCell ref="B28:E28"/>
    <mergeCell ref="I28:I29"/>
    <mergeCell ref="J28:M28"/>
    <mergeCell ref="A37:A38"/>
    <mergeCell ref="B37:E37"/>
    <mergeCell ref="I37:I38"/>
    <mergeCell ref="J37:M37"/>
    <mergeCell ref="F87:G87"/>
    <mergeCell ref="H87:I87"/>
    <mergeCell ref="A26:F26"/>
    <mergeCell ref="I67:I68"/>
    <mergeCell ref="J67:M67"/>
    <mergeCell ref="I74:I75"/>
    <mergeCell ref="J74:M74"/>
    <mergeCell ref="A56:A57"/>
    <mergeCell ref="B56:E56"/>
    <mergeCell ref="A28:A29"/>
    <mergeCell ref="F94:G94"/>
    <mergeCell ref="A17:C17"/>
    <mergeCell ref="A18:C18"/>
    <mergeCell ref="A19:C19"/>
    <mergeCell ref="A75:B76"/>
    <mergeCell ref="D75:E76"/>
    <mergeCell ref="A86:A87"/>
    <mergeCell ref="B86:I86"/>
    <mergeCell ref="B87:C87"/>
    <mergeCell ref="D87:E87"/>
    <mergeCell ref="H94:I94"/>
    <mergeCell ref="J88:J89"/>
    <mergeCell ref="J90:J91"/>
    <mergeCell ref="J92:J93"/>
    <mergeCell ref="A98:A99"/>
    <mergeCell ref="A88:A89"/>
    <mergeCell ref="A90:A91"/>
    <mergeCell ref="A92:A93"/>
    <mergeCell ref="B94:C94"/>
    <mergeCell ref="D94:E94"/>
    <mergeCell ref="A106:A107"/>
    <mergeCell ref="B106:F106"/>
    <mergeCell ref="J106:J107"/>
    <mergeCell ref="K106:O106"/>
    <mergeCell ref="J98:J99"/>
    <mergeCell ref="B98:F98"/>
    <mergeCell ref="K98:O98"/>
    <mergeCell ref="A115:A116"/>
    <mergeCell ref="B115:F115"/>
    <mergeCell ref="K115:K116"/>
    <mergeCell ref="L115:P115"/>
    <mergeCell ref="A124:A125"/>
    <mergeCell ref="B124:F124"/>
    <mergeCell ref="L124:L125"/>
    <mergeCell ref="M124:Q124"/>
    <mergeCell ref="E145:F145"/>
    <mergeCell ref="A155:B156"/>
    <mergeCell ref="D155:E156"/>
    <mergeCell ref="A170:A171"/>
    <mergeCell ref="B170:K170"/>
    <mergeCell ref="B171:C171"/>
    <mergeCell ref="D171:E171"/>
    <mergeCell ref="F171:G171"/>
    <mergeCell ref="H171:I171"/>
    <mergeCell ref="J171:K171"/>
    <mergeCell ref="A172:A173"/>
    <mergeCell ref="L172:L173"/>
    <mergeCell ref="A174:A175"/>
    <mergeCell ref="L174:L175"/>
    <mergeCell ref="A176:A177"/>
    <mergeCell ref="L176:L177"/>
    <mergeCell ref="B178:C178"/>
    <mergeCell ref="D178:E178"/>
    <mergeCell ref="F178:G178"/>
    <mergeCell ref="H178:I178"/>
    <mergeCell ref="J178:K178"/>
    <mergeCell ref="C183:D183"/>
    <mergeCell ref="F183:G184"/>
    <mergeCell ref="I183:J184"/>
    <mergeCell ref="A195:A196"/>
    <mergeCell ref="B195:K195"/>
    <mergeCell ref="B196:C196"/>
    <mergeCell ref="D196:E196"/>
    <mergeCell ref="F196:G196"/>
    <mergeCell ref="H196:I196"/>
    <mergeCell ref="J196:K196"/>
    <mergeCell ref="D220:E220"/>
    <mergeCell ref="F220:G220"/>
    <mergeCell ref="H220:I220"/>
    <mergeCell ref="J220:K220"/>
    <mergeCell ref="A197:A198"/>
    <mergeCell ref="L197:L198"/>
    <mergeCell ref="A199:A200"/>
    <mergeCell ref="L199:L200"/>
    <mergeCell ref="A201:A202"/>
    <mergeCell ref="L201:L202"/>
    <mergeCell ref="F207:G208"/>
    <mergeCell ref="I207:J208"/>
    <mergeCell ref="L221:L222"/>
    <mergeCell ref="A223:A224"/>
    <mergeCell ref="L223:L224"/>
    <mergeCell ref="A225:A226"/>
    <mergeCell ref="L225:L226"/>
    <mergeCell ref="A219:A220"/>
    <mergeCell ref="B219:K219"/>
    <mergeCell ref="B220:C220"/>
    <mergeCell ref="J227:K227"/>
    <mergeCell ref="A240:A241"/>
    <mergeCell ref="B240:E240"/>
    <mergeCell ref="A221:A222"/>
    <mergeCell ref="B203:C203"/>
    <mergeCell ref="D203:E203"/>
    <mergeCell ref="F203:G203"/>
    <mergeCell ref="H203:I203"/>
    <mergeCell ref="J203:K203"/>
    <mergeCell ref="C207:D207"/>
    <mergeCell ref="A247:A248"/>
    <mergeCell ref="B247:E247"/>
    <mergeCell ref="B227:C227"/>
    <mergeCell ref="D227:E227"/>
    <mergeCell ref="F227:G227"/>
    <mergeCell ref="H227:I227"/>
    <mergeCell ref="H1:K5"/>
    <mergeCell ref="A14:C14"/>
    <mergeCell ref="A8:C8"/>
    <mergeCell ref="A21:C21"/>
    <mergeCell ref="A24:G24"/>
    <mergeCell ref="A23:G23"/>
    <mergeCell ref="A1:A2"/>
    <mergeCell ref="B1:E1"/>
    <mergeCell ref="F1:F2"/>
    <mergeCell ref="A10:C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DF29-B5F8-4D46-AAE1-4E7AC347898B}">
  <dimension ref="A1:J116"/>
  <sheetViews>
    <sheetView topLeftCell="A98" zoomScale="126" workbookViewId="0">
      <selection activeCell="F51" sqref="F51"/>
    </sheetView>
  </sheetViews>
  <sheetFormatPr defaultRowHeight="14.4" x14ac:dyDescent="0.3"/>
  <cols>
    <col min="1" max="1" width="17.5546875" customWidth="1"/>
    <col min="2" max="2" width="9.88671875" bestFit="1" customWidth="1"/>
    <col min="3" max="3" width="9.5546875" bestFit="1" customWidth="1"/>
    <col min="4" max="6" width="9.88671875" bestFit="1" customWidth="1"/>
    <col min="10" max="10" width="5.109375" customWidth="1"/>
  </cols>
  <sheetData>
    <row r="1" spans="1:7" ht="14.4" customHeight="1" x14ac:dyDescent="0.3">
      <c r="A1" s="103" t="s">
        <v>469</v>
      </c>
      <c r="B1" s="103"/>
      <c r="C1" s="103"/>
      <c r="D1" s="103"/>
      <c r="E1" s="103"/>
      <c r="F1" s="103"/>
      <c r="G1" s="98"/>
    </row>
    <row r="2" spans="1:7" x14ac:dyDescent="0.3">
      <c r="A2" s="103"/>
      <c r="B2" s="103"/>
      <c r="C2" s="103"/>
      <c r="D2" s="103"/>
      <c r="E2" s="103"/>
      <c r="F2" s="103"/>
      <c r="G2" s="98"/>
    </row>
    <row r="3" spans="1:7" x14ac:dyDescent="0.3">
      <c r="A3" s="103"/>
      <c r="B3" s="103"/>
      <c r="C3" s="103"/>
      <c r="D3" s="103"/>
      <c r="E3" s="103"/>
      <c r="F3" s="103"/>
      <c r="G3" s="98"/>
    </row>
    <row r="4" spans="1:7" x14ac:dyDescent="0.3">
      <c r="A4" s="103"/>
      <c r="B4" s="103"/>
      <c r="C4" s="103"/>
      <c r="D4" s="103"/>
      <c r="E4" s="103"/>
      <c r="F4" s="103"/>
      <c r="G4" s="98"/>
    </row>
    <row r="5" spans="1:7" x14ac:dyDescent="0.3">
      <c r="A5" s="98"/>
      <c r="B5" s="98"/>
      <c r="C5" s="98"/>
      <c r="D5" s="98"/>
      <c r="E5" s="98"/>
      <c r="F5" s="98"/>
      <c r="G5" s="98"/>
    </row>
    <row r="6" spans="1:7" x14ac:dyDescent="0.3">
      <c r="A6" s="124" t="s">
        <v>467</v>
      </c>
      <c r="B6" s="117" t="s">
        <v>466</v>
      </c>
      <c r="C6" s="117"/>
      <c r="D6" s="117"/>
      <c r="E6" s="117"/>
      <c r="F6" s="117"/>
    </row>
    <row r="7" spans="1:7" x14ac:dyDescent="0.3">
      <c r="A7" s="124"/>
      <c r="B7" s="24" t="s">
        <v>465</v>
      </c>
      <c r="C7" s="24" t="s">
        <v>464</v>
      </c>
      <c r="D7" s="24" t="s">
        <v>463</v>
      </c>
      <c r="E7" s="24" t="s">
        <v>462</v>
      </c>
      <c r="F7" s="24" t="s">
        <v>461</v>
      </c>
    </row>
    <row r="8" spans="1:7" x14ac:dyDescent="0.3">
      <c r="A8" s="24">
        <v>1</v>
      </c>
      <c r="B8" s="27">
        <v>3</v>
      </c>
      <c r="C8" s="27">
        <v>6</v>
      </c>
      <c r="D8" s="27">
        <v>2</v>
      </c>
      <c r="E8" s="27">
        <v>5</v>
      </c>
      <c r="F8" s="27">
        <v>11</v>
      </c>
    </row>
    <row r="9" spans="1:7" x14ac:dyDescent="0.3">
      <c r="A9" s="24">
        <v>2</v>
      </c>
      <c r="B9" s="27">
        <v>1</v>
      </c>
      <c r="C9" s="27">
        <v>2</v>
      </c>
      <c r="D9" s="27">
        <v>7</v>
      </c>
      <c r="E9" s="27">
        <v>11</v>
      </c>
      <c r="F9" s="27">
        <v>3</v>
      </c>
    </row>
    <row r="10" spans="1:7" x14ac:dyDescent="0.3">
      <c r="A10" s="24">
        <v>3</v>
      </c>
      <c r="B10" s="27">
        <v>5</v>
      </c>
      <c r="C10" s="27">
        <v>12</v>
      </c>
      <c r="D10" s="27">
        <v>11</v>
      </c>
      <c r="E10" s="27">
        <v>9</v>
      </c>
      <c r="F10" s="27">
        <v>1</v>
      </c>
    </row>
    <row r="11" spans="1:7" x14ac:dyDescent="0.3">
      <c r="A11" s="24">
        <v>4</v>
      </c>
      <c r="B11" s="27">
        <v>2</v>
      </c>
      <c r="C11" s="27">
        <v>4</v>
      </c>
      <c r="D11" s="27">
        <v>2</v>
      </c>
      <c r="E11" s="27">
        <v>10</v>
      </c>
      <c r="F11" s="27">
        <v>5</v>
      </c>
    </row>
    <row r="13" spans="1:7" x14ac:dyDescent="0.3">
      <c r="A13" t="s">
        <v>468</v>
      </c>
    </row>
    <row r="15" spans="1:7" x14ac:dyDescent="0.3">
      <c r="A15" s="124" t="s">
        <v>467</v>
      </c>
      <c r="B15" s="117" t="s">
        <v>466</v>
      </c>
      <c r="C15" s="117"/>
      <c r="D15" s="117"/>
      <c r="E15" s="117"/>
      <c r="F15" s="117"/>
    </row>
    <row r="16" spans="1:7" x14ac:dyDescent="0.3">
      <c r="A16" s="124"/>
      <c r="B16" s="24" t="s">
        <v>465</v>
      </c>
      <c r="C16" s="24" t="s">
        <v>464</v>
      </c>
      <c r="D16" s="24" t="s">
        <v>463</v>
      </c>
      <c r="E16" s="24" t="s">
        <v>462</v>
      </c>
      <c r="F16" s="24" t="s">
        <v>461</v>
      </c>
    </row>
    <row r="17" spans="1:10" x14ac:dyDescent="0.3">
      <c r="A17" s="24">
        <v>1</v>
      </c>
      <c r="B17" s="27">
        <v>3</v>
      </c>
      <c r="C17" s="27">
        <v>6</v>
      </c>
      <c r="D17" s="27">
        <v>2</v>
      </c>
      <c r="E17" s="27">
        <v>5</v>
      </c>
      <c r="F17" s="27">
        <v>11</v>
      </c>
    </row>
    <row r="18" spans="1:10" x14ac:dyDescent="0.3">
      <c r="A18" s="24">
        <v>2</v>
      </c>
      <c r="B18" s="27">
        <v>1</v>
      </c>
      <c r="C18" s="27">
        <v>2</v>
      </c>
      <c r="D18" s="27">
        <v>7</v>
      </c>
      <c r="E18" s="27">
        <v>11</v>
      </c>
      <c r="F18" s="27">
        <v>3</v>
      </c>
    </row>
    <row r="19" spans="1:10" x14ac:dyDescent="0.3">
      <c r="A19" s="24">
        <v>3</v>
      </c>
      <c r="B19" s="27">
        <v>5</v>
      </c>
      <c r="C19" s="27">
        <v>12</v>
      </c>
      <c r="D19" s="27">
        <v>11</v>
      </c>
      <c r="E19" s="27">
        <v>9</v>
      </c>
      <c r="F19" s="27">
        <v>1</v>
      </c>
    </row>
    <row r="20" spans="1:10" x14ac:dyDescent="0.3">
      <c r="A20" s="24">
        <v>4</v>
      </c>
      <c r="B20" s="27">
        <v>2</v>
      </c>
      <c r="C20" s="27">
        <v>4</v>
      </c>
      <c r="D20" s="27">
        <v>2</v>
      </c>
      <c r="E20" s="27">
        <v>10</v>
      </c>
      <c r="F20" s="27">
        <v>5</v>
      </c>
    </row>
    <row r="21" spans="1:10" x14ac:dyDescent="0.3">
      <c r="A21" s="24">
        <v>5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</row>
    <row r="24" spans="1:10" x14ac:dyDescent="0.3">
      <c r="A24" s="117" t="s">
        <v>21</v>
      </c>
      <c r="B24" s="117"/>
      <c r="C24" s="117"/>
      <c r="D24" s="117"/>
      <c r="E24" s="117"/>
      <c r="F24" s="117"/>
      <c r="G24" s="117"/>
      <c r="H24" s="117"/>
      <c r="I24" s="117"/>
      <c r="J24" s="117"/>
    </row>
    <row r="25" spans="1:10" x14ac:dyDescent="0.3">
      <c r="A25" s="117" t="s">
        <v>460</v>
      </c>
      <c r="B25" s="117"/>
      <c r="C25" s="117"/>
      <c r="D25" s="117"/>
      <c r="E25" s="117" t="s">
        <v>459</v>
      </c>
      <c r="F25" s="117"/>
      <c r="G25" s="117"/>
      <c r="H25" s="117"/>
      <c r="I25" s="117"/>
      <c r="J25" s="117"/>
    </row>
    <row r="26" spans="1:10" x14ac:dyDescent="0.3">
      <c r="A26" s="133" t="s">
        <v>458</v>
      </c>
      <c r="B26" s="133"/>
      <c r="C26" s="133"/>
      <c r="D26" s="133"/>
      <c r="E26" s="133" t="s">
        <v>457</v>
      </c>
      <c r="F26" s="133"/>
      <c r="G26" s="133"/>
      <c r="H26" s="133"/>
      <c r="I26" s="133"/>
      <c r="J26" s="133"/>
    </row>
    <row r="27" spans="1:10" x14ac:dyDescent="0.3">
      <c r="A27" s="133" t="s">
        <v>456</v>
      </c>
      <c r="B27" s="133"/>
      <c r="C27" s="133"/>
      <c r="D27" s="133"/>
      <c r="E27" s="133" t="s">
        <v>455</v>
      </c>
      <c r="F27" s="133"/>
      <c r="G27" s="133"/>
      <c r="H27" s="133"/>
      <c r="I27" s="133"/>
      <c r="J27" s="133"/>
    </row>
    <row r="28" spans="1:10" x14ac:dyDescent="0.3">
      <c r="A28" s="133" t="s">
        <v>454</v>
      </c>
      <c r="B28" s="133"/>
      <c r="C28" s="133"/>
      <c r="D28" s="133"/>
      <c r="E28" s="133" t="s">
        <v>453</v>
      </c>
      <c r="F28" s="133"/>
      <c r="G28" s="133"/>
      <c r="H28" s="133"/>
      <c r="I28" s="133"/>
      <c r="J28" s="133"/>
    </row>
    <row r="29" spans="1:10" x14ac:dyDescent="0.3">
      <c r="A29" s="133" t="s">
        <v>452</v>
      </c>
      <c r="B29" s="133"/>
      <c r="C29" s="133"/>
      <c r="D29" s="133"/>
      <c r="E29" s="133" t="s">
        <v>451</v>
      </c>
      <c r="F29" s="133"/>
      <c r="G29" s="133"/>
      <c r="H29" s="133"/>
      <c r="I29" s="133"/>
      <c r="J29" s="133"/>
    </row>
    <row r="30" spans="1:10" x14ac:dyDescent="0.3">
      <c r="A30" s="133" t="s">
        <v>450</v>
      </c>
      <c r="B30" s="133"/>
      <c r="C30" s="133"/>
      <c r="D30" s="133"/>
      <c r="E30" s="133" t="s">
        <v>449</v>
      </c>
      <c r="F30" s="133"/>
      <c r="G30" s="133"/>
      <c r="H30" s="133"/>
      <c r="I30" s="133"/>
      <c r="J30" s="133"/>
    </row>
    <row r="32" spans="1:10" x14ac:dyDescent="0.3">
      <c r="A32" s="117" t="s">
        <v>22</v>
      </c>
      <c r="B32" s="117"/>
      <c r="C32" s="117"/>
      <c r="D32" s="117"/>
    </row>
    <row r="33" spans="1:7" ht="14.4" customHeight="1" x14ac:dyDescent="0.3">
      <c r="A33" s="107" t="s">
        <v>448</v>
      </c>
      <c r="B33" s="107"/>
      <c r="C33" s="107"/>
      <c r="D33" s="107"/>
      <c r="E33" s="374"/>
      <c r="F33" s="98"/>
    </row>
    <row r="34" spans="1:7" x14ac:dyDescent="0.3">
      <c r="A34" s="107"/>
      <c r="B34" s="107"/>
      <c r="C34" s="107"/>
      <c r="D34" s="107"/>
      <c r="E34" s="374"/>
      <c r="F34" s="98"/>
    </row>
    <row r="35" spans="1:7" x14ac:dyDescent="0.3">
      <c r="A35" s="107"/>
      <c r="B35" s="107"/>
      <c r="C35" s="107"/>
      <c r="D35" s="107"/>
      <c r="E35" s="374"/>
      <c r="F35" s="98"/>
    </row>
    <row r="36" spans="1:7" x14ac:dyDescent="0.3">
      <c r="A36" s="107"/>
      <c r="B36" s="107"/>
      <c r="C36" s="107"/>
      <c r="D36" s="107"/>
      <c r="E36" s="374"/>
      <c r="F36" s="98"/>
    </row>
    <row r="38" spans="1:7" x14ac:dyDescent="0.3">
      <c r="E38" s="101" t="s">
        <v>447</v>
      </c>
    </row>
    <row r="39" spans="1:7" x14ac:dyDescent="0.3">
      <c r="A39" s="27">
        <v>3</v>
      </c>
      <c r="B39" s="369">
        <v>1</v>
      </c>
      <c r="C39" s="27">
        <v>5</v>
      </c>
      <c r="D39" s="27">
        <v>2</v>
      </c>
      <c r="E39" s="366">
        <v>0</v>
      </c>
      <c r="F39">
        <v>1</v>
      </c>
    </row>
    <row r="40" spans="1:7" x14ac:dyDescent="0.3">
      <c r="A40" s="27">
        <v>6</v>
      </c>
      <c r="B40" s="369">
        <v>2</v>
      </c>
      <c r="C40" s="27">
        <v>12</v>
      </c>
      <c r="D40" s="27">
        <v>4</v>
      </c>
      <c r="E40" s="366">
        <v>0</v>
      </c>
      <c r="F40">
        <v>2</v>
      </c>
    </row>
    <row r="41" spans="1:7" x14ac:dyDescent="0.3">
      <c r="A41" s="369">
        <v>2</v>
      </c>
      <c r="B41" s="27">
        <v>7</v>
      </c>
      <c r="C41" s="27">
        <v>11</v>
      </c>
      <c r="D41" s="27">
        <v>2</v>
      </c>
      <c r="E41" s="366">
        <v>0</v>
      </c>
      <c r="F41">
        <v>2</v>
      </c>
    </row>
    <row r="42" spans="1:7" x14ac:dyDescent="0.3">
      <c r="A42" s="369">
        <v>5</v>
      </c>
      <c r="B42" s="27">
        <v>11</v>
      </c>
      <c r="C42" s="27">
        <v>9</v>
      </c>
      <c r="D42" s="27">
        <v>10</v>
      </c>
      <c r="E42" s="366">
        <v>0</v>
      </c>
      <c r="F42">
        <v>5</v>
      </c>
    </row>
    <row r="43" spans="1:7" x14ac:dyDescent="0.3">
      <c r="A43" s="27">
        <v>11</v>
      </c>
      <c r="B43" s="27">
        <v>3</v>
      </c>
      <c r="C43" s="369">
        <v>1</v>
      </c>
      <c r="D43" s="27">
        <v>5</v>
      </c>
      <c r="E43" s="366">
        <v>0</v>
      </c>
      <c r="F43">
        <v>1</v>
      </c>
      <c r="G43" t="s">
        <v>444</v>
      </c>
    </row>
    <row r="45" spans="1:7" x14ac:dyDescent="0.3">
      <c r="A45" s="27">
        <v>3</v>
      </c>
      <c r="B45" s="27">
        <v>1</v>
      </c>
      <c r="C45" s="27">
        <v>5</v>
      </c>
      <c r="D45" s="27">
        <v>2</v>
      </c>
      <c r="E45" s="366">
        <v>1</v>
      </c>
    </row>
    <row r="46" spans="1:7" x14ac:dyDescent="0.3">
      <c r="A46" s="27">
        <v>6</v>
      </c>
      <c r="B46" s="27">
        <v>2</v>
      </c>
      <c r="C46" s="27">
        <v>12</v>
      </c>
      <c r="D46" s="27">
        <v>4</v>
      </c>
      <c r="E46" s="366">
        <v>1</v>
      </c>
    </row>
    <row r="47" spans="1:7" x14ac:dyDescent="0.3">
      <c r="A47" s="27">
        <v>2</v>
      </c>
      <c r="B47" s="27">
        <v>7</v>
      </c>
      <c r="C47" s="27">
        <v>11</v>
      </c>
      <c r="D47" s="27">
        <v>2</v>
      </c>
      <c r="E47" s="366">
        <v>1</v>
      </c>
    </row>
    <row r="48" spans="1:7" x14ac:dyDescent="0.3">
      <c r="A48" s="27">
        <v>5</v>
      </c>
      <c r="B48" s="27">
        <v>11</v>
      </c>
      <c r="C48" s="27">
        <v>9</v>
      </c>
      <c r="D48" s="27">
        <v>10</v>
      </c>
      <c r="E48" s="366">
        <v>1</v>
      </c>
    </row>
    <row r="49" spans="1:7" x14ac:dyDescent="0.3">
      <c r="A49" s="27">
        <v>11</v>
      </c>
      <c r="B49" s="27">
        <v>3</v>
      </c>
      <c r="C49" s="371" t="s">
        <v>446</v>
      </c>
      <c r="D49" s="27">
        <v>5</v>
      </c>
      <c r="E49" s="365">
        <v>1</v>
      </c>
    </row>
    <row r="51" spans="1:7" x14ac:dyDescent="0.3">
      <c r="A51" s="27">
        <v>3</v>
      </c>
      <c r="B51" s="27">
        <v>1</v>
      </c>
      <c r="C51" s="27">
        <v>5</v>
      </c>
      <c r="D51" s="27">
        <v>2</v>
      </c>
      <c r="E51" s="366">
        <v>1</v>
      </c>
      <c r="F51">
        <v>0</v>
      </c>
      <c r="G51" t="s">
        <v>444</v>
      </c>
    </row>
    <row r="52" spans="1:7" x14ac:dyDescent="0.3">
      <c r="A52" s="27">
        <v>6</v>
      </c>
      <c r="B52" s="369">
        <v>2</v>
      </c>
      <c r="C52" s="27">
        <v>12</v>
      </c>
      <c r="D52" s="27">
        <v>4</v>
      </c>
      <c r="E52" s="366">
        <v>1</v>
      </c>
      <c r="F52">
        <v>1</v>
      </c>
    </row>
    <row r="53" spans="1:7" x14ac:dyDescent="0.3">
      <c r="A53" s="369">
        <v>2</v>
      </c>
      <c r="B53" s="27">
        <v>7</v>
      </c>
      <c r="C53" s="27">
        <v>11</v>
      </c>
      <c r="D53" s="369">
        <v>2</v>
      </c>
      <c r="E53" s="366">
        <v>1</v>
      </c>
      <c r="F53">
        <v>1</v>
      </c>
    </row>
    <row r="54" spans="1:7" x14ac:dyDescent="0.3">
      <c r="A54" s="369">
        <v>5</v>
      </c>
      <c r="B54" s="27">
        <v>11</v>
      </c>
      <c r="C54" s="27">
        <v>9</v>
      </c>
      <c r="D54" s="27">
        <v>10</v>
      </c>
      <c r="E54" s="366">
        <v>1</v>
      </c>
      <c r="F54">
        <v>4</v>
      </c>
    </row>
    <row r="55" spans="1:7" x14ac:dyDescent="0.3">
      <c r="A55" s="27">
        <v>11</v>
      </c>
      <c r="B55" s="369">
        <v>3</v>
      </c>
      <c r="C55" s="366">
        <v>1</v>
      </c>
      <c r="D55" s="27">
        <v>5</v>
      </c>
      <c r="E55" s="365">
        <v>1</v>
      </c>
    </row>
    <row r="57" spans="1:7" x14ac:dyDescent="0.3">
      <c r="A57" s="27">
        <v>3</v>
      </c>
      <c r="B57" s="373" t="s">
        <v>446</v>
      </c>
      <c r="C57" s="27">
        <v>5</v>
      </c>
      <c r="D57" s="27">
        <v>2</v>
      </c>
      <c r="E57" s="365">
        <v>1</v>
      </c>
    </row>
    <row r="58" spans="1:7" x14ac:dyDescent="0.3">
      <c r="A58" s="27">
        <v>6</v>
      </c>
      <c r="B58" s="27">
        <v>2</v>
      </c>
      <c r="C58" s="27">
        <v>12</v>
      </c>
      <c r="D58" s="27">
        <v>4</v>
      </c>
      <c r="E58" s="366">
        <v>1</v>
      </c>
    </row>
    <row r="59" spans="1:7" x14ac:dyDescent="0.3">
      <c r="A59" s="372">
        <v>2</v>
      </c>
      <c r="B59" s="27">
        <v>7</v>
      </c>
      <c r="C59" s="27">
        <v>11</v>
      </c>
      <c r="D59" s="27">
        <v>2</v>
      </c>
      <c r="E59" s="366">
        <v>1</v>
      </c>
    </row>
    <row r="60" spans="1:7" x14ac:dyDescent="0.3">
      <c r="A60" s="27">
        <v>5</v>
      </c>
      <c r="B60" s="27">
        <v>11</v>
      </c>
      <c r="C60" s="27">
        <v>9</v>
      </c>
      <c r="D60" s="27">
        <v>10</v>
      </c>
      <c r="E60" s="366">
        <v>1</v>
      </c>
    </row>
    <row r="61" spans="1:7" x14ac:dyDescent="0.3">
      <c r="A61" s="27">
        <v>11</v>
      </c>
      <c r="B61" s="27">
        <v>3</v>
      </c>
      <c r="C61" s="366">
        <v>1</v>
      </c>
      <c r="D61" s="27">
        <v>5</v>
      </c>
      <c r="E61" s="365">
        <v>1</v>
      </c>
    </row>
    <row r="63" spans="1:7" x14ac:dyDescent="0.3">
      <c r="A63" s="27">
        <v>3</v>
      </c>
      <c r="B63" s="366">
        <v>1</v>
      </c>
      <c r="C63" s="27">
        <v>5</v>
      </c>
      <c r="D63" s="27">
        <v>2</v>
      </c>
      <c r="E63" s="365">
        <v>1</v>
      </c>
    </row>
    <row r="64" spans="1:7" x14ac:dyDescent="0.3">
      <c r="A64" s="27">
        <v>6</v>
      </c>
      <c r="B64" s="369">
        <v>2</v>
      </c>
      <c r="C64" s="27">
        <v>12</v>
      </c>
      <c r="D64" s="27">
        <v>4</v>
      </c>
      <c r="E64" s="366">
        <v>1</v>
      </c>
      <c r="F64">
        <v>1</v>
      </c>
      <c r="G64" t="s">
        <v>444</v>
      </c>
    </row>
    <row r="65" spans="1:6" x14ac:dyDescent="0.3">
      <c r="A65" s="369">
        <v>2</v>
      </c>
      <c r="B65" s="27">
        <v>7</v>
      </c>
      <c r="C65" s="27">
        <v>11</v>
      </c>
      <c r="D65" s="27">
        <v>2</v>
      </c>
      <c r="E65" s="366">
        <v>1</v>
      </c>
      <c r="F65">
        <v>1</v>
      </c>
    </row>
    <row r="66" spans="1:6" x14ac:dyDescent="0.3">
      <c r="A66" s="369">
        <v>5</v>
      </c>
      <c r="B66" s="27">
        <v>11</v>
      </c>
      <c r="C66" s="27">
        <v>9</v>
      </c>
      <c r="D66" s="27">
        <v>10</v>
      </c>
      <c r="E66" s="366">
        <v>1</v>
      </c>
      <c r="F66">
        <v>4</v>
      </c>
    </row>
    <row r="67" spans="1:6" x14ac:dyDescent="0.3">
      <c r="A67" s="27">
        <v>11</v>
      </c>
      <c r="B67" s="27">
        <v>3</v>
      </c>
      <c r="C67" s="366">
        <v>1</v>
      </c>
      <c r="D67" s="27">
        <v>5</v>
      </c>
      <c r="E67" s="365">
        <v>1</v>
      </c>
    </row>
    <row r="69" spans="1:6" x14ac:dyDescent="0.3">
      <c r="A69" s="27">
        <v>3</v>
      </c>
      <c r="B69" s="366">
        <v>1</v>
      </c>
      <c r="C69" s="27">
        <v>5</v>
      </c>
      <c r="D69" s="27">
        <v>2</v>
      </c>
      <c r="E69" s="365">
        <v>2</v>
      </c>
    </row>
    <row r="70" spans="1:6" x14ac:dyDescent="0.3">
      <c r="A70" s="27">
        <v>6</v>
      </c>
      <c r="B70" s="27">
        <v>2</v>
      </c>
      <c r="C70" s="27">
        <v>12</v>
      </c>
      <c r="D70" s="27">
        <v>4</v>
      </c>
      <c r="E70" s="366">
        <v>2</v>
      </c>
    </row>
    <row r="71" spans="1:6" x14ac:dyDescent="0.3">
      <c r="A71" s="371" t="s">
        <v>443</v>
      </c>
      <c r="B71" s="27">
        <v>7</v>
      </c>
      <c r="C71" s="27">
        <v>11</v>
      </c>
      <c r="D71" s="27">
        <v>2</v>
      </c>
      <c r="E71" s="365">
        <v>2</v>
      </c>
    </row>
    <row r="72" spans="1:6" x14ac:dyDescent="0.3">
      <c r="A72" s="27">
        <v>5</v>
      </c>
      <c r="B72" s="27">
        <v>11</v>
      </c>
      <c r="C72" s="27">
        <v>9</v>
      </c>
      <c r="D72" s="27">
        <v>10</v>
      </c>
      <c r="E72" s="366">
        <v>2</v>
      </c>
    </row>
    <row r="73" spans="1:6" x14ac:dyDescent="0.3">
      <c r="A73" s="27">
        <v>11</v>
      </c>
      <c r="B73" s="27">
        <v>3</v>
      </c>
      <c r="C73" s="366">
        <v>1</v>
      </c>
      <c r="D73" s="27">
        <v>5</v>
      </c>
      <c r="E73" s="365">
        <v>2</v>
      </c>
    </row>
    <row r="75" spans="1:6" x14ac:dyDescent="0.3">
      <c r="A75" s="27">
        <v>3</v>
      </c>
      <c r="B75" s="364">
        <v>1</v>
      </c>
      <c r="C75" s="27">
        <v>5</v>
      </c>
      <c r="D75" s="27">
        <v>2</v>
      </c>
      <c r="E75" s="365">
        <v>2</v>
      </c>
    </row>
    <row r="76" spans="1:6" x14ac:dyDescent="0.3">
      <c r="A76" s="27">
        <v>6</v>
      </c>
      <c r="B76" s="27">
        <v>2</v>
      </c>
      <c r="C76" s="27">
        <v>12</v>
      </c>
      <c r="D76" s="27">
        <v>4</v>
      </c>
      <c r="E76" s="364">
        <v>2</v>
      </c>
    </row>
    <row r="77" spans="1:6" x14ac:dyDescent="0.3">
      <c r="A77" s="364">
        <v>2</v>
      </c>
      <c r="B77" s="27">
        <v>7</v>
      </c>
      <c r="C77" s="27">
        <v>11</v>
      </c>
      <c r="D77" s="27">
        <v>2</v>
      </c>
      <c r="E77" s="365">
        <v>2</v>
      </c>
    </row>
    <row r="78" spans="1:6" x14ac:dyDescent="0.3">
      <c r="A78" s="27">
        <v>5</v>
      </c>
      <c r="B78" s="27">
        <v>11</v>
      </c>
      <c r="C78" s="27">
        <v>9</v>
      </c>
      <c r="D78" s="27">
        <v>10</v>
      </c>
      <c r="E78" s="364">
        <v>2</v>
      </c>
    </row>
    <row r="79" spans="1:6" x14ac:dyDescent="0.3">
      <c r="A79" s="27">
        <v>11</v>
      </c>
      <c r="B79" s="27">
        <v>3</v>
      </c>
      <c r="C79" s="364">
        <v>1</v>
      </c>
      <c r="D79" s="27">
        <v>5</v>
      </c>
      <c r="E79" s="365">
        <v>2</v>
      </c>
    </row>
    <row r="80" spans="1:6" x14ac:dyDescent="0.3">
      <c r="B80" s="101"/>
      <c r="C80" s="101"/>
      <c r="D80" s="101"/>
      <c r="E80" s="101" t="s">
        <v>445</v>
      </c>
    </row>
    <row r="82" spans="1:7" x14ac:dyDescent="0.3">
      <c r="A82" s="27">
        <v>3</v>
      </c>
      <c r="B82" s="366">
        <v>1</v>
      </c>
      <c r="C82" s="27">
        <v>5</v>
      </c>
      <c r="D82" s="27">
        <v>2</v>
      </c>
      <c r="E82" s="365">
        <v>2</v>
      </c>
    </row>
    <row r="83" spans="1:7" x14ac:dyDescent="0.3">
      <c r="A83" s="27">
        <v>6</v>
      </c>
      <c r="B83" s="369">
        <v>2</v>
      </c>
      <c r="C83" s="27">
        <v>12</v>
      </c>
      <c r="D83" s="27">
        <v>4</v>
      </c>
      <c r="E83" s="366">
        <v>2</v>
      </c>
      <c r="F83">
        <v>0</v>
      </c>
      <c r="G83" t="s">
        <v>444</v>
      </c>
    </row>
    <row r="84" spans="1:7" x14ac:dyDescent="0.3">
      <c r="A84" s="366">
        <v>2</v>
      </c>
      <c r="B84" s="27">
        <v>7</v>
      </c>
      <c r="C84" s="27">
        <v>11</v>
      </c>
      <c r="D84" s="27">
        <v>2</v>
      </c>
      <c r="E84" s="365">
        <v>2</v>
      </c>
    </row>
    <row r="85" spans="1:7" x14ac:dyDescent="0.3">
      <c r="A85" s="369">
        <v>5</v>
      </c>
      <c r="B85" s="27">
        <v>11</v>
      </c>
      <c r="C85" s="27">
        <v>9</v>
      </c>
      <c r="D85" s="27">
        <v>10</v>
      </c>
      <c r="E85" s="366">
        <v>2</v>
      </c>
      <c r="F85">
        <v>3</v>
      </c>
    </row>
    <row r="86" spans="1:7" x14ac:dyDescent="0.3">
      <c r="A86" s="27">
        <v>11</v>
      </c>
      <c r="B86" s="27">
        <v>3</v>
      </c>
      <c r="C86" s="366">
        <v>1</v>
      </c>
      <c r="D86" s="27">
        <v>5</v>
      </c>
      <c r="E86" s="365">
        <v>2</v>
      </c>
    </row>
    <row r="88" spans="1:7" x14ac:dyDescent="0.3">
      <c r="A88" s="27">
        <v>3</v>
      </c>
      <c r="B88" s="366">
        <v>1</v>
      </c>
      <c r="C88" s="27">
        <v>5</v>
      </c>
      <c r="D88" s="27">
        <v>2</v>
      </c>
      <c r="E88" s="365">
        <v>2</v>
      </c>
    </row>
    <row r="89" spans="1:7" x14ac:dyDescent="0.3">
      <c r="A89" s="27">
        <v>6</v>
      </c>
      <c r="B89" s="370" t="s">
        <v>443</v>
      </c>
      <c r="C89" s="27">
        <v>12</v>
      </c>
      <c r="D89" s="27">
        <v>4</v>
      </c>
      <c r="E89" s="366">
        <v>2</v>
      </c>
    </row>
    <row r="90" spans="1:7" x14ac:dyDescent="0.3">
      <c r="A90" s="366">
        <v>2</v>
      </c>
      <c r="B90" s="365">
        <v>7</v>
      </c>
      <c r="C90" s="27">
        <v>11</v>
      </c>
      <c r="D90" s="27">
        <v>2</v>
      </c>
      <c r="E90" s="365">
        <v>2</v>
      </c>
    </row>
    <row r="91" spans="1:7" x14ac:dyDescent="0.3">
      <c r="A91" s="27">
        <v>5</v>
      </c>
      <c r="B91" s="365">
        <v>11</v>
      </c>
      <c r="C91" s="27">
        <v>9</v>
      </c>
      <c r="D91" s="27">
        <v>10</v>
      </c>
      <c r="E91" s="366">
        <v>2</v>
      </c>
    </row>
    <row r="92" spans="1:7" x14ac:dyDescent="0.3">
      <c r="A92" s="27">
        <v>11</v>
      </c>
      <c r="B92" s="365">
        <v>3</v>
      </c>
      <c r="C92" s="366">
        <v>1</v>
      </c>
      <c r="D92" s="27">
        <v>5</v>
      </c>
      <c r="E92" s="365">
        <v>2</v>
      </c>
    </row>
    <row r="93" spans="1:7" x14ac:dyDescent="0.3">
      <c r="B93" t="s">
        <v>445</v>
      </c>
      <c r="E93" t="s">
        <v>445</v>
      </c>
    </row>
    <row r="95" spans="1:7" x14ac:dyDescent="0.3">
      <c r="A95" s="27">
        <v>3</v>
      </c>
      <c r="B95" s="366">
        <v>1</v>
      </c>
      <c r="C95" s="27">
        <v>5</v>
      </c>
      <c r="D95" s="369">
        <v>2</v>
      </c>
      <c r="E95" s="365">
        <v>2</v>
      </c>
      <c r="F95">
        <v>1</v>
      </c>
      <c r="G95" t="s">
        <v>444</v>
      </c>
    </row>
    <row r="96" spans="1:7" x14ac:dyDescent="0.3">
      <c r="A96" s="27">
        <v>6</v>
      </c>
      <c r="B96" s="365">
        <v>2</v>
      </c>
      <c r="C96" s="27">
        <v>12</v>
      </c>
      <c r="D96" s="369">
        <v>4</v>
      </c>
      <c r="E96" s="366">
        <v>2</v>
      </c>
      <c r="F96">
        <v>2</v>
      </c>
    </row>
    <row r="97" spans="1:7" x14ac:dyDescent="0.3">
      <c r="A97" s="366">
        <v>2</v>
      </c>
      <c r="B97" s="365">
        <v>7</v>
      </c>
      <c r="C97" s="27">
        <v>11</v>
      </c>
      <c r="D97" s="27">
        <v>2</v>
      </c>
      <c r="E97" s="365">
        <v>2</v>
      </c>
    </row>
    <row r="98" spans="1:7" x14ac:dyDescent="0.3">
      <c r="A98" s="369">
        <v>5</v>
      </c>
      <c r="B98" s="365">
        <v>11</v>
      </c>
      <c r="C98" s="27">
        <v>9</v>
      </c>
      <c r="D98" s="27">
        <v>10</v>
      </c>
      <c r="E98" s="366">
        <v>2</v>
      </c>
      <c r="F98">
        <v>3</v>
      </c>
    </row>
    <row r="99" spans="1:7" x14ac:dyDescent="0.3">
      <c r="A99" s="27">
        <v>11</v>
      </c>
      <c r="B99" s="365">
        <v>3</v>
      </c>
      <c r="C99" s="366">
        <v>1</v>
      </c>
      <c r="D99" s="27">
        <v>5</v>
      </c>
      <c r="E99" s="365">
        <v>2</v>
      </c>
    </row>
    <row r="101" spans="1:7" x14ac:dyDescent="0.3">
      <c r="A101" s="27">
        <v>3</v>
      </c>
      <c r="B101" s="365">
        <v>2</v>
      </c>
      <c r="C101" s="27">
        <v>5</v>
      </c>
      <c r="D101" s="368" t="s">
        <v>443</v>
      </c>
      <c r="E101" s="365">
        <v>3</v>
      </c>
    </row>
    <row r="102" spans="1:7" x14ac:dyDescent="0.3">
      <c r="A102" s="27">
        <v>6</v>
      </c>
      <c r="B102" s="365">
        <v>3</v>
      </c>
      <c r="C102" s="27">
        <v>12</v>
      </c>
      <c r="D102" s="27">
        <v>4</v>
      </c>
      <c r="E102" s="366">
        <v>3</v>
      </c>
    </row>
    <row r="103" spans="1:7" x14ac:dyDescent="0.3">
      <c r="A103" s="366">
        <v>2</v>
      </c>
      <c r="B103" s="365">
        <v>8</v>
      </c>
      <c r="C103" s="27">
        <v>11</v>
      </c>
      <c r="D103" s="27">
        <v>2</v>
      </c>
      <c r="E103" s="365">
        <v>3</v>
      </c>
    </row>
    <row r="104" spans="1:7" x14ac:dyDescent="0.3">
      <c r="A104" s="27">
        <v>5</v>
      </c>
      <c r="B104" s="365">
        <v>12</v>
      </c>
      <c r="C104" s="27">
        <v>9</v>
      </c>
      <c r="D104" s="27">
        <v>10</v>
      </c>
      <c r="E104" s="366">
        <v>3</v>
      </c>
      <c r="G104" s="367"/>
    </row>
    <row r="105" spans="1:7" x14ac:dyDescent="0.3">
      <c r="A105" s="27">
        <v>11</v>
      </c>
      <c r="B105" s="365">
        <v>4</v>
      </c>
      <c r="C105" s="366">
        <v>1</v>
      </c>
      <c r="D105" s="27">
        <v>5</v>
      </c>
      <c r="E105" s="365">
        <v>3</v>
      </c>
    </row>
    <row r="107" spans="1:7" x14ac:dyDescent="0.3">
      <c r="A107" s="27">
        <v>3</v>
      </c>
      <c r="B107" s="27">
        <v>2</v>
      </c>
      <c r="C107" s="27">
        <v>5</v>
      </c>
      <c r="D107" s="364">
        <v>2</v>
      </c>
      <c r="E107" s="27">
        <v>3</v>
      </c>
    </row>
    <row r="108" spans="1:7" x14ac:dyDescent="0.3">
      <c r="A108" s="27">
        <v>6</v>
      </c>
      <c r="B108" s="364">
        <v>3</v>
      </c>
      <c r="C108" s="27">
        <v>12</v>
      </c>
      <c r="D108" s="27">
        <v>4</v>
      </c>
      <c r="E108" s="27">
        <v>3</v>
      </c>
    </row>
    <row r="109" spans="1:7" x14ac:dyDescent="0.3">
      <c r="A109" s="364">
        <v>2</v>
      </c>
      <c r="B109" s="27">
        <v>8</v>
      </c>
      <c r="C109" s="27">
        <v>11</v>
      </c>
      <c r="D109" s="27">
        <v>2</v>
      </c>
      <c r="E109" s="27">
        <v>3</v>
      </c>
    </row>
    <row r="110" spans="1:7" x14ac:dyDescent="0.3">
      <c r="A110" s="27">
        <v>5</v>
      </c>
      <c r="B110" s="27">
        <v>12</v>
      </c>
      <c r="C110" s="27">
        <v>9</v>
      </c>
      <c r="D110" s="27">
        <v>10</v>
      </c>
      <c r="E110" s="364">
        <v>3</v>
      </c>
    </row>
    <row r="111" spans="1:7" x14ac:dyDescent="0.3">
      <c r="A111" s="27">
        <v>11</v>
      </c>
      <c r="B111" s="27">
        <v>4</v>
      </c>
      <c r="C111" s="364">
        <v>1</v>
      </c>
      <c r="D111" s="27">
        <v>5</v>
      </c>
      <c r="E111" s="27">
        <v>3</v>
      </c>
    </row>
    <row r="113" spans="1:5" x14ac:dyDescent="0.3">
      <c r="A113" s="103" t="s">
        <v>442</v>
      </c>
      <c r="B113" s="103"/>
      <c r="C113" s="103"/>
      <c r="D113" s="103"/>
      <c r="E113" s="103"/>
    </row>
    <row r="114" spans="1:5" x14ac:dyDescent="0.3">
      <c r="A114" s="103"/>
      <c r="B114" s="103"/>
      <c r="C114" s="103"/>
      <c r="D114" s="103"/>
      <c r="E114" s="103"/>
    </row>
    <row r="115" spans="1:5" x14ac:dyDescent="0.3">
      <c r="A115" s="103"/>
      <c r="B115" s="103"/>
      <c r="C115" s="103"/>
      <c r="D115" s="103"/>
      <c r="E115" s="103"/>
    </row>
    <row r="116" spans="1:5" x14ac:dyDescent="0.3">
      <c r="A116" s="102" t="s">
        <v>441</v>
      </c>
      <c r="B116" s="102"/>
      <c r="C116" s="102"/>
      <c r="D116" s="102"/>
      <c r="E116" s="102"/>
    </row>
  </sheetData>
  <mergeCells count="22">
    <mergeCell ref="B6:F6"/>
    <mergeCell ref="A6:A7"/>
    <mergeCell ref="A1:F4"/>
    <mergeCell ref="A15:A16"/>
    <mergeCell ref="B15:F15"/>
    <mergeCell ref="A24:J24"/>
    <mergeCell ref="A25:D25"/>
    <mergeCell ref="E25:J25"/>
    <mergeCell ref="A26:D26"/>
    <mergeCell ref="A27:D27"/>
    <mergeCell ref="E26:J26"/>
    <mergeCell ref="E27:J27"/>
    <mergeCell ref="E28:J28"/>
    <mergeCell ref="E29:J29"/>
    <mergeCell ref="E30:J30"/>
    <mergeCell ref="A116:E116"/>
    <mergeCell ref="A33:D36"/>
    <mergeCell ref="A32:D32"/>
    <mergeCell ref="A113:E115"/>
    <mergeCell ref="A28:D28"/>
    <mergeCell ref="A29:D29"/>
    <mergeCell ref="A30:D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B15F-3E98-43BE-92CF-DB51AAEC41AA}">
  <dimension ref="A1:L101"/>
  <sheetViews>
    <sheetView topLeftCell="A80" zoomScale="98" workbookViewId="0">
      <selection activeCell="A66" sqref="A66"/>
    </sheetView>
  </sheetViews>
  <sheetFormatPr defaultColWidth="12.44140625" defaultRowHeight="15.6" x14ac:dyDescent="0.3"/>
  <cols>
    <col min="1" max="1" width="38.109375" style="228" customWidth="1"/>
    <col min="2" max="2" width="13.5546875" style="228" bestFit="1" customWidth="1"/>
    <col min="3" max="3" width="13.109375" style="228" customWidth="1"/>
    <col min="4" max="7" width="12.44140625" style="228"/>
    <col min="8" max="8" width="14.21875" style="228" customWidth="1"/>
    <col min="9" max="9" width="11.44140625" style="228" customWidth="1"/>
    <col min="10" max="16384" width="12.44140625" style="228"/>
  </cols>
  <sheetData>
    <row r="1" spans="10:11" x14ac:dyDescent="0.3">
      <c r="J1" s="229"/>
      <c r="K1" s="229"/>
    </row>
    <row r="3" spans="10:11" x14ac:dyDescent="0.3">
      <c r="K3" s="416"/>
    </row>
    <row r="24" spans="1:3" x14ac:dyDescent="0.3">
      <c r="A24" s="412"/>
      <c r="B24" s="415" t="s">
        <v>527</v>
      </c>
      <c r="C24" s="415" t="s">
        <v>526</v>
      </c>
    </row>
    <row r="25" spans="1:3" x14ac:dyDescent="0.3">
      <c r="A25" s="412" t="s">
        <v>525</v>
      </c>
      <c r="B25" s="414">
        <v>100</v>
      </c>
      <c r="C25" s="414">
        <v>120</v>
      </c>
    </row>
    <row r="26" spans="1:3" x14ac:dyDescent="0.3">
      <c r="A26" s="412" t="s">
        <v>524</v>
      </c>
      <c r="B26" s="414">
        <v>2</v>
      </c>
      <c r="C26" s="414">
        <v>4</v>
      </c>
    </row>
    <row r="27" spans="1:3" x14ac:dyDescent="0.3">
      <c r="A27" s="412" t="s">
        <v>523</v>
      </c>
      <c r="B27" s="413">
        <v>1.5</v>
      </c>
      <c r="C27" s="413"/>
    </row>
    <row r="30" spans="1:3" x14ac:dyDescent="0.3">
      <c r="A30" s="412" t="s">
        <v>522</v>
      </c>
    </row>
    <row r="31" spans="1:3" x14ac:dyDescent="0.3">
      <c r="A31" s="411" t="s">
        <v>493</v>
      </c>
    </row>
    <row r="32" spans="1:3" x14ac:dyDescent="0.3">
      <c r="A32" s="411" t="s">
        <v>492</v>
      </c>
    </row>
    <row r="33" spans="1:4" x14ac:dyDescent="0.3">
      <c r="A33" s="411" t="s">
        <v>491</v>
      </c>
    </row>
    <row r="34" spans="1:4" x14ac:dyDescent="0.3">
      <c r="A34" s="411" t="s">
        <v>521</v>
      </c>
    </row>
    <row r="37" spans="1:4" x14ac:dyDescent="0.3">
      <c r="B37" s="228" t="s">
        <v>520</v>
      </c>
    </row>
    <row r="41" spans="1:4" x14ac:dyDescent="0.3">
      <c r="A41" s="398" t="s">
        <v>519</v>
      </c>
    </row>
    <row r="42" spans="1:4" x14ac:dyDescent="0.3">
      <c r="A42" s="397" t="s">
        <v>518</v>
      </c>
    </row>
    <row r="43" spans="1:4" x14ac:dyDescent="0.3">
      <c r="A43" s="396" t="s">
        <v>493</v>
      </c>
    </row>
    <row r="44" spans="1:4" x14ac:dyDescent="0.3">
      <c r="A44" s="395" t="s">
        <v>492</v>
      </c>
      <c r="C44" s="398" t="s">
        <v>517</v>
      </c>
      <c r="D44" s="397">
        <f>10*100+325*6+0.1*100*100+0.1*325*325</f>
        <v>14512.5</v>
      </c>
    </row>
    <row r="45" spans="1:4" x14ac:dyDescent="0.3">
      <c r="A45" s="395" t="s">
        <v>491</v>
      </c>
      <c r="C45" s="398" t="s">
        <v>516</v>
      </c>
      <c r="D45" s="397">
        <v>0.5</v>
      </c>
    </row>
    <row r="47" spans="1:4" x14ac:dyDescent="0.3">
      <c r="A47" s="402" t="s">
        <v>515</v>
      </c>
    </row>
    <row r="49" spans="1:9" x14ac:dyDescent="0.3">
      <c r="A49" s="410" t="s">
        <v>497</v>
      </c>
      <c r="B49" s="409"/>
    </row>
    <row r="50" spans="1:9" x14ac:dyDescent="0.3">
      <c r="A50" s="401" t="s">
        <v>514</v>
      </c>
      <c r="B50" s="399"/>
    </row>
    <row r="52" spans="1:9" x14ac:dyDescent="0.3">
      <c r="A52" s="398" t="s">
        <v>495</v>
      </c>
    </row>
    <row r="53" spans="1:9" x14ac:dyDescent="0.3">
      <c r="A53" s="397" t="s">
        <v>513</v>
      </c>
    </row>
    <row r="54" spans="1:9" x14ac:dyDescent="0.3">
      <c r="A54" s="396" t="s">
        <v>493</v>
      </c>
    </row>
    <row r="55" spans="1:9" x14ac:dyDescent="0.3">
      <c r="A55" s="395" t="s">
        <v>492</v>
      </c>
      <c r="B55" s="228" t="s">
        <v>490</v>
      </c>
      <c r="C55" s="394" t="s">
        <v>512</v>
      </c>
      <c r="D55" s="394"/>
      <c r="E55" s="394"/>
      <c r="F55" s="394"/>
      <c r="G55" s="394"/>
    </row>
    <row r="56" spans="1:9" x14ac:dyDescent="0.3">
      <c r="A56" s="395" t="s">
        <v>491</v>
      </c>
    </row>
    <row r="58" spans="1:9" x14ac:dyDescent="0.3">
      <c r="A58" s="408" t="s">
        <v>481</v>
      </c>
      <c r="B58" s="408"/>
      <c r="C58" s="408"/>
    </row>
    <row r="59" spans="1:9" x14ac:dyDescent="0.3">
      <c r="A59" s="404" t="s">
        <v>505</v>
      </c>
      <c r="B59" s="407" t="s">
        <v>511</v>
      </c>
      <c r="C59" s="397"/>
    </row>
    <row r="60" spans="1:9" x14ac:dyDescent="0.3">
      <c r="A60" s="404" t="s">
        <v>503</v>
      </c>
      <c r="B60" s="407" t="s">
        <v>510</v>
      </c>
      <c r="C60" s="397"/>
    </row>
    <row r="63" spans="1:9" x14ac:dyDescent="0.3">
      <c r="A63" s="393" t="s">
        <v>486</v>
      </c>
    </row>
    <row r="64" spans="1:9" ht="18" x14ac:dyDescent="0.3">
      <c r="A64" s="406" t="s">
        <v>509</v>
      </c>
      <c r="B64" s="406"/>
      <c r="C64" s="406"/>
      <c r="D64" s="406"/>
      <c r="E64" s="406"/>
      <c r="F64" s="406"/>
      <c r="G64" s="405" t="s">
        <v>508</v>
      </c>
      <c r="H64" s="405"/>
      <c r="I64" s="405"/>
    </row>
    <row r="65" spans="1:7" ht="17.399999999999999" x14ac:dyDescent="0.3">
      <c r="A65" s="390" t="s">
        <v>507</v>
      </c>
      <c r="B65" s="306"/>
      <c r="C65" s="306"/>
      <c r="D65" s="306"/>
      <c r="E65" s="306"/>
      <c r="F65" s="306"/>
      <c r="G65" s="389"/>
    </row>
    <row r="66" spans="1:7" ht="17.399999999999999" x14ac:dyDescent="0.3">
      <c r="A66" s="388" t="s">
        <v>506</v>
      </c>
    </row>
    <row r="68" spans="1:7" x14ac:dyDescent="0.3">
      <c r="A68" s="404" t="s">
        <v>505</v>
      </c>
      <c r="B68" s="397" t="s">
        <v>504</v>
      </c>
      <c r="C68" s="397"/>
    </row>
    <row r="69" spans="1:7" x14ac:dyDescent="0.3">
      <c r="A69" s="404" t="s">
        <v>503</v>
      </c>
      <c r="B69" s="397" t="s">
        <v>502</v>
      </c>
      <c r="C69" s="397"/>
    </row>
    <row r="70" spans="1:7" x14ac:dyDescent="0.3">
      <c r="A70" s="381" t="s">
        <v>501</v>
      </c>
      <c r="B70" s="380">
        <f>10*122.14+6*313.93+0.1*122.14^2+0.1*313.93^2</f>
        <v>14452.002450000002</v>
      </c>
    </row>
    <row r="72" spans="1:7" x14ac:dyDescent="0.3">
      <c r="A72" s="379" t="s">
        <v>473</v>
      </c>
      <c r="B72" s="379"/>
      <c r="C72" s="379"/>
    </row>
    <row r="73" spans="1:7" x14ac:dyDescent="0.3">
      <c r="A73" s="236" t="s">
        <v>500</v>
      </c>
      <c r="B73" s="236"/>
      <c r="C73" s="376">
        <v>60.497549999999997</v>
      </c>
      <c r="E73" s="403" t="s">
        <v>499</v>
      </c>
    </row>
    <row r="75" spans="1:7" x14ac:dyDescent="0.3">
      <c r="A75" s="402" t="s">
        <v>498</v>
      </c>
    </row>
    <row r="77" spans="1:7" x14ac:dyDescent="0.3">
      <c r="A77" s="379" t="s">
        <v>497</v>
      </c>
      <c r="B77" s="379"/>
      <c r="C77" s="379"/>
    </row>
    <row r="78" spans="1:7" x14ac:dyDescent="0.3">
      <c r="A78" s="401" t="s">
        <v>496</v>
      </c>
      <c r="B78" s="400"/>
      <c r="C78" s="399"/>
    </row>
    <row r="80" spans="1:7" x14ac:dyDescent="0.3">
      <c r="A80" s="398" t="s">
        <v>495</v>
      </c>
    </row>
    <row r="81" spans="1:12" x14ac:dyDescent="0.3">
      <c r="A81" s="397" t="s">
        <v>494</v>
      </c>
    </row>
    <row r="82" spans="1:12" x14ac:dyDescent="0.3">
      <c r="A82" s="396" t="s">
        <v>493</v>
      </c>
    </row>
    <row r="83" spans="1:12" x14ac:dyDescent="0.3">
      <c r="A83" s="395" t="s">
        <v>492</v>
      </c>
    </row>
    <row r="84" spans="1:12" x14ac:dyDescent="0.3">
      <c r="A84" s="395" t="s">
        <v>491</v>
      </c>
      <c r="B84" s="228" t="s">
        <v>490</v>
      </c>
      <c r="C84" s="394" t="s">
        <v>489</v>
      </c>
      <c r="D84" s="394"/>
      <c r="E84" s="394"/>
      <c r="F84" s="394"/>
      <c r="G84" s="394"/>
      <c r="H84" s="394"/>
    </row>
    <row r="86" spans="1:12" x14ac:dyDescent="0.3">
      <c r="A86" s="387" t="s">
        <v>481</v>
      </c>
      <c r="B86" s="386"/>
      <c r="C86" s="385"/>
    </row>
    <row r="87" spans="1:12" x14ac:dyDescent="0.3">
      <c r="A87" s="384" t="s">
        <v>480</v>
      </c>
      <c r="B87" s="383" t="s">
        <v>488</v>
      </c>
      <c r="C87" s="383"/>
    </row>
    <row r="88" spans="1:12" x14ac:dyDescent="0.3">
      <c r="A88" s="384" t="s">
        <v>478</v>
      </c>
      <c r="B88" s="383" t="s">
        <v>487</v>
      </c>
      <c r="C88" s="383"/>
    </row>
    <row r="90" spans="1:12" x14ac:dyDescent="0.3">
      <c r="A90" s="393" t="s">
        <v>486</v>
      </c>
    </row>
    <row r="91" spans="1:12" ht="18" x14ac:dyDescent="0.3">
      <c r="A91" s="392" t="s">
        <v>485</v>
      </c>
      <c r="B91" s="392"/>
      <c r="C91" s="392"/>
      <c r="D91" s="392"/>
      <c r="E91" s="392"/>
      <c r="F91" s="392"/>
      <c r="G91" s="392"/>
      <c r="H91" s="392"/>
      <c r="I91" s="392"/>
      <c r="J91" s="391" t="s">
        <v>484</v>
      </c>
      <c r="K91" s="391"/>
      <c r="L91" s="391"/>
    </row>
    <row r="92" spans="1:12" ht="17.399999999999999" x14ac:dyDescent="0.3">
      <c r="A92" s="390" t="s">
        <v>483</v>
      </c>
      <c r="B92" s="306"/>
      <c r="C92" s="306"/>
      <c r="D92" s="306"/>
      <c r="E92" s="306"/>
      <c r="F92" s="306"/>
      <c r="J92" s="389"/>
      <c r="K92" s="389"/>
      <c r="L92" s="389"/>
    </row>
    <row r="93" spans="1:12" ht="17.399999999999999" x14ac:dyDescent="0.3">
      <c r="A93" s="388" t="s">
        <v>482</v>
      </c>
    </row>
    <row r="95" spans="1:12" x14ac:dyDescent="0.3">
      <c r="A95" s="387" t="s">
        <v>481</v>
      </c>
      <c r="B95" s="386"/>
      <c r="C95" s="385"/>
      <c r="H95" s="292"/>
      <c r="I95" s="377" t="s">
        <v>10</v>
      </c>
      <c r="J95" s="377" t="s">
        <v>11</v>
      </c>
      <c r="K95" s="292"/>
    </row>
    <row r="96" spans="1:12" x14ac:dyDescent="0.3">
      <c r="A96" s="384" t="s">
        <v>480</v>
      </c>
      <c r="B96" s="383" t="s">
        <v>479</v>
      </c>
      <c r="C96" s="383"/>
      <c r="H96" s="292"/>
      <c r="I96" s="378">
        <v>122.0000004768366</v>
      </c>
      <c r="J96" s="377">
        <v>313.99999976158165</v>
      </c>
      <c r="K96" s="377"/>
    </row>
    <row r="97" spans="1:11" x14ac:dyDescent="0.3">
      <c r="A97" s="384" t="s">
        <v>478</v>
      </c>
      <c r="B97" s="383" t="s">
        <v>477</v>
      </c>
      <c r="C97" s="383"/>
      <c r="H97" s="292" t="s">
        <v>22</v>
      </c>
      <c r="I97" s="378">
        <f>10*I96+6*J96+0.1*I96^2+0.1*J96^2</f>
        <v>14451.999999999998</v>
      </c>
      <c r="J97" s="382" t="s">
        <v>476</v>
      </c>
      <c r="K97" s="377" t="s">
        <v>475</v>
      </c>
    </row>
    <row r="98" spans="1:11" x14ac:dyDescent="0.3">
      <c r="A98" s="381" t="s">
        <v>474</v>
      </c>
      <c r="B98" s="380">
        <f>10*122+6*314+0.1*122^2+0.1*314^2</f>
        <v>14452</v>
      </c>
      <c r="H98" s="292" t="s">
        <v>20</v>
      </c>
      <c r="I98" s="378">
        <f>2*I96+4*J96</f>
        <v>1499.9999999999998</v>
      </c>
      <c r="J98" s="377" t="s">
        <v>472</v>
      </c>
      <c r="K98" s="377">
        <v>1500</v>
      </c>
    </row>
    <row r="99" spans="1:11" x14ac:dyDescent="0.3">
      <c r="H99" s="292"/>
      <c r="I99" s="378">
        <f>I96</f>
        <v>122.0000004768366</v>
      </c>
      <c r="J99" s="377" t="s">
        <v>472</v>
      </c>
      <c r="K99" s="377">
        <v>100</v>
      </c>
    </row>
    <row r="100" spans="1:11" x14ac:dyDescent="0.3">
      <c r="A100" s="379" t="s">
        <v>473</v>
      </c>
      <c r="B100" s="379"/>
      <c r="C100" s="379"/>
      <c r="H100" s="292"/>
      <c r="I100" s="378">
        <f>J96</f>
        <v>313.99999976158165</v>
      </c>
      <c r="J100" s="377" t="s">
        <v>472</v>
      </c>
      <c r="K100" s="377">
        <v>120</v>
      </c>
    </row>
    <row r="101" spans="1:11" x14ac:dyDescent="0.3">
      <c r="A101" s="236" t="s">
        <v>471</v>
      </c>
      <c r="B101" s="236"/>
      <c r="C101" s="376">
        <v>2.4499999999999999E-3</v>
      </c>
      <c r="E101" s="375" t="s">
        <v>470</v>
      </c>
    </row>
  </sheetData>
  <mergeCells count="18">
    <mergeCell ref="A95:C95"/>
    <mergeCell ref="A101:B101"/>
    <mergeCell ref="A100:C100"/>
    <mergeCell ref="C84:H84"/>
    <mergeCell ref="A86:C86"/>
    <mergeCell ref="A91:I91"/>
    <mergeCell ref="J91:L91"/>
    <mergeCell ref="G64:I64"/>
    <mergeCell ref="A73:B73"/>
    <mergeCell ref="A72:C72"/>
    <mergeCell ref="A77:C77"/>
    <mergeCell ref="A78:C78"/>
    <mergeCell ref="A58:C58"/>
    <mergeCell ref="A64:F64"/>
    <mergeCell ref="B27:C27"/>
    <mergeCell ref="A50:B50"/>
    <mergeCell ref="C55:G55"/>
    <mergeCell ref="A49:B4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CACB-5C53-48F3-83A4-F08BAB97703F}">
  <dimension ref="A1:AJ117"/>
  <sheetViews>
    <sheetView zoomScale="95" workbookViewId="0">
      <selection activeCell="K93" sqref="K93"/>
    </sheetView>
  </sheetViews>
  <sheetFormatPr defaultRowHeight="14.4" x14ac:dyDescent="0.3"/>
  <cols>
    <col min="1" max="1" width="14.21875" customWidth="1"/>
    <col min="2" max="2" width="8.44140625" customWidth="1"/>
  </cols>
  <sheetData>
    <row r="1" spans="1:36" x14ac:dyDescent="0.3">
      <c r="A1" s="105" t="s">
        <v>568</v>
      </c>
      <c r="B1" s="105"/>
      <c r="C1" s="124" t="s">
        <v>567</v>
      </c>
      <c r="D1" s="124"/>
      <c r="E1" s="124"/>
      <c r="F1" s="124"/>
    </row>
    <row r="2" spans="1:36" x14ac:dyDescent="0.3">
      <c r="A2" s="105"/>
      <c r="B2" s="105"/>
      <c r="C2" s="6" t="s">
        <v>566</v>
      </c>
      <c r="D2" s="6" t="s">
        <v>565</v>
      </c>
      <c r="E2" s="6" t="s">
        <v>564</v>
      </c>
      <c r="F2" s="6" t="s">
        <v>563</v>
      </c>
    </row>
    <row r="3" spans="1:36" x14ac:dyDescent="0.3">
      <c r="A3" s="123">
        <v>0</v>
      </c>
      <c r="B3" s="123"/>
      <c r="C3" s="7">
        <v>0</v>
      </c>
      <c r="D3" s="7">
        <v>0</v>
      </c>
      <c r="E3" s="7">
        <v>0</v>
      </c>
      <c r="F3" s="7">
        <v>0</v>
      </c>
    </row>
    <row r="4" spans="1:36" x14ac:dyDescent="0.3">
      <c r="A4" s="123">
        <v>10</v>
      </c>
      <c r="B4" s="123"/>
      <c r="C4" s="7">
        <v>20</v>
      </c>
      <c r="D4" s="7">
        <v>15</v>
      </c>
      <c r="E4" s="7">
        <v>25</v>
      </c>
      <c r="F4" s="7">
        <v>12</v>
      </c>
    </row>
    <row r="5" spans="1:36" x14ac:dyDescent="0.3">
      <c r="A5" s="123">
        <v>20</v>
      </c>
      <c r="B5" s="123"/>
      <c r="C5" s="7">
        <v>22</v>
      </c>
      <c r="D5" s="7">
        <v>18</v>
      </c>
      <c r="E5" s="7">
        <v>30</v>
      </c>
      <c r="F5" s="7">
        <v>22</v>
      </c>
    </row>
    <row r="6" spans="1:36" x14ac:dyDescent="0.3">
      <c r="A6" s="123">
        <v>30</v>
      </c>
      <c r="B6" s="123"/>
      <c r="C6" s="7">
        <v>28</v>
      </c>
      <c r="D6" s="7">
        <v>30</v>
      </c>
      <c r="E6" s="7">
        <v>32</v>
      </c>
      <c r="F6" s="7">
        <v>30</v>
      </c>
    </row>
    <row r="7" spans="1:36" x14ac:dyDescent="0.3">
      <c r="A7" s="123">
        <v>40</v>
      </c>
      <c r="B7" s="123"/>
      <c r="C7" s="7">
        <v>40</v>
      </c>
      <c r="D7" s="7">
        <v>50</v>
      </c>
      <c r="E7" s="7">
        <v>40</v>
      </c>
      <c r="F7" s="7">
        <v>38</v>
      </c>
    </row>
    <row r="8" spans="1:36" x14ac:dyDescent="0.3">
      <c r="A8" s="123">
        <v>50</v>
      </c>
      <c r="B8" s="123"/>
      <c r="C8" s="7">
        <v>52</v>
      </c>
      <c r="D8" s="7">
        <v>55</v>
      </c>
      <c r="E8" s="7">
        <v>46</v>
      </c>
      <c r="F8" s="7">
        <v>45</v>
      </c>
    </row>
    <row r="9" spans="1:36" x14ac:dyDescent="0.3">
      <c r="A9" s="123">
        <v>60</v>
      </c>
      <c r="B9" s="123"/>
      <c r="C9" s="7">
        <v>60</v>
      </c>
      <c r="D9" s="7">
        <v>70</v>
      </c>
      <c r="E9" s="7">
        <v>53</v>
      </c>
      <c r="F9" s="7">
        <v>50</v>
      </c>
    </row>
    <row r="11" spans="1:36" x14ac:dyDescent="0.3">
      <c r="A11" s="135" t="s">
        <v>562</v>
      </c>
    </row>
    <row r="12" spans="1:36" x14ac:dyDescent="0.3">
      <c r="A12" s="135" t="s">
        <v>561</v>
      </c>
    </row>
    <row r="14" spans="1:36" x14ac:dyDescent="0.3">
      <c r="A14" s="417" t="s">
        <v>560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  <c r="AI14" s="417"/>
      <c r="AJ14" s="417"/>
    </row>
    <row r="16" spans="1:36" x14ac:dyDescent="0.3">
      <c r="A16" s="136" t="s">
        <v>555</v>
      </c>
      <c r="B16" s="136" t="s">
        <v>559</v>
      </c>
      <c r="C16" s="136" t="s">
        <v>554</v>
      </c>
    </row>
    <row r="17" spans="1:36" x14ac:dyDescent="0.3">
      <c r="A17" s="453">
        <v>0</v>
      </c>
      <c r="B17" s="453">
        <v>0</v>
      </c>
      <c r="C17" s="7">
        <v>0</v>
      </c>
    </row>
    <row r="18" spans="1:36" x14ac:dyDescent="0.3">
      <c r="A18" s="453">
        <v>10</v>
      </c>
      <c r="B18" s="453">
        <v>10</v>
      </c>
      <c r="C18" s="7">
        <v>12</v>
      </c>
    </row>
    <row r="19" spans="1:36" x14ac:dyDescent="0.3">
      <c r="A19" s="453">
        <v>20</v>
      </c>
      <c r="B19" s="453">
        <v>20</v>
      </c>
      <c r="C19" s="7">
        <v>22</v>
      </c>
    </row>
    <row r="20" spans="1:36" x14ac:dyDescent="0.3">
      <c r="A20" s="453">
        <v>30</v>
      </c>
      <c r="B20" s="453">
        <v>30</v>
      </c>
      <c r="C20" s="7">
        <v>30</v>
      </c>
    </row>
    <row r="21" spans="1:36" x14ac:dyDescent="0.3">
      <c r="A21" s="453">
        <v>40</v>
      </c>
      <c r="B21" s="453">
        <v>40</v>
      </c>
      <c r="C21" s="7">
        <v>38</v>
      </c>
    </row>
    <row r="22" spans="1:36" x14ac:dyDescent="0.3">
      <c r="A22" s="453">
        <v>50</v>
      </c>
      <c r="B22" s="453">
        <v>50</v>
      </c>
      <c r="C22" s="7">
        <v>45</v>
      </c>
    </row>
    <row r="23" spans="1:36" x14ac:dyDescent="0.3">
      <c r="A23" s="453">
        <v>60</v>
      </c>
      <c r="B23" s="453">
        <v>60</v>
      </c>
      <c r="C23" s="7">
        <v>50</v>
      </c>
    </row>
    <row r="25" spans="1:36" x14ac:dyDescent="0.3">
      <c r="A25" s="417" t="s">
        <v>558</v>
      </c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  <c r="AE25" s="417"/>
      <c r="AF25" s="417"/>
      <c r="AG25" s="417"/>
      <c r="AH25" s="417"/>
      <c r="AI25" s="417"/>
      <c r="AJ25" s="417"/>
    </row>
    <row r="27" spans="1:36" ht="15" thickBot="1" x14ac:dyDescent="0.35">
      <c r="A27" s="97" t="s">
        <v>548</v>
      </c>
      <c r="B27" s="97" t="s">
        <v>557</v>
      </c>
      <c r="C27" s="97" t="s">
        <v>556</v>
      </c>
      <c r="D27" s="97" t="s">
        <v>555</v>
      </c>
      <c r="E27" s="97" t="s">
        <v>554</v>
      </c>
      <c r="F27" s="97" t="s">
        <v>553</v>
      </c>
      <c r="G27" s="97" t="s">
        <v>552</v>
      </c>
      <c r="H27" s="97" t="s">
        <v>547</v>
      </c>
    </row>
    <row r="28" spans="1:36" ht="15" thickBot="1" x14ac:dyDescent="0.35">
      <c r="A28" s="451">
        <v>0</v>
      </c>
      <c r="B28" s="450">
        <v>0</v>
      </c>
      <c r="C28" s="450">
        <v>0</v>
      </c>
      <c r="D28" s="450">
        <v>0</v>
      </c>
      <c r="E28" s="450">
        <v>0</v>
      </c>
      <c r="F28" s="450">
        <v>0</v>
      </c>
      <c r="G28" s="450">
        <v>0</v>
      </c>
      <c r="H28" s="449">
        <v>0</v>
      </c>
    </row>
    <row r="29" spans="1:36" x14ac:dyDescent="0.3">
      <c r="A29" s="436">
        <v>10</v>
      </c>
      <c r="B29" s="434">
        <v>0</v>
      </c>
      <c r="C29" s="434">
        <v>0</v>
      </c>
      <c r="D29" s="434">
        <v>10</v>
      </c>
      <c r="E29" s="434">
        <v>12</v>
      </c>
      <c r="F29" s="434">
        <f>0+12</f>
        <v>12</v>
      </c>
      <c r="G29" s="443">
        <v>10</v>
      </c>
      <c r="H29" s="442">
        <v>25</v>
      </c>
    </row>
    <row r="30" spans="1:36" ht="15" thickBot="1" x14ac:dyDescent="0.35">
      <c r="A30" s="424"/>
      <c r="B30" s="422">
        <v>10</v>
      </c>
      <c r="C30" s="422">
        <v>25</v>
      </c>
      <c r="D30" s="422">
        <v>0</v>
      </c>
      <c r="E30" s="422">
        <v>0</v>
      </c>
      <c r="F30" s="452">
        <v>25</v>
      </c>
      <c r="G30" s="440"/>
      <c r="H30" s="439"/>
    </row>
    <row r="31" spans="1:36" x14ac:dyDescent="0.3">
      <c r="A31" s="436">
        <v>20</v>
      </c>
      <c r="B31" s="434">
        <v>0</v>
      </c>
      <c r="C31" s="434">
        <v>0</v>
      </c>
      <c r="D31" s="434">
        <v>20</v>
      </c>
      <c r="E31" s="434">
        <v>22</v>
      </c>
      <c r="F31" s="434">
        <v>22</v>
      </c>
      <c r="G31" s="443">
        <v>10</v>
      </c>
      <c r="H31" s="442">
        <v>37</v>
      </c>
    </row>
    <row r="32" spans="1:36" x14ac:dyDescent="0.3">
      <c r="A32" s="359"/>
      <c r="B32" s="7">
        <v>10</v>
      </c>
      <c r="C32" s="7">
        <v>25</v>
      </c>
      <c r="D32" s="7">
        <v>10</v>
      </c>
      <c r="E32" s="7">
        <v>12</v>
      </c>
      <c r="F32" s="132">
        <f>C32+E32</f>
        <v>37</v>
      </c>
      <c r="G32" s="123"/>
      <c r="H32" s="441"/>
    </row>
    <row r="33" spans="1:8" ht="15" thickBot="1" x14ac:dyDescent="0.35">
      <c r="A33" s="424"/>
      <c r="B33" s="422">
        <v>20</v>
      </c>
      <c r="C33" s="422">
        <v>30</v>
      </c>
      <c r="D33" s="422">
        <v>0</v>
      </c>
      <c r="E33" s="422">
        <v>0</v>
      </c>
      <c r="F33" s="422">
        <v>30</v>
      </c>
      <c r="G33" s="440"/>
      <c r="H33" s="439"/>
    </row>
    <row r="34" spans="1:8" x14ac:dyDescent="0.3">
      <c r="A34" s="436">
        <v>30</v>
      </c>
      <c r="B34" s="434">
        <v>0</v>
      </c>
      <c r="C34" s="434">
        <v>0</v>
      </c>
      <c r="D34" s="434">
        <v>30</v>
      </c>
      <c r="E34" s="434">
        <v>30</v>
      </c>
      <c r="F34" s="434">
        <v>30</v>
      </c>
      <c r="G34" s="443">
        <v>10</v>
      </c>
      <c r="H34" s="442">
        <v>47</v>
      </c>
    </row>
    <row r="35" spans="1:8" x14ac:dyDescent="0.3">
      <c r="A35" s="359"/>
      <c r="B35" s="7">
        <v>10</v>
      </c>
      <c r="C35" s="7">
        <v>25</v>
      </c>
      <c r="D35" s="7">
        <v>20</v>
      </c>
      <c r="E35" s="7">
        <v>22</v>
      </c>
      <c r="F35" s="132">
        <f>E35+C35</f>
        <v>47</v>
      </c>
      <c r="G35" s="123"/>
      <c r="H35" s="441"/>
    </row>
    <row r="36" spans="1:8" x14ac:dyDescent="0.3">
      <c r="A36" s="359"/>
      <c r="B36" s="7">
        <v>20</v>
      </c>
      <c r="C36" s="7">
        <v>30</v>
      </c>
      <c r="D36" s="7">
        <v>10</v>
      </c>
      <c r="E36" s="7">
        <v>12</v>
      </c>
      <c r="F36" s="7">
        <f>E36+C36</f>
        <v>42</v>
      </c>
      <c r="G36" s="123"/>
      <c r="H36" s="441"/>
    </row>
    <row r="37" spans="1:8" ht="15" thickBot="1" x14ac:dyDescent="0.35">
      <c r="A37" s="424"/>
      <c r="B37" s="422">
        <v>30</v>
      </c>
      <c r="C37" s="422">
        <v>32</v>
      </c>
      <c r="D37" s="422">
        <v>0</v>
      </c>
      <c r="E37" s="422">
        <v>0</v>
      </c>
      <c r="F37" s="422">
        <v>32</v>
      </c>
      <c r="G37" s="440"/>
      <c r="H37" s="439"/>
    </row>
    <row r="38" spans="1:8" x14ac:dyDescent="0.3">
      <c r="A38" s="436">
        <v>40</v>
      </c>
      <c r="B38" s="434">
        <v>0</v>
      </c>
      <c r="C38" s="434">
        <v>0</v>
      </c>
      <c r="D38" s="434">
        <v>40</v>
      </c>
      <c r="E38" s="434">
        <v>38</v>
      </c>
      <c r="F38" s="434">
        <f>E38+C38</f>
        <v>38</v>
      </c>
      <c r="G38" s="443">
        <v>10</v>
      </c>
      <c r="H38" s="442">
        <v>55</v>
      </c>
    </row>
    <row r="39" spans="1:8" x14ac:dyDescent="0.3">
      <c r="A39" s="359"/>
      <c r="B39" s="7">
        <v>10</v>
      </c>
      <c r="C39" s="7">
        <v>25</v>
      </c>
      <c r="D39" s="7">
        <v>30</v>
      </c>
      <c r="E39" s="7">
        <v>30</v>
      </c>
      <c r="F39" s="132">
        <f>E39+C39</f>
        <v>55</v>
      </c>
      <c r="G39" s="123"/>
      <c r="H39" s="441"/>
    </row>
    <row r="40" spans="1:8" x14ac:dyDescent="0.3">
      <c r="A40" s="359"/>
      <c r="B40" s="7">
        <v>20</v>
      </c>
      <c r="C40" s="7">
        <v>30</v>
      </c>
      <c r="D40" s="7">
        <v>20</v>
      </c>
      <c r="E40" s="7">
        <v>22</v>
      </c>
      <c r="F40" s="7">
        <f>E40+C40</f>
        <v>52</v>
      </c>
      <c r="G40" s="123"/>
      <c r="H40" s="441"/>
    </row>
    <row r="41" spans="1:8" x14ac:dyDescent="0.3">
      <c r="A41" s="359"/>
      <c r="B41" s="7">
        <v>30</v>
      </c>
      <c r="C41" s="7">
        <v>32</v>
      </c>
      <c r="D41" s="7">
        <v>10</v>
      </c>
      <c r="E41" s="7">
        <v>12</v>
      </c>
      <c r="F41" s="7">
        <f>E41+C41</f>
        <v>44</v>
      </c>
      <c r="G41" s="123"/>
      <c r="H41" s="441"/>
    </row>
    <row r="42" spans="1:8" ht="15" thickBot="1" x14ac:dyDescent="0.35">
      <c r="A42" s="424"/>
      <c r="B42" s="422">
        <v>40</v>
      </c>
      <c r="C42" s="422">
        <v>40</v>
      </c>
      <c r="D42" s="422">
        <v>0</v>
      </c>
      <c r="E42" s="422">
        <v>0</v>
      </c>
      <c r="F42" s="422">
        <f>E42+C42</f>
        <v>40</v>
      </c>
      <c r="G42" s="440"/>
      <c r="H42" s="439"/>
    </row>
    <row r="43" spans="1:8" x14ac:dyDescent="0.3">
      <c r="A43" s="436">
        <v>50</v>
      </c>
      <c r="B43" s="434">
        <v>0</v>
      </c>
      <c r="C43" s="434">
        <v>0</v>
      </c>
      <c r="D43" s="434">
        <v>50</v>
      </c>
      <c r="E43" s="434">
        <v>45</v>
      </c>
      <c r="F43" s="434">
        <f>E43+C43</f>
        <v>45</v>
      </c>
      <c r="G43" s="443">
        <v>10</v>
      </c>
      <c r="H43" s="442">
        <v>63</v>
      </c>
    </row>
    <row r="44" spans="1:8" x14ac:dyDescent="0.3">
      <c r="A44" s="359"/>
      <c r="B44" s="7">
        <v>10</v>
      </c>
      <c r="C44" s="7">
        <v>25</v>
      </c>
      <c r="D44" s="7">
        <v>40</v>
      </c>
      <c r="E44" s="7">
        <v>38</v>
      </c>
      <c r="F44" s="132">
        <f>E44+C44</f>
        <v>63</v>
      </c>
      <c r="G44" s="123"/>
      <c r="H44" s="441"/>
    </row>
    <row r="45" spans="1:8" x14ac:dyDescent="0.3">
      <c r="A45" s="359"/>
      <c r="B45" s="7">
        <v>20</v>
      </c>
      <c r="C45" s="7">
        <v>30</v>
      </c>
      <c r="D45" s="7">
        <v>30</v>
      </c>
      <c r="E45" s="7">
        <v>30</v>
      </c>
      <c r="F45" s="7">
        <f>E45+C45</f>
        <v>60</v>
      </c>
      <c r="G45" s="123"/>
      <c r="H45" s="441"/>
    </row>
    <row r="46" spans="1:8" x14ac:dyDescent="0.3">
      <c r="A46" s="359"/>
      <c r="B46" s="7">
        <v>30</v>
      </c>
      <c r="C46" s="7">
        <v>32</v>
      </c>
      <c r="D46" s="7">
        <v>20</v>
      </c>
      <c r="E46" s="7">
        <v>22</v>
      </c>
      <c r="F46" s="7">
        <f>E46+C46</f>
        <v>54</v>
      </c>
      <c r="G46" s="123"/>
      <c r="H46" s="441"/>
    </row>
    <row r="47" spans="1:8" x14ac:dyDescent="0.3">
      <c r="A47" s="359"/>
      <c r="B47" s="7">
        <v>40</v>
      </c>
      <c r="C47" s="7">
        <v>40</v>
      </c>
      <c r="D47" s="7">
        <v>10</v>
      </c>
      <c r="E47" s="7">
        <v>12</v>
      </c>
      <c r="F47" s="7">
        <f>E47+C47</f>
        <v>52</v>
      </c>
      <c r="G47" s="123"/>
      <c r="H47" s="441"/>
    </row>
    <row r="48" spans="1:8" ht="15" thickBot="1" x14ac:dyDescent="0.35">
      <c r="A48" s="424"/>
      <c r="B48" s="422">
        <v>50</v>
      </c>
      <c r="C48" s="422">
        <v>46</v>
      </c>
      <c r="D48" s="422">
        <v>0</v>
      </c>
      <c r="E48" s="422">
        <v>0</v>
      </c>
      <c r="F48" s="422">
        <f>E48+C48</f>
        <v>46</v>
      </c>
      <c r="G48" s="440"/>
      <c r="H48" s="439"/>
    </row>
    <row r="49" spans="1:36" x14ac:dyDescent="0.3">
      <c r="A49" s="436">
        <v>60</v>
      </c>
      <c r="B49" s="434">
        <v>0</v>
      </c>
      <c r="C49" s="434">
        <v>0</v>
      </c>
      <c r="D49" s="434">
        <v>60</v>
      </c>
      <c r="E49" s="434">
        <v>50</v>
      </c>
      <c r="F49" s="434">
        <f>E49+C49</f>
        <v>50</v>
      </c>
      <c r="G49" s="443">
        <v>10</v>
      </c>
      <c r="H49" s="442">
        <v>70</v>
      </c>
    </row>
    <row r="50" spans="1:36" x14ac:dyDescent="0.3">
      <c r="A50" s="359"/>
      <c r="B50" s="7">
        <v>10</v>
      </c>
      <c r="C50" s="7">
        <v>25</v>
      </c>
      <c r="D50" s="7">
        <v>50</v>
      </c>
      <c r="E50" s="7">
        <v>45</v>
      </c>
      <c r="F50" s="132">
        <f>E50+C50</f>
        <v>70</v>
      </c>
      <c r="G50" s="123"/>
      <c r="H50" s="441"/>
    </row>
    <row r="51" spans="1:36" x14ac:dyDescent="0.3">
      <c r="A51" s="359"/>
      <c r="B51" s="7">
        <v>20</v>
      </c>
      <c r="C51" s="7">
        <v>30</v>
      </c>
      <c r="D51" s="7">
        <v>40</v>
      </c>
      <c r="E51" s="7">
        <v>38</v>
      </c>
      <c r="F51" s="7">
        <f>E51+C51</f>
        <v>68</v>
      </c>
      <c r="G51" s="123"/>
      <c r="H51" s="441"/>
    </row>
    <row r="52" spans="1:36" x14ac:dyDescent="0.3">
      <c r="A52" s="359"/>
      <c r="B52" s="7">
        <v>30</v>
      </c>
      <c r="C52" s="7">
        <v>32</v>
      </c>
      <c r="D52" s="7">
        <v>30</v>
      </c>
      <c r="E52" s="7">
        <v>30</v>
      </c>
      <c r="F52" s="7">
        <f>E52+C52</f>
        <v>62</v>
      </c>
      <c r="G52" s="123"/>
      <c r="H52" s="441"/>
    </row>
    <row r="53" spans="1:36" x14ac:dyDescent="0.3">
      <c r="A53" s="359"/>
      <c r="B53" s="7">
        <v>40</v>
      </c>
      <c r="C53" s="7">
        <v>40</v>
      </c>
      <c r="D53" s="7">
        <v>20</v>
      </c>
      <c r="E53" s="7">
        <v>22</v>
      </c>
      <c r="F53" s="7">
        <f>E53+C53</f>
        <v>62</v>
      </c>
      <c r="G53" s="123"/>
      <c r="H53" s="441"/>
    </row>
    <row r="54" spans="1:36" x14ac:dyDescent="0.3">
      <c r="A54" s="359"/>
      <c r="B54" s="7">
        <v>50</v>
      </c>
      <c r="C54" s="7">
        <v>46</v>
      </c>
      <c r="D54" s="7">
        <v>10</v>
      </c>
      <c r="E54" s="7">
        <v>12</v>
      </c>
      <c r="F54" s="7">
        <f>E54+C54</f>
        <v>58</v>
      </c>
      <c r="G54" s="123"/>
      <c r="H54" s="441"/>
    </row>
    <row r="55" spans="1:36" ht="15" thickBot="1" x14ac:dyDescent="0.35">
      <c r="A55" s="424"/>
      <c r="B55" s="422">
        <v>60</v>
      </c>
      <c r="C55" s="422">
        <v>53</v>
      </c>
      <c r="D55" s="422">
        <v>0</v>
      </c>
      <c r="E55" s="422">
        <v>0</v>
      </c>
      <c r="F55" s="422">
        <f>E55+C55</f>
        <v>53</v>
      </c>
      <c r="G55" s="440"/>
      <c r="H55" s="439"/>
    </row>
    <row r="57" spans="1:36" x14ac:dyDescent="0.3">
      <c r="A57" s="417" t="s">
        <v>551</v>
      </c>
      <c r="B57" s="417"/>
      <c r="C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7"/>
      <c r="AA57" s="417"/>
      <c r="AB57" s="417"/>
      <c r="AC57" s="417"/>
      <c r="AD57" s="417"/>
      <c r="AE57" s="417"/>
      <c r="AF57" s="417"/>
      <c r="AG57" s="417"/>
      <c r="AH57" s="417"/>
      <c r="AI57" s="417"/>
      <c r="AJ57" s="417"/>
    </row>
    <row r="59" spans="1:36" ht="15" thickBot="1" x14ac:dyDescent="0.35">
      <c r="A59" s="97" t="s">
        <v>540</v>
      </c>
      <c r="B59" s="97" t="s">
        <v>550</v>
      </c>
      <c r="C59" s="97" t="s">
        <v>549</v>
      </c>
      <c r="D59" s="97" t="s">
        <v>548</v>
      </c>
      <c r="E59" s="97" t="s">
        <v>547</v>
      </c>
      <c r="F59" s="97" t="s">
        <v>546</v>
      </c>
      <c r="G59" s="97" t="s">
        <v>545</v>
      </c>
      <c r="H59" s="97" t="s">
        <v>539</v>
      </c>
    </row>
    <row r="60" spans="1:36" ht="15" thickBot="1" x14ac:dyDescent="0.35">
      <c r="A60" s="451">
        <v>0</v>
      </c>
      <c r="B60" s="450">
        <v>0</v>
      </c>
      <c r="C60" s="450">
        <v>0</v>
      </c>
      <c r="D60" s="450">
        <v>0</v>
      </c>
      <c r="E60" s="450">
        <v>0</v>
      </c>
      <c r="F60" s="450">
        <v>0</v>
      </c>
      <c r="G60" s="450">
        <v>0</v>
      </c>
      <c r="H60" s="449">
        <v>0</v>
      </c>
    </row>
    <row r="61" spans="1:36" x14ac:dyDescent="0.3">
      <c r="A61" s="436">
        <v>10</v>
      </c>
      <c r="B61" s="434">
        <v>0</v>
      </c>
      <c r="C61" s="434">
        <v>0</v>
      </c>
      <c r="D61" s="434">
        <v>10</v>
      </c>
      <c r="E61" s="434">
        <v>25</v>
      </c>
      <c r="F61" s="448">
        <f>C61+E61</f>
        <v>25</v>
      </c>
      <c r="G61" s="443">
        <v>0</v>
      </c>
      <c r="H61" s="442">
        <v>25</v>
      </c>
    </row>
    <row r="62" spans="1:36" ht="15" thickBot="1" x14ac:dyDescent="0.35">
      <c r="A62" s="424"/>
      <c r="B62" s="422">
        <v>10</v>
      </c>
      <c r="C62" s="422">
        <v>15</v>
      </c>
      <c r="D62" s="422">
        <v>0</v>
      </c>
      <c r="E62" s="422">
        <v>0</v>
      </c>
      <c r="F62" s="422">
        <f>C62+E62</f>
        <v>15</v>
      </c>
      <c r="G62" s="440"/>
      <c r="H62" s="439"/>
    </row>
    <row r="63" spans="1:36" x14ac:dyDescent="0.3">
      <c r="A63" s="436">
        <v>20</v>
      </c>
      <c r="B63" s="434">
        <v>0</v>
      </c>
      <c r="C63" s="434">
        <v>0</v>
      </c>
      <c r="D63" s="434">
        <v>20</v>
      </c>
      <c r="E63" s="434">
        <v>37</v>
      </c>
      <c r="F63" s="434">
        <f>C63+E63</f>
        <v>37</v>
      </c>
      <c r="G63" s="443">
        <v>10</v>
      </c>
      <c r="H63" s="442">
        <v>40</v>
      </c>
    </row>
    <row r="64" spans="1:36" x14ac:dyDescent="0.3">
      <c r="A64" s="359"/>
      <c r="B64" s="7">
        <v>10</v>
      </c>
      <c r="C64" s="7">
        <v>15</v>
      </c>
      <c r="D64" s="7">
        <v>10</v>
      </c>
      <c r="E64" s="7">
        <v>25</v>
      </c>
      <c r="F64" s="132">
        <f>C64+E64</f>
        <v>40</v>
      </c>
      <c r="G64" s="123"/>
      <c r="H64" s="441"/>
    </row>
    <row r="65" spans="1:8" ht="15" thickBot="1" x14ac:dyDescent="0.35">
      <c r="A65" s="424"/>
      <c r="B65" s="422">
        <v>20</v>
      </c>
      <c r="C65" s="422">
        <v>18</v>
      </c>
      <c r="D65" s="422">
        <v>0</v>
      </c>
      <c r="E65" s="422">
        <v>0</v>
      </c>
      <c r="F65" s="422">
        <f>C65+E65</f>
        <v>18</v>
      </c>
      <c r="G65" s="440"/>
      <c r="H65" s="439"/>
    </row>
    <row r="66" spans="1:8" x14ac:dyDescent="0.3">
      <c r="A66" s="436">
        <v>30</v>
      </c>
      <c r="B66" s="434">
        <v>0</v>
      </c>
      <c r="C66" s="434">
        <v>0</v>
      </c>
      <c r="D66" s="447">
        <v>30</v>
      </c>
      <c r="E66" s="433">
        <v>47</v>
      </c>
      <c r="F66" s="435">
        <f>C66+E66</f>
        <v>47</v>
      </c>
      <c r="G66" s="432">
        <v>10</v>
      </c>
      <c r="H66" s="431">
        <v>52</v>
      </c>
    </row>
    <row r="67" spans="1:8" x14ac:dyDescent="0.3">
      <c r="A67" s="359"/>
      <c r="B67" s="7">
        <v>10</v>
      </c>
      <c r="C67" s="7">
        <v>15</v>
      </c>
      <c r="D67" s="445">
        <v>20</v>
      </c>
      <c r="E67" s="7">
        <v>37</v>
      </c>
      <c r="F67" s="446">
        <f>C67+E67</f>
        <v>52</v>
      </c>
      <c r="G67" s="426"/>
      <c r="H67" s="425"/>
    </row>
    <row r="68" spans="1:8" x14ac:dyDescent="0.3">
      <c r="A68" s="359"/>
      <c r="B68" s="7">
        <v>20</v>
      </c>
      <c r="C68" s="7">
        <v>18</v>
      </c>
      <c r="D68" s="445">
        <v>10</v>
      </c>
      <c r="E68" s="7">
        <v>25</v>
      </c>
      <c r="F68" s="427">
        <f>C68+E68</f>
        <v>43</v>
      </c>
      <c r="G68" s="426"/>
      <c r="H68" s="425"/>
    </row>
    <row r="69" spans="1:8" ht="15" thickBot="1" x14ac:dyDescent="0.35">
      <c r="A69" s="424"/>
      <c r="B69" s="422">
        <v>30</v>
      </c>
      <c r="C69" s="422">
        <v>30</v>
      </c>
      <c r="D69" s="444">
        <v>0</v>
      </c>
      <c r="E69" s="422">
        <v>0</v>
      </c>
      <c r="F69" s="423">
        <f>C69+E69</f>
        <v>30</v>
      </c>
      <c r="G69" s="420"/>
      <c r="H69" s="419"/>
    </row>
    <row r="70" spans="1:8" x14ac:dyDescent="0.3">
      <c r="A70" s="436">
        <v>40</v>
      </c>
      <c r="B70" s="434">
        <v>0</v>
      </c>
      <c r="C70" s="434">
        <v>0</v>
      </c>
      <c r="D70" s="434">
        <v>40</v>
      </c>
      <c r="E70" s="434">
        <v>55</v>
      </c>
      <c r="F70" s="434">
        <f>C70+E70</f>
        <v>55</v>
      </c>
      <c r="G70" s="443">
        <v>10</v>
      </c>
      <c r="H70" s="442">
        <v>62</v>
      </c>
    </row>
    <row r="71" spans="1:8" x14ac:dyDescent="0.3">
      <c r="A71" s="359"/>
      <c r="B71" s="7">
        <v>10</v>
      </c>
      <c r="C71" s="7">
        <v>15</v>
      </c>
      <c r="D71" s="7">
        <v>30</v>
      </c>
      <c r="E71" s="7">
        <v>47</v>
      </c>
      <c r="F71" s="132">
        <f>C71+E71</f>
        <v>62</v>
      </c>
      <c r="G71" s="123"/>
      <c r="H71" s="441"/>
    </row>
    <row r="72" spans="1:8" x14ac:dyDescent="0.3">
      <c r="A72" s="359"/>
      <c r="B72" s="7">
        <v>20</v>
      </c>
      <c r="C72" s="7">
        <v>18</v>
      </c>
      <c r="D72" s="7">
        <v>20</v>
      </c>
      <c r="E72" s="7">
        <v>37</v>
      </c>
      <c r="F72" s="7">
        <f>C72+E72</f>
        <v>55</v>
      </c>
      <c r="G72" s="123"/>
      <c r="H72" s="441"/>
    </row>
    <row r="73" spans="1:8" x14ac:dyDescent="0.3">
      <c r="A73" s="359"/>
      <c r="B73" s="7">
        <v>30</v>
      </c>
      <c r="C73" s="7">
        <v>30</v>
      </c>
      <c r="D73" s="7">
        <v>10</v>
      </c>
      <c r="E73" s="7">
        <v>25</v>
      </c>
      <c r="F73" s="7">
        <f>C73+E73</f>
        <v>55</v>
      </c>
      <c r="G73" s="123"/>
      <c r="H73" s="441"/>
    </row>
    <row r="74" spans="1:8" ht="15" thickBot="1" x14ac:dyDescent="0.35">
      <c r="A74" s="424"/>
      <c r="B74" s="422">
        <v>40</v>
      </c>
      <c r="C74" s="422">
        <v>50</v>
      </c>
      <c r="D74" s="422">
        <v>0</v>
      </c>
      <c r="E74" s="422">
        <v>0</v>
      </c>
      <c r="F74" s="422">
        <f>C74+E74</f>
        <v>50</v>
      </c>
      <c r="G74" s="440"/>
      <c r="H74" s="439"/>
    </row>
    <row r="75" spans="1:8" x14ac:dyDescent="0.3">
      <c r="A75" s="438">
        <v>50</v>
      </c>
      <c r="B75" s="437">
        <v>0</v>
      </c>
      <c r="C75" s="429">
        <v>0</v>
      </c>
      <c r="D75" s="429">
        <v>50</v>
      </c>
      <c r="E75" s="429">
        <v>63</v>
      </c>
      <c r="F75" s="430">
        <f>C75+E75</f>
        <v>63</v>
      </c>
      <c r="G75" s="432">
        <v>40</v>
      </c>
      <c r="H75" s="431">
        <v>75</v>
      </c>
    </row>
    <row r="76" spans="1:8" x14ac:dyDescent="0.3">
      <c r="A76" s="359"/>
      <c r="B76" s="427">
        <v>10</v>
      </c>
      <c r="C76" s="7">
        <v>15</v>
      </c>
      <c r="D76" s="7">
        <v>40</v>
      </c>
      <c r="E76" s="7">
        <v>55</v>
      </c>
      <c r="F76" s="7">
        <f>C76+E76</f>
        <v>70</v>
      </c>
      <c r="G76" s="426"/>
      <c r="H76" s="425"/>
    </row>
    <row r="77" spans="1:8" x14ac:dyDescent="0.3">
      <c r="A77" s="359"/>
      <c r="B77" s="427">
        <v>20</v>
      </c>
      <c r="C77" s="7">
        <v>18</v>
      </c>
      <c r="D77" s="7">
        <v>30</v>
      </c>
      <c r="E77" s="7">
        <v>47</v>
      </c>
      <c r="F77" s="7">
        <f>C77+E77</f>
        <v>65</v>
      </c>
      <c r="G77" s="426"/>
      <c r="H77" s="425"/>
    </row>
    <row r="78" spans="1:8" x14ac:dyDescent="0.3">
      <c r="A78" s="359"/>
      <c r="B78" s="427">
        <v>30</v>
      </c>
      <c r="C78" s="428">
        <v>30</v>
      </c>
      <c r="D78" s="428">
        <v>20</v>
      </c>
      <c r="E78" s="428">
        <v>37</v>
      </c>
      <c r="F78" s="7">
        <f>C78+E78</f>
        <v>67</v>
      </c>
      <c r="G78" s="426"/>
      <c r="H78" s="425"/>
    </row>
    <row r="79" spans="1:8" x14ac:dyDescent="0.3">
      <c r="A79" s="359"/>
      <c r="B79" s="427">
        <v>40</v>
      </c>
      <c r="C79" s="7">
        <v>50</v>
      </c>
      <c r="D79" s="7">
        <v>10</v>
      </c>
      <c r="E79" s="7">
        <v>25</v>
      </c>
      <c r="F79" s="132">
        <f>C79+E79</f>
        <v>75</v>
      </c>
      <c r="G79" s="426"/>
      <c r="H79" s="425"/>
    </row>
    <row r="80" spans="1:8" ht="15" thickBot="1" x14ac:dyDescent="0.35">
      <c r="A80" s="424"/>
      <c r="B80" s="423">
        <v>50</v>
      </c>
      <c r="C80" s="422">
        <v>55</v>
      </c>
      <c r="D80" s="7">
        <v>0</v>
      </c>
      <c r="E80" s="7">
        <v>0</v>
      </c>
      <c r="F80" s="421">
        <f>C80+E80</f>
        <v>55</v>
      </c>
      <c r="G80" s="420"/>
      <c r="H80" s="419"/>
    </row>
    <row r="81" spans="1:36" x14ac:dyDescent="0.3">
      <c r="A81" s="436">
        <v>60</v>
      </c>
      <c r="B81" s="435">
        <v>0</v>
      </c>
      <c r="C81" s="434">
        <v>0</v>
      </c>
      <c r="D81" s="434">
        <v>60</v>
      </c>
      <c r="E81" s="434">
        <v>70</v>
      </c>
      <c r="F81" s="433">
        <f>C81+E81</f>
        <v>70</v>
      </c>
      <c r="G81" s="432">
        <v>40</v>
      </c>
      <c r="H81" s="431">
        <v>87</v>
      </c>
    </row>
    <row r="82" spans="1:36" x14ac:dyDescent="0.3">
      <c r="A82" s="359"/>
      <c r="B82" s="427">
        <v>10</v>
      </c>
      <c r="C82" s="430">
        <v>15</v>
      </c>
      <c r="D82" s="430">
        <v>50</v>
      </c>
      <c r="E82" s="429">
        <v>63</v>
      </c>
      <c r="F82" s="7">
        <f>C82+E82</f>
        <v>78</v>
      </c>
      <c r="G82" s="426"/>
      <c r="H82" s="425"/>
    </row>
    <row r="83" spans="1:36" x14ac:dyDescent="0.3">
      <c r="A83" s="359"/>
      <c r="B83" s="427">
        <v>20</v>
      </c>
      <c r="C83" s="7">
        <v>18</v>
      </c>
      <c r="D83" s="7">
        <v>40</v>
      </c>
      <c r="E83" s="7">
        <v>55</v>
      </c>
      <c r="F83" s="7">
        <f>C83+E83</f>
        <v>73</v>
      </c>
      <c r="G83" s="426"/>
      <c r="H83" s="425"/>
    </row>
    <row r="84" spans="1:36" x14ac:dyDescent="0.3">
      <c r="A84" s="359"/>
      <c r="B84" s="427">
        <v>30</v>
      </c>
      <c r="C84" s="7">
        <v>30</v>
      </c>
      <c r="D84" s="7">
        <v>30</v>
      </c>
      <c r="E84" s="7">
        <v>47</v>
      </c>
      <c r="F84" s="7">
        <f>C84+E84</f>
        <v>77</v>
      </c>
      <c r="G84" s="426"/>
      <c r="H84" s="425"/>
    </row>
    <row r="85" spans="1:36" x14ac:dyDescent="0.3">
      <c r="A85" s="359"/>
      <c r="B85" s="427">
        <v>40</v>
      </c>
      <c r="C85" s="7">
        <v>50</v>
      </c>
      <c r="D85" s="428">
        <v>20</v>
      </c>
      <c r="E85" s="428">
        <v>37</v>
      </c>
      <c r="F85" s="132">
        <f>C85+E85</f>
        <v>87</v>
      </c>
      <c r="G85" s="426"/>
      <c r="H85" s="425"/>
    </row>
    <row r="86" spans="1:36" x14ac:dyDescent="0.3">
      <c r="A86" s="359"/>
      <c r="B86" s="427">
        <v>50</v>
      </c>
      <c r="C86" s="7">
        <v>55</v>
      </c>
      <c r="D86" s="7">
        <v>10</v>
      </c>
      <c r="E86" s="7">
        <v>25</v>
      </c>
      <c r="F86" s="7">
        <f>C86+E86</f>
        <v>80</v>
      </c>
      <c r="G86" s="426"/>
      <c r="H86" s="425"/>
    </row>
    <row r="87" spans="1:36" ht="15" thickBot="1" x14ac:dyDescent="0.35">
      <c r="A87" s="424"/>
      <c r="B87" s="423">
        <v>60</v>
      </c>
      <c r="C87" s="421">
        <v>70</v>
      </c>
      <c r="D87" s="422">
        <v>0</v>
      </c>
      <c r="E87" s="422">
        <v>0</v>
      </c>
      <c r="F87" s="421">
        <f>C87+E87</f>
        <v>70</v>
      </c>
      <c r="G87" s="420"/>
      <c r="H87" s="419"/>
    </row>
    <row r="89" spans="1:36" x14ac:dyDescent="0.3">
      <c r="A89" s="417" t="s">
        <v>544</v>
      </c>
      <c r="B89" s="417"/>
      <c r="C89" s="417"/>
      <c r="D89" s="417"/>
      <c r="E89" s="417"/>
      <c r="F89" s="417"/>
      <c r="G89" s="417"/>
      <c r="H89" s="417"/>
      <c r="I89" s="417"/>
      <c r="J89" s="417"/>
      <c r="K89" s="417"/>
      <c r="L89" s="417"/>
      <c r="M89" s="417"/>
      <c r="N89" s="417"/>
      <c r="O89" s="417"/>
      <c r="P89" s="417"/>
      <c r="Q89" s="417"/>
      <c r="R89" s="417"/>
      <c r="S89" s="417"/>
      <c r="T89" s="417"/>
      <c r="U89" s="417"/>
      <c r="V89" s="417"/>
      <c r="W89" s="417"/>
      <c r="X89" s="417"/>
      <c r="Y89" s="417"/>
      <c r="Z89" s="417"/>
      <c r="AA89" s="417"/>
      <c r="AB89" s="417"/>
      <c r="AC89" s="417"/>
      <c r="AD89" s="417"/>
      <c r="AE89" s="417"/>
      <c r="AF89" s="417"/>
      <c r="AG89" s="417"/>
      <c r="AH89" s="417"/>
      <c r="AI89" s="417"/>
      <c r="AJ89" s="417"/>
    </row>
    <row r="91" spans="1:36" x14ac:dyDescent="0.3">
      <c r="A91" s="6" t="s">
        <v>543</v>
      </c>
      <c r="B91" s="6" t="s">
        <v>542</v>
      </c>
      <c r="C91" s="6" t="s">
        <v>541</v>
      </c>
      <c r="D91" s="6" t="s">
        <v>540</v>
      </c>
      <c r="E91" s="6" t="s">
        <v>539</v>
      </c>
      <c r="F91" s="6" t="s">
        <v>538</v>
      </c>
      <c r="G91" s="6" t="s">
        <v>537</v>
      </c>
      <c r="H91" s="6" t="s">
        <v>536</v>
      </c>
    </row>
    <row r="92" spans="1:36" x14ac:dyDescent="0.3">
      <c r="A92" s="123">
        <v>60</v>
      </c>
      <c r="B92" s="7">
        <v>0</v>
      </c>
      <c r="C92" s="7">
        <v>0</v>
      </c>
      <c r="D92" s="7">
        <v>60</v>
      </c>
      <c r="E92" s="7">
        <v>87</v>
      </c>
      <c r="F92" s="7">
        <f>E92+C92</f>
        <v>87</v>
      </c>
      <c r="G92" s="123">
        <v>10</v>
      </c>
      <c r="H92" s="123">
        <f>MAX(F92:F98)</f>
        <v>95</v>
      </c>
    </row>
    <row r="93" spans="1:36" x14ac:dyDescent="0.3">
      <c r="A93" s="123"/>
      <c r="B93" s="7">
        <v>10</v>
      </c>
      <c r="C93" s="7">
        <v>20</v>
      </c>
      <c r="D93" s="7">
        <v>50</v>
      </c>
      <c r="E93" s="7">
        <v>75</v>
      </c>
      <c r="F93" s="132">
        <f>E93+C93</f>
        <v>95</v>
      </c>
      <c r="G93" s="123"/>
      <c r="H93" s="123"/>
    </row>
    <row r="94" spans="1:36" x14ac:dyDescent="0.3">
      <c r="A94" s="123"/>
      <c r="B94" s="7">
        <v>20</v>
      </c>
      <c r="C94" s="7">
        <v>22</v>
      </c>
      <c r="D94" s="7">
        <v>40</v>
      </c>
      <c r="E94" s="7">
        <v>62</v>
      </c>
      <c r="F94" s="7">
        <f>E94+C94</f>
        <v>84</v>
      </c>
      <c r="G94" s="123"/>
      <c r="H94" s="123"/>
    </row>
    <row r="95" spans="1:36" x14ac:dyDescent="0.3">
      <c r="A95" s="123"/>
      <c r="B95" s="7">
        <v>30</v>
      </c>
      <c r="C95" s="7">
        <v>28</v>
      </c>
      <c r="D95" s="7">
        <v>30</v>
      </c>
      <c r="E95" s="7">
        <v>52</v>
      </c>
      <c r="F95" s="7">
        <f>E95+C95</f>
        <v>80</v>
      </c>
      <c r="G95" s="123"/>
      <c r="H95" s="123"/>
    </row>
    <row r="96" spans="1:36" x14ac:dyDescent="0.3">
      <c r="A96" s="123"/>
      <c r="B96" s="7">
        <v>40</v>
      </c>
      <c r="C96" s="7">
        <v>40</v>
      </c>
      <c r="D96" s="7">
        <v>20</v>
      </c>
      <c r="E96" s="7">
        <v>40</v>
      </c>
      <c r="F96" s="7">
        <f>E96+C96</f>
        <v>80</v>
      </c>
      <c r="G96" s="123"/>
      <c r="H96" s="123"/>
    </row>
    <row r="97" spans="1:36" x14ac:dyDescent="0.3">
      <c r="A97" s="123"/>
      <c r="B97" s="7">
        <v>50</v>
      </c>
      <c r="C97" s="7">
        <v>52</v>
      </c>
      <c r="D97" s="7">
        <v>10</v>
      </c>
      <c r="E97" s="7">
        <v>25</v>
      </c>
      <c r="F97" s="7">
        <f>E97+C97</f>
        <v>77</v>
      </c>
      <c r="G97" s="123"/>
      <c r="H97" s="123"/>
    </row>
    <row r="98" spans="1:36" x14ac:dyDescent="0.3">
      <c r="A98" s="123"/>
      <c r="B98" s="7">
        <v>60</v>
      </c>
      <c r="C98" s="7">
        <v>60</v>
      </c>
      <c r="D98" s="7">
        <v>0</v>
      </c>
      <c r="E98" s="7">
        <v>0</v>
      </c>
      <c r="F98" s="7">
        <f>E98+C98</f>
        <v>60</v>
      </c>
      <c r="G98" s="123"/>
      <c r="H98" s="123"/>
    </row>
    <row r="100" spans="1:36" ht="14.4" customHeight="1" x14ac:dyDescent="0.3">
      <c r="A100" s="417" t="s">
        <v>535</v>
      </c>
      <c r="B100" s="417"/>
      <c r="C100" s="417"/>
      <c r="D100" s="417"/>
      <c r="E100" s="418"/>
      <c r="F100" s="418"/>
      <c r="G100" s="418"/>
      <c r="H100" s="418"/>
      <c r="I100" s="418"/>
      <c r="J100" s="418"/>
      <c r="K100" s="418"/>
      <c r="L100" s="417"/>
      <c r="M100" s="417"/>
      <c r="N100" s="417"/>
      <c r="O100" s="417"/>
      <c r="P100" s="417"/>
      <c r="Q100" s="417"/>
      <c r="R100" s="417"/>
      <c r="S100" s="417"/>
      <c r="T100" s="417"/>
      <c r="U100" s="417"/>
      <c r="V100" s="417"/>
      <c r="W100" s="417"/>
      <c r="X100" s="417"/>
      <c r="Y100" s="417"/>
      <c r="Z100" s="417"/>
      <c r="AA100" s="417"/>
      <c r="AB100" s="417"/>
      <c r="AC100" s="417"/>
      <c r="AD100" s="417"/>
      <c r="AE100" s="417"/>
      <c r="AF100" s="417"/>
      <c r="AG100" s="417"/>
      <c r="AH100" s="417"/>
      <c r="AI100" s="417"/>
      <c r="AJ100" s="417"/>
    </row>
    <row r="101" spans="1:36" x14ac:dyDescent="0.3">
      <c r="D101" s="98"/>
      <c r="E101" s="98"/>
      <c r="F101" s="98"/>
      <c r="G101" s="98"/>
      <c r="H101" s="98"/>
      <c r="I101" s="98"/>
      <c r="J101" s="98"/>
      <c r="K101" s="98"/>
    </row>
    <row r="102" spans="1:36" x14ac:dyDescent="0.3">
      <c r="A102" s="109" t="s">
        <v>534</v>
      </c>
      <c r="B102" s="109"/>
      <c r="C102" s="109"/>
      <c r="D102" s="109"/>
      <c r="E102" s="109"/>
      <c r="F102" s="109"/>
      <c r="G102" s="109"/>
      <c r="H102" s="109"/>
      <c r="I102" s="109"/>
      <c r="J102" s="109"/>
      <c r="K102" s="98"/>
    </row>
    <row r="103" spans="1:36" x14ac:dyDescent="0.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98"/>
    </row>
    <row r="104" spans="1:36" x14ac:dyDescent="0.3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98"/>
    </row>
    <row r="105" spans="1:36" x14ac:dyDescent="0.3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98"/>
    </row>
    <row r="106" spans="1:36" x14ac:dyDescent="0.3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98"/>
    </row>
    <row r="107" spans="1:36" x14ac:dyDescent="0.3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98"/>
    </row>
    <row r="108" spans="1:36" x14ac:dyDescent="0.3">
      <c r="E108" s="98"/>
      <c r="F108" s="98"/>
      <c r="G108" s="98"/>
      <c r="H108" s="98"/>
      <c r="I108" s="98"/>
      <c r="J108" s="98"/>
      <c r="K108" s="98"/>
    </row>
    <row r="109" spans="1:36" x14ac:dyDescent="0.3">
      <c r="A109" s="7" t="s">
        <v>533</v>
      </c>
      <c r="C109" s="214" t="s">
        <v>532</v>
      </c>
      <c r="D109" s="360"/>
      <c r="E109" s="213"/>
      <c r="F109" s="98"/>
      <c r="G109" s="98"/>
      <c r="H109" s="98"/>
      <c r="I109" s="98"/>
      <c r="J109" s="98"/>
      <c r="K109" s="98"/>
    </row>
    <row r="110" spans="1:36" x14ac:dyDescent="0.3">
      <c r="A110" s="7" t="s">
        <v>531</v>
      </c>
      <c r="E110" s="98"/>
      <c r="F110" s="98"/>
      <c r="G110" s="98"/>
      <c r="H110" s="98"/>
      <c r="I110" s="98"/>
      <c r="J110" s="98"/>
      <c r="K110" s="98"/>
    </row>
    <row r="111" spans="1:36" x14ac:dyDescent="0.3">
      <c r="A111" s="7" t="s">
        <v>530</v>
      </c>
      <c r="E111" s="98"/>
      <c r="F111" s="98"/>
      <c r="G111" s="98"/>
      <c r="H111" s="98"/>
      <c r="J111" s="98"/>
      <c r="K111" s="98"/>
    </row>
    <row r="112" spans="1:36" x14ac:dyDescent="0.3">
      <c r="A112" s="7" t="s">
        <v>529</v>
      </c>
      <c r="E112" s="98"/>
      <c r="F112" s="98"/>
      <c r="G112" s="98"/>
      <c r="H112" s="98"/>
      <c r="J112" s="98"/>
      <c r="K112" s="98"/>
    </row>
    <row r="114" spans="1:10" x14ac:dyDescent="0.3">
      <c r="A114" s="103" t="s">
        <v>528</v>
      </c>
      <c r="B114" s="103"/>
      <c r="C114" s="103"/>
      <c r="D114" s="103"/>
      <c r="E114" s="103"/>
      <c r="F114" s="103"/>
      <c r="G114" s="103"/>
      <c r="H114" s="103"/>
      <c r="I114" s="103"/>
      <c r="J114" s="103"/>
    </row>
    <row r="115" spans="1:10" x14ac:dyDescent="0.3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</row>
    <row r="116" spans="1:10" x14ac:dyDescent="0.3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</row>
    <row r="117" spans="1:10" x14ac:dyDescent="0.3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</row>
  </sheetData>
  <mergeCells count="51">
    <mergeCell ref="A7:B7"/>
    <mergeCell ref="A8:B8"/>
    <mergeCell ref="A9:B9"/>
    <mergeCell ref="A1:B2"/>
    <mergeCell ref="C1:F1"/>
    <mergeCell ref="A3:B3"/>
    <mergeCell ref="A4:B4"/>
    <mergeCell ref="A5:B5"/>
    <mergeCell ref="A6:B6"/>
    <mergeCell ref="H29:H30"/>
    <mergeCell ref="A31:A33"/>
    <mergeCell ref="G31:G33"/>
    <mergeCell ref="H31:H33"/>
    <mergeCell ref="A34:A37"/>
    <mergeCell ref="G34:G37"/>
    <mergeCell ref="H34:H37"/>
    <mergeCell ref="A29:A30"/>
    <mergeCell ref="G29:G30"/>
    <mergeCell ref="A49:A55"/>
    <mergeCell ref="G49:G55"/>
    <mergeCell ref="H49:H55"/>
    <mergeCell ref="A38:A42"/>
    <mergeCell ref="G38:G42"/>
    <mergeCell ref="H38:H42"/>
    <mergeCell ref="A43:A48"/>
    <mergeCell ref="G43:G48"/>
    <mergeCell ref="H43:H48"/>
    <mergeCell ref="G61:G62"/>
    <mergeCell ref="H61:H62"/>
    <mergeCell ref="A61:A62"/>
    <mergeCell ref="A63:A65"/>
    <mergeCell ref="G63:G65"/>
    <mergeCell ref="H63:H65"/>
    <mergeCell ref="A66:A69"/>
    <mergeCell ref="H66:H69"/>
    <mergeCell ref="G66:G69"/>
    <mergeCell ref="H70:H74"/>
    <mergeCell ref="G70:G74"/>
    <mergeCell ref="A70:A74"/>
    <mergeCell ref="A75:A80"/>
    <mergeCell ref="A81:A87"/>
    <mergeCell ref="H81:H87"/>
    <mergeCell ref="G81:G87"/>
    <mergeCell ref="H75:H80"/>
    <mergeCell ref="G75:G80"/>
    <mergeCell ref="A102:J107"/>
    <mergeCell ref="A114:J117"/>
    <mergeCell ref="C109:E109"/>
    <mergeCell ref="A92:A98"/>
    <mergeCell ref="H92:H98"/>
    <mergeCell ref="G92:G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7A94-97E8-442B-8FA8-EC0E8BBE9634}">
  <dimension ref="A1:H34"/>
  <sheetViews>
    <sheetView topLeftCell="A13" workbookViewId="0">
      <selection activeCell="A20" sqref="A20:H27"/>
    </sheetView>
  </sheetViews>
  <sheetFormatPr defaultColWidth="8.77734375" defaultRowHeight="14.4" x14ac:dyDescent="0.3"/>
  <sheetData>
    <row r="1" spans="1:8" ht="14.55" customHeight="1" x14ac:dyDescent="0.3">
      <c r="A1" s="103" t="s">
        <v>578</v>
      </c>
      <c r="B1" s="103"/>
      <c r="C1" s="103"/>
      <c r="D1" s="103"/>
      <c r="E1" s="103"/>
      <c r="F1" s="103"/>
      <c r="G1" s="103"/>
      <c r="H1" s="103"/>
    </row>
    <row r="2" spans="1:8" x14ac:dyDescent="0.3">
      <c r="A2" s="103"/>
      <c r="B2" s="103"/>
      <c r="C2" s="103"/>
      <c r="D2" s="103"/>
      <c r="E2" s="103"/>
      <c r="F2" s="103"/>
      <c r="G2" s="103"/>
      <c r="H2" s="103"/>
    </row>
    <row r="3" spans="1:8" x14ac:dyDescent="0.3">
      <c r="A3" s="103"/>
      <c r="B3" s="103"/>
      <c r="C3" s="103"/>
      <c r="D3" s="103"/>
      <c r="E3" s="103"/>
      <c r="F3" s="103"/>
      <c r="G3" s="103"/>
      <c r="H3" s="103"/>
    </row>
    <row r="4" spans="1:8" x14ac:dyDescent="0.3">
      <c r="A4" s="103"/>
      <c r="B4" s="103"/>
      <c r="C4" s="103"/>
      <c r="D4" s="103"/>
      <c r="E4" s="103"/>
      <c r="F4" s="103"/>
      <c r="G4" s="103"/>
      <c r="H4" s="103"/>
    </row>
    <row r="5" spans="1:8" ht="14.55" customHeight="1" x14ac:dyDescent="0.3">
      <c r="A5" s="103" t="s">
        <v>577</v>
      </c>
      <c r="B5" s="103"/>
      <c r="C5" s="103"/>
      <c r="D5" s="103"/>
      <c r="E5" s="103"/>
      <c r="F5" s="103"/>
      <c r="G5" s="103"/>
      <c r="H5" s="103"/>
    </row>
    <row r="6" spans="1:8" x14ac:dyDescent="0.3">
      <c r="A6" s="103"/>
      <c r="B6" s="103"/>
      <c r="C6" s="103"/>
      <c r="D6" s="103"/>
      <c r="E6" s="103"/>
      <c r="F6" s="103"/>
      <c r="G6" s="103"/>
      <c r="H6" s="103"/>
    </row>
    <row r="7" spans="1:8" x14ac:dyDescent="0.3">
      <c r="A7" s="103"/>
      <c r="B7" s="103"/>
      <c r="C7" s="103"/>
      <c r="D7" s="103"/>
      <c r="E7" s="103"/>
      <c r="F7" s="103"/>
      <c r="G7" s="103"/>
      <c r="H7" s="103"/>
    </row>
    <row r="8" spans="1:8" x14ac:dyDescent="0.3">
      <c r="A8" s="103"/>
      <c r="B8" s="103"/>
      <c r="C8" s="103"/>
      <c r="D8" s="103"/>
      <c r="E8" s="103"/>
      <c r="F8" s="103"/>
      <c r="G8" s="103"/>
      <c r="H8" s="103"/>
    </row>
    <row r="9" spans="1:8" x14ac:dyDescent="0.3">
      <c r="A9" s="103"/>
      <c r="B9" s="103"/>
      <c r="C9" s="103"/>
      <c r="D9" s="103"/>
      <c r="E9" s="103"/>
      <c r="F9" s="103"/>
      <c r="G9" s="103"/>
      <c r="H9" s="103"/>
    </row>
    <row r="10" spans="1:8" x14ac:dyDescent="0.3">
      <c r="A10" s="103"/>
      <c r="B10" s="103"/>
      <c r="C10" s="103"/>
      <c r="D10" s="103"/>
      <c r="E10" s="103"/>
      <c r="F10" s="103"/>
      <c r="G10" s="103"/>
      <c r="H10" s="103"/>
    </row>
    <row r="11" spans="1:8" x14ac:dyDescent="0.3">
      <c r="A11" s="103"/>
      <c r="B11" s="103"/>
      <c r="C11" s="103"/>
      <c r="D11" s="103"/>
      <c r="E11" s="103"/>
      <c r="F11" s="103"/>
      <c r="G11" s="103"/>
      <c r="H11" s="103"/>
    </row>
    <row r="12" spans="1:8" x14ac:dyDescent="0.3">
      <c r="A12" s="103"/>
      <c r="B12" s="103"/>
      <c r="C12" s="103"/>
      <c r="D12" s="103"/>
      <c r="E12" s="103"/>
      <c r="F12" s="103"/>
      <c r="G12" s="103"/>
      <c r="H12" s="103"/>
    </row>
    <row r="13" spans="1:8" x14ac:dyDescent="0.3">
      <c r="A13" s="109" t="s">
        <v>576</v>
      </c>
      <c r="B13" s="109"/>
      <c r="C13" s="109"/>
      <c r="D13" s="109"/>
      <c r="E13" s="109"/>
      <c r="F13" s="109"/>
      <c r="G13" s="109"/>
      <c r="H13" s="109"/>
    </row>
    <row r="14" spans="1:8" x14ac:dyDescent="0.3">
      <c r="A14" s="109"/>
      <c r="B14" s="109"/>
      <c r="C14" s="109"/>
      <c r="D14" s="109"/>
      <c r="E14" s="109"/>
      <c r="F14" s="109"/>
      <c r="G14" s="109"/>
      <c r="H14" s="109"/>
    </row>
    <row r="15" spans="1:8" x14ac:dyDescent="0.3">
      <c r="A15" s="6"/>
      <c r="B15" s="6" t="s">
        <v>445</v>
      </c>
      <c r="C15" s="6" t="s">
        <v>575</v>
      </c>
      <c r="D15" s="6" t="s">
        <v>574</v>
      </c>
      <c r="E15" s="454"/>
      <c r="F15" s="454"/>
      <c r="G15" s="454"/>
      <c r="H15" s="454"/>
    </row>
    <row r="16" spans="1:8" x14ac:dyDescent="0.3">
      <c r="A16" s="6" t="s">
        <v>573</v>
      </c>
      <c r="B16" s="7">
        <v>0.3</v>
      </c>
      <c r="C16" s="7">
        <v>0.6</v>
      </c>
      <c r="D16" s="7">
        <v>0.5</v>
      </c>
      <c r="E16" s="454"/>
      <c r="F16" s="454"/>
      <c r="G16" s="454"/>
      <c r="H16" s="454"/>
    </row>
    <row r="17" spans="1:8" x14ac:dyDescent="0.3">
      <c r="A17" s="6" t="s">
        <v>572</v>
      </c>
      <c r="B17" s="7">
        <v>0.1</v>
      </c>
      <c r="C17" s="7">
        <v>0.2</v>
      </c>
      <c r="D17" s="7">
        <v>0.1</v>
      </c>
      <c r="E17" s="454"/>
      <c r="F17" s="454"/>
      <c r="G17" s="454"/>
      <c r="H17" s="454"/>
    </row>
    <row r="18" spans="1:8" x14ac:dyDescent="0.3">
      <c r="A18" s="109" t="s">
        <v>571</v>
      </c>
      <c r="B18" s="109"/>
      <c r="C18" s="109"/>
      <c r="D18" s="109"/>
      <c r="E18" s="109"/>
      <c r="F18" s="109"/>
      <c r="G18" s="109"/>
      <c r="H18" s="109"/>
    </row>
    <row r="19" spans="1:8" x14ac:dyDescent="0.3">
      <c r="A19" s="109"/>
      <c r="B19" s="109"/>
      <c r="C19" s="109"/>
      <c r="D19" s="109"/>
      <c r="E19" s="109"/>
      <c r="F19" s="109"/>
      <c r="G19" s="109"/>
      <c r="H19" s="109"/>
    </row>
    <row r="20" spans="1:8" x14ac:dyDescent="0.3">
      <c r="A20" s="109" t="s">
        <v>570</v>
      </c>
      <c r="B20" s="109"/>
      <c r="C20" s="109"/>
      <c r="D20" s="109"/>
      <c r="E20" s="109"/>
      <c r="F20" s="109"/>
      <c r="G20" s="109"/>
      <c r="H20" s="109"/>
    </row>
    <row r="21" spans="1:8" ht="14.55" customHeight="1" x14ac:dyDescent="0.3">
      <c r="A21" s="109"/>
      <c r="B21" s="109"/>
      <c r="C21" s="109"/>
      <c r="D21" s="109"/>
      <c r="E21" s="109"/>
      <c r="F21" s="109"/>
      <c r="G21" s="109"/>
      <c r="H21" s="109"/>
    </row>
    <row r="22" spans="1:8" x14ac:dyDescent="0.3">
      <c r="A22" s="109"/>
      <c r="B22" s="109"/>
      <c r="C22" s="109"/>
      <c r="D22" s="109"/>
      <c r="E22" s="109"/>
      <c r="F22" s="109"/>
      <c r="G22" s="109"/>
      <c r="H22" s="109"/>
    </row>
    <row r="23" spans="1:8" x14ac:dyDescent="0.3">
      <c r="A23" s="109"/>
      <c r="B23" s="109"/>
      <c r="C23" s="109"/>
      <c r="D23" s="109"/>
      <c r="E23" s="109"/>
      <c r="F23" s="109"/>
      <c r="G23" s="109"/>
      <c r="H23" s="109"/>
    </row>
    <row r="24" spans="1:8" x14ac:dyDescent="0.3">
      <c r="A24" s="109"/>
      <c r="B24" s="109"/>
      <c r="C24" s="109"/>
      <c r="D24" s="109"/>
      <c r="E24" s="109"/>
      <c r="F24" s="109"/>
      <c r="G24" s="109"/>
      <c r="H24" s="109"/>
    </row>
    <row r="25" spans="1:8" x14ac:dyDescent="0.3">
      <c r="A25" s="109"/>
      <c r="B25" s="109"/>
      <c r="C25" s="109"/>
      <c r="D25" s="109"/>
      <c r="E25" s="109"/>
      <c r="F25" s="109"/>
      <c r="G25" s="109"/>
      <c r="H25" s="109"/>
    </row>
    <row r="26" spans="1:8" x14ac:dyDescent="0.3">
      <c r="A26" s="109"/>
      <c r="B26" s="109"/>
      <c r="C26" s="109"/>
      <c r="D26" s="109"/>
      <c r="E26" s="109"/>
      <c r="F26" s="109"/>
      <c r="G26" s="109"/>
      <c r="H26" s="109"/>
    </row>
    <row r="27" spans="1:8" x14ac:dyDescent="0.3">
      <c r="A27" s="109"/>
      <c r="B27" s="109"/>
      <c r="C27" s="109"/>
      <c r="D27" s="109"/>
      <c r="E27" s="109"/>
      <c r="F27" s="109"/>
      <c r="G27" s="109"/>
      <c r="H27" s="109"/>
    </row>
    <row r="28" spans="1:8" x14ac:dyDescent="0.3">
      <c r="A28" s="103" t="s">
        <v>569</v>
      </c>
      <c r="B28" s="103"/>
      <c r="C28" s="103"/>
      <c r="D28" s="103"/>
      <c r="E28" s="103"/>
      <c r="F28" s="103"/>
      <c r="G28" s="103"/>
      <c r="H28" s="103"/>
    </row>
    <row r="29" spans="1:8" ht="14.55" customHeight="1" x14ac:dyDescent="0.3">
      <c r="A29" s="103"/>
      <c r="B29" s="103"/>
      <c r="C29" s="103"/>
      <c r="D29" s="103"/>
      <c r="E29" s="103"/>
      <c r="F29" s="103"/>
      <c r="G29" s="103"/>
      <c r="H29" s="103"/>
    </row>
    <row r="30" spans="1:8" x14ac:dyDescent="0.3">
      <c r="A30" s="103"/>
      <c r="B30" s="103"/>
      <c r="C30" s="103"/>
      <c r="D30" s="103"/>
      <c r="E30" s="103"/>
      <c r="F30" s="103"/>
      <c r="G30" s="103"/>
      <c r="H30" s="103"/>
    </row>
    <row r="31" spans="1:8" x14ac:dyDescent="0.3">
      <c r="A31" s="103"/>
      <c r="B31" s="103"/>
      <c r="C31" s="103"/>
      <c r="D31" s="103"/>
      <c r="E31" s="103"/>
      <c r="F31" s="103"/>
      <c r="G31" s="103"/>
      <c r="H31" s="103"/>
    </row>
    <row r="32" spans="1:8" x14ac:dyDescent="0.3">
      <c r="A32" s="103"/>
      <c r="B32" s="103"/>
      <c r="C32" s="103"/>
      <c r="D32" s="103"/>
      <c r="E32" s="103"/>
      <c r="F32" s="103"/>
      <c r="G32" s="103"/>
      <c r="H32" s="103"/>
    </row>
    <row r="33" spans="1:8" x14ac:dyDescent="0.3">
      <c r="A33" s="103"/>
      <c r="B33" s="103"/>
      <c r="C33" s="103"/>
      <c r="D33" s="103"/>
      <c r="E33" s="103"/>
      <c r="F33" s="103"/>
      <c r="G33" s="103"/>
      <c r="H33" s="103"/>
    </row>
    <row r="34" spans="1:8" x14ac:dyDescent="0.3">
      <c r="A34" s="103"/>
      <c r="B34" s="103"/>
      <c r="C34" s="103"/>
      <c r="D34" s="103"/>
      <c r="E34" s="103"/>
      <c r="F34" s="103"/>
      <c r="G34" s="103"/>
      <c r="H34" s="103"/>
    </row>
  </sheetData>
  <mergeCells count="6">
    <mergeCell ref="A18:H19"/>
    <mergeCell ref="A20:H27"/>
    <mergeCell ref="A28:H34"/>
    <mergeCell ref="A1:H4"/>
    <mergeCell ref="A13:H14"/>
    <mergeCell ref="A5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9165-DC39-433F-91B6-305192A1F408}">
  <dimension ref="A1:I40"/>
  <sheetViews>
    <sheetView topLeftCell="A6" zoomScale="82" zoomScaleNormal="82" workbookViewId="0">
      <selection activeCell="C23" sqref="C23"/>
    </sheetView>
  </sheetViews>
  <sheetFormatPr defaultColWidth="8.77734375" defaultRowHeight="14.4" x14ac:dyDescent="0.3"/>
  <cols>
    <col min="1" max="1" width="39.109375" bestFit="1" customWidth="1"/>
    <col min="2" max="2" width="14.77734375" customWidth="1"/>
    <col min="3" max="3" width="12.109375" bestFit="1" customWidth="1"/>
    <col min="4" max="4" width="9.109375" bestFit="1" customWidth="1"/>
    <col min="6" max="6" width="8.109375" bestFit="1" customWidth="1"/>
    <col min="7" max="7" width="5.44140625" customWidth="1"/>
    <col min="8" max="8" width="4.77734375" customWidth="1"/>
    <col min="9" max="9" width="5.109375" customWidth="1"/>
  </cols>
  <sheetData>
    <row r="1" spans="1:8" ht="14.55" customHeight="1" x14ac:dyDescent="0.3">
      <c r="A1" t="s">
        <v>614</v>
      </c>
      <c r="B1" s="101" t="s">
        <v>613</v>
      </c>
    </row>
    <row r="3" spans="1:8" ht="14.55" customHeight="1" x14ac:dyDescent="0.3">
      <c r="A3" s="103" t="s">
        <v>578</v>
      </c>
      <c r="B3" s="103"/>
      <c r="C3" s="103"/>
      <c r="D3" s="98"/>
      <c r="E3" s="98"/>
      <c r="F3" s="98"/>
    </row>
    <row r="4" spans="1:8" x14ac:dyDescent="0.3">
      <c r="A4" s="103"/>
      <c r="B4" s="103"/>
      <c r="C4" s="103"/>
      <c r="D4" s="98"/>
      <c r="E4" s="98"/>
      <c r="F4" s="98"/>
    </row>
    <row r="5" spans="1:8" x14ac:dyDescent="0.3">
      <c r="A5" s="103"/>
      <c r="B5" s="103"/>
      <c r="C5" s="103"/>
      <c r="D5" s="98"/>
      <c r="E5" s="98"/>
      <c r="F5" s="98"/>
    </row>
    <row r="6" spans="1:8" x14ac:dyDescent="0.3">
      <c r="A6" s="103"/>
      <c r="B6" s="103"/>
      <c r="C6" s="103"/>
      <c r="D6" s="98"/>
      <c r="E6" s="98"/>
      <c r="F6" s="98"/>
    </row>
    <row r="7" spans="1:8" x14ac:dyDescent="0.3">
      <c r="A7" s="6"/>
      <c r="B7" s="6" t="s">
        <v>445</v>
      </c>
    </row>
    <row r="8" spans="1:8" x14ac:dyDescent="0.3">
      <c r="A8" s="6" t="s">
        <v>573</v>
      </c>
      <c r="B8" s="7">
        <v>0.3</v>
      </c>
    </row>
    <row r="9" spans="1:8" x14ac:dyDescent="0.3">
      <c r="A9" s="6" t="s">
        <v>572</v>
      </c>
      <c r="B9" s="7">
        <v>0.1</v>
      </c>
    </row>
    <row r="10" spans="1:8" ht="19.8" customHeight="1" x14ac:dyDescent="0.3">
      <c r="A10" s="109" t="s">
        <v>571</v>
      </c>
      <c r="B10" s="109"/>
      <c r="C10" s="109"/>
      <c r="D10" s="374"/>
      <c r="E10" s="374"/>
    </row>
    <row r="11" spans="1:8" ht="22.2" customHeight="1" x14ac:dyDescent="0.3">
      <c r="A11" s="109"/>
      <c r="B11" s="109"/>
      <c r="C11" s="109"/>
      <c r="D11" s="374"/>
      <c r="E11" s="374"/>
      <c r="F11" s="374"/>
      <c r="G11" s="374"/>
      <c r="H11" s="374"/>
    </row>
    <row r="12" spans="1:8" x14ac:dyDescent="0.3">
      <c r="F12" s="374"/>
      <c r="G12" s="374"/>
      <c r="H12" s="374"/>
    </row>
    <row r="13" spans="1:8" x14ac:dyDescent="0.3">
      <c r="A13" s="124" t="s">
        <v>612</v>
      </c>
      <c r="B13" s="124"/>
      <c r="C13" s="124"/>
      <c r="D13" s="99"/>
      <c r="E13" s="99"/>
    </row>
    <row r="14" spans="1:8" x14ac:dyDescent="0.3">
      <c r="A14" s="6" t="s">
        <v>611</v>
      </c>
      <c r="B14" s="457" t="s">
        <v>610</v>
      </c>
      <c r="C14" s="11">
        <f>1/6</f>
        <v>0.16666666666666666</v>
      </c>
      <c r="D14" t="s">
        <v>609</v>
      </c>
      <c r="E14" s="99"/>
    </row>
    <row r="15" spans="1:8" x14ac:dyDescent="0.3">
      <c r="A15" s="6" t="s">
        <v>608</v>
      </c>
      <c r="B15" s="457" t="s">
        <v>607</v>
      </c>
      <c r="C15" s="11">
        <v>1</v>
      </c>
      <c r="D15" s="99"/>
      <c r="E15" s="99"/>
    </row>
    <row r="16" spans="1:8" x14ac:dyDescent="0.3">
      <c r="A16" s="6" t="s">
        <v>606</v>
      </c>
      <c r="B16" s="459" t="s">
        <v>605</v>
      </c>
      <c r="C16" s="11">
        <v>5</v>
      </c>
    </row>
    <row r="17" spans="1:9" x14ac:dyDescent="0.3">
      <c r="A17" s="6" t="s">
        <v>604</v>
      </c>
      <c r="B17" s="459" t="s">
        <v>603</v>
      </c>
      <c r="C17" s="11">
        <f>1/C16</f>
        <v>0.2</v>
      </c>
    </row>
    <row r="18" spans="1:9" ht="18.45" customHeight="1" x14ac:dyDescent="0.3">
      <c r="A18" s="461"/>
      <c r="B18" s="461"/>
      <c r="C18" s="461"/>
    </row>
    <row r="19" spans="1:9" x14ac:dyDescent="0.3">
      <c r="A19" s="124" t="s">
        <v>602</v>
      </c>
      <c r="B19" s="124"/>
      <c r="C19" s="124"/>
    </row>
    <row r="20" spans="1:9" x14ac:dyDescent="0.3">
      <c r="A20" s="6" t="s">
        <v>601</v>
      </c>
      <c r="B20" s="457" t="s">
        <v>600</v>
      </c>
      <c r="C20" s="11">
        <f xml:space="preserve"> 1-C30</f>
        <v>0.16666666666666674</v>
      </c>
    </row>
    <row r="21" spans="1:9" x14ac:dyDescent="0.3">
      <c r="A21" s="6" t="s">
        <v>599</v>
      </c>
      <c r="B21" s="457"/>
      <c r="C21" s="11">
        <v>0</v>
      </c>
    </row>
    <row r="22" spans="1:9" x14ac:dyDescent="0.3">
      <c r="A22" s="6" t="s">
        <v>598</v>
      </c>
      <c r="B22" s="457"/>
      <c r="C22" s="11">
        <v>1</v>
      </c>
    </row>
    <row r="23" spans="1:9" x14ac:dyDescent="0.3">
      <c r="A23" s="6" t="s">
        <v>597</v>
      </c>
      <c r="B23" s="457" t="s">
        <v>596</v>
      </c>
      <c r="C23" s="11">
        <f>C30</f>
        <v>0.83333333333333326</v>
      </c>
    </row>
    <row r="24" spans="1:9" ht="28.8" x14ac:dyDescent="0.3">
      <c r="A24" s="6" t="s">
        <v>595</v>
      </c>
      <c r="B24" s="460" t="s">
        <v>594</v>
      </c>
      <c r="C24" s="11">
        <f>(C30^2*(C31^2+C32^2))/(2*(1-C30))</f>
        <v>2.3148148148148135</v>
      </c>
    </row>
    <row r="25" spans="1:9" x14ac:dyDescent="0.3">
      <c r="A25" s="6" t="s">
        <v>593</v>
      </c>
      <c r="B25" s="457" t="s">
        <v>592</v>
      </c>
      <c r="C25" s="11">
        <f>C15*C23</f>
        <v>0.83333333333333326</v>
      </c>
    </row>
    <row r="26" spans="1:9" x14ac:dyDescent="0.3">
      <c r="A26" s="6" t="s">
        <v>591</v>
      </c>
      <c r="B26" s="457" t="s">
        <v>590</v>
      </c>
      <c r="C26" s="11">
        <f>C24+C25</f>
        <v>3.148148148148147</v>
      </c>
    </row>
    <row r="27" spans="1:9" ht="15.6" x14ac:dyDescent="0.3">
      <c r="A27" s="6" t="s">
        <v>589</v>
      </c>
      <c r="B27" s="459" t="s">
        <v>588</v>
      </c>
      <c r="C27" s="11">
        <f>C24/C29</f>
        <v>13.888888888888882</v>
      </c>
    </row>
    <row r="28" spans="1:9" x14ac:dyDescent="0.3">
      <c r="A28" s="6" t="s">
        <v>587</v>
      </c>
      <c r="B28" s="457" t="s">
        <v>586</v>
      </c>
      <c r="C28" s="11">
        <f>C27+C16</f>
        <v>18.888888888888882</v>
      </c>
    </row>
    <row r="29" spans="1:9" ht="15.6" x14ac:dyDescent="0.3">
      <c r="A29" s="6" t="s">
        <v>585</v>
      </c>
      <c r="B29" s="458" t="s">
        <v>584</v>
      </c>
      <c r="C29" s="11">
        <f>C14</f>
        <v>0.16666666666666666</v>
      </c>
    </row>
    <row r="30" spans="1:9" x14ac:dyDescent="0.3">
      <c r="A30" s="6" t="s">
        <v>583</v>
      </c>
      <c r="B30" s="457" t="s">
        <v>582</v>
      </c>
      <c r="C30" s="11">
        <f>C14/(C15*C17)</f>
        <v>0.83333333333333326</v>
      </c>
    </row>
    <row r="31" spans="1:9" ht="28.8" x14ac:dyDescent="0.3">
      <c r="A31" s="96" t="s">
        <v>581</v>
      </c>
      <c r="B31" s="456" t="s">
        <v>580</v>
      </c>
      <c r="C31" s="11">
        <f>2/6</f>
        <v>0.33333333333333331</v>
      </c>
      <c r="F31" s="99"/>
      <c r="G31" s="99"/>
      <c r="H31" s="99"/>
      <c r="I31" s="99"/>
    </row>
    <row r="32" spans="1:9" x14ac:dyDescent="0.3">
      <c r="A32" s="455" t="s">
        <v>579</v>
      </c>
      <c r="B32" s="453"/>
      <c r="C32" s="11">
        <v>1</v>
      </c>
      <c r="F32" s="99"/>
      <c r="G32" s="99"/>
      <c r="H32" s="99"/>
      <c r="I32" s="99"/>
    </row>
    <row r="33" spans="6:9" x14ac:dyDescent="0.3">
      <c r="F33" s="99"/>
      <c r="G33" s="99"/>
      <c r="H33" s="99"/>
      <c r="I33" s="99"/>
    </row>
    <row r="34" spans="6:9" x14ac:dyDescent="0.3">
      <c r="F34" s="99"/>
      <c r="G34" s="99"/>
      <c r="H34" s="99"/>
      <c r="I34" s="99"/>
    </row>
    <row r="39" spans="6:9" ht="14.55" customHeight="1" x14ac:dyDescent="0.3">
      <c r="F39" s="100"/>
      <c r="G39" s="100"/>
      <c r="H39" s="100"/>
      <c r="I39" s="100"/>
    </row>
    <row r="40" spans="6:9" x14ac:dyDescent="0.3">
      <c r="F40" s="100"/>
      <c r="G40" s="100"/>
      <c r="H40" s="100"/>
      <c r="I40" s="100"/>
    </row>
  </sheetData>
  <mergeCells count="4">
    <mergeCell ref="A13:C13"/>
    <mergeCell ref="A3:C6"/>
    <mergeCell ref="A19:C19"/>
    <mergeCell ref="A10:C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D768-8998-48CA-9D94-5F29950FEC4F}">
  <dimension ref="A1:F25"/>
  <sheetViews>
    <sheetView zoomScale="89" workbookViewId="0">
      <selection activeCell="C16" sqref="C16"/>
    </sheetView>
  </sheetViews>
  <sheetFormatPr defaultColWidth="8.77734375" defaultRowHeight="14.4" x14ac:dyDescent="0.3"/>
  <cols>
    <col min="1" max="1" width="34" bestFit="1" customWidth="1"/>
    <col min="2" max="2" width="30.109375" customWidth="1"/>
    <col min="3" max="3" width="12" bestFit="1" customWidth="1"/>
  </cols>
  <sheetData>
    <row r="1" spans="1:6" ht="14.55" customHeight="1" x14ac:dyDescent="0.3">
      <c r="A1" s="103" t="s">
        <v>639</v>
      </c>
      <c r="B1" s="103"/>
      <c r="C1" s="103"/>
      <c r="D1" s="98"/>
      <c r="E1" s="98"/>
      <c r="F1" s="98"/>
    </row>
    <row r="2" spans="1:6" x14ac:dyDescent="0.3">
      <c r="A2" s="103"/>
      <c r="B2" s="103"/>
      <c r="C2" s="103"/>
      <c r="D2" s="98"/>
      <c r="E2" s="98"/>
      <c r="F2" s="98"/>
    </row>
    <row r="3" spans="1:6" x14ac:dyDescent="0.3">
      <c r="A3" s="103"/>
      <c r="B3" s="103"/>
      <c r="C3" s="103"/>
      <c r="D3" s="98"/>
      <c r="E3" s="98"/>
      <c r="F3" s="98"/>
    </row>
    <row r="4" spans="1:6" x14ac:dyDescent="0.3">
      <c r="A4" s="98" t="s">
        <v>638</v>
      </c>
      <c r="B4" s="98"/>
      <c r="C4" s="98"/>
      <c r="D4" s="98"/>
      <c r="E4" s="98"/>
      <c r="F4" s="98"/>
    </row>
    <row r="6" spans="1:6" x14ac:dyDescent="0.3">
      <c r="A6" s="117" t="s">
        <v>637</v>
      </c>
      <c r="B6" s="117"/>
      <c r="C6" s="117"/>
    </row>
    <row r="7" spans="1:6" x14ac:dyDescent="0.3">
      <c r="A7" s="6" t="s">
        <v>626</v>
      </c>
      <c r="B7" s="459" t="s">
        <v>636</v>
      </c>
      <c r="C7" s="19">
        <f>'8_4'!C10*'8_4'!C17</f>
        <v>1.3809433471946981E-2</v>
      </c>
    </row>
    <row r="8" spans="1:6" x14ac:dyDescent="0.3">
      <c r="A8" s="6" t="s">
        <v>608</v>
      </c>
      <c r="B8" s="457" t="s">
        <v>607</v>
      </c>
      <c r="C8" s="19">
        <v>1</v>
      </c>
    </row>
    <row r="9" spans="1:6" x14ac:dyDescent="0.3">
      <c r="A9" s="6" t="s">
        <v>606</v>
      </c>
      <c r="B9" s="457" t="s">
        <v>605</v>
      </c>
      <c r="C9" s="19">
        <v>7</v>
      </c>
    </row>
    <row r="10" spans="1:6" x14ac:dyDescent="0.3">
      <c r="A10" s="6" t="s">
        <v>624</v>
      </c>
      <c r="B10" s="457" t="s">
        <v>603</v>
      </c>
      <c r="C10" s="19">
        <f>1/C9</f>
        <v>0.14285714285714285</v>
      </c>
    </row>
    <row r="12" spans="1:6" x14ac:dyDescent="0.3">
      <c r="A12" s="117" t="s">
        <v>635</v>
      </c>
      <c r="B12" s="117"/>
      <c r="C12" s="117"/>
    </row>
    <row r="13" spans="1:6" x14ac:dyDescent="0.3">
      <c r="A13" s="6" t="s">
        <v>601</v>
      </c>
      <c r="B13" s="459" t="s">
        <v>634</v>
      </c>
      <c r="C13" s="11">
        <f>1-C23</f>
        <v>0.90333396569637114</v>
      </c>
    </row>
    <row r="14" spans="1:6" x14ac:dyDescent="0.3">
      <c r="A14" s="6" t="s">
        <v>599</v>
      </c>
      <c r="B14" s="459"/>
      <c r="C14" s="11">
        <v>0</v>
      </c>
    </row>
    <row r="15" spans="1:6" x14ac:dyDescent="0.3">
      <c r="A15" s="6" t="s">
        <v>598</v>
      </c>
      <c r="B15" s="457" t="s">
        <v>621</v>
      </c>
      <c r="C15" s="11">
        <f>1-C14</f>
        <v>1</v>
      </c>
    </row>
    <row r="16" spans="1:6" x14ac:dyDescent="0.3">
      <c r="A16" s="6" t="s">
        <v>597</v>
      </c>
      <c r="B16" s="459" t="s">
        <v>596</v>
      </c>
      <c r="C16" s="468">
        <f>C23*C15</f>
        <v>9.666603430362887E-2</v>
      </c>
    </row>
    <row r="17" spans="1:4" x14ac:dyDescent="0.3">
      <c r="A17" s="6" t="s">
        <v>595</v>
      </c>
      <c r="B17" s="460" t="s">
        <v>633</v>
      </c>
      <c r="C17" s="11">
        <f>(C23^2*(C24^2+C25^2))/(2*(1-C23))</f>
        <v>5.1721304317318062E-3</v>
      </c>
    </row>
    <row r="18" spans="1:4" x14ac:dyDescent="0.3">
      <c r="A18" s="6" t="s">
        <v>593</v>
      </c>
      <c r="B18" s="457" t="s">
        <v>592</v>
      </c>
      <c r="C18" s="11">
        <f>C8*C16</f>
        <v>9.666603430362887E-2</v>
      </c>
    </row>
    <row r="19" spans="1:4" x14ac:dyDescent="0.3">
      <c r="A19" s="6" t="s">
        <v>591</v>
      </c>
      <c r="B19" s="457" t="s">
        <v>590</v>
      </c>
      <c r="C19" s="11">
        <f>C17+C18</f>
        <v>0.10183816473536067</v>
      </c>
    </row>
    <row r="20" spans="1:4" ht="28.8" x14ac:dyDescent="0.3">
      <c r="A20" s="96" t="s">
        <v>589</v>
      </c>
      <c r="B20" s="459" t="s">
        <v>588</v>
      </c>
      <c r="C20" s="11">
        <f>C17/C22</f>
        <v>0.37453603308482369</v>
      </c>
    </row>
    <row r="21" spans="1:4" x14ac:dyDescent="0.3">
      <c r="A21" s="6" t="s">
        <v>587</v>
      </c>
      <c r="B21" s="457" t="s">
        <v>586</v>
      </c>
      <c r="C21" s="11">
        <f>C20+C9</f>
        <v>7.3745360330848237</v>
      </c>
    </row>
    <row r="22" spans="1:4" ht="15.6" x14ac:dyDescent="0.3">
      <c r="A22" s="24" t="s">
        <v>585</v>
      </c>
      <c r="B22" s="458" t="s">
        <v>632</v>
      </c>
      <c r="C22" s="11">
        <f>C7</f>
        <v>1.3809433471946981E-2</v>
      </c>
    </row>
    <row r="23" spans="1:4" x14ac:dyDescent="0.3">
      <c r="A23" s="6" t="s">
        <v>583</v>
      </c>
      <c r="B23" s="459" t="s">
        <v>582</v>
      </c>
      <c r="C23" s="11">
        <f>C7/(C8*C10)</f>
        <v>9.666603430362887E-2</v>
      </c>
      <c r="D23" t="s">
        <v>617</v>
      </c>
    </row>
    <row r="24" spans="1:4" ht="28.8" x14ac:dyDescent="0.3">
      <c r="A24" s="96" t="s">
        <v>581</v>
      </c>
      <c r="B24" s="460"/>
      <c r="C24" s="11">
        <v>1</v>
      </c>
    </row>
    <row r="25" spans="1:4" ht="28.8" x14ac:dyDescent="0.3">
      <c r="A25" s="467" t="s">
        <v>579</v>
      </c>
      <c r="B25" s="453"/>
      <c r="C25" s="11">
        <v>0</v>
      </c>
    </row>
  </sheetData>
  <mergeCells count="3">
    <mergeCell ref="A6:C6"/>
    <mergeCell ref="A12:C12"/>
    <mergeCell ref="A1:C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C574-4844-4089-AEDC-61E09D86A4E3}">
  <dimension ref="A1:G28"/>
  <sheetViews>
    <sheetView topLeftCell="A16" zoomScale="90" workbookViewId="0">
      <selection activeCell="C19" sqref="C19"/>
    </sheetView>
  </sheetViews>
  <sheetFormatPr defaultColWidth="8.77734375" defaultRowHeight="14.4" x14ac:dyDescent="0.3"/>
  <cols>
    <col min="1" max="1" width="34.44140625" customWidth="1"/>
    <col min="2" max="2" width="34.77734375" customWidth="1"/>
    <col min="3" max="3" width="12" bestFit="1" customWidth="1"/>
  </cols>
  <sheetData>
    <row r="1" spans="1:7" ht="14.55" customHeight="1" x14ac:dyDescent="0.3">
      <c r="A1" s="103" t="s">
        <v>631</v>
      </c>
      <c r="B1" s="103"/>
      <c r="C1" s="103"/>
      <c r="D1" s="103"/>
      <c r="E1" s="98"/>
      <c r="F1" s="98"/>
      <c r="G1" s="98"/>
    </row>
    <row r="2" spans="1:7" x14ac:dyDescent="0.3">
      <c r="A2" s="103"/>
      <c r="B2" s="103"/>
      <c r="C2" s="103"/>
      <c r="D2" s="103"/>
      <c r="E2" s="98"/>
      <c r="F2" s="98"/>
      <c r="G2" s="98"/>
    </row>
    <row r="4" spans="1:7" x14ac:dyDescent="0.3">
      <c r="A4" t="s">
        <v>630</v>
      </c>
    </row>
    <row r="5" spans="1:7" ht="14.55" customHeight="1" x14ac:dyDescent="0.3">
      <c r="A5" s="103" t="s">
        <v>629</v>
      </c>
      <c r="B5" s="103"/>
      <c r="C5" s="103"/>
      <c r="D5" s="103"/>
      <c r="E5" s="98"/>
      <c r="F5" s="98"/>
      <c r="G5" s="98"/>
    </row>
    <row r="6" spans="1:7" x14ac:dyDescent="0.3">
      <c r="A6" s="103"/>
      <c r="B6" s="103"/>
      <c r="C6" s="103"/>
      <c r="D6" s="103"/>
      <c r="E6" s="98"/>
      <c r="F6" s="98"/>
      <c r="G6" s="98"/>
    </row>
    <row r="7" spans="1:7" x14ac:dyDescent="0.3">
      <c r="A7" s="103"/>
      <c r="B7" s="103"/>
      <c r="C7" s="103"/>
      <c r="D7" s="103"/>
      <c r="E7" s="98"/>
      <c r="F7" s="98"/>
      <c r="G7" s="98"/>
    </row>
    <row r="8" spans="1:7" x14ac:dyDescent="0.3">
      <c r="A8" t="s">
        <v>628</v>
      </c>
    </row>
    <row r="9" spans="1:7" x14ac:dyDescent="0.3">
      <c r="A9" s="117" t="s">
        <v>627</v>
      </c>
      <c r="B9" s="117"/>
      <c r="C9" s="117"/>
    </row>
    <row r="10" spans="1:7" x14ac:dyDescent="0.3">
      <c r="A10" s="6" t="s">
        <v>626</v>
      </c>
      <c r="B10" s="459" t="s">
        <v>625</v>
      </c>
      <c r="C10" s="19">
        <f>(1/6)*0.9</f>
        <v>0.15</v>
      </c>
    </row>
    <row r="11" spans="1:7" x14ac:dyDescent="0.3">
      <c r="A11" s="6" t="s">
        <v>608</v>
      </c>
      <c r="B11" s="457" t="s">
        <v>607</v>
      </c>
      <c r="C11" s="19">
        <v>2</v>
      </c>
    </row>
    <row r="12" spans="1:7" x14ac:dyDescent="0.3">
      <c r="A12" s="6" t="s">
        <v>606</v>
      </c>
      <c r="B12" s="457" t="s">
        <v>605</v>
      </c>
      <c r="C12" s="19">
        <v>12</v>
      </c>
    </row>
    <row r="13" spans="1:7" x14ac:dyDescent="0.3">
      <c r="A13" s="6" t="s">
        <v>624</v>
      </c>
      <c r="B13" s="457" t="s">
        <v>603</v>
      </c>
      <c r="C13" s="19">
        <f>1/C12</f>
        <v>8.3333333333333329E-2</v>
      </c>
    </row>
    <row r="15" spans="1:7" x14ac:dyDescent="0.3">
      <c r="A15" s="117" t="s">
        <v>623</v>
      </c>
      <c r="B15" s="117"/>
      <c r="C15" s="117"/>
    </row>
    <row r="16" spans="1:7" ht="57" customHeight="1" x14ac:dyDescent="0.3">
      <c r="A16" s="6" t="s">
        <v>601</v>
      </c>
      <c r="B16" s="457"/>
      <c r="C16" s="11">
        <f xml:space="preserve"> ((221/50)+(29853279/5000000))^(-1)</f>
        <v>9.6240316227200973E-2</v>
      </c>
    </row>
    <row r="17" spans="1:6" x14ac:dyDescent="0.3">
      <c r="A17" s="6" t="s">
        <v>599</v>
      </c>
      <c r="B17" s="459" t="s">
        <v>622</v>
      </c>
      <c r="C17" s="11">
        <f>((C11*C26)^7/(2^5*2))*C16</f>
        <v>9.2062889812979873E-2</v>
      </c>
    </row>
    <row r="18" spans="1:6" x14ac:dyDescent="0.3">
      <c r="A18" s="6" t="s">
        <v>598</v>
      </c>
      <c r="B18" s="457" t="s">
        <v>621</v>
      </c>
      <c r="C18" s="11">
        <f>1-C17</f>
        <v>0.90793711018702017</v>
      </c>
    </row>
    <row r="19" spans="1:6" ht="30" customHeight="1" x14ac:dyDescent="0.3">
      <c r="A19" s="6" t="s">
        <v>597</v>
      </c>
      <c r="B19" s="457" t="s">
        <v>620</v>
      </c>
      <c r="C19" s="11">
        <f>C26*C18</f>
        <v>0.81714339916831813</v>
      </c>
      <c r="D19" s="466"/>
      <c r="E19" s="465"/>
    </row>
    <row r="20" spans="1:6" ht="28.8" x14ac:dyDescent="0.3">
      <c r="A20" s="6" t="s">
        <v>595</v>
      </c>
      <c r="B20" s="460" t="s">
        <v>619</v>
      </c>
      <c r="C20" s="11">
        <f>(((C26*2)^(2+1)*C16)/(2*2))*((1-6*C26^5+5*C26^6)/((1-C26)^2))</f>
        <v>1.6033479811736187</v>
      </c>
    </row>
    <row r="21" spans="1:6" x14ac:dyDescent="0.3">
      <c r="A21" s="6" t="s">
        <v>593</v>
      </c>
      <c r="B21" s="457" t="s">
        <v>592</v>
      </c>
      <c r="C21" s="11">
        <f>C11*C19</f>
        <v>1.6342867983366363</v>
      </c>
    </row>
    <row r="22" spans="1:6" ht="22.2" customHeight="1" x14ac:dyDescent="4.1500000000000004">
      <c r="A22" s="6" t="s">
        <v>591</v>
      </c>
      <c r="B22" s="457" t="s">
        <v>590</v>
      </c>
      <c r="C22" s="11">
        <f>C20+C21</f>
        <v>3.2376347795102549</v>
      </c>
      <c r="F22" s="464"/>
    </row>
    <row r="23" spans="1:6" ht="28.8" x14ac:dyDescent="0.3">
      <c r="A23" s="96" t="s">
        <v>589</v>
      </c>
      <c r="B23" s="459" t="s">
        <v>588</v>
      </c>
      <c r="C23" s="11">
        <f>C20/C25</f>
        <v>11.772827017672736</v>
      </c>
    </row>
    <row r="24" spans="1:6" x14ac:dyDescent="0.3">
      <c r="A24" s="6" t="s">
        <v>587</v>
      </c>
      <c r="B24" s="457" t="s">
        <v>586</v>
      </c>
      <c r="C24" s="11">
        <f>C23+C12</f>
        <v>23.772827017672736</v>
      </c>
    </row>
    <row r="25" spans="1:6" ht="15.6" x14ac:dyDescent="0.3">
      <c r="A25" s="24" t="s">
        <v>585</v>
      </c>
      <c r="B25" s="458" t="s">
        <v>618</v>
      </c>
      <c r="C25" s="11">
        <f>C13*C21</f>
        <v>0.136190566528053</v>
      </c>
    </row>
    <row r="26" spans="1:6" x14ac:dyDescent="0.3">
      <c r="A26" s="6" t="s">
        <v>583</v>
      </c>
      <c r="B26" s="457" t="s">
        <v>582</v>
      </c>
      <c r="C26" s="11">
        <f>C10/(C11*C13)</f>
        <v>0.9</v>
      </c>
      <c r="D26" t="s">
        <v>617</v>
      </c>
    </row>
    <row r="27" spans="1:6" ht="28.8" x14ac:dyDescent="0.3">
      <c r="A27" s="96" t="s">
        <v>616</v>
      </c>
      <c r="B27" s="463" t="s">
        <v>615</v>
      </c>
      <c r="C27" s="11">
        <f>C16+(C11*C26)*C16</f>
        <v>0.26947288543616277</v>
      </c>
    </row>
    <row r="28" spans="1:6" x14ac:dyDescent="0.3">
      <c r="A28" s="462"/>
    </row>
  </sheetData>
  <mergeCells count="5">
    <mergeCell ref="A9:C9"/>
    <mergeCell ref="A15:C15"/>
    <mergeCell ref="A5:D7"/>
    <mergeCell ref="A1:D2"/>
    <mergeCell ref="D19:E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6C23-385E-4174-90CC-EDFC2C6846E4}">
  <dimension ref="A1:H32"/>
  <sheetViews>
    <sheetView topLeftCell="A7" workbookViewId="0">
      <selection activeCell="G21" sqref="G21"/>
    </sheetView>
  </sheetViews>
  <sheetFormatPr defaultColWidth="11.5546875" defaultRowHeight="14.4" x14ac:dyDescent="0.3"/>
  <cols>
    <col min="1" max="1" width="46.109375" customWidth="1"/>
    <col min="2" max="2" width="10.77734375" customWidth="1"/>
  </cols>
  <sheetData>
    <row r="1" spans="1:8" x14ac:dyDescent="0.3">
      <c r="A1" t="s">
        <v>644</v>
      </c>
      <c r="B1" s="101" t="s">
        <v>613</v>
      </c>
    </row>
    <row r="3" spans="1:8" x14ac:dyDescent="0.3">
      <c r="A3" s="103" t="s">
        <v>643</v>
      </c>
      <c r="B3" s="103"/>
      <c r="C3" s="103"/>
      <c r="D3" s="98"/>
      <c r="E3" s="98"/>
    </row>
    <row r="4" spans="1:8" x14ac:dyDescent="0.3">
      <c r="A4" s="103"/>
      <c r="B4" s="103"/>
      <c r="C4" s="103"/>
      <c r="D4" s="98"/>
      <c r="E4" s="98"/>
    </row>
    <row r="5" spans="1:8" x14ac:dyDescent="0.3">
      <c r="A5" s="103"/>
      <c r="B5" s="103"/>
      <c r="C5" s="103"/>
      <c r="D5" s="98"/>
      <c r="E5" s="98"/>
    </row>
    <row r="6" spans="1:8" x14ac:dyDescent="0.3">
      <c r="A6" s="103"/>
      <c r="B6" s="103"/>
      <c r="C6" s="103"/>
      <c r="D6" s="98"/>
      <c r="E6" s="98"/>
    </row>
    <row r="7" spans="1:8" x14ac:dyDescent="0.3">
      <c r="A7" s="6"/>
      <c r="B7" s="6" t="s">
        <v>642</v>
      </c>
    </row>
    <row r="8" spans="1:8" x14ac:dyDescent="0.3">
      <c r="A8" s="6" t="s">
        <v>573</v>
      </c>
      <c r="B8" s="7">
        <v>0.4</v>
      </c>
    </row>
    <row r="9" spans="1:8" x14ac:dyDescent="0.3">
      <c r="A9" s="97" t="s">
        <v>572</v>
      </c>
      <c r="B9" s="430">
        <v>0.2</v>
      </c>
      <c r="C9" s="479"/>
      <c r="H9" s="472"/>
    </row>
    <row r="10" spans="1:8" x14ac:dyDescent="0.3">
      <c r="A10" s="478"/>
      <c r="B10" s="478"/>
      <c r="C10" s="477"/>
      <c r="D10" s="476"/>
      <c r="E10" s="374"/>
    </row>
    <row r="11" spans="1:8" x14ac:dyDescent="0.3">
      <c r="A11" s="473"/>
      <c r="B11" s="475"/>
      <c r="C11" s="474"/>
      <c r="D11" s="473"/>
      <c r="E11" s="374"/>
    </row>
    <row r="12" spans="1:8" x14ac:dyDescent="0.3">
      <c r="A12" s="472"/>
      <c r="B12" s="471"/>
    </row>
    <row r="13" spans="1:8" x14ac:dyDescent="0.3">
      <c r="A13" s="470" t="s">
        <v>612</v>
      </c>
      <c r="B13" s="469"/>
      <c r="C13" s="469"/>
      <c r="D13" s="99"/>
      <c r="E13" s="99"/>
    </row>
    <row r="14" spans="1:8" x14ac:dyDescent="0.3">
      <c r="A14" s="6" t="s">
        <v>611</v>
      </c>
      <c r="B14" s="457" t="s">
        <v>641</v>
      </c>
      <c r="C14" s="11">
        <f>1/4</f>
        <v>0.25</v>
      </c>
      <c r="D14" t="s">
        <v>640</v>
      </c>
      <c r="E14" s="99"/>
    </row>
    <row r="15" spans="1:8" x14ac:dyDescent="0.3">
      <c r="A15" s="6" t="s">
        <v>608</v>
      </c>
      <c r="B15" s="457" t="s">
        <v>607</v>
      </c>
      <c r="C15" s="11">
        <v>1</v>
      </c>
      <c r="D15" s="99"/>
      <c r="E15" s="99"/>
    </row>
    <row r="16" spans="1:8" x14ac:dyDescent="0.3">
      <c r="A16" s="6" t="s">
        <v>606</v>
      </c>
      <c r="B16" s="459" t="s">
        <v>605</v>
      </c>
      <c r="C16" s="11">
        <v>3</v>
      </c>
    </row>
    <row r="17" spans="1:3" x14ac:dyDescent="0.3">
      <c r="A17" s="6" t="s">
        <v>604</v>
      </c>
      <c r="B17" s="459" t="s">
        <v>603</v>
      </c>
      <c r="C17" s="11">
        <f>1/C16</f>
        <v>0.33333333333333331</v>
      </c>
    </row>
    <row r="18" spans="1:3" x14ac:dyDescent="0.3">
      <c r="A18" s="461"/>
      <c r="B18" s="461"/>
      <c r="C18" s="461"/>
    </row>
    <row r="19" spans="1:3" x14ac:dyDescent="0.3">
      <c r="A19" s="124" t="s">
        <v>602</v>
      </c>
      <c r="B19" s="124"/>
      <c r="C19" s="124"/>
    </row>
    <row r="20" spans="1:3" x14ac:dyDescent="0.3">
      <c r="A20" s="6" t="s">
        <v>601</v>
      </c>
      <c r="B20" s="457" t="s">
        <v>600</v>
      </c>
      <c r="C20" s="11">
        <f xml:space="preserve"> 1-C30</f>
        <v>0.25</v>
      </c>
    </row>
    <row r="21" spans="1:3" x14ac:dyDescent="0.3">
      <c r="A21" s="6" t="s">
        <v>599</v>
      </c>
      <c r="B21" s="457"/>
      <c r="C21" s="11">
        <v>0</v>
      </c>
    </row>
    <row r="22" spans="1:3" x14ac:dyDescent="0.3">
      <c r="A22" s="6" t="s">
        <v>598</v>
      </c>
      <c r="B22" s="457"/>
      <c r="C22" s="11">
        <v>1</v>
      </c>
    </row>
    <row r="23" spans="1:3" x14ac:dyDescent="0.3">
      <c r="A23" s="6" t="s">
        <v>597</v>
      </c>
      <c r="B23" s="457" t="s">
        <v>596</v>
      </c>
      <c r="C23" s="11">
        <f>C30</f>
        <v>0.75</v>
      </c>
    </row>
    <row r="24" spans="1:3" ht="43.2" x14ac:dyDescent="0.3">
      <c r="A24" s="6" t="s">
        <v>595</v>
      </c>
      <c r="B24" s="460" t="s">
        <v>594</v>
      </c>
      <c r="C24" s="11">
        <f>(C30^2*(C31^2+C32^2))/(2*(1-C30))</f>
        <v>1.40625</v>
      </c>
    </row>
    <row r="25" spans="1:3" x14ac:dyDescent="0.3">
      <c r="A25" s="6" t="s">
        <v>593</v>
      </c>
      <c r="B25" s="457" t="s">
        <v>592</v>
      </c>
      <c r="C25" s="11">
        <f>C15*C23</f>
        <v>0.75</v>
      </c>
    </row>
    <row r="26" spans="1:3" x14ac:dyDescent="0.3">
      <c r="A26" s="6" t="s">
        <v>591</v>
      </c>
      <c r="B26" s="457" t="s">
        <v>590</v>
      </c>
      <c r="C26" s="11">
        <f>C24+C25</f>
        <v>2.15625</v>
      </c>
    </row>
    <row r="27" spans="1:3" ht="15.6" x14ac:dyDescent="0.3">
      <c r="A27" s="6" t="s">
        <v>589</v>
      </c>
      <c r="B27" s="459" t="s">
        <v>588</v>
      </c>
      <c r="C27" s="11">
        <f>C24/C29</f>
        <v>5.625</v>
      </c>
    </row>
    <row r="28" spans="1:3" x14ac:dyDescent="0.3">
      <c r="A28" s="6" t="s">
        <v>587</v>
      </c>
      <c r="B28" s="457" t="s">
        <v>586</v>
      </c>
      <c r="C28" s="11">
        <f>C27+C16</f>
        <v>8.625</v>
      </c>
    </row>
    <row r="29" spans="1:3" ht="15.6" x14ac:dyDescent="0.3">
      <c r="A29" s="6" t="s">
        <v>585</v>
      </c>
      <c r="B29" s="458" t="s">
        <v>584</v>
      </c>
      <c r="C29" s="11">
        <f>C14</f>
        <v>0.25</v>
      </c>
    </row>
    <row r="30" spans="1:3" x14ac:dyDescent="0.3">
      <c r="A30" s="6" t="s">
        <v>583</v>
      </c>
      <c r="B30" s="457" t="s">
        <v>582</v>
      </c>
      <c r="C30" s="11">
        <f>C14/(C15*C17)</f>
        <v>0.75</v>
      </c>
    </row>
    <row r="31" spans="1:3" ht="31.05" customHeight="1" x14ac:dyDescent="0.3">
      <c r="A31" s="96" t="s">
        <v>581</v>
      </c>
      <c r="B31" s="456" t="s">
        <v>580</v>
      </c>
      <c r="C31" s="11">
        <f>2/4</f>
        <v>0.5</v>
      </c>
    </row>
    <row r="32" spans="1:3" x14ac:dyDescent="0.3">
      <c r="A32" s="455" t="s">
        <v>579</v>
      </c>
      <c r="B32" s="453"/>
      <c r="C32" s="11">
        <v>1</v>
      </c>
    </row>
  </sheetData>
  <mergeCells count="3">
    <mergeCell ref="A3:C6"/>
    <mergeCell ref="A13:C13"/>
    <mergeCell ref="A19:C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EF66-BCBF-4228-BFA2-3E27E0CDFD39}">
  <dimension ref="A1:D28"/>
  <sheetViews>
    <sheetView topLeftCell="A3" zoomScale="108" workbookViewId="0">
      <selection activeCell="F4" sqref="F4"/>
    </sheetView>
  </sheetViews>
  <sheetFormatPr defaultColWidth="11.5546875" defaultRowHeight="14.4" x14ac:dyDescent="0.3"/>
  <cols>
    <col min="1" max="1" width="41.44140625" customWidth="1"/>
    <col min="2" max="2" width="33.6640625" customWidth="1"/>
  </cols>
  <sheetData>
    <row r="1" spans="1:4" x14ac:dyDescent="0.3">
      <c r="A1" s="103" t="s">
        <v>631</v>
      </c>
      <c r="B1" s="103"/>
      <c r="C1" s="103"/>
      <c r="D1" s="103"/>
    </row>
    <row r="2" spans="1:4" x14ac:dyDescent="0.3">
      <c r="A2" s="103"/>
      <c r="B2" s="103"/>
      <c r="C2" s="103"/>
      <c r="D2" s="103"/>
    </row>
    <row r="4" spans="1:4" x14ac:dyDescent="0.3">
      <c r="A4" t="s">
        <v>630</v>
      </c>
    </row>
    <row r="5" spans="1:4" x14ac:dyDescent="0.3">
      <c r="A5" s="103" t="s">
        <v>629</v>
      </c>
      <c r="B5" s="103"/>
      <c r="C5" s="103"/>
      <c r="D5" s="103"/>
    </row>
    <row r="6" spans="1:4" x14ac:dyDescent="0.3">
      <c r="A6" s="103"/>
      <c r="B6" s="103"/>
      <c r="C6" s="103"/>
      <c r="D6" s="103"/>
    </row>
    <row r="7" spans="1:4" x14ac:dyDescent="0.3">
      <c r="A7" s="103"/>
      <c r="B7" s="103"/>
      <c r="C7" s="103"/>
      <c r="D7" s="103"/>
    </row>
    <row r="9" spans="1:4" x14ac:dyDescent="0.3">
      <c r="A9" s="117" t="s">
        <v>627</v>
      </c>
      <c r="B9" s="117"/>
      <c r="C9" s="117"/>
    </row>
    <row r="10" spans="1:4" x14ac:dyDescent="0.3">
      <c r="A10" s="6" t="s">
        <v>626</v>
      </c>
      <c r="B10" s="459" t="s">
        <v>647</v>
      </c>
      <c r="C10" s="19">
        <f>(1/4)*0.9</f>
        <v>0.22500000000000001</v>
      </c>
    </row>
    <row r="11" spans="1:4" x14ac:dyDescent="0.3">
      <c r="A11" s="6" t="s">
        <v>608</v>
      </c>
      <c r="B11" s="457" t="s">
        <v>607</v>
      </c>
      <c r="C11" s="19">
        <v>2</v>
      </c>
    </row>
    <row r="12" spans="1:4" x14ac:dyDescent="0.3">
      <c r="A12" s="6" t="s">
        <v>606</v>
      </c>
      <c r="B12" s="457" t="s">
        <v>605</v>
      </c>
      <c r="C12" s="19">
        <v>12</v>
      </c>
    </row>
    <row r="13" spans="1:4" x14ac:dyDescent="0.3">
      <c r="A13" s="6" t="s">
        <v>624</v>
      </c>
      <c r="B13" s="457" t="s">
        <v>603</v>
      </c>
      <c r="C13" s="19">
        <f>1/C12</f>
        <v>8.3333333333333329E-2</v>
      </c>
    </row>
    <row r="15" spans="1:4" x14ac:dyDescent="0.3">
      <c r="A15" s="117" t="s">
        <v>623</v>
      </c>
      <c r="B15" s="117"/>
      <c r="C15" s="117"/>
    </row>
    <row r="16" spans="1:4" ht="55.95" customHeight="1" x14ac:dyDescent="0.3">
      <c r="A16" s="6" t="s">
        <v>601</v>
      </c>
      <c r="B16" s="457"/>
      <c r="C16" s="11">
        <f xml:space="preserve"> ((1469/200)+(27^8-19683*20^5)/(28000*20^4))^(-1)</f>
        <v>1.7753153274911244E-2</v>
      </c>
    </row>
    <row r="17" spans="1:4" x14ac:dyDescent="0.3">
      <c r="A17" s="6" t="s">
        <v>599</v>
      </c>
      <c r="B17" s="459" t="s">
        <v>622</v>
      </c>
      <c r="C17" s="11">
        <f>((C11*C26)^7/(2^5*2))*C16</f>
        <v>0.29016289644151227</v>
      </c>
    </row>
    <row r="18" spans="1:4" x14ac:dyDescent="0.3">
      <c r="A18" s="6" t="s">
        <v>598</v>
      </c>
      <c r="B18" s="457" t="s">
        <v>621</v>
      </c>
      <c r="C18" s="11">
        <f>1-C17</f>
        <v>0.70983710355848773</v>
      </c>
    </row>
    <row r="19" spans="1:4" x14ac:dyDescent="0.3">
      <c r="A19" s="6" t="s">
        <v>597</v>
      </c>
      <c r="B19" s="457" t="s">
        <v>620</v>
      </c>
      <c r="C19" s="468">
        <f>C26*C18</f>
        <v>0.95828008980395851</v>
      </c>
      <c r="D19" t="s">
        <v>646</v>
      </c>
    </row>
    <row r="20" spans="1:4" ht="30" customHeight="1" x14ac:dyDescent="0.3">
      <c r="A20" s="6" t="s">
        <v>595</v>
      </c>
      <c r="B20" s="460" t="s">
        <v>619</v>
      </c>
      <c r="C20" s="11">
        <f>(((C26*2)^(2+1)*C16)/(2*2))*((1-6*C26^5+5*C26^6)/((1-C26)^2))</f>
        <v>3.1114184622412293</v>
      </c>
    </row>
    <row r="21" spans="1:4" x14ac:dyDescent="0.3">
      <c r="A21" s="6" t="s">
        <v>593</v>
      </c>
      <c r="B21" s="457" t="s">
        <v>592</v>
      </c>
      <c r="C21" s="11">
        <f>C11*C19</f>
        <v>1.916560179607917</v>
      </c>
    </row>
    <row r="22" spans="1:4" x14ac:dyDescent="0.3">
      <c r="A22" s="6" t="s">
        <v>591</v>
      </c>
      <c r="B22" s="457" t="s">
        <v>590</v>
      </c>
      <c r="C22" s="11">
        <f>C20+C21</f>
        <v>5.0279786418491463</v>
      </c>
    </row>
    <row r="23" spans="1:4" ht="27" customHeight="1" x14ac:dyDescent="0.3">
      <c r="A23" s="96" t="s">
        <v>589</v>
      </c>
      <c r="B23" s="459" t="s">
        <v>588</v>
      </c>
      <c r="C23" s="11">
        <f>C20/C25</f>
        <v>19.481267504228864</v>
      </c>
    </row>
    <row r="24" spans="1:4" x14ac:dyDescent="0.3">
      <c r="A24" s="6" t="s">
        <v>587</v>
      </c>
      <c r="B24" s="457" t="s">
        <v>586</v>
      </c>
      <c r="C24" s="11">
        <f>C23+C12</f>
        <v>31.481267504228864</v>
      </c>
    </row>
    <row r="25" spans="1:4" ht="15.6" x14ac:dyDescent="0.3">
      <c r="A25" s="24" t="s">
        <v>585</v>
      </c>
      <c r="B25" s="458" t="s">
        <v>618</v>
      </c>
      <c r="C25" s="11">
        <f>C13*C21</f>
        <v>0.15971334830065975</v>
      </c>
    </row>
    <row r="26" spans="1:4" x14ac:dyDescent="0.3">
      <c r="A26" s="6" t="s">
        <v>583</v>
      </c>
      <c r="B26" s="457" t="s">
        <v>582</v>
      </c>
      <c r="C26" s="11">
        <f>C10/(C11*C13)</f>
        <v>1.35</v>
      </c>
      <c r="D26" t="s">
        <v>645</v>
      </c>
    </row>
    <row r="27" spans="1:4" ht="16.95" customHeight="1" x14ac:dyDescent="0.3">
      <c r="A27" s="96" t="s">
        <v>616</v>
      </c>
      <c r="B27" s="463" t="s">
        <v>615</v>
      </c>
      <c r="C27" s="11">
        <f>C16+(C11*C26)*C16</f>
        <v>6.568666711717161E-2</v>
      </c>
    </row>
    <row r="28" spans="1:4" x14ac:dyDescent="0.3">
      <c r="A28" s="462"/>
    </row>
  </sheetData>
  <mergeCells count="4">
    <mergeCell ref="A1:D2"/>
    <mergeCell ref="A5:D7"/>
    <mergeCell ref="A9:C9"/>
    <mergeCell ref="A15:C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0011-94B3-4608-ABCB-A8B658FF202F}">
  <dimension ref="A1:D25"/>
  <sheetViews>
    <sheetView topLeftCell="A5" zoomScale="150" zoomScaleNormal="100" workbookViewId="0">
      <selection activeCell="E3" sqref="E3"/>
    </sheetView>
  </sheetViews>
  <sheetFormatPr defaultColWidth="11.5546875" defaultRowHeight="14.4" x14ac:dyDescent="0.3"/>
  <cols>
    <col min="1" max="1" width="32.6640625" customWidth="1"/>
    <col min="2" max="2" width="26.109375" customWidth="1"/>
    <col min="3" max="3" width="12" customWidth="1"/>
  </cols>
  <sheetData>
    <row r="1" spans="1:4" x14ac:dyDescent="0.3">
      <c r="A1" s="103" t="s">
        <v>639</v>
      </c>
      <c r="B1" s="103"/>
      <c r="C1" s="103"/>
    </row>
    <row r="2" spans="1:4" x14ac:dyDescent="0.3">
      <c r="A2" s="103"/>
      <c r="B2" s="103"/>
      <c r="C2" s="103"/>
    </row>
    <row r="3" spans="1:4" x14ac:dyDescent="0.3">
      <c r="A3" s="103"/>
      <c r="B3" s="103"/>
      <c r="C3" s="103"/>
    </row>
    <row r="4" spans="1:4" x14ac:dyDescent="0.3">
      <c r="A4" s="98"/>
      <c r="B4" s="98"/>
      <c r="C4" s="98"/>
    </row>
    <row r="6" spans="1:4" x14ac:dyDescent="0.3">
      <c r="A6" s="117" t="s">
        <v>637</v>
      </c>
      <c r="B6" s="117"/>
      <c r="C6" s="117"/>
    </row>
    <row r="7" spans="1:4" x14ac:dyDescent="0.3">
      <c r="A7" s="6" t="s">
        <v>626</v>
      </c>
      <c r="B7" s="459" t="s">
        <v>636</v>
      </c>
      <c r="C7" s="19">
        <f>'8_6'!C10*'8_6'!C17</f>
        <v>6.5286651699340267E-2</v>
      </c>
    </row>
    <row r="8" spans="1:4" x14ac:dyDescent="0.3">
      <c r="A8" s="6" t="s">
        <v>608</v>
      </c>
      <c r="B8" s="457" t="s">
        <v>607</v>
      </c>
      <c r="C8" s="19">
        <v>1</v>
      </c>
    </row>
    <row r="9" spans="1:4" x14ac:dyDescent="0.3">
      <c r="A9" s="6" t="s">
        <v>606</v>
      </c>
      <c r="B9" s="457" t="s">
        <v>605</v>
      </c>
      <c r="C9" s="19">
        <v>7</v>
      </c>
    </row>
    <row r="10" spans="1:4" x14ac:dyDescent="0.3">
      <c r="A10" s="6" t="s">
        <v>624</v>
      </c>
      <c r="B10" s="457" t="s">
        <v>603</v>
      </c>
      <c r="C10" s="19">
        <f>1/C9</f>
        <v>0.14285714285714285</v>
      </c>
    </row>
    <row r="12" spans="1:4" x14ac:dyDescent="0.3">
      <c r="A12" s="117" t="s">
        <v>635</v>
      </c>
      <c r="B12" s="117"/>
      <c r="C12" s="117"/>
    </row>
    <row r="13" spans="1:4" x14ac:dyDescent="0.3">
      <c r="A13" s="6" t="s">
        <v>601</v>
      </c>
      <c r="B13" s="459" t="s">
        <v>634</v>
      </c>
      <c r="C13" s="11">
        <f>1-C23</f>
        <v>0.54299343810461809</v>
      </c>
    </row>
    <row r="14" spans="1:4" x14ac:dyDescent="0.3">
      <c r="A14" s="6" t="s">
        <v>599</v>
      </c>
      <c r="B14" s="459"/>
      <c r="C14" s="11">
        <v>0</v>
      </c>
    </row>
    <row r="15" spans="1:4" x14ac:dyDescent="0.3">
      <c r="A15" s="6" t="s">
        <v>598</v>
      </c>
      <c r="B15" s="457" t="s">
        <v>621</v>
      </c>
      <c r="C15" s="11">
        <f>1-C14</f>
        <v>1</v>
      </c>
    </row>
    <row r="16" spans="1:4" x14ac:dyDescent="0.3">
      <c r="A16" s="6" t="s">
        <v>597</v>
      </c>
      <c r="B16" s="459" t="s">
        <v>596</v>
      </c>
      <c r="C16" s="468">
        <f>C23*C15</f>
        <v>0.45700656189538191</v>
      </c>
      <c r="D16" t="s">
        <v>648</v>
      </c>
    </row>
    <row r="17" spans="1:4" ht="24" customHeight="1" x14ac:dyDescent="0.3">
      <c r="A17" s="6" t="s">
        <v>595</v>
      </c>
      <c r="B17" s="460" t="s">
        <v>633</v>
      </c>
      <c r="C17" s="11">
        <f>(C23^2*(C24^2+C25^2))/(2*(1-C23))</f>
        <v>0.1923181598146658</v>
      </c>
    </row>
    <row r="18" spans="1:4" x14ac:dyDescent="0.3">
      <c r="A18" s="6" t="s">
        <v>593</v>
      </c>
      <c r="B18" s="457" t="s">
        <v>592</v>
      </c>
      <c r="C18" s="11">
        <f>C8*C16</f>
        <v>0.45700656189538191</v>
      </c>
    </row>
    <row r="19" spans="1:4" x14ac:dyDescent="0.3">
      <c r="A19" s="6" t="s">
        <v>591</v>
      </c>
      <c r="B19" s="457" t="s">
        <v>590</v>
      </c>
      <c r="C19" s="11">
        <f>C17+C18</f>
        <v>0.64932472171004774</v>
      </c>
    </row>
    <row r="20" spans="1:4" ht="28.95" customHeight="1" x14ac:dyDescent="0.3">
      <c r="A20" s="96" t="s">
        <v>589</v>
      </c>
      <c r="B20" s="459" t="s">
        <v>588</v>
      </c>
      <c r="C20" s="11">
        <f>C17/C22</f>
        <v>2.9457500853364977</v>
      </c>
    </row>
    <row r="21" spans="1:4" x14ac:dyDescent="0.3">
      <c r="A21" s="6" t="s">
        <v>587</v>
      </c>
      <c r="B21" s="457" t="s">
        <v>586</v>
      </c>
      <c r="C21" s="11">
        <f>C20+C9</f>
        <v>9.9457500853364973</v>
      </c>
    </row>
    <row r="22" spans="1:4" ht="15.6" x14ac:dyDescent="0.3">
      <c r="A22" s="24" t="s">
        <v>585</v>
      </c>
      <c r="B22" s="458" t="s">
        <v>632</v>
      </c>
      <c r="C22" s="11">
        <f>C7</f>
        <v>6.5286651699340267E-2</v>
      </c>
    </row>
    <row r="23" spans="1:4" x14ac:dyDescent="0.3">
      <c r="A23" s="6" t="s">
        <v>583</v>
      </c>
      <c r="B23" s="459" t="s">
        <v>582</v>
      </c>
      <c r="C23" s="11">
        <f>C7/(C8*C10)</f>
        <v>0.45700656189538191</v>
      </c>
      <c r="D23" t="s">
        <v>617</v>
      </c>
    </row>
    <row r="24" spans="1:4" ht="33" customHeight="1" x14ac:dyDescent="0.3">
      <c r="A24" s="96" t="s">
        <v>581</v>
      </c>
      <c r="B24" s="460"/>
      <c r="C24" s="11">
        <v>1</v>
      </c>
    </row>
    <row r="25" spans="1:4" ht="13.95" customHeight="1" x14ac:dyDescent="0.3">
      <c r="A25" s="467" t="s">
        <v>579</v>
      </c>
      <c r="B25" s="453"/>
      <c r="C25" s="11">
        <v>0</v>
      </c>
    </row>
  </sheetData>
  <mergeCells count="3">
    <mergeCell ref="A1:C3"/>
    <mergeCell ref="A6:C6"/>
    <mergeCell ref="A12:C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B128-A9C6-4E95-8D3A-58EC58D8027B}">
  <dimension ref="A1:J23"/>
  <sheetViews>
    <sheetView zoomScale="98" workbookViewId="0">
      <selection activeCell="E22" sqref="E22"/>
    </sheetView>
  </sheetViews>
  <sheetFormatPr defaultColWidth="11.5546875" defaultRowHeight="14.4" x14ac:dyDescent="0.3"/>
  <sheetData>
    <row r="1" spans="1:10" x14ac:dyDescent="0.3">
      <c r="A1" s="161" t="s">
        <v>663</v>
      </c>
      <c r="B1" s="161"/>
      <c r="C1" s="161"/>
      <c r="D1" s="161"/>
      <c r="E1" s="161"/>
      <c r="F1" s="161"/>
      <c r="G1" s="161"/>
      <c r="H1" s="161"/>
      <c r="I1" s="161"/>
      <c r="J1" s="161"/>
    </row>
    <row r="2" spans="1:10" x14ac:dyDescent="0.3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 x14ac:dyDescent="0.3">
      <c r="A3" s="496" t="s">
        <v>662</v>
      </c>
      <c r="B3" s="495"/>
      <c r="C3" s="495"/>
      <c r="D3" s="495"/>
      <c r="E3" s="495"/>
      <c r="F3" s="495"/>
      <c r="G3" s="495"/>
      <c r="H3" s="495"/>
      <c r="I3" s="495"/>
      <c r="J3" s="494"/>
    </row>
    <row r="4" spans="1:10" x14ac:dyDescent="0.3">
      <c r="A4" s="481" t="s">
        <v>661</v>
      </c>
      <c r="B4" s="493"/>
      <c r="C4" s="493"/>
      <c r="D4" s="480"/>
      <c r="E4" s="492">
        <f>B15*B16*480+C15*C16*480+D15*D16*480</f>
        <v>2976</v>
      </c>
      <c r="F4" s="491"/>
      <c r="G4" s="491"/>
      <c r="H4" s="491"/>
      <c r="I4" s="491"/>
      <c r="J4" s="485"/>
    </row>
    <row r="5" spans="1:10" x14ac:dyDescent="0.3">
      <c r="A5" s="496" t="s">
        <v>660</v>
      </c>
      <c r="B5" s="495"/>
      <c r="C5" s="495"/>
      <c r="D5" s="495"/>
      <c r="E5" s="495"/>
      <c r="F5" s="495"/>
      <c r="G5" s="495"/>
      <c r="H5" s="495"/>
      <c r="I5" s="495"/>
      <c r="J5" s="494"/>
    </row>
    <row r="6" spans="1:10" x14ac:dyDescent="0.3">
      <c r="A6" s="481" t="s">
        <v>659</v>
      </c>
      <c r="B6" s="493"/>
      <c r="C6" s="493"/>
      <c r="D6" s="480"/>
      <c r="E6" s="492">
        <f>B15*B17*480+C15*C17*480+D15*D17*480</f>
        <v>1104</v>
      </c>
      <c r="F6" s="491"/>
      <c r="G6" s="491"/>
      <c r="H6" s="491"/>
      <c r="I6" s="491"/>
      <c r="J6" s="485"/>
    </row>
    <row r="7" spans="1:10" x14ac:dyDescent="0.3">
      <c r="A7" s="496" t="s">
        <v>658</v>
      </c>
      <c r="B7" s="495"/>
      <c r="C7" s="495"/>
      <c r="D7" s="495"/>
      <c r="E7" s="495"/>
      <c r="F7" s="495"/>
      <c r="G7" s="495"/>
      <c r="H7" s="495"/>
      <c r="I7" s="495"/>
      <c r="J7" s="494"/>
    </row>
    <row r="8" spans="1:10" x14ac:dyDescent="0.3">
      <c r="A8" s="481" t="s">
        <v>657</v>
      </c>
      <c r="B8" s="493"/>
      <c r="C8" s="493"/>
      <c r="D8" s="480"/>
      <c r="E8" s="492">
        <f>(B19*B11+(B20-B19)*B12)*B18+(C19*C11+(C20-C19)*C12)*B18+(D19*D11+(D20-D19)*D12)*B18</f>
        <v>863.72481436863336</v>
      </c>
      <c r="F8" s="491"/>
      <c r="G8" s="491"/>
      <c r="H8" s="491"/>
      <c r="I8" s="491"/>
      <c r="J8" s="485"/>
    </row>
    <row r="9" spans="1:10" x14ac:dyDescent="0.3">
      <c r="A9" s="161"/>
      <c r="B9" s="161"/>
      <c r="C9" s="161"/>
      <c r="D9" s="161"/>
      <c r="E9" s="161"/>
      <c r="F9" s="161"/>
      <c r="G9" s="161"/>
      <c r="H9" s="161"/>
      <c r="I9" s="161"/>
      <c r="J9" s="161"/>
    </row>
    <row r="10" spans="1:10" x14ac:dyDescent="0.3">
      <c r="A10" s="490"/>
      <c r="B10" s="489" t="s">
        <v>445</v>
      </c>
      <c r="C10" s="489" t="s">
        <v>575</v>
      </c>
      <c r="D10" s="489" t="s">
        <v>574</v>
      </c>
      <c r="E10" s="487"/>
      <c r="F10" s="487"/>
      <c r="G10" s="487"/>
      <c r="H10" s="487"/>
      <c r="I10" s="161"/>
      <c r="J10" s="161"/>
    </row>
    <row r="11" spans="1:10" x14ac:dyDescent="0.3">
      <c r="A11" s="484" t="s">
        <v>573</v>
      </c>
      <c r="B11" s="488">
        <v>0.4</v>
      </c>
      <c r="C11" s="488">
        <v>0.6</v>
      </c>
      <c r="D11" s="488">
        <v>0.5</v>
      </c>
      <c r="E11" s="487"/>
      <c r="F11" s="487"/>
      <c r="G11" s="487"/>
      <c r="H11" s="487"/>
      <c r="I11" s="161"/>
      <c r="J11" s="161"/>
    </row>
    <row r="12" spans="1:10" x14ac:dyDescent="0.3">
      <c r="A12" s="484" t="s">
        <v>572</v>
      </c>
      <c r="B12" s="488">
        <v>0.2</v>
      </c>
      <c r="C12" s="488">
        <v>0.2</v>
      </c>
      <c r="D12" s="488">
        <v>0.1</v>
      </c>
      <c r="E12" s="487"/>
      <c r="F12" s="487"/>
      <c r="G12" s="487"/>
      <c r="H12" s="487"/>
      <c r="I12" s="161"/>
      <c r="J12" s="161"/>
    </row>
    <row r="13" spans="1:10" ht="15" customHeight="1" x14ac:dyDescent="0.3">
      <c r="A13" s="486" t="s">
        <v>571</v>
      </c>
      <c r="B13" s="486"/>
      <c r="C13" s="486"/>
      <c r="D13" s="486"/>
      <c r="E13" s="486"/>
      <c r="F13" s="486"/>
      <c r="G13" s="486"/>
      <c r="H13" s="486"/>
      <c r="I13" s="161"/>
      <c r="J13" s="161"/>
    </row>
    <row r="14" spans="1:10" x14ac:dyDescent="0.3">
      <c r="A14" s="486"/>
      <c r="B14" s="486"/>
      <c r="C14" s="486"/>
      <c r="D14" s="486"/>
      <c r="E14" s="486"/>
      <c r="F14" s="486"/>
      <c r="G14" s="486"/>
      <c r="H14" s="486"/>
      <c r="I14" s="161"/>
      <c r="J14" s="161"/>
    </row>
    <row r="15" spans="1:10" x14ac:dyDescent="0.3">
      <c r="A15" s="166" t="s">
        <v>656</v>
      </c>
      <c r="B15" s="485">
        <f>'8_5'!C29</f>
        <v>0.25</v>
      </c>
      <c r="C15" s="485">
        <f>'8_6'!C25</f>
        <v>0.15971334830065975</v>
      </c>
      <c r="D15" s="485">
        <f>'8_7'!C22</f>
        <v>6.5286651699340267E-2</v>
      </c>
      <c r="E15" s="161"/>
      <c r="F15" s="161"/>
      <c r="G15" s="161"/>
      <c r="H15" s="161"/>
      <c r="I15" s="161"/>
      <c r="J15" s="161"/>
    </row>
    <row r="16" spans="1:10" x14ac:dyDescent="0.3">
      <c r="A16" s="484" t="s">
        <v>655</v>
      </c>
      <c r="B16" s="159">
        <v>5</v>
      </c>
      <c r="C16" s="159">
        <v>22</v>
      </c>
      <c r="D16" s="159">
        <v>22</v>
      </c>
      <c r="E16" s="161"/>
      <c r="F16" s="161"/>
      <c r="G16" s="161"/>
      <c r="H16" s="161"/>
      <c r="I16" s="161"/>
      <c r="J16" s="161"/>
    </row>
    <row r="17" spans="1:10" x14ac:dyDescent="0.3">
      <c r="A17" s="484" t="s">
        <v>654</v>
      </c>
      <c r="B17" s="159">
        <v>2</v>
      </c>
      <c r="C17" s="159">
        <v>8</v>
      </c>
      <c r="D17" s="159">
        <v>8</v>
      </c>
      <c r="E17" s="161"/>
      <c r="F17" s="161"/>
      <c r="G17" s="161"/>
      <c r="H17" s="161"/>
      <c r="I17" s="161"/>
      <c r="J17" s="161"/>
    </row>
    <row r="18" spans="1:10" x14ac:dyDescent="0.3">
      <c r="A18" s="160" t="s">
        <v>653</v>
      </c>
      <c r="B18" s="159">
        <v>480</v>
      </c>
      <c r="C18" s="159"/>
      <c r="D18" s="159"/>
      <c r="E18" s="161"/>
      <c r="F18" s="161"/>
      <c r="G18" s="161"/>
      <c r="H18" s="161"/>
      <c r="I18" s="161"/>
      <c r="J18" s="161"/>
    </row>
    <row r="19" spans="1:10" x14ac:dyDescent="0.3">
      <c r="A19" s="160" t="s">
        <v>652</v>
      </c>
      <c r="B19" s="159">
        <f>'8_5'!C25</f>
        <v>0.75</v>
      </c>
      <c r="C19" s="159">
        <f>'8_6'!C21</f>
        <v>1.916560179607917</v>
      </c>
      <c r="D19" s="159">
        <f>'8_7'!C18</f>
        <v>0.45700656189538191</v>
      </c>
      <c r="E19" s="161"/>
      <c r="F19" s="161"/>
      <c r="G19" s="161"/>
      <c r="H19" s="161"/>
      <c r="I19" s="161"/>
      <c r="J19" s="161"/>
    </row>
    <row r="20" spans="1:10" x14ac:dyDescent="0.3">
      <c r="A20" s="160" t="s">
        <v>651</v>
      </c>
      <c r="B20" s="159">
        <v>1</v>
      </c>
      <c r="C20" s="159">
        <v>2</v>
      </c>
      <c r="D20" s="159">
        <v>1</v>
      </c>
      <c r="E20" s="161"/>
      <c r="F20" s="161"/>
      <c r="G20" s="161"/>
      <c r="H20" s="161"/>
      <c r="I20" s="161"/>
      <c r="J20" s="161"/>
    </row>
    <row r="21" spans="1:10" x14ac:dyDescent="0.3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0" x14ac:dyDescent="0.3">
      <c r="A22" s="483" t="s">
        <v>650</v>
      </c>
      <c r="B22" s="482"/>
      <c r="C22" s="481" t="s">
        <v>649</v>
      </c>
      <c r="D22" s="480"/>
      <c r="E22" s="135">
        <f>E4-E6-E8</f>
        <v>1008.2751856313666</v>
      </c>
      <c r="F22" s="161"/>
      <c r="G22" s="161"/>
      <c r="H22" s="161"/>
      <c r="I22" s="161"/>
      <c r="J22" s="161"/>
    </row>
    <row r="23" spans="1:10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</row>
  </sheetData>
  <mergeCells count="9">
    <mergeCell ref="A13:H14"/>
    <mergeCell ref="A22:B22"/>
    <mergeCell ref="C22:D22"/>
    <mergeCell ref="A3:J3"/>
    <mergeCell ref="A4:D4"/>
    <mergeCell ref="A5:J5"/>
    <mergeCell ref="A6:D6"/>
    <mergeCell ref="A7:J7"/>
    <mergeCell ref="A8:D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E085-7925-478C-A902-2E60213FB28D}">
  <dimension ref="A1:H14"/>
  <sheetViews>
    <sheetView workbookViewId="0">
      <selection activeCell="E5" sqref="E5"/>
    </sheetView>
  </sheetViews>
  <sheetFormatPr defaultColWidth="11.5546875" defaultRowHeight="14.4" x14ac:dyDescent="0.3"/>
  <sheetData>
    <row r="1" spans="1:8" ht="15" thickBot="1" x14ac:dyDescent="0.35">
      <c r="A1" s="539" t="s">
        <v>682</v>
      </c>
      <c r="B1" s="538"/>
      <c r="C1" s="537" t="s">
        <v>447</v>
      </c>
      <c r="D1" s="536" t="s">
        <v>681</v>
      </c>
      <c r="E1" s="535" t="s">
        <v>680</v>
      </c>
      <c r="F1" s="536" t="s">
        <v>679</v>
      </c>
      <c r="G1" s="536" t="s">
        <v>678</v>
      </c>
      <c r="H1" s="535" t="s">
        <v>677</v>
      </c>
    </row>
    <row r="2" spans="1:8" ht="15.6" x14ac:dyDescent="0.3">
      <c r="A2" s="534" t="s">
        <v>676</v>
      </c>
      <c r="B2" s="533"/>
      <c r="C2" s="532">
        <f>'8_2'!C20</f>
        <v>0.16666666666666674</v>
      </c>
      <c r="D2" s="531">
        <f>'8_4'!C16</f>
        <v>9.6240316227200973E-2</v>
      </c>
      <c r="E2" s="530">
        <f>'8_3'!C13</f>
        <v>0.90333396569637114</v>
      </c>
      <c r="F2" s="529">
        <f>'8_5'!C20</f>
        <v>0.25</v>
      </c>
      <c r="G2" s="528">
        <f>'8_6'!C16</f>
        <v>1.7753153274911244E-2</v>
      </c>
      <c r="H2" s="527">
        <f>'8_7'!C13</f>
        <v>0.54299343810461809</v>
      </c>
    </row>
    <row r="3" spans="1:8" ht="15.6" x14ac:dyDescent="0.3">
      <c r="A3" s="520" t="s">
        <v>675</v>
      </c>
      <c r="B3" s="519"/>
      <c r="C3" s="526">
        <v>0</v>
      </c>
      <c r="D3" s="517">
        <f>'8_4'!C17</f>
        <v>9.2062889812979873E-2</v>
      </c>
      <c r="E3" s="524">
        <f>'8_3'!C14</f>
        <v>0</v>
      </c>
      <c r="F3" s="523">
        <f>'8_5'!C21</f>
        <v>0</v>
      </c>
      <c r="G3" s="525">
        <f>'8_6'!C17</f>
        <v>0.29016289644151227</v>
      </c>
      <c r="H3" s="524">
        <f>'8_7'!C14</f>
        <v>0</v>
      </c>
    </row>
    <row r="4" spans="1:8" ht="15.6" x14ac:dyDescent="0.3">
      <c r="A4" s="520" t="s">
        <v>674</v>
      </c>
      <c r="B4" s="519"/>
      <c r="C4" s="526">
        <f>'8_2'!C22</f>
        <v>1</v>
      </c>
      <c r="D4" s="517">
        <f>'8_4'!C18</f>
        <v>0.90793711018702017</v>
      </c>
      <c r="E4" s="524">
        <f>'8_3'!C15</f>
        <v>1</v>
      </c>
      <c r="F4" s="523">
        <f>'8_5'!C22</f>
        <v>1</v>
      </c>
      <c r="G4" s="525">
        <f>'8_6'!C18</f>
        <v>0.70983710355848773</v>
      </c>
      <c r="H4" s="524">
        <f>'8_7'!C15</f>
        <v>1</v>
      </c>
    </row>
    <row r="5" spans="1:8" ht="15.6" x14ac:dyDescent="0.3">
      <c r="A5" s="520" t="s">
        <v>673</v>
      </c>
      <c r="B5" s="519"/>
      <c r="C5" s="518">
        <f>'8_2'!C30</f>
        <v>0.83333333333333326</v>
      </c>
      <c r="D5" s="523">
        <f>'8_4'!C26</f>
        <v>0.9</v>
      </c>
      <c r="E5" s="516">
        <f>'8_3'!C23</f>
        <v>9.666603430362887E-2</v>
      </c>
      <c r="F5" s="523">
        <f>'8_5'!C30</f>
        <v>0.75</v>
      </c>
      <c r="G5" s="523">
        <f>'8_6'!C26</f>
        <v>1.35</v>
      </c>
      <c r="H5" s="521">
        <f>'8_7'!C23</f>
        <v>0.45700656189538191</v>
      </c>
    </row>
    <row r="6" spans="1:8" ht="15.6" x14ac:dyDescent="0.3">
      <c r="A6" s="520" t="s">
        <v>672</v>
      </c>
      <c r="B6" s="519"/>
      <c r="C6" s="518">
        <f>'8_2'!C23</f>
        <v>0.83333333333333326</v>
      </c>
      <c r="D6" s="517">
        <f>'8_4'!C19</f>
        <v>0.81714339916831813</v>
      </c>
      <c r="E6" s="516">
        <f>'8_3'!C16</f>
        <v>9.666603430362887E-2</v>
      </c>
      <c r="F6" s="523">
        <f>'8_5'!C23</f>
        <v>0.75</v>
      </c>
      <c r="G6" s="514">
        <f>'8_6'!C19</f>
        <v>0.95828008980395851</v>
      </c>
      <c r="H6" s="521">
        <f>'8_7'!C16</f>
        <v>0.45700656189538191</v>
      </c>
    </row>
    <row r="7" spans="1:8" ht="15.6" x14ac:dyDescent="0.3">
      <c r="A7" s="520" t="s">
        <v>671</v>
      </c>
      <c r="B7" s="519"/>
      <c r="C7" s="518">
        <f>'8_2'!C25</f>
        <v>0.83333333333333326</v>
      </c>
      <c r="D7" s="517">
        <f>'8_4'!C21</f>
        <v>1.6342867983366363</v>
      </c>
      <c r="E7" s="516">
        <f>'8_3'!C18</f>
        <v>9.666603430362887E-2</v>
      </c>
      <c r="F7" s="523">
        <f>'8_5'!C25</f>
        <v>0.75</v>
      </c>
      <c r="G7" s="517">
        <f>'8_6'!C21</f>
        <v>1.916560179607917</v>
      </c>
      <c r="H7" s="521">
        <f>'8_7'!C18</f>
        <v>0.45700656189538191</v>
      </c>
    </row>
    <row r="8" spans="1:8" ht="15.6" x14ac:dyDescent="0.3">
      <c r="A8" s="520" t="s">
        <v>670</v>
      </c>
      <c r="B8" s="519"/>
      <c r="C8" s="518">
        <f>'8_2'!C24</f>
        <v>2.3148148148148135</v>
      </c>
      <c r="D8" s="517">
        <f>'8_4'!C20</f>
        <v>1.6033479811736187</v>
      </c>
      <c r="E8" s="516">
        <f>'8_3'!C17</f>
        <v>5.1721304317318062E-3</v>
      </c>
      <c r="F8" s="517">
        <f>'8_5'!C24</f>
        <v>1.40625</v>
      </c>
      <c r="G8" s="517">
        <f>'8_6'!C20</f>
        <v>3.1114184622412293</v>
      </c>
      <c r="H8" s="516">
        <f>'8_7'!C17</f>
        <v>0.1923181598146658</v>
      </c>
    </row>
    <row r="9" spans="1:8" ht="15.6" x14ac:dyDescent="0.3">
      <c r="A9" s="520" t="s">
        <v>669</v>
      </c>
      <c r="B9" s="519"/>
      <c r="C9" s="518">
        <f>'8_2'!C26</f>
        <v>3.148148148148147</v>
      </c>
      <c r="D9" s="517">
        <f>'8_4'!C22</f>
        <v>3.2376347795102549</v>
      </c>
      <c r="E9" s="516">
        <f>'8_3'!C19</f>
        <v>0.10183816473536067</v>
      </c>
      <c r="F9" s="517">
        <f>'8_5'!C26</f>
        <v>2.15625</v>
      </c>
      <c r="G9" s="517">
        <f>'8_6'!C22</f>
        <v>5.0279786418491463</v>
      </c>
      <c r="H9" s="516">
        <f>'8_7'!C19</f>
        <v>0.64932472171004774</v>
      </c>
    </row>
    <row r="10" spans="1:8" ht="15.6" x14ac:dyDescent="0.3">
      <c r="A10" s="520" t="s">
        <v>668</v>
      </c>
      <c r="B10" s="519"/>
      <c r="C10" s="518">
        <f>'8_2'!C29</f>
        <v>0.16666666666666666</v>
      </c>
      <c r="D10" s="517">
        <f>'8_4'!C25</f>
        <v>0.136190566528053</v>
      </c>
      <c r="E10" s="516">
        <f>'8_3'!C22</f>
        <v>1.3809433471946981E-2</v>
      </c>
      <c r="F10" s="522">
        <f>'8_5'!C29</f>
        <v>0.25</v>
      </c>
      <c r="G10" s="522">
        <f>'8_6'!C25</f>
        <v>0.15971334830065975</v>
      </c>
      <c r="H10" s="521">
        <f>'8_7'!C22</f>
        <v>6.5286651699340267E-2</v>
      </c>
    </row>
    <row r="11" spans="1:8" ht="15.6" x14ac:dyDescent="0.3">
      <c r="A11" s="520" t="s">
        <v>667</v>
      </c>
      <c r="B11" s="519"/>
      <c r="C11" s="518">
        <f>'8_2'!C27</f>
        <v>13.888888888888882</v>
      </c>
      <c r="D11" s="517">
        <f>'8_4'!C23</f>
        <v>11.772827017672736</v>
      </c>
      <c r="E11" s="516">
        <f>'8_3'!C20</f>
        <v>0.37453603308482369</v>
      </c>
      <c r="F11" s="515">
        <f>'8_5'!C27</f>
        <v>5.625</v>
      </c>
      <c r="G11" s="514">
        <f>'8_6'!C23</f>
        <v>19.481267504228864</v>
      </c>
      <c r="H11" s="513">
        <f>'8_7'!C20</f>
        <v>2.9457500853364977</v>
      </c>
    </row>
    <row r="12" spans="1:8" ht="15.6" x14ac:dyDescent="0.3">
      <c r="A12" s="520" t="s">
        <v>666</v>
      </c>
      <c r="B12" s="519"/>
      <c r="C12" s="518">
        <f>'8_2'!C28</f>
        <v>18.888888888888882</v>
      </c>
      <c r="D12" s="517">
        <f>'8_4'!C24</f>
        <v>23.772827017672736</v>
      </c>
      <c r="E12" s="516">
        <f>'8_3'!C21</f>
        <v>7.3745360330848237</v>
      </c>
      <c r="F12" s="515">
        <f>'8_5'!C28</f>
        <v>8.625</v>
      </c>
      <c r="G12" s="514">
        <f>'8_6'!C24</f>
        <v>31.481267504228864</v>
      </c>
      <c r="H12" s="513">
        <f>'8_7'!C21</f>
        <v>9.9457500853364973</v>
      </c>
    </row>
    <row r="13" spans="1:8" ht="48" customHeight="1" thickBot="1" x14ac:dyDescent="0.35">
      <c r="A13" s="512" t="s">
        <v>665</v>
      </c>
      <c r="B13" s="511"/>
      <c r="C13" s="510">
        <f>'8_4'!C27</f>
        <v>0.26947288543616277</v>
      </c>
      <c r="D13" s="509"/>
      <c r="E13" s="508"/>
      <c r="F13" s="507">
        <f>'8_6'!C27</f>
        <v>6.568666711717161E-2</v>
      </c>
      <c r="G13" s="506"/>
      <c r="H13" s="505"/>
    </row>
    <row r="14" spans="1:8" ht="16.2" thickBot="1" x14ac:dyDescent="0.35">
      <c r="A14" s="504" t="s">
        <v>664</v>
      </c>
      <c r="B14" s="503"/>
      <c r="C14" s="502">
        <f>'8_10'!E22</f>
        <v>547.65705613306909</v>
      </c>
      <c r="D14" s="501"/>
      <c r="E14" s="500"/>
      <c r="F14" s="499">
        <f>'8_8'!E22</f>
        <v>1008.2751856313666</v>
      </c>
      <c r="G14" s="498"/>
      <c r="H14" s="497"/>
    </row>
  </sheetData>
  <mergeCells count="17">
    <mergeCell ref="A2:B2"/>
    <mergeCell ref="A3:B3"/>
    <mergeCell ref="A4:B4"/>
    <mergeCell ref="A5:B5"/>
    <mergeCell ref="A6:B6"/>
    <mergeCell ref="A8:B8"/>
    <mergeCell ref="A9:B9"/>
    <mergeCell ref="A10:B10"/>
    <mergeCell ref="A11:B11"/>
    <mergeCell ref="A12:B12"/>
    <mergeCell ref="A7:B7"/>
    <mergeCell ref="C13:E13"/>
    <mergeCell ref="F13:H13"/>
    <mergeCell ref="A14:B14"/>
    <mergeCell ref="C14:E14"/>
    <mergeCell ref="F14:H14"/>
    <mergeCell ref="A13:B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9C87-0610-4069-AAF1-863219FF7CA1}">
  <dimension ref="A1:J22"/>
  <sheetViews>
    <sheetView tabSelected="1" zoomScale="107" workbookViewId="0">
      <selection activeCell="L14" sqref="L14"/>
    </sheetView>
  </sheetViews>
  <sheetFormatPr defaultColWidth="8.77734375" defaultRowHeight="14.4" x14ac:dyDescent="0.3"/>
  <sheetData>
    <row r="1" spans="1:10" x14ac:dyDescent="0.3">
      <c r="A1" t="s">
        <v>663</v>
      </c>
    </row>
    <row r="3" spans="1:10" x14ac:dyDescent="0.3">
      <c r="A3" s="544" t="s">
        <v>662</v>
      </c>
      <c r="B3" s="544"/>
      <c r="C3" s="544"/>
      <c r="D3" s="544"/>
      <c r="E3" s="546"/>
      <c r="F3" s="546"/>
      <c r="G3" s="546"/>
      <c r="H3" s="546"/>
      <c r="I3" s="546"/>
      <c r="J3" s="546"/>
    </row>
    <row r="4" spans="1:10" x14ac:dyDescent="0.3">
      <c r="A4" s="542" t="s">
        <v>661</v>
      </c>
      <c r="B4" s="545"/>
      <c r="C4" s="545"/>
      <c r="D4" s="545"/>
      <c r="E4" s="492">
        <f>B15*B16*480+C15*C16*480+D15*D16*480</f>
        <v>1984</v>
      </c>
      <c r="F4" s="541"/>
      <c r="G4" s="541"/>
      <c r="H4" s="541"/>
      <c r="I4" s="541"/>
      <c r="J4" s="540"/>
    </row>
    <row r="5" spans="1:10" x14ac:dyDescent="0.3">
      <c r="A5" s="544" t="s">
        <v>660</v>
      </c>
      <c r="B5" s="544"/>
      <c r="C5" s="544"/>
      <c r="D5" s="544"/>
      <c r="E5" s="543"/>
      <c r="F5" s="543"/>
      <c r="G5" s="543"/>
      <c r="H5" s="543"/>
      <c r="I5" s="543"/>
      <c r="J5" s="543"/>
    </row>
    <row r="6" spans="1:10" x14ac:dyDescent="0.3">
      <c r="A6" s="542" t="s">
        <v>659</v>
      </c>
      <c r="B6" s="180"/>
      <c r="C6" s="180"/>
      <c r="D6" s="180"/>
      <c r="E6" s="492">
        <f>B15*B17*480+C15*C17*480+D15*D17*480</f>
        <v>736</v>
      </c>
      <c r="F6" s="541"/>
      <c r="G6" s="541"/>
      <c r="H6" s="541"/>
      <c r="I6" s="541"/>
      <c r="J6" s="540"/>
    </row>
    <row r="7" spans="1:10" x14ac:dyDescent="0.3">
      <c r="A7" s="544" t="s">
        <v>658</v>
      </c>
      <c r="B7" s="544"/>
      <c r="C7" s="544"/>
      <c r="D7" s="544"/>
      <c r="E7" s="543"/>
      <c r="F7" s="543"/>
      <c r="G7" s="543"/>
      <c r="H7" s="543"/>
      <c r="I7" s="543"/>
      <c r="J7" s="543"/>
    </row>
    <row r="8" spans="1:10" x14ac:dyDescent="0.3">
      <c r="A8" s="542" t="s">
        <v>657</v>
      </c>
      <c r="B8" s="180"/>
      <c r="C8" s="180"/>
      <c r="D8" s="180"/>
      <c r="E8" s="492">
        <f>(B19*B11+(B20-B19)*B12)*B18+(C19*C11+(C20-C19)*C12)*B18+(D19*D11+(D20-D19)*D12)*B18</f>
        <v>700.34294386693091</v>
      </c>
      <c r="F8" s="541"/>
      <c r="G8" s="541"/>
      <c r="H8" s="541"/>
      <c r="I8" s="541"/>
      <c r="J8" s="540"/>
    </row>
    <row r="10" spans="1:10" x14ac:dyDescent="0.3">
      <c r="A10" s="6"/>
      <c r="B10" s="6" t="s">
        <v>445</v>
      </c>
      <c r="C10" s="6" t="s">
        <v>575</v>
      </c>
      <c r="D10" s="6" t="s">
        <v>574</v>
      </c>
      <c r="E10" s="454"/>
      <c r="F10" s="454"/>
      <c r="G10" s="454"/>
      <c r="H10" s="454"/>
    </row>
    <row r="11" spans="1:10" x14ac:dyDescent="0.3">
      <c r="A11" s="6" t="s">
        <v>573</v>
      </c>
      <c r="B11" s="7">
        <v>0.3</v>
      </c>
      <c r="C11" s="7">
        <v>0.6</v>
      </c>
      <c r="D11" s="7">
        <v>0.5</v>
      </c>
      <c r="E11" s="454"/>
      <c r="F11" s="454"/>
      <c r="G11" s="454"/>
      <c r="H11" s="454"/>
    </row>
    <row r="12" spans="1:10" x14ac:dyDescent="0.3">
      <c r="A12" s="6" t="s">
        <v>572</v>
      </c>
      <c r="B12" s="7">
        <v>0.1</v>
      </c>
      <c r="C12" s="7">
        <v>0.2</v>
      </c>
      <c r="D12" s="7">
        <v>0.1</v>
      </c>
      <c r="E12" s="454"/>
      <c r="F12" s="454"/>
      <c r="G12" s="454"/>
      <c r="H12" s="454"/>
    </row>
    <row r="13" spans="1:10" x14ac:dyDescent="0.3">
      <c r="A13" s="109" t="s">
        <v>571</v>
      </c>
      <c r="B13" s="109"/>
      <c r="C13" s="109"/>
      <c r="D13" s="109"/>
      <c r="E13" s="109"/>
      <c r="F13" s="109"/>
      <c r="G13" s="109"/>
      <c r="H13" s="109"/>
    </row>
    <row r="14" spans="1:10" x14ac:dyDescent="0.3">
      <c r="A14" s="109"/>
      <c r="B14" s="109"/>
      <c r="C14" s="109"/>
      <c r="D14" s="109"/>
      <c r="E14" s="109"/>
      <c r="F14" s="109"/>
      <c r="G14" s="109"/>
      <c r="H14" s="109"/>
    </row>
    <row r="15" spans="1:10" x14ac:dyDescent="0.3">
      <c r="A15" s="136" t="s">
        <v>656</v>
      </c>
      <c r="B15" s="135">
        <f>'8_2'!C29</f>
        <v>0.16666666666666666</v>
      </c>
      <c r="C15" s="135">
        <f>'8_4'!C25</f>
        <v>0.136190566528053</v>
      </c>
      <c r="D15" s="135">
        <f>'8_3'!C22</f>
        <v>1.3809433471946981E-2</v>
      </c>
    </row>
    <row r="16" spans="1:10" x14ac:dyDescent="0.3">
      <c r="A16" s="6" t="s">
        <v>655</v>
      </c>
      <c r="B16" s="135">
        <v>5</v>
      </c>
      <c r="C16" s="135">
        <v>22</v>
      </c>
      <c r="D16" s="135">
        <v>22</v>
      </c>
    </row>
    <row r="17" spans="1:5" x14ac:dyDescent="0.3">
      <c r="A17" s="6" t="s">
        <v>654</v>
      </c>
      <c r="B17" s="135">
        <v>2</v>
      </c>
      <c r="C17" s="135">
        <v>8</v>
      </c>
      <c r="D17" s="135">
        <v>8</v>
      </c>
    </row>
    <row r="18" spans="1:5" x14ac:dyDescent="0.3">
      <c r="A18" s="136" t="s">
        <v>653</v>
      </c>
      <c r="B18" s="135">
        <v>480</v>
      </c>
      <c r="C18" s="135"/>
      <c r="D18" s="135"/>
    </row>
    <row r="19" spans="1:5" x14ac:dyDescent="0.3">
      <c r="A19" s="136" t="s">
        <v>652</v>
      </c>
      <c r="B19" s="135">
        <f>'8_2'!C25</f>
        <v>0.83333333333333326</v>
      </c>
      <c r="C19" s="135">
        <f>'8_4'!C21</f>
        <v>1.6342867983366363</v>
      </c>
      <c r="D19" s="135">
        <f>'8_3'!C18</f>
        <v>9.666603430362887E-2</v>
      </c>
    </row>
    <row r="20" spans="1:5" x14ac:dyDescent="0.3">
      <c r="A20" s="136" t="s">
        <v>651</v>
      </c>
      <c r="B20" s="135">
        <v>1</v>
      </c>
      <c r="C20" s="135">
        <v>2</v>
      </c>
      <c r="D20" s="135">
        <v>1</v>
      </c>
    </row>
    <row r="22" spans="1:5" x14ac:dyDescent="0.3">
      <c r="A22" s="117" t="s">
        <v>650</v>
      </c>
      <c r="B22" s="117"/>
      <c r="C22" s="133" t="s">
        <v>649</v>
      </c>
      <c r="D22" s="133"/>
      <c r="E22" s="135">
        <f>E4-E6-E8</f>
        <v>547.65705613306909</v>
      </c>
    </row>
  </sheetData>
  <mergeCells count="9">
    <mergeCell ref="A22:B22"/>
    <mergeCell ref="C22:D22"/>
    <mergeCell ref="A5:J5"/>
    <mergeCell ref="A3:J3"/>
    <mergeCell ref="A13:H14"/>
    <mergeCell ref="A4:D4"/>
    <mergeCell ref="A6:D6"/>
    <mergeCell ref="A8:D8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1</vt:lpstr>
      <vt:lpstr>2</vt:lpstr>
      <vt:lpstr>3</vt:lpstr>
      <vt:lpstr>4</vt:lpstr>
      <vt:lpstr>5</vt:lpstr>
      <vt:lpstr>6</vt:lpstr>
      <vt:lpstr>7</vt:lpstr>
      <vt:lpstr>8_1</vt:lpstr>
      <vt:lpstr>8_2</vt:lpstr>
      <vt:lpstr>8_3</vt:lpstr>
      <vt:lpstr>8_4</vt:lpstr>
      <vt:lpstr>8_5</vt:lpstr>
      <vt:lpstr>8_6</vt:lpstr>
      <vt:lpstr>8_7</vt:lpstr>
      <vt:lpstr>8_8</vt:lpstr>
      <vt:lpstr>8_9</vt:lpstr>
      <vt:lpstr>8_10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.</dc:creator>
  <cp:lastModifiedBy>Polina .</cp:lastModifiedBy>
  <dcterms:created xsi:type="dcterms:W3CDTF">2025-09-08T18:25:31Z</dcterms:created>
  <dcterms:modified xsi:type="dcterms:W3CDTF">2026-03-16T07:28:22Z</dcterms:modified>
</cp:coreProperties>
</file>