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수\Desktop\아주대학교\건축공학졸업설계및실습\설계\"/>
    </mc:Choice>
  </mc:AlternateContent>
  <xr:revisionPtr revIDLastSave="0" documentId="13_ncr:1_{9AB1E1CB-F3ED-41EE-ACE0-05341DD4DAC1}" xr6:coauthVersionLast="34" xr6:coauthVersionMax="34" xr10:uidLastSave="{00000000-0000-0000-0000-000000000000}"/>
  <bookViews>
    <workbookView xWindow="0" yWindow="0" windowWidth="19200" windowHeight="6880" xr2:uid="{5C4E0FA3-57F5-4E7A-A26A-182915D3BE1D}"/>
  </bookViews>
  <sheets>
    <sheet name="Sheet1" sheetId="1" r:id="rId1"/>
    <sheet name="점수화_01" sheetId="2" r:id="rId2"/>
    <sheet name="점수화_02" sheetId="3" r:id="rId3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4" i="1" l="1"/>
  <c r="C9" i="1"/>
  <c r="G11" i="1"/>
  <c r="K11" i="1"/>
  <c r="C11" i="1"/>
  <c r="C43" i="1" l="1"/>
  <c r="C27" i="1"/>
  <c r="C26" i="1" l="1"/>
  <c r="C25" i="1" l="1"/>
  <c r="T21" i="1"/>
  <c r="T22" i="1"/>
  <c r="T23" i="1"/>
  <c r="T24" i="1"/>
  <c r="T25" i="1"/>
  <c r="T26" i="1"/>
  <c r="T27" i="1"/>
  <c r="T28" i="1"/>
  <c r="T20" i="1"/>
  <c r="C21" i="1"/>
  <c r="R32" i="1"/>
  <c r="C22" i="1" s="1"/>
  <c r="R33" i="1"/>
  <c r="K9" i="1" l="1"/>
  <c r="G9" i="1"/>
  <c r="R15" i="1" l="1"/>
  <c r="R13" i="1"/>
  <c r="D43" i="1"/>
  <c r="C42" i="1" s="1"/>
  <c r="E42" i="1" s="1"/>
  <c r="D42" i="1"/>
  <c r="E44" i="1"/>
  <c r="C41" i="1"/>
  <c r="E41" i="1" s="1"/>
  <c r="U39" i="1"/>
  <c r="U46" i="1"/>
  <c r="U47" i="1"/>
  <c r="U48" i="1"/>
  <c r="U49" i="1"/>
  <c r="U50" i="1"/>
  <c r="U51" i="1"/>
  <c r="U52" i="1"/>
  <c r="U53" i="1"/>
  <c r="U45" i="1"/>
  <c r="R46" i="1"/>
  <c r="R47" i="1"/>
  <c r="R48" i="1"/>
  <c r="R51" i="1" s="1"/>
  <c r="R49" i="1"/>
  <c r="R50" i="1"/>
  <c r="R45" i="1"/>
  <c r="R37" i="1"/>
  <c r="R38" i="1"/>
  <c r="R39" i="1"/>
  <c r="R36" i="1"/>
  <c r="U37" i="1"/>
  <c r="U38" i="1"/>
  <c r="U36" i="1"/>
  <c r="E45" i="1"/>
  <c r="E40" i="1"/>
  <c r="E39" i="1"/>
  <c r="E37" i="1"/>
  <c r="U54" i="1" l="1"/>
  <c r="M55" i="1" s="1"/>
  <c r="R40" i="1"/>
  <c r="M52" i="1"/>
  <c r="M53" i="1"/>
  <c r="E43" i="1"/>
  <c r="K5" i="1"/>
  <c r="G5" i="1"/>
  <c r="S14" i="1"/>
  <c r="C6" i="1"/>
  <c r="G6" i="1"/>
  <c r="K6" i="1"/>
  <c r="T5" i="1"/>
  <c r="T6" i="1"/>
  <c r="T7" i="1"/>
  <c r="T8" i="1"/>
  <c r="T9" i="1"/>
  <c r="T10" i="1"/>
  <c r="T11" i="1"/>
  <c r="T4" i="1"/>
  <c r="M54" i="1" l="1"/>
  <c r="C38" i="1"/>
  <c r="M8" i="1"/>
  <c r="E8" i="1"/>
  <c r="I8" i="1"/>
  <c r="E24" i="1"/>
  <c r="E27" i="1"/>
  <c r="M11" i="1"/>
  <c r="I11" i="1"/>
  <c r="E28" i="1"/>
  <c r="E23" i="1"/>
  <c r="E25" i="1"/>
  <c r="E29" i="1"/>
  <c r="E21" i="1"/>
  <c r="M6" i="1"/>
  <c r="M7" i="1"/>
  <c r="M9" i="1"/>
  <c r="M12" i="1"/>
  <c r="M13" i="1"/>
  <c r="M5" i="1"/>
  <c r="I6" i="1"/>
  <c r="I7" i="1"/>
  <c r="I9" i="1"/>
  <c r="I12" i="1"/>
  <c r="I13" i="1"/>
  <c r="I5" i="1"/>
  <c r="E6" i="1"/>
  <c r="E7" i="1"/>
  <c r="E9" i="1"/>
  <c r="E10" i="1"/>
  <c r="E11" i="1"/>
  <c r="E12" i="1"/>
  <c r="E13" i="1"/>
  <c r="E5" i="1"/>
  <c r="D10" i="1"/>
  <c r="E26" i="1"/>
  <c r="E22" i="1"/>
  <c r="G10" i="1"/>
  <c r="I10" i="1" s="1"/>
  <c r="K10" i="1"/>
  <c r="M10" i="1" s="1"/>
  <c r="E38" i="1" l="1"/>
  <c r="E48" i="1" s="1"/>
  <c r="C48" i="1"/>
  <c r="G16" i="1"/>
  <c r="K16" i="1"/>
  <c r="E16" i="1"/>
  <c r="E32" i="1"/>
  <c r="C32" i="1"/>
  <c r="I16" i="1"/>
  <c r="C16" i="1"/>
  <c r="M16" i="1"/>
</calcChain>
</file>

<file path=xl/sharedStrings.xml><?xml version="1.0" encoding="utf-8"?>
<sst xmlns="http://schemas.openxmlformats.org/spreadsheetml/2006/main" count="102" uniqueCount="46">
  <si>
    <t>벽체제거량</t>
    <phoneticPr fontId="3" type="noConversion"/>
  </si>
  <si>
    <t>내력벽추갸량</t>
    <phoneticPr fontId="3" type="noConversion"/>
  </si>
  <si>
    <t>shearwall 제거여부</t>
    <phoneticPr fontId="3" type="noConversion"/>
  </si>
  <si>
    <t>보강</t>
    <phoneticPr fontId="3" type="noConversion"/>
  </si>
  <si>
    <t>연속제거율</t>
    <phoneticPr fontId="3" type="noConversion"/>
  </si>
  <si>
    <t>두께</t>
    <phoneticPr fontId="3" type="noConversion"/>
  </si>
  <si>
    <t>장.단축의 비</t>
    <phoneticPr fontId="3" type="noConversion"/>
  </si>
  <si>
    <t>강,약축제거</t>
    <phoneticPr fontId="3" type="noConversion"/>
  </si>
  <si>
    <t>세대간 내력벽제거</t>
    <phoneticPr fontId="3" type="noConversion"/>
  </si>
  <si>
    <t>총합</t>
    <phoneticPr fontId="3" type="noConversion"/>
  </si>
  <si>
    <t>가중치</t>
    <phoneticPr fontId="3" type="noConversion"/>
  </si>
  <si>
    <t>try_정상</t>
    <phoneticPr fontId="3" type="noConversion"/>
  </si>
  <si>
    <t>try_중간비정상</t>
    <phoneticPr fontId="3" type="noConversion"/>
  </si>
  <si>
    <t>대치 우성 2차</t>
    <phoneticPr fontId="3" type="noConversion"/>
  </si>
  <si>
    <t>분당 무지개마을 4단지</t>
    <phoneticPr fontId="3" type="noConversion"/>
  </si>
  <si>
    <t>weighting Factor</t>
    <phoneticPr fontId="3" type="noConversion"/>
  </si>
  <si>
    <t>try_비정상</t>
    <phoneticPr fontId="3" type="noConversion"/>
  </si>
  <si>
    <t>벽체제거율</t>
    <phoneticPr fontId="3" type="noConversion"/>
  </si>
  <si>
    <t>내력벽추가율</t>
    <phoneticPr fontId="3" type="noConversion"/>
  </si>
  <si>
    <t>제거된벽체길이</t>
    <phoneticPr fontId="3" type="noConversion"/>
  </si>
  <si>
    <t>약</t>
    <phoneticPr fontId="3" type="noConversion"/>
  </si>
  <si>
    <t>강</t>
    <phoneticPr fontId="3" type="noConversion"/>
  </si>
  <si>
    <t>단축</t>
    <phoneticPr fontId="3" type="noConversion"/>
  </si>
  <si>
    <t>제거</t>
    <phoneticPr fontId="3" type="noConversion"/>
  </si>
  <si>
    <t>남은벽(길이)</t>
    <phoneticPr fontId="3" type="noConversion"/>
  </si>
  <si>
    <t>약</t>
    <phoneticPr fontId="3" type="noConversion"/>
  </si>
  <si>
    <t>강</t>
    <phoneticPr fontId="3" type="noConversion"/>
  </si>
  <si>
    <t>신설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</si>
  <si>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</si>
  <si>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</si>
  <si>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</si>
  <si>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add_wall</t>
    <phoneticPr fontId="3" type="noConversion"/>
  </si>
  <si>
    <t>합\</t>
    <phoneticPr fontId="3" type="noConversion"/>
  </si>
  <si>
    <t>합</t>
    <phoneticPr fontId="3" type="noConversion"/>
  </si>
  <si>
    <t>A-B</t>
    <phoneticPr fontId="3" type="noConversion"/>
  </si>
  <si>
    <r>
      <t>분당 한솔마을 5단지(84.5</t>
    </r>
    <r>
      <rPr>
        <b/>
        <sz val="11"/>
        <color theme="3"/>
        <rFont val="맑은 고딕"/>
        <family val="3"/>
        <charset val="129"/>
      </rPr>
      <t>m²</t>
    </r>
    <r>
      <rPr>
        <b/>
        <sz val="11"/>
        <color theme="3"/>
        <rFont val="맑은 고딕"/>
        <family val="2"/>
        <charset val="129"/>
        <scheme val="minor"/>
      </rPr>
      <t>)</t>
    </r>
    <phoneticPr fontId="3" type="noConversion"/>
  </si>
  <si>
    <t>11.3을 3.02으로 제거한다고 가정</t>
    <phoneticPr fontId="3" type="noConversion"/>
  </si>
  <si>
    <t>무지개마을</t>
    <phoneticPr fontId="3" type="noConversion"/>
  </si>
  <si>
    <t>한솔마을</t>
    <phoneticPr fontId="3" type="noConversion"/>
  </si>
  <si>
    <t>shear-z</t>
    <phoneticPr fontId="3" type="noConversion"/>
  </si>
  <si>
    <t>점수</t>
    <phoneticPr fontId="3" type="noConversion"/>
  </si>
  <si>
    <t>TRY 01</t>
    <phoneticPr fontId="3" type="noConversion"/>
  </si>
  <si>
    <t>TRY 02</t>
    <phoneticPr fontId="3" type="noConversion"/>
  </si>
  <si>
    <t>TRY 03</t>
    <phoneticPr fontId="3" type="noConversion"/>
  </si>
  <si>
    <t>약</t>
    <phoneticPr fontId="3" type="noConversion"/>
  </si>
  <si>
    <t>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</si>
</sst>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2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</cellXfs>
  <cellStyles count="3">
    <cellStyle name="나쁨" xfId="2" builtinId="27"/>
    <cellStyle name="제목 3" xfId="1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98161165700181"/>
          <c:y val="0.1213425925925926"/>
          <c:w val="0.75510660431644272"/>
          <c:h val="0.70330963837853611"/>
        </c:manualLayout>
      </c:layout>
      <c:lineChart>
        <c:grouping val="standard"/>
        <c:varyColors val="0"/>
        <c:ser>
          <c:idx val="0"/>
          <c:order val="0"/>
          <c:tx>
            <c:strRef>
              <c:f>점수화_01!$A$2</c:f>
              <c:strCache>
                <c:ptCount val="1"/>
                <c:pt idx="0">
                  <c:v>점수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272727272727306E-2"/>
                  <c:y val="-9.1185410334346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E6-48AC-BB0B-06FBF6C4CBD0}"/>
                </c:ext>
              </c:extLst>
            </c:dLbl>
            <c:dLbl>
              <c:idx val="1"/>
              <c:layout>
                <c:manualLayout>
                  <c:x val="-1.8129652780526501E-2"/>
                  <c:y val="-0.13420238632858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E6-48AC-BB0B-06FBF6C4CBD0}"/>
                </c:ext>
              </c:extLst>
            </c:dLbl>
            <c:dLbl>
              <c:idx val="2"/>
              <c:layout>
                <c:manualLayout>
                  <c:x val="-3.4555908669577154E-2"/>
                  <c:y val="-6.0828953466996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E6-48AC-BB0B-06FBF6C4C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점수화_01!$B$1:$D$1</c:f>
              <c:strCache>
                <c:ptCount val="3"/>
                <c:pt idx="0">
                  <c:v>대치 우성 2차</c:v>
                </c:pt>
                <c:pt idx="1">
                  <c:v>무지개마을</c:v>
                </c:pt>
                <c:pt idx="2">
                  <c:v>한솔마을</c:v>
                </c:pt>
              </c:strCache>
            </c:strRef>
          </c:cat>
          <c:val>
            <c:numRef>
              <c:f>점수화_01!$B$2:$D$2</c:f>
              <c:numCache>
                <c:formatCode>General</c:formatCode>
                <c:ptCount val="3"/>
                <c:pt idx="0">
                  <c:v>-0.5</c:v>
                </c:pt>
                <c:pt idx="1">
                  <c:v>-2</c:v>
                </c:pt>
                <c:pt idx="2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6-48AC-BB0B-06FBF6C4CB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6731664"/>
        <c:axId val="556729368"/>
      </c:lineChart>
      <c:lineChart>
        <c:grouping val="standard"/>
        <c:varyColors val="0"/>
        <c:ser>
          <c:idx val="1"/>
          <c:order val="1"/>
          <c:tx>
            <c:strRef>
              <c:f>점수화_01!$A$3</c:f>
              <c:strCache>
                <c:ptCount val="1"/>
                <c:pt idx="0">
                  <c:v>shear-z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272727272727306E-2"/>
                  <c:y val="0.109422492401215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76-44BB-87C0-D2D55CFB405F}"/>
                </c:ext>
              </c:extLst>
            </c:dLbl>
            <c:dLbl>
              <c:idx val="1"/>
              <c:layout>
                <c:manualLayout>
                  <c:x val="-3.090909090909091E-2"/>
                  <c:y val="0.12462006079027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E6-48AC-BB0B-06FBF6C4CBD0}"/>
                </c:ext>
              </c:extLst>
            </c:dLbl>
            <c:dLbl>
              <c:idx val="2"/>
              <c:layout>
                <c:manualLayout>
                  <c:x val="-3.090909090909091E-2"/>
                  <c:y val="7.598784194528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E6-48AC-BB0B-06FBF6C4C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점수화_01!$B$1:$D$1</c:f>
              <c:strCache>
                <c:ptCount val="3"/>
                <c:pt idx="0">
                  <c:v>대치 우성 2차</c:v>
                </c:pt>
                <c:pt idx="1">
                  <c:v>무지개마을</c:v>
                </c:pt>
                <c:pt idx="2">
                  <c:v>한솔마을</c:v>
                </c:pt>
              </c:strCache>
            </c:strRef>
          </c:cat>
          <c:val>
            <c:numRef>
              <c:f>점수화_01!$B$3:$D$3</c:f>
              <c:numCache>
                <c:formatCode>General</c:formatCode>
                <c:ptCount val="3"/>
                <c:pt idx="0">
                  <c:v>110</c:v>
                </c:pt>
                <c:pt idx="1">
                  <c:v>104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6-48AC-BB0B-06FBF6C4CB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5598392"/>
        <c:axId val="565598064"/>
      </c:lineChart>
      <c:valAx>
        <c:axId val="556729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731664"/>
        <c:crosses val="max"/>
        <c:crossBetween val="between"/>
      </c:valAx>
      <c:catAx>
        <c:axId val="5567316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56729368"/>
        <c:crosses val="autoZero"/>
        <c:auto val="1"/>
        <c:lblAlgn val="ctr"/>
        <c:lblOffset val="100"/>
        <c:noMultiLvlLbl val="0"/>
      </c:catAx>
      <c:valAx>
        <c:axId val="565598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598392"/>
        <c:crosses val="autoZero"/>
        <c:crossBetween val="between"/>
      </c:valAx>
      <c:catAx>
        <c:axId val="565598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59806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84995625546799"/>
          <c:y val="0.91724482356372106"/>
          <c:w val="0.2485734626400371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98161165700181"/>
          <c:y val="0.1213425925925926"/>
          <c:w val="0.75510660431644272"/>
          <c:h val="0.70330963837853611"/>
        </c:manualLayout>
      </c:layout>
      <c:lineChart>
        <c:grouping val="standard"/>
        <c:varyColors val="0"/>
        <c:ser>
          <c:idx val="0"/>
          <c:order val="0"/>
          <c:tx>
            <c:strRef>
              <c:f>점수화_02!$A$2</c:f>
              <c:strCache>
                <c:ptCount val="1"/>
                <c:pt idx="0">
                  <c:v>점수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358650133613872E-2"/>
                  <c:y val="-1.5468226128667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19-4BFC-A81B-73DCB7A59284}"/>
                </c:ext>
              </c:extLst>
            </c:dLbl>
            <c:dLbl>
              <c:idx val="1"/>
              <c:layout>
                <c:manualLayout>
                  <c:x val="-1.2651690452987216E-2"/>
                  <c:y val="-2.819847464049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19-4BFC-A81B-73DCB7A59284}"/>
                </c:ext>
              </c:extLst>
            </c:dLbl>
            <c:dLbl>
              <c:idx val="2"/>
              <c:layout>
                <c:manualLayout>
                  <c:x val="-3.5139590730164463E-3"/>
                  <c:y val="-6.31253963223196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19-4BFC-A81B-73DCB7A592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점수화_02!$B$1:$D$1</c:f>
              <c:strCache>
                <c:ptCount val="3"/>
                <c:pt idx="0">
                  <c:v>TRY 01</c:v>
                </c:pt>
                <c:pt idx="1">
                  <c:v>TRY 02</c:v>
                </c:pt>
                <c:pt idx="2">
                  <c:v>TRY 03</c:v>
                </c:pt>
              </c:strCache>
            </c:strRef>
          </c:cat>
          <c:val>
            <c:numRef>
              <c:f>점수화_02!$B$2:$D$2</c:f>
              <c:numCache>
                <c:formatCode>General</c:formatCode>
                <c:ptCount val="3"/>
                <c:pt idx="0">
                  <c:v>-0.5</c:v>
                </c:pt>
                <c:pt idx="1">
                  <c:v>-2</c:v>
                </c:pt>
                <c:pt idx="2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9-4BFC-A81B-73DCB7A592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6731664"/>
        <c:axId val="556729368"/>
      </c:lineChart>
      <c:lineChart>
        <c:grouping val="standard"/>
        <c:varyColors val="0"/>
        <c:ser>
          <c:idx val="1"/>
          <c:order val="1"/>
          <c:tx>
            <c:strRef>
              <c:f>점수화_02!$A$3</c:f>
              <c:strCache>
                <c:ptCount val="1"/>
                <c:pt idx="0">
                  <c:v>shear-z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5532656670958023E-2"/>
                  <c:y val="-2.63877034494323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19-4BFC-A81B-73DCB7A59284}"/>
                </c:ext>
              </c:extLst>
            </c:dLbl>
            <c:dLbl>
              <c:idx val="1"/>
              <c:layout>
                <c:manualLayout>
                  <c:x val="-1.0823108968100901E-2"/>
                  <c:y val="-1.1670686230531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19-4BFC-A81B-73DCB7A59284}"/>
                </c:ext>
              </c:extLst>
            </c:dLbl>
            <c:dLbl>
              <c:idx val="2"/>
              <c:layout>
                <c:manualLayout>
                  <c:x val="-5.3451285801333634E-3"/>
                  <c:y val="-5.7866933953951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19-4BFC-A81B-73DCB7A592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점수화_02!$B$1:$D$1</c:f>
              <c:strCache>
                <c:ptCount val="3"/>
                <c:pt idx="0">
                  <c:v>TRY 01</c:v>
                </c:pt>
                <c:pt idx="1">
                  <c:v>TRY 02</c:v>
                </c:pt>
                <c:pt idx="2">
                  <c:v>TRY 03</c:v>
                </c:pt>
              </c:strCache>
            </c:strRef>
          </c:cat>
          <c:val>
            <c:numRef>
              <c:f>점수화_02!$B$3:$D$3</c:f>
              <c:numCache>
                <c:formatCode>General</c:formatCode>
                <c:ptCount val="3"/>
                <c:pt idx="0">
                  <c:v>110</c:v>
                </c:pt>
                <c:pt idx="1">
                  <c:v>65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19-4BFC-A81B-73DCB7A592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5598392"/>
        <c:axId val="565598064"/>
      </c:lineChart>
      <c:valAx>
        <c:axId val="556729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alpha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-윤고딕310" panose="02030504000101010101" pitchFamily="18" charset="-127"/>
                <a:ea typeface="-윤고딕310" panose="02030504000101010101" pitchFamily="18" charset="-127"/>
                <a:cs typeface="+mn-cs"/>
              </a:defRPr>
            </a:pPr>
            <a:endParaRPr lang="ko-KR"/>
          </a:p>
        </c:txPr>
        <c:crossAx val="556731664"/>
        <c:crosses val="max"/>
        <c:crossBetween val="between"/>
      </c:valAx>
      <c:catAx>
        <c:axId val="5567316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56729368"/>
        <c:crosses val="autoZero"/>
        <c:auto val="1"/>
        <c:lblAlgn val="ctr"/>
        <c:lblOffset val="100"/>
        <c:noMultiLvlLbl val="0"/>
      </c:catAx>
      <c:valAx>
        <c:axId val="565598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alpha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-윤고딕310" panose="02030504000101010101" pitchFamily="18" charset="-127"/>
                <a:ea typeface="-윤고딕310" panose="02030504000101010101" pitchFamily="18" charset="-127"/>
                <a:cs typeface="+mn-cs"/>
              </a:defRPr>
            </a:pPr>
            <a:endParaRPr lang="ko-KR"/>
          </a:p>
        </c:txPr>
        <c:crossAx val="565598392"/>
        <c:crosses val="autoZero"/>
        <c:crossBetween val="between"/>
      </c:valAx>
      <c:catAx>
        <c:axId val="565598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solidFill>
                    <a:schemeClr val="tx1">
                      <a:alpha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-윤고딕330" panose="02030504000101010101" pitchFamily="18" charset="-127"/>
                <a:ea typeface="-윤고딕330" panose="02030504000101010101" pitchFamily="18" charset="-127"/>
                <a:cs typeface="+mn-cs"/>
              </a:defRPr>
            </a:pPr>
            <a:endParaRPr lang="ko-KR"/>
          </a:p>
        </c:txPr>
        <c:crossAx val="56559806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84995625546799"/>
          <c:y val="0.91724482356372106"/>
          <c:w val="0.2485734626400371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209550</xdr:rowOff>
    </xdr:from>
    <xdr:to>
      <xdr:col>14</xdr:col>
      <xdr:colOff>412750</xdr:colOff>
      <xdr:row>20</xdr:row>
      <xdr:rowOff>69850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008BFF2-E362-4984-B7D2-CCAA69575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0.92497</cdr:x>
      <cdr:y>0.37732</cdr:y>
    </cdr:from>
    <cdr:to>
      <cdr:x>0.9832</cdr:x>
      <cdr:y>0.6713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47BD88-C196-4CE2-BD57-B7EC9C8BEE61}"/>
            </a:ext>
          </a:extLst>
        </cdr:cNvPr>
        <cdr:cNvSpPr txBox="1"/>
      </cdr:nvSpPr>
      <cdr:spPr>
        <a:xfrm xmlns:a="http://schemas.openxmlformats.org/drawingml/2006/main" rot="5400000">
          <a:off x="5006974" y="1273177"/>
          <a:ext cx="806449" cy="330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MIDAS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0.02352</cdr:x>
      <cdr:y>0.32639</cdr:y>
    </cdr:from>
    <cdr:to>
      <cdr:x>0.08175</cdr:x>
      <cdr:y>0.62037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F449CDD-AA88-4B33-8FAA-A95C515AE4C1}"/>
            </a:ext>
          </a:extLst>
        </cdr:cNvPr>
        <cdr:cNvSpPr txBox="1"/>
      </cdr:nvSpPr>
      <cdr:spPr>
        <a:xfrm xmlns:a="http://schemas.openxmlformats.org/drawingml/2006/main" rot="16200000">
          <a:off x="-104776" y="1133477"/>
          <a:ext cx="806449" cy="330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ko-KR" altLang="en-US" sz="1050" b="1">
              <a:latin typeface="나눔스퀘어OTF Light" panose="020B0600000101010101" pitchFamily="34" charset="-127"/>
              <a:ea typeface="나눔스퀘어OTF Light" panose="020B0600000101010101" pitchFamily="34" charset="-127"/>
            </a:rPr>
            <a:t>점수화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209550</xdr:rowOff>
    </xdr:from>
    <xdr:to>
      <xdr:col>14</xdr:col>
      <xdr:colOff>412750</xdr:colOff>
      <xdr:row>20</xdr:row>
      <xdr:rowOff>69850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085383-CEEC-44E2-9AF6-921186CB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0.92497</cdr:x>
      <cdr:y>0.37732</cdr:y>
    </cdr:from>
    <cdr:to>
      <cdr:x>0.9832</cdr:x>
      <cdr:y>0.6713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47BD88-C196-4CE2-BD57-B7EC9C8BEE61}"/>
            </a:ext>
          </a:extLst>
        </cdr:cNvPr>
        <cdr:cNvSpPr txBox="1"/>
      </cdr:nvSpPr>
      <cdr:spPr>
        <a:xfrm xmlns:a="http://schemas.openxmlformats.org/drawingml/2006/main" rot="5400000">
          <a:off x="5006974" y="1273177"/>
          <a:ext cx="806449" cy="330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>
              <a:ln>
                <a:solidFill>
                  <a:schemeClr val="tx1">
                    <a:alpha val="50000"/>
                  </a:schemeClr>
                </a:solidFill>
              </a:ln>
            </a:rPr>
            <a:t>MIDAS()</a:t>
          </a:r>
          <a:endParaRPr lang="ko-KR" altLang="en-US" sz="1100">
            <a:ln>
              <a:solidFill>
                <a:schemeClr val="tx1">
                  <a:alpha val="50000"/>
                </a:schemeClr>
              </a:solidFill>
            </a:ln>
          </a:endParaRPr>
        </a:p>
      </cdr:txBody>
    </cdr:sp>
  </cdr:relSizeAnchor>
  <cdr:relSizeAnchor xmlns:cdr="http://schemas.openxmlformats.org/drawingml/2006/chartDrawing">
    <cdr:from>
      <cdr:x>0.02352</cdr:x>
      <cdr:y>0.32639</cdr:y>
    </cdr:from>
    <cdr:to>
      <cdr:x>0.08175</cdr:x>
      <cdr:y>0.62037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F449CDD-AA88-4B33-8FAA-A95C515AE4C1}"/>
            </a:ext>
          </a:extLst>
        </cdr:cNvPr>
        <cdr:cNvSpPr txBox="1"/>
      </cdr:nvSpPr>
      <cdr:spPr>
        <a:xfrm xmlns:a="http://schemas.openxmlformats.org/drawingml/2006/main" rot="16200000">
          <a:off x="-104776" y="1133477"/>
          <a:ext cx="806449" cy="330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ko-KR" altLang="en-US" sz="1050" b="1">
              <a:ln>
                <a:solidFill>
                  <a:schemeClr val="tx1">
                    <a:alpha val="50000"/>
                  </a:schemeClr>
                </a:solidFill>
              </a:ln>
              <a:latin typeface="-윤고딕310" panose="02030504000101010101" pitchFamily="18" charset="-127"/>
              <a:ea typeface="-윤고딕310" panose="02030504000101010101" pitchFamily="18" charset="-127"/>
            </a:rPr>
            <a:t>점수화 </a:t>
          </a:r>
          <a:r>
            <a:rPr lang="en-US" altLang="ko-KR" sz="1050" b="1">
              <a:ln>
                <a:solidFill>
                  <a:schemeClr val="tx1">
                    <a:alpha val="50000"/>
                  </a:schemeClr>
                </a:solidFill>
              </a:ln>
              <a:latin typeface="-윤고딕310" panose="02030504000101010101" pitchFamily="18" charset="-127"/>
              <a:ea typeface="-윤고딕310" panose="02030504000101010101" pitchFamily="18" charset="-127"/>
            </a:rPr>
            <a:t>(</a:t>
          </a:r>
          <a:r>
            <a:rPr lang="ko-KR" altLang="en-US" sz="1050" b="1">
              <a:ln>
                <a:solidFill>
                  <a:schemeClr val="tx1">
                    <a:alpha val="50000"/>
                  </a:schemeClr>
                </a:solidFill>
              </a:ln>
              <a:latin typeface="-윤고딕310" panose="02030504000101010101" pitchFamily="18" charset="-127"/>
              <a:ea typeface="-윤고딕310" panose="02030504000101010101" pitchFamily="18" charset="-127"/>
            </a:rPr>
            <a:t>점</a:t>
          </a:r>
          <a:r>
            <a:rPr lang="en-US" altLang="ko-KR" sz="1050" b="1">
              <a:ln>
                <a:solidFill>
                  <a:schemeClr val="tx1">
                    <a:alpha val="50000"/>
                  </a:schemeClr>
                </a:solidFill>
              </a:ln>
              <a:latin typeface="-윤고딕310" panose="02030504000101010101" pitchFamily="18" charset="-127"/>
              <a:ea typeface="-윤고딕310" panose="02030504000101010101" pitchFamily="18" charset="-127"/>
            </a:rPr>
            <a:t>)</a:t>
          </a:r>
          <a:endParaRPr lang="ko-KR" altLang="en-US" sz="1050" b="1">
            <a:ln>
              <a:solidFill>
                <a:schemeClr val="tx1">
                  <a:alpha val="50000"/>
                </a:schemeClr>
              </a:solidFill>
            </a:ln>
            <a:latin typeface="-윤고딕310" panose="02030504000101010101" pitchFamily="18" charset="-127"/>
            <a:ea typeface="-윤고딕310" panose="02030504000101010101" pitchFamily="18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F3CA-1C4B-44DE-921F-6C2D7F5467EE}">
  <dimension ref="A1:W70"/>
  <sheetViews>
    <sheetView tabSelected="1" zoomScale="60" zoomScaleNormal="70" workbookViewId="0">
      <selection activeCell="C22" sqref="C22"/>
    </sheetView>
  </sheetViews>
  <sheetFormatPr defaultRowHeight="17" x14ac:dyDescent="0.45"/>
  <cols>
    <col min="17" max="17" width="14.83203125" bestFit="1" customWidth="1"/>
  </cols>
  <sheetData>
    <row r="1" spans="1:23" x14ac:dyDescent="0.45">
      <c r="A1" s="9"/>
      <c r="B1" s="9"/>
      <c r="C1" s="9"/>
      <c r="G1" s="9"/>
      <c r="H1" s="9"/>
      <c r="I1" s="9"/>
      <c r="K1" s="9"/>
      <c r="L1" s="9"/>
      <c r="M1" s="9"/>
    </row>
    <row r="3" spans="1:23" ht="17.5" thickBot="1" x14ac:dyDescent="0.5">
      <c r="A3" s="11" t="s">
        <v>13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0" t="s">
        <v>15</v>
      </c>
      <c r="O3" s="10"/>
      <c r="Q3" s="1" t="s">
        <v>19</v>
      </c>
    </row>
    <row r="4" spans="1:23" x14ac:dyDescent="0.45">
      <c r="A4" s="10" t="s">
        <v>11</v>
      </c>
      <c r="B4" s="10"/>
      <c r="C4" s="10"/>
      <c r="E4" s="3" t="s">
        <v>10</v>
      </c>
      <c r="G4" s="10" t="s">
        <v>12</v>
      </c>
      <c r="H4" s="10"/>
      <c r="I4" s="10"/>
      <c r="K4" s="10" t="s">
        <v>16</v>
      </c>
      <c r="L4" s="10"/>
      <c r="M4" s="10"/>
      <c r="N4" s="10"/>
      <c r="O4" s="10"/>
      <c r="Q4">
        <v>2.5</v>
      </c>
      <c r="R4" t="s">
        <v>20</v>
      </c>
      <c r="S4">
        <v>11.3</v>
      </c>
      <c r="T4" s="5">
        <f>Q4/$S$4*100</f>
        <v>22.123893805309734</v>
      </c>
    </row>
    <row r="5" spans="1:23" x14ac:dyDescent="0.45">
      <c r="A5" t="s">
        <v>17</v>
      </c>
      <c r="C5">
        <v>-13.1</v>
      </c>
      <c r="E5">
        <f>C5*N5</f>
        <v>-19.649999999999999</v>
      </c>
      <c r="G5" s="5">
        <f>-(R14+0.98)/R13*100</f>
        <v>-23.07692307692308</v>
      </c>
      <c r="I5">
        <f>G5*N5</f>
        <v>-34.61538461538462</v>
      </c>
      <c r="K5" s="5">
        <f>-(R14+0.98+0.6)/R13*100</f>
        <v>-29.230769230769237</v>
      </c>
      <c r="M5">
        <f>K5*N5</f>
        <v>-43.846153846153854</v>
      </c>
      <c r="N5">
        <v>1.5</v>
      </c>
      <c r="Q5">
        <v>0.6</v>
      </c>
      <c r="R5" t="s">
        <v>21</v>
      </c>
      <c r="T5" s="5">
        <f t="shared" ref="T5:T11" si="0">Q5/$S$4*100</f>
        <v>5.3097345132743357</v>
      </c>
    </row>
    <row r="6" spans="1:23" x14ac:dyDescent="0.45">
      <c r="A6" t="s">
        <v>18</v>
      </c>
      <c r="C6" s="5">
        <f>(R15-R14)/R13*100</f>
        <v>35.79487179487181</v>
      </c>
      <c r="E6">
        <f t="shared" ref="E6:E13" si="1">C6*N6</f>
        <v>53.692307692307715</v>
      </c>
      <c r="G6" s="5">
        <f>(R15-(R14+0.98))/R13*100</f>
        <v>25.743589743589755</v>
      </c>
      <c r="I6">
        <f t="shared" ref="I6:I13" si="2">G6*N6</f>
        <v>38.615384615384635</v>
      </c>
      <c r="K6" s="5">
        <f>(R15-(R14+0.98+0.6))/R13*100</f>
        <v>19.589743589743598</v>
      </c>
      <c r="M6">
        <f t="shared" ref="M6:M13" si="3">K6*N6</f>
        <v>29.384615384615397</v>
      </c>
      <c r="N6">
        <v>1.5</v>
      </c>
      <c r="Q6">
        <v>4.9000000000000004</v>
      </c>
      <c r="R6" t="s">
        <v>20</v>
      </c>
      <c r="T6" s="5">
        <f t="shared" si="0"/>
        <v>43.362831858407077</v>
      </c>
      <c r="U6">
        <v>-5</v>
      </c>
    </row>
    <row r="7" spans="1:23" x14ac:dyDescent="0.45">
      <c r="A7" t="s">
        <v>2</v>
      </c>
      <c r="C7">
        <v>-10</v>
      </c>
      <c r="E7">
        <f t="shared" si="1"/>
        <v>-15</v>
      </c>
      <c r="G7">
        <v>-10</v>
      </c>
      <c r="I7">
        <f t="shared" si="2"/>
        <v>-15</v>
      </c>
      <c r="K7">
        <v>-20</v>
      </c>
      <c r="M7">
        <f t="shared" si="3"/>
        <v>-30</v>
      </c>
      <c r="N7">
        <v>1.5</v>
      </c>
      <c r="Q7" s="4">
        <v>5.4</v>
      </c>
      <c r="R7" t="s">
        <v>20</v>
      </c>
      <c r="T7" s="5">
        <f t="shared" si="0"/>
        <v>47.787610619469028</v>
      </c>
    </row>
    <row r="8" spans="1:23" x14ac:dyDescent="0.45">
      <c r="A8" t="s">
        <v>4</v>
      </c>
      <c r="C8">
        <v>0</v>
      </c>
      <c r="E8">
        <f t="shared" si="1"/>
        <v>0</v>
      </c>
      <c r="G8" s="4">
        <v>-5</v>
      </c>
      <c r="I8">
        <f t="shared" si="2"/>
        <v>-5</v>
      </c>
      <c r="K8" s="4">
        <v>-10</v>
      </c>
      <c r="M8">
        <f t="shared" si="3"/>
        <v>-10</v>
      </c>
      <c r="N8">
        <v>1</v>
      </c>
      <c r="Q8">
        <v>3.02</v>
      </c>
      <c r="R8" t="s">
        <v>20</v>
      </c>
      <c r="T8" s="5">
        <f t="shared" si="0"/>
        <v>26.725663716814157</v>
      </c>
      <c r="U8">
        <v>-5</v>
      </c>
      <c r="W8" t="s">
        <v>36</v>
      </c>
    </row>
    <row r="9" spans="1:23" x14ac:dyDescent="0.45">
      <c r="A9" t="s">
        <v>5</v>
      </c>
      <c r="C9" s="5">
        <f>-(Q4+Q5+Q7+Q9+Q10+Q11)</f>
        <v>-11.149999999999999</v>
      </c>
      <c r="E9">
        <f t="shared" si="1"/>
        <v>-11.149999999999999</v>
      </c>
      <c r="G9">
        <f>(-4-0.5*(4.9))*2</f>
        <v>-12.9</v>
      </c>
      <c r="I9">
        <f t="shared" si="2"/>
        <v>-12.9</v>
      </c>
      <c r="K9">
        <f>(-4-0.5*(4.9)-3.02)*2</f>
        <v>-18.940000000000001</v>
      </c>
      <c r="M9">
        <f t="shared" si="3"/>
        <v>-18.940000000000001</v>
      </c>
      <c r="N9">
        <v>1</v>
      </c>
      <c r="Q9">
        <v>1.2</v>
      </c>
      <c r="R9" t="s">
        <v>21</v>
      </c>
      <c r="T9" s="5">
        <f t="shared" si="0"/>
        <v>10.619469026548671</v>
      </c>
    </row>
    <row r="10" spans="1:23" x14ac:dyDescent="0.45">
      <c r="A10" t="s">
        <v>6</v>
      </c>
      <c r="C10">
        <v>0</v>
      </c>
      <c r="D10">
        <f>ABS((20.1/(2*11.4))-1)*(-10)</f>
        <v>-1.1842105263157887</v>
      </c>
      <c r="E10">
        <f t="shared" si="1"/>
        <v>0</v>
      </c>
      <c r="G10">
        <f>H10*(-1)</f>
        <v>0</v>
      </c>
      <c r="H10">
        <v>0</v>
      </c>
      <c r="I10">
        <f t="shared" si="2"/>
        <v>0</v>
      </c>
      <c r="K10">
        <f>L10*(-1)</f>
        <v>0</v>
      </c>
      <c r="L10">
        <v>0</v>
      </c>
      <c r="M10">
        <f t="shared" si="3"/>
        <v>0</v>
      </c>
      <c r="N10">
        <v>1</v>
      </c>
      <c r="Q10">
        <v>0.7</v>
      </c>
      <c r="R10" t="s">
        <v>20</v>
      </c>
      <c r="T10" s="5">
        <f t="shared" si="0"/>
        <v>6.1946902654867246</v>
      </c>
    </row>
    <row r="11" spans="1:23" x14ac:dyDescent="0.45">
      <c r="A11" t="s">
        <v>7</v>
      </c>
      <c r="C11">
        <f>-2*(Q5+Q9+Q11)-(Q4+Q7+Q10)</f>
        <v>-13.7</v>
      </c>
      <c r="E11">
        <f t="shared" si="1"/>
        <v>-6.85</v>
      </c>
      <c r="G11">
        <f>-2*(Q5+Q9+Q11)-(Q4+Q6+Q7+Q10)</f>
        <v>-18.600000000000001</v>
      </c>
      <c r="I11">
        <f t="shared" si="2"/>
        <v>-9.3000000000000007</v>
      </c>
      <c r="K11" s="5">
        <f>-2*(Q5+Q9+Q11)-(Q4+Q6+Q7+Q8+Q10)</f>
        <v>-21.619999999999997</v>
      </c>
      <c r="M11">
        <f t="shared" si="3"/>
        <v>-10.809999999999999</v>
      </c>
      <c r="N11">
        <v>0.5</v>
      </c>
      <c r="Q11">
        <v>0.75</v>
      </c>
      <c r="R11" t="s">
        <v>21</v>
      </c>
      <c r="T11" s="5">
        <f t="shared" si="0"/>
        <v>6.6371681415929196</v>
      </c>
    </row>
    <row r="12" spans="1:23" x14ac:dyDescent="0.45">
      <c r="A12" t="s">
        <v>8</v>
      </c>
      <c r="C12">
        <v>0</v>
      </c>
      <c r="E12">
        <f t="shared" si="1"/>
        <v>0</v>
      </c>
      <c r="G12">
        <v>0</v>
      </c>
      <c r="I12">
        <f t="shared" si="2"/>
        <v>0</v>
      </c>
      <c r="K12">
        <v>0</v>
      </c>
      <c r="M12">
        <f t="shared" si="3"/>
        <v>0</v>
      </c>
      <c r="N12">
        <v>0.5</v>
      </c>
    </row>
    <row r="13" spans="1:23" x14ac:dyDescent="0.45">
      <c r="A13" t="s">
        <v>3</v>
      </c>
      <c r="C13">
        <v>10</v>
      </c>
      <c r="E13">
        <f t="shared" si="1"/>
        <v>5</v>
      </c>
      <c r="G13">
        <v>10</v>
      </c>
      <c r="I13">
        <f t="shared" si="2"/>
        <v>5</v>
      </c>
      <c r="K13">
        <v>10</v>
      </c>
      <c r="M13">
        <f t="shared" si="3"/>
        <v>5</v>
      </c>
      <c r="N13">
        <v>0.5</v>
      </c>
      <c r="Q13" t="s">
        <v>28</v>
      </c>
      <c r="R13">
        <f>4.6+1.3+1+0.96+1.13+0.76</f>
        <v>9.7499999999999982</v>
      </c>
    </row>
    <row r="14" spans="1:23" x14ac:dyDescent="0.45">
      <c r="Q14" t="s">
        <v>34</v>
      </c>
      <c r="R14">
        <v>1.27</v>
      </c>
      <c r="S14">
        <f>R13-R14</f>
        <v>8.4799999999999986</v>
      </c>
    </row>
    <row r="15" spans="1:23" x14ac:dyDescent="0.45">
      <c r="Q15" t="s">
        <v>31</v>
      </c>
      <c r="R15">
        <f>10.31-(1.28+1.43+2.42+0.42)</f>
        <v>4.7600000000000007</v>
      </c>
    </row>
    <row r="16" spans="1:23" x14ac:dyDescent="0.45">
      <c r="A16" t="s">
        <v>9</v>
      </c>
      <c r="C16" s="6">
        <f>SUM(C5:C15)+100</f>
        <v>97.844871794871807</v>
      </c>
      <c r="E16" s="6">
        <f>100+SUM(E5:E15)</f>
        <v>106.04230769230772</v>
      </c>
      <c r="G16">
        <f>SUM(G5:G15)+100</f>
        <v>66.166666666666671</v>
      </c>
      <c r="I16" s="6">
        <f>100+SUM(I5:I15)</f>
        <v>66.800000000000011</v>
      </c>
      <c r="K16">
        <f>SUM(K5:K15)+100</f>
        <v>29.798974358974363</v>
      </c>
      <c r="M16" s="6">
        <f>100+SUM(M5:M15)</f>
        <v>20.788461538461547</v>
      </c>
    </row>
    <row r="19" spans="1:20" ht="17.5" thickBot="1" x14ac:dyDescent="0.5">
      <c r="A19" s="11" t="s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0" t="s">
        <v>15</v>
      </c>
      <c r="O19" s="10"/>
    </row>
    <row r="20" spans="1:20" x14ac:dyDescent="0.45">
      <c r="A20" s="10" t="s">
        <v>11</v>
      </c>
      <c r="B20" s="10"/>
      <c r="C20" s="10"/>
      <c r="E20" s="3" t="s">
        <v>10</v>
      </c>
      <c r="G20" s="10" t="s">
        <v>12</v>
      </c>
      <c r="H20" s="10"/>
      <c r="I20" s="10"/>
      <c r="K20" s="10" t="s">
        <v>16</v>
      </c>
      <c r="L20" s="10"/>
      <c r="M20" s="10"/>
      <c r="N20" s="10"/>
      <c r="O20" s="10"/>
      <c r="Q20">
        <v>0.72</v>
      </c>
      <c r="R20" t="s">
        <v>21</v>
      </c>
      <c r="S20">
        <v>17.399999999999999</v>
      </c>
      <c r="T20" s="5">
        <f>Q20/$S$20*100</f>
        <v>4.1379310344827589</v>
      </c>
    </row>
    <row r="21" spans="1:20" x14ac:dyDescent="0.45">
      <c r="A21" t="s">
        <v>0</v>
      </c>
      <c r="C21" s="5">
        <f>-(0.86/5.26)*100</f>
        <v>-16.34980988593156</v>
      </c>
      <c r="E21">
        <f>C21*N21</f>
        <v>-24.524714828897338</v>
      </c>
      <c r="G21" s="2"/>
      <c r="H21" s="2"/>
      <c r="I21" s="2"/>
      <c r="J21" s="2"/>
      <c r="K21" s="2"/>
      <c r="L21" s="2"/>
      <c r="M21" s="2"/>
      <c r="N21">
        <v>1.5</v>
      </c>
      <c r="Q21">
        <v>0.9</v>
      </c>
      <c r="R21" t="s">
        <v>21</v>
      </c>
      <c r="T21" s="5">
        <f t="shared" ref="T21:T28" si="4">Q21/$S$20*100</f>
        <v>5.1724137931034493</v>
      </c>
    </row>
    <row r="22" spans="1:20" x14ac:dyDescent="0.45">
      <c r="A22" t="s">
        <v>1</v>
      </c>
      <c r="C22" s="5">
        <f>((R33-R32)/R30)*100</f>
        <v>36.121673003802293</v>
      </c>
      <c r="E22">
        <f t="shared" ref="E22:E29" si="5">C22*N22</f>
        <v>54.182509505703436</v>
      </c>
      <c r="G22" s="2"/>
      <c r="H22" s="2"/>
      <c r="I22" s="2"/>
      <c r="J22" s="2"/>
      <c r="K22" s="2"/>
      <c r="L22" s="2"/>
      <c r="M22" s="2"/>
      <c r="N22">
        <v>1.5</v>
      </c>
      <c r="Q22">
        <v>1</v>
      </c>
      <c r="R22" t="s">
        <v>44</v>
      </c>
      <c r="T22" s="5">
        <f t="shared" si="4"/>
        <v>5.7471264367816097</v>
      </c>
    </row>
    <row r="23" spans="1:20" x14ac:dyDescent="0.45">
      <c r="A23" t="s">
        <v>2</v>
      </c>
      <c r="C23">
        <v>-10</v>
      </c>
      <c r="E23">
        <f t="shared" si="5"/>
        <v>-15</v>
      </c>
      <c r="G23" s="2"/>
      <c r="H23" s="2"/>
      <c r="I23" s="2"/>
      <c r="J23" s="2"/>
      <c r="K23" s="2"/>
      <c r="L23" s="2"/>
      <c r="M23" s="2"/>
      <c r="N23">
        <v>1.5</v>
      </c>
      <c r="Q23">
        <v>1.05</v>
      </c>
      <c r="R23" t="s">
        <v>44</v>
      </c>
      <c r="T23" s="5">
        <f t="shared" si="4"/>
        <v>6.0344827586206904</v>
      </c>
    </row>
    <row r="24" spans="1:20" x14ac:dyDescent="0.45">
      <c r="A24" t="s">
        <v>4</v>
      </c>
      <c r="C24">
        <v>0</v>
      </c>
      <c r="E24">
        <f t="shared" si="5"/>
        <v>0</v>
      </c>
      <c r="G24" s="2"/>
      <c r="H24" s="2"/>
      <c r="I24" s="2"/>
      <c r="J24" s="2"/>
      <c r="K24" s="2"/>
      <c r="L24" s="2"/>
      <c r="M24" s="2"/>
      <c r="N24">
        <v>1</v>
      </c>
      <c r="Q24">
        <v>0.5</v>
      </c>
      <c r="R24" t="s">
        <v>44</v>
      </c>
      <c r="T24" s="5">
        <f t="shared" si="4"/>
        <v>2.8735632183908049</v>
      </c>
    </row>
    <row r="25" spans="1:20" x14ac:dyDescent="0.45">
      <c r="A25" t="s">
        <v>5</v>
      </c>
      <c r="C25" s="5">
        <f>-0.5*(1+1.05+0.5+0.8+0.3+0.6+0.3+0.72+0.9)</f>
        <v>-3.0849999999999995</v>
      </c>
      <c r="E25">
        <f t="shared" si="5"/>
        <v>-3.0849999999999995</v>
      </c>
      <c r="G25" s="2"/>
      <c r="H25" s="2"/>
      <c r="I25" s="2"/>
      <c r="J25" s="2"/>
      <c r="K25" s="2"/>
      <c r="L25" s="2"/>
      <c r="M25" s="2"/>
      <c r="N25">
        <v>1</v>
      </c>
      <c r="Q25">
        <v>0.8</v>
      </c>
      <c r="R25" t="s">
        <v>20</v>
      </c>
      <c r="T25" s="5">
        <f t="shared" si="4"/>
        <v>4.597701149425288</v>
      </c>
    </row>
    <row r="26" spans="1:20" x14ac:dyDescent="0.45">
      <c r="A26" t="s">
        <v>6</v>
      </c>
      <c r="C26" s="5">
        <f>ABS((17.4/(2*6.5))-1)*(-10)</f>
        <v>-3.3846153846153837</v>
      </c>
      <c r="E26">
        <f t="shared" si="5"/>
        <v>-3.3846153846153837</v>
      </c>
      <c r="G26" s="2"/>
      <c r="H26" s="2"/>
      <c r="I26" s="2"/>
      <c r="J26" s="2"/>
      <c r="K26" s="2"/>
      <c r="L26" s="2"/>
      <c r="M26" s="2"/>
      <c r="N26">
        <v>1</v>
      </c>
      <c r="Q26">
        <v>0.3</v>
      </c>
      <c r="R26" t="s">
        <v>20</v>
      </c>
      <c r="T26" s="5">
        <f t="shared" si="4"/>
        <v>1.7241379310344827</v>
      </c>
    </row>
    <row r="27" spans="1:20" x14ac:dyDescent="0.45">
      <c r="A27" t="s">
        <v>7</v>
      </c>
      <c r="C27" s="5">
        <f>-2*(Q20+Q21)-SUM(Q22:Q28)</f>
        <v>-7.7899999999999991</v>
      </c>
      <c r="E27">
        <f t="shared" si="5"/>
        <v>-3.8949999999999996</v>
      </c>
      <c r="G27" s="2"/>
      <c r="H27" s="2"/>
      <c r="I27" s="2"/>
      <c r="J27" s="2"/>
      <c r="K27" s="2"/>
      <c r="L27" s="2"/>
      <c r="M27" s="2"/>
      <c r="N27">
        <v>0.5</v>
      </c>
      <c r="Q27">
        <v>0.6</v>
      </c>
      <c r="R27" t="s">
        <v>20</v>
      </c>
      <c r="T27" s="5">
        <f t="shared" si="4"/>
        <v>3.4482758620689653</v>
      </c>
    </row>
    <row r="28" spans="1:20" x14ac:dyDescent="0.45">
      <c r="A28" t="s">
        <v>8</v>
      </c>
      <c r="C28">
        <v>0</v>
      </c>
      <c r="E28">
        <f t="shared" si="5"/>
        <v>0</v>
      </c>
      <c r="G28" s="2"/>
      <c r="H28" s="2"/>
      <c r="I28" s="2"/>
      <c r="J28" s="2"/>
      <c r="K28" s="2"/>
      <c r="L28" s="2"/>
      <c r="M28" s="2"/>
      <c r="N28">
        <v>0.5</v>
      </c>
      <c r="Q28">
        <v>0.3</v>
      </c>
      <c r="R28" t="s">
        <v>20</v>
      </c>
      <c r="T28" s="5">
        <f t="shared" si="4"/>
        <v>1.7241379310344827</v>
      </c>
    </row>
    <row r="29" spans="1:20" x14ac:dyDescent="0.45">
      <c r="A29" t="s">
        <v>3</v>
      </c>
      <c r="C29">
        <v>10</v>
      </c>
      <c r="E29">
        <f t="shared" si="5"/>
        <v>5</v>
      </c>
      <c r="G29" s="2"/>
      <c r="H29" s="2"/>
      <c r="I29" s="2"/>
      <c r="J29" s="2"/>
      <c r="K29" s="2"/>
      <c r="L29" s="2"/>
      <c r="M29" s="2"/>
      <c r="N29">
        <v>0.5</v>
      </c>
      <c r="T29" s="5"/>
    </row>
    <row r="30" spans="1:20" x14ac:dyDescent="0.45">
      <c r="G30" s="2"/>
      <c r="H30" s="2"/>
      <c r="I30" s="2"/>
      <c r="J30" s="2"/>
      <c r="K30" s="2"/>
      <c r="L30" s="2"/>
      <c r="M30" s="2"/>
      <c r="Q30" t="s">
        <v>28</v>
      </c>
      <c r="R30">
        <v>5.26</v>
      </c>
      <c r="T30" s="5"/>
    </row>
    <row r="31" spans="1:20" x14ac:dyDescent="0.45">
      <c r="G31" s="2"/>
      <c r="H31" s="2"/>
      <c r="I31" s="2"/>
      <c r="J31" s="2"/>
      <c r="K31" s="2"/>
      <c r="L31" s="2"/>
      <c r="M31" s="2"/>
      <c r="Q31" t="s">
        <v>45</v>
      </c>
      <c r="R31">
        <v>4.4000000000000004</v>
      </c>
      <c r="T31" s="5"/>
    </row>
    <row r="32" spans="1:20" x14ac:dyDescent="0.45">
      <c r="A32" t="s">
        <v>9</v>
      </c>
      <c r="C32">
        <f>SUM(C21:C31)+100</f>
        <v>105.51224773325535</v>
      </c>
      <c r="E32" s="6">
        <f>100+SUM(E21:E31)</f>
        <v>109.29317929219071</v>
      </c>
      <c r="G32" s="2"/>
      <c r="H32" s="2"/>
      <c r="I32" s="2"/>
      <c r="J32" s="2"/>
      <c r="K32" s="2"/>
      <c r="L32" s="2"/>
      <c r="M32" s="2"/>
      <c r="Q32" t="s">
        <v>34</v>
      </c>
      <c r="R32">
        <f>R30-R31</f>
        <v>0.85999999999999943</v>
      </c>
    </row>
    <row r="33" spans="1:22" x14ac:dyDescent="0.45">
      <c r="Q33" t="s">
        <v>31</v>
      </c>
      <c r="R33">
        <f>7.16+0.86-5.26</f>
        <v>2.76</v>
      </c>
    </row>
    <row r="35" spans="1:22" ht="17.5" thickBot="1" x14ac:dyDescent="0.5">
      <c r="A35" s="11" t="s">
        <v>35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0" t="s">
        <v>15</v>
      </c>
      <c r="O35" s="10"/>
      <c r="Q35" t="s">
        <v>23</v>
      </c>
    </row>
    <row r="36" spans="1:22" x14ac:dyDescent="0.45">
      <c r="A36" s="10" t="s">
        <v>11</v>
      </c>
      <c r="B36" s="10"/>
      <c r="C36" s="10"/>
      <c r="E36" s="3" t="s">
        <v>10</v>
      </c>
      <c r="G36" s="10" t="s">
        <v>12</v>
      </c>
      <c r="H36" s="10"/>
      <c r="I36" s="10"/>
      <c r="K36" s="10" t="s">
        <v>16</v>
      </c>
      <c r="L36" s="10"/>
      <c r="M36" s="10"/>
      <c r="N36" s="10"/>
      <c r="O36" s="10"/>
      <c r="P36">
        <v>0.2</v>
      </c>
      <c r="Q36">
        <v>1.3</v>
      </c>
      <c r="R36">
        <f>Q36*P36</f>
        <v>0.26</v>
      </c>
      <c r="S36" t="s">
        <v>20</v>
      </c>
      <c r="T36">
        <v>11.75</v>
      </c>
      <c r="U36" s="5">
        <f>Q36/$T$36*100</f>
        <v>11.063829787234043</v>
      </c>
    </row>
    <row r="37" spans="1:22" x14ac:dyDescent="0.45">
      <c r="A37" t="s">
        <v>0</v>
      </c>
      <c r="C37">
        <v>-16.600000000000001</v>
      </c>
      <c r="E37">
        <f>C37*N37</f>
        <v>-24.900000000000002</v>
      </c>
      <c r="N37">
        <v>1.5</v>
      </c>
      <c r="P37">
        <v>0.2</v>
      </c>
      <c r="Q37">
        <v>0.88</v>
      </c>
      <c r="R37">
        <f t="shared" ref="R37:R39" si="6">Q37*P37</f>
        <v>0.17600000000000002</v>
      </c>
      <c r="S37" t="s">
        <v>21</v>
      </c>
      <c r="U37" s="5">
        <f>Q37/$T$36*100</f>
        <v>7.4893617021276597</v>
      </c>
    </row>
    <row r="38" spans="1:22" x14ac:dyDescent="0.45">
      <c r="A38" t="s">
        <v>1</v>
      </c>
      <c r="C38" s="5">
        <f>(M55-(M52-M53))/M52*100</f>
        <v>42.951954984850673</v>
      </c>
      <c r="E38">
        <f t="shared" ref="E38:E45" si="7">C38*N38</f>
        <v>64.427932477276016</v>
      </c>
      <c r="N38">
        <v>1.5</v>
      </c>
      <c r="P38">
        <v>0.2</v>
      </c>
      <c r="Q38">
        <v>3.1</v>
      </c>
      <c r="R38">
        <f t="shared" si="6"/>
        <v>0.62000000000000011</v>
      </c>
      <c r="S38" t="s">
        <v>20</v>
      </c>
      <c r="U38" s="5">
        <f>Q38/$T$36*100</f>
        <v>26.382978723404253</v>
      </c>
      <c r="V38">
        <v>-5</v>
      </c>
    </row>
    <row r="39" spans="1:22" x14ac:dyDescent="0.45">
      <c r="A39" t="s">
        <v>2</v>
      </c>
      <c r="C39">
        <v>-10</v>
      </c>
      <c r="E39">
        <f t="shared" si="7"/>
        <v>-15</v>
      </c>
      <c r="N39">
        <v>1.5</v>
      </c>
      <c r="P39">
        <v>0.1</v>
      </c>
      <c r="Q39">
        <v>0.95</v>
      </c>
      <c r="R39">
        <f t="shared" si="6"/>
        <v>9.5000000000000001E-2</v>
      </c>
      <c r="S39" t="s">
        <v>26</v>
      </c>
      <c r="U39" s="5">
        <f>Q39/$T$36*100</f>
        <v>8.0851063829787222</v>
      </c>
    </row>
    <row r="40" spans="1:22" x14ac:dyDescent="0.45">
      <c r="A40" t="s">
        <v>4</v>
      </c>
      <c r="C40">
        <v>-5</v>
      </c>
      <c r="E40">
        <f t="shared" si="7"/>
        <v>-5</v>
      </c>
      <c r="N40">
        <v>1</v>
      </c>
      <c r="R40">
        <f>SUM(R36:R39)</f>
        <v>1.151</v>
      </c>
      <c r="T40" s="5"/>
    </row>
    <row r="41" spans="1:22" x14ac:dyDescent="0.45">
      <c r="A41" t="s">
        <v>5</v>
      </c>
      <c r="C41" s="5">
        <f>(-1*SUM(Q36:Q38))-0.5*Q39</f>
        <v>-5.7549999999999999</v>
      </c>
      <c r="E41">
        <f t="shared" si="7"/>
        <v>-5.7549999999999999</v>
      </c>
      <c r="N41">
        <v>1</v>
      </c>
      <c r="T41" s="5"/>
    </row>
    <row r="42" spans="1:22" x14ac:dyDescent="0.45">
      <c r="A42" t="s">
        <v>6</v>
      </c>
      <c r="C42" s="5">
        <f>D43</f>
        <v>-5.0127334465195243</v>
      </c>
      <c r="D42">
        <f>ABS((11.75/(2*8.4))-1)*(-10)</f>
        <v>-3.0059523809523814</v>
      </c>
      <c r="E42">
        <f t="shared" si="7"/>
        <v>-5.0127334465195243</v>
      </c>
      <c r="N42">
        <v>1</v>
      </c>
      <c r="R42" t="s">
        <v>22</v>
      </c>
      <c r="S42">
        <v>8.4</v>
      </c>
      <c r="T42" s="5"/>
    </row>
    <row r="43" spans="1:22" x14ac:dyDescent="0.45">
      <c r="A43" t="s">
        <v>7</v>
      </c>
      <c r="C43" s="5">
        <f>-2*(Q37+Q39)-(Q36+Q38)</f>
        <v>-8.06</v>
      </c>
      <c r="D43">
        <f>ABS((11.75/(2*11.78))-1)*(-10)</f>
        <v>-5.0127334465195243</v>
      </c>
      <c r="E43">
        <f t="shared" si="7"/>
        <v>-4.03</v>
      </c>
      <c r="N43">
        <v>0.5</v>
      </c>
      <c r="T43" s="5"/>
    </row>
    <row r="44" spans="1:22" x14ac:dyDescent="0.45">
      <c r="A44" t="s">
        <v>8</v>
      </c>
      <c r="C44">
        <f>-2*Q38</f>
        <v>-6.2</v>
      </c>
      <c r="E44">
        <f t="shared" si="7"/>
        <v>-3.1</v>
      </c>
      <c r="N44">
        <v>0.5</v>
      </c>
      <c r="Q44" t="s">
        <v>24</v>
      </c>
      <c r="T44" t="s">
        <v>27</v>
      </c>
    </row>
    <row r="45" spans="1:22" x14ac:dyDescent="0.45">
      <c r="A45" t="s">
        <v>3</v>
      </c>
      <c r="C45">
        <v>10</v>
      </c>
      <c r="E45">
        <f t="shared" si="7"/>
        <v>5</v>
      </c>
      <c r="N45">
        <v>0.5</v>
      </c>
      <c r="P45">
        <v>0.2</v>
      </c>
      <c r="Q45">
        <v>8.6999999999999993</v>
      </c>
      <c r="R45">
        <f>Q45*P45</f>
        <v>1.74</v>
      </c>
      <c r="S45" t="s">
        <v>25</v>
      </c>
      <c r="T45">
        <v>11.75</v>
      </c>
      <c r="U45">
        <f>P45*T45</f>
        <v>2.35</v>
      </c>
      <c r="V45" t="s">
        <v>25</v>
      </c>
    </row>
    <row r="46" spans="1:22" x14ac:dyDescent="0.45">
      <c r="P46">
        <v>0.2</v>
      </c>
      <c r="Q46">
        <v>2.2000000000000002</v>
      </c>
      <c r="R46">
        <f t="shared" ref="R46:R50" si="8">Q46*P46</f>
        <v>0.44000000000000006</v>
      </c>
      <c r="T46">
        <v>1.5</v>
      </c>
      <c r="U46">
        <f t="shared" ref="U46:U53" si="9">P46*T46</f>
        <v>0.30000000000000004</v>
      </c>
    </row>
    <row r="47" spans="1:22" x14ac:dyDescent="0.45">
      <c r="P47">
        <v>0.2</v>
      </c>
      <c r="Q47">
        <v>3.6</v>
      </c>
      <c r="R47">
        <f t="shared" si="8"/>
        <v>0.72000000000000008</v>
      </c>
      <c r="T47">
        <v>2.2400000000000002</v>
      </c>
      <c r="U47">
        <f t="shared" si="9"/>
        <v>0.44800000000000006</v>
      </c>
      <c r="V47" t="s">
        <v>26</v>
      </c>
    </row>
    <row r="48" spans="1:22" x14ac:dyDescent="0.45">
      <c r="A48" t="s">
        <v>9</v>
      </c>
      <c r="C48">
        <f>SUM(C37:C47)+100</f>
        <v>96.324221538331145</v>
      </c>
      <c r="E48" s="6">
        <f>100+SUM(E37:E47)</f>
        <v>106.63019903075649</v>
      </c>
      <c r="P48">
        <v>0.2</v>
      </c>
      <c r="Q48">
        <v>10.25</v>
      </c>
      <c r="R48">
        <f t="shared" si="8"/>
        <v>2.0500000000000003</v>
      </c>
      <c r="T48">
        <v>1.05</v>
      </c>
      <c r="U48">
        <f t="shared" si="9"/>
        <v>0.21000000000000002</v>
      </c>
    </row>
    <row r="49" spans="1:21" x14ac:dyDescent="0.45">
      <c r="P49">
        <v>0.2</v>
      </c>
      <c r="Q49">
        <v>3.3</v>
      </c>
      <c r="R49">
        <f t="shared" si="8"/>
        <v>0.66</v>
      </c>
      <c r="S49" t="s">
        <v>26</v>
      </c>
      <c r="T49">
        <v>0.7</v>
      </c>
      <c r="U49">
        <f t="shared" si="9"/>
        <v>0.13999999999999999</v>
      </c>
    </row>
    <row r="50" spans="1:21" x14ac:dyDescent="0.45">
      <c r="P50">
        <v>0.2</v>
      </c>
      <c r="Q50">
        <v>0.85</v>
      </c>
      <c r="R50">
        <f t="shared" si="8"/>
        <v>0.17</v>
      </c>
      <c r="T50">
        <v>0.35</v>
      </c>
      <c r="U50">
        <f t="shared" si="9"/>
        <v>6.9999999999999993E-2</v>
      </c>
    </row>
    <row r="51" spans="1:21" x14ac:dyDescent="0.45">
      <c r="P51">
        <v>0.2</v>
      </c>
      <c r="Q51" t="s">
        <v>32</v>
      </c>
      <c r="R51">
        <f>SUM(R45:R50)</f>
        <v>5.7800000000000011</v>
      </c>
      <c r="T51">
        <v>0.85</v>
      </c>
      <c r="U51">
        <f t="shared" si="9"/>
        <v>0.17</v>
      </c>
    </row>
    <row r="52" spans="1:21" x14ac:dyDescent="0.45">
      <c r="L52" t="s">
        <v>28</v>
      </c>
      <c r="M52">
        <f>R51+R40</f>
        <v>6.9310000000000009</v>
      </c>
      <c r="P52">
        <v>0.2</v>
      </c>
      <c r="T52">
        <v>1.45</v>
      </c>
      <c r="U52">
        <f t="shared" si="9"/>
        <v>0.28999999999999998</v>
      </c>
    </row>
    <row r="53" spans="1:21" x14ac:dyDescent="0.45">
      <c r="L53" t="s">
        <v>29</v>
      </c>
      <c r="M53">
        <f>R51</f>
        <v>5.7800000000000011</v>
      </c>
      <c r="P53">
        <v>0.2</v>
      </c>
      <c r="T53">
        <v>0.75</v>
      </c>
      <c r="U53">
        <f t="shared" si="9"/>
        <v>0.15000000000000002</v>
      </c>
    </row>
    <row r="54" spans="1:21" x14ac:dyDescent="0.45">
      <c r="L54" t="s">
        <v>30</v>
      </c>
      <c r="M54" s="5">
        <f>(M52-M53)/M52*100</f>
        <v>16.606550281344678</v>
      </c>
      <c r="T54" t="s">
        <v>33</v>
      </c>
      <c r="U54">
        <f>SUM(U45:U53)</f>
        <v>4.1280000000000001</v>
      </c>
    </row>
    <row r="55" spans="1:21" x14ac:dyDescent="0.45">
      <c r="L55" t="s">
        <v>31</v>
      </c>
      <c r="M55">
        <f>U54</f>
        <v>4.1280000000000001</v>
      </c>
    </row>
    <row r="57" spans="1:21" x14ac:dyDescent="0.4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0"/>
      <c r="O57" s="10"/>
    </row>
    <row r="58" spans="1:21" x14ac:dyDescent="0.45">
      <c r="A58" s="10"/>
      <c r="B58" s="10"/>
      <c r="C58" s="10"/>
      <c r="E58" s="7"/>
      <c r="N58" s="10"/>
      <c r="O58" s="10"/>
    </row>
    <row r="59" spans="1:21" x14ac:dyDescent="0.45">
      <c r="U59" s="5"/>
    </row>
    <row r="60" spans="1:21" x14ac:dyDescent="0.45">
      <c r="U60" s="5"/>
    </row>
    <row r="61" spans="1:21" x14ac:dyDescent="0.45">
      <c r="U61" s="5"/>
    </row>
    <row r="62" spans="1:21" x14ac:dyDescent="0.45">
      <c r="U62" s="5"/>
    </row>
    <row r="63" spans="1:21" x14ac:dyDescent="0.45">
      <c r="T63" s="5"/>
    </row>
    <row r="64" spans="1:21" x14ac:dyDescent="0.45">
      <c r="T64" s="5"/>
    </row>
    <row r="65" spans="5:20" x14ac:dyDescent="0.45">
      <c r="T65" s="5"/>
    </row>
    <row r="66" spans="5:20" x14ac:dyDescent="0.45">
      <c r="T66" s="5"/>
    </row>
    <row r="70" spans="5:20" x14ac:dyDescent="0.45">
      <c r="E70" s="6"/>
    </row>
  </sheetData>
  <mergeCells count="17">
    <mergeCell ref="N57:O58"/>
    <mergeCell ref="A58:C58"/>
    <mergeCell ref="G36:I36"/>
    <mergeCell ref="K36:M36"/>
    <mergeCell ref="A36:C36"/>
    <mergeCell ref="N35:O36"/>
    <mergeCell ref="K4:M4"/>
    <mergeCell ref="G4:I4"/>
    <mergeCell ref="A4:C4"/>
    <mergeCell ref="A3:M3"/>
    <mergeCell ref="N3:O4"/>
    <mergeCell ref="N19:O20"/>
    <mergeCell ref="A35:M35"/>
    <mergeCell ref="A19:M19"/>
    <mergeCell ref="A20:C20"/>
    <mergeCell ref="G20:I20"/>
    <mergeCell ref="K20:M20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083E-F124-4519-96AA-F69D200C8B6C}">
  <dimension ref="A1:D3"/>
  <sheetViews>
    <sheetView zoomScale="85" zoomScaleNormal="85" workbookViewId="0">
      <selection activeCell="C2" sqref="C2"/>
    </sheetView>
  </sheetViews>
  <sheetFormatPr defaultRowHeight="17" x14ac:dyDescent="0.45"/>
  <sheetData>
    <row r="1" spans="1:4" x14ac:dyDescent="0.45">
      <c r="B1" t="s">
        <v>13</v>
      </c>
      <c r="C1" t="s">
        <v>37</v>
      </c>
      <c r="D1" t="s">
        <v>38</v>
      </c>
    </row>
    <row r="2" spans="1:4" x14ac:dyDescent="0.45">
      <c r="A2" t="s">
        <v>40</v>
      </c>
      <c r="B2">
        <v>-0.5</v>
      </c>
      <c r="C2">
        <v>-2</v>
      </c>
      <c r="D2">
        <v>-1.5</v>
      </c>
    </row>
    <row r="3" spans="1:4" x14ac:dyDescent="0.45">
      <c r="A3" t="s">
        <v>39</v>
      </c>
      <c r="B3">
        <v>110</v>
      </c>
      <c r="C3">
        <v>104</v>
      </c>
      <c r="D3">
        <v>105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B52B-EA48-4192-B021-975A7361339E}">
  <dimension ref="A1:D3"/>
  <sheetViews>
    <sheetView zoomScale="85" zoomScaleNormal="85" workbookViewId="0">
      <selection activeCell="R15" sqref="R15:R16"/>
    </sheetView>
  </sheetViews>
  <sheetFormatPr defaultRowHeight="17" x14ac:dyDescent="0.45"/>
  <sheetData>
    <row r="1" spans="1:4" x14ac:dyDescent="0.45">
      <c r="B1" t="s">
        <v>41</v>
      </c>
      <c r="C1" t="s">
        <v>42</v>
      </c>
      <c r="D1" t="s">
        <v>43</v>
      </c>
    </row>
    <row r="2" spans="1:4" x14ac:dyDescent="0.45">
      <c r="A2" t="s">
        <v>40</v>
      </c>
      <c r="B2">
        <v>-0.5</v>
      </c>
      <c r="C2">
        <v>-2</v>
      </c>
      <c r="D2">
        <v>-1.5</v>
      </c>
    </row>
    <row r="3" spans="1:4" x14ac:dyDescent="0.45">
      <c r="A3" t="s">
        <v>39</v>
      </c>
      <c r="B3">
        <v>110</v>
      </c>
      <c r="C3">
        <v>65</v>
      </c>
      <c r="D3">
        <v>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점수화_01</vt:lpstr>
      <vt:lpstr>점수화_02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심지수</cp:lastModifiedBy>
  <dcterms:created xsi:type="dcterms:W3CDTF">2018-05-26T06:35:48Z</dcterms:created>
  <dcterms:modified xsi:type="dcterms:W3CDTF">2018-06-28T08:27:24Z</dcterms:modified>
</cp:coreProperties>
</file>