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0db71816927194/Desktop/Лабораторные работы/2.2.1/"/>
    </mc:Choice>
  </mc:AlternateContent>
  <xr:revisionPtr revIDLastSave="0" documentId="8_{2A2BB735-1992-4747-BBDE-7CC220E368DD}" xr6:coauthVersionLast="47" xr6:coauthVersionMax="47" xr10:uidLastSave="{00000000-0000-0000-0000-000000000000}"/>
  <bookViews>
    <workbookView xWindow="-110" yWindow="-110" windowWidth="25820" windowHeight="15620" xr2:uid="{4C8AEB18-4A58-4792-A6F8-A0DC04A7E4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" l="1"/>
  <c r="P35" i="1"/>
  <c r="S36" i="1" s="1"/>
  <c r="I50" i="1"/>
  <c r="P33" i="1"/>
  <c r="H48" i="1"/>
  <c r="J39" i="1"/>
  <c r="J40" i="1"/>
  <c r="J41" i="1"/>
  <c r="J42" i="1"/>
  <c r="J43" i="1"/>
  <c r="J4" i="1"/>
  <c r="L4" i="1" s="1"/>
  <c r="D33" i="1"/>
  <c r="H34" i="1" s="1"/>
  <c r="H40" i="1" s="1"/>
  <c r="D34" i="1"/>
  <c r="H35" i="1" s="1"/>
  <c r="H41" i="1" s="1"/>
  <c r="D35" i="1"/>
  <c r="H36" i="1" s="1"/>
  <c r="H42" i="1" s="1"/>
  <c r="B36" i="1"/>
  <c r="D36" i="1" s="1"/>
  <c r="H37" i="1" s="1"/>
  <c r="H43" i="1" s="1"/>
  <c r="B35" i="1"/>
  <c r="B34" i="1"/>
  <c r="B33" i="1"/>
  <c r="B32" i="1"/>
  <c r="D32" i="1" s="1"/>
  <c r="H33" i="1" s="1"/>
  <c r="H39" i="1" s="1"/>
  <c r="P13" i="1"/>
  <c r="I12" i="1"/>
  <c r="I15" i="1" s="1"/>
  <c r="I16" i="1" s="1"/>
  <c r="I34" i="1" s="1"/>
  <c r="I25" i="1"/>
  <c r="L25" i="1" s="1"/>
  <c r="B25" i="1"/>
  <c r="E25" i="1" s="1"/>
  <c r="P12" i="1"/>
  <c r="B12" i="1"/>
  <c r="B13" i="1" s="1"/>
  <c r="P39" i="1" l="1"/>
  <c r="E13" i="1"/>
  <c r="J34" i="1"/>
  <c r="J36" i="1"/>
  <c r="J35" i="1"/>
  <c r="J37" i="1"/>
  <c r="J33" i="1"/>
  <c r="I13" i="1"/>
  <c r="L13" i="1" s="1"/>
  <c r="I28" i="1"/>
  <c r="E12" i="1"/>
  <c r="B15" i="1"/>
  <c r="B16" i="1" s="1"/>
  <c r="I33" i="1" s="1"/>
  <c r="L12" i="1"/>
  <c r="S13" i="1"/>
  <c r="I26" i="1"/>
  <c r="L26" i="1" s="1"/>
  <c r="I29" i="1"/>
  <c r="I37" i="1" s="1"/>
  <c r="B26" i="1"/>
  <c r="E26" i="1" s="1"/>
  <c r="B28" i="1"/>
  <c r="B29" i="1" s="1"/>
  <c r="I36" i="1" s="1"/>
  <c r="P15" i="1"/>
  <c r="P16" i="1" s="1"/>
  <c r="S12" i="1"/>
  <c r="S16" i="1" l="1"/>
  <c r="K35" i="1" s="1"/>
  <c r="I35" i="1"/>
  <c r="I48" i="1" s="1"/>
  <c r="E16" i="1"/>
  <c r="K33" i="1" s="1"/>
  <c r="L29" i="1"/>
  <c r="K37" i="1" s="1"/>
  <c r="L16" i="1"/>
  <c r="K34" i="1" s="1"/>
  <c r="E29" i="1"/>
  <c r="K36" i="1" s="1"/>
</calcChain>
</file>

<file path=xl/sharedStrings.xml><?xml version="1.0" encoding="utf-8"?>
<sst xmlns="http://schemas.openxmlformats.org/spreadsheetml/2006/main" count="141" uniqueCount="49">
  <si>
    <t>p</t>
  </si>
  <si>
    <t>torr</t>
  </si>
  <si>
    <r>
      <t>lnU = -1/</t>
    </r>
    <r>
      <rPr>
        <sz val="11"/>
        <color theme="1"/>
        <rFont val="Calibri"/>
        <family val="2"/>
        <charset val="204"/>
      </rPr>
      <t>τ * t + lnU0</t>
    </r>
  </si>
  <si>
    <t>&lt;t&gt;</t>
  </si>
  <si>
    <t>&lt;ln^2 U&gt;</t>
  </si>
  <si>
    <t>&lt;t^2&gt;</t>
  </si>
  <si>
    <t>&lt;lnU * t&gt;</t>
  </si>
  <si>
    <t>Параметры установки</t>
  </si>
  <si>
    <t>V1 = V2</t>
  </si>
  <si>
    <t>sm^3</t>
  </si>
  <si>
    <t>sigmV</t>
  </si>
  <si>
    <t>L/S</t>
  </si>
  <si>
    <t>sm^-1</t>
  </si>
  <si>
    <t>sigm L/S</t>
  </si>
  <si>
    <t>k</t>
  </si>
  <si>
    <t>sigmK</t>
  </si>
  <si>
    <t>N</t>
  </si>
  <si>
    <t>lnU</t>
  </si>
  <si>
    <t>τ</t>
  </si>
  <si>
    <t>sigm τ</t>
  </si>
  <si>
    <t>D</t>
  </si>
  <si>
    <t>m^2/s</t>
  </si>
  <si>
    <t>sm^2/s</t>
  </si>
  <si>
    <t>sigmD</t>
  </si>
  <si>
    <t>p atm begin</t>
  </si>
  <si>
    <t>p atm end</t>
  </si>
  <si>
    <t xml:space="preserve">scale </t>
  </si>
  <si>
    <t>kgs/sm^2</t>
  </si>
  <si>
    <t>Вычисление давления через вычитание малых чисел</t>
  </si>
  <si>
    <t>p1</t>
  </si>
  <si>
    <t>p2</t>
  </si>
  <si>
    <t>p3</t>
  </si>
  <si>
    <t>p4</t>
  </si>
  <si>
    <t>p5</t>
  </si>
  <si>
    <t>Зависимость D(1/p)</t>
  </si>
  <si>
    <t>1/p, torr^(-1)</t>
  </si>
  <si>
    <t>D, sm^2/s</t>
  </si>
  <si>
    <t>sigm (1/p)</t>
  </si>
  <si>
    <t>sigm(D)</t>
  </si>
  <si>
    <t>sigm p</t>
  </si>
  <si>
    <t>Табличное</t>
  </si>
  <si>
    <t>Результат экстраполяции для 753,35 торр</t>
  </si>
  <si>
    <t>&lt;V&gt;</t>
  </si>
  <si>
    <t>Eотн</t>
  </si>
  <si>
    <t>лямбда</t>
  </si>
  <si>
    <t>лямбда ист</t>
  </si>
  <si>
    <t>эфф сеч</t>
  </si>
  <si>
    <t>m^2</t>
  </si>
  <si>
    <t>Оценка длины свободного пробега и эффективного сечения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</si>
</sst>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7719-8360-43CA-8E0A-D92AC4A1F6FA}">
  <dimension ref="A1:T50"/>
  <sheetViews>
    <sheetView tabSelected="1" topLeftCell="A8" workbookViewId="0">
      <selection activeCell="L19" sqref="L19"/>
    </sheetView>
  </sheetViews>
  <sheetFormatPr defaultRowHeight="14.5" x14ac:dyDescent="0.35"/>
  <cols>
    <col min="2" max="2" width="11.81640625" bestFit="1" customWidth="1"/>
    <col min="4" max="4" width="10.90625" customWidth="1"/>
    <col min="8" max="8" width="12.453125" customWidth="1"/>
    <col min="9" max="9" width="11.81640625" bestFit="1" customWidth="1"/>
    <col min="10" max="10" width="10.08984375" customWidth="1"/>
    <col min="16" max="16" width="11.81640625" bestFit="1" customWidth="1"/>
  </cols>
  <sheetData>
    <row r="1" spans="1:20" x14ac:dyDescent="0.35">
      <c r="A1" t="s">
        <v>7</v>
      </c>
    </row>
    <row r="2" spans="1:20" x14ac:dyDescent="0.35">
      <c r="A2" t="s">
        <v>8</v>
      </c>
      <c r="B2">
        <v>1200</v>
      </c>
      <c r="C2" t="s">
        <v>9</v>
      </c>
      <c r="E2" t="s">
        <v>10</v>
      </c>
      <c r="F2">
        <v>30</v>
      </c>
      <c r="G2" t="s">
        <v>9</v>
      </c>
      <c r="I2" t="s">
        <v>24</v>
      </c>
      <c r="J2">
        <v>753.6</v>
      </c>
      <c r="K2" t="s">
        <v>1</v>
      </c>
      <c r="L2" t="s">
        <v>26</v>
      </c>
      <c r="M2">
        <v>101</v>
      </c>
      <c r="N2" t="s">
        <v>27</v>
      </c>
    </row>
    <row r="3" spans="1:20" x14ac:dyDescent="0.35">
      <c r="A3" t="s">
        <v>11</v>
      </c>
      <c r="B3">
        <v>5.5</v>
      </c>
      <c r="C3" t="s">
        <v>12</v>
      </c>
      <c r="E3" t="s">
        <v>13</v>
      </c>
      <c r="F3">
        <v>0.5</v>
      </c>
      <c r="G3" t="s">
        <v>12</v>
      </c>
      <c r="I3" t="s">
        <v>25</v>
      </c>
      <c r="J3">
        <v>753.1</v>
      </c>
      <c r="K3" t="s">
        <v>1</v>
      </c>
    </row>
    <row r="4" spans="1:20" x14ac:dyDescent="0.35">
      <c r="I4" t="s">
        <v>39</v>
      </c>
      <c r="J4">
        <f>0.25 * 10^(-2)</f>
        <v>2.5000000000000001E-3</v>
      </c>
      <c r="K4" t="s">
        <v>27</v>
      </c>
      <c r="L4">
        <f>J4*735.6</f>
        <v>1.8390000000000002</v>
      </c>
      <c r="M4" t="s">
        <v>1</v>
      </c>
    </row>
    <row r="6" spans="1:20" x14ac:dyDescent="0.35">
      <c r="A6" t="s">
        <v>0</v>
      </c>
      <c r="B6">
        <v>40</v>
      </c>
      <c r="C6" t="s">
        <v>1</v>
      </c>
      <c r="H6" t="s">
        <v>0</v>
      </c>
      <c r="I6">
        <v>60</v>
      </c>
      <c r="J6" t="s">
        <v>1</v>
      </c>
      <c r="O6" t="s">
        <v>0</v>
      </c>
      <c r="P6">
        <v>100</v>
      </c>
      <c r="Q6" t="s">
        <v>1</v>
      </c>
    </row>
    <row r="7" spans="1:20" x14ac:dyDescent="0.35">
      <c r="A7" t="s">
        <v>2</v>
      </c>
      <c r="H7" t="s">
        <v>2</v>
      </c>
      <c r="O7" t="s">
        <v>2</v>
      </c>
    </row>
    <row r="9" spans="1:20" x14ac:dyDescent="0.35">
      <c r="A9" t="s">
        <v>3</v>
      </c>
      <c r="B9" t="s">
        <v>17</v>
      </c>
      <c r="C9" t="s">
        <v>4</v>
      </c>
      <c r="D9" t="s">
        <v>5</v>
      </c>
      <c r="E9" t="s">
        <v>6</v>
      </c>
      <c r="F9" t="s">
        <v>16</v>
      </c>
      <c r="H9" t="s">
        <v>3</v>
      </c>
      <c r="I9" t="s">
        <v>17</v>
      </c>
      <c r="J9" t="s">
        <v>4</v>
      </c>
      <c r="K9" t="s">
        <v>5</v>
      </c>
      <c r="L9" t="s">
        <v>6</v>
      </c>
      <c r="M9" t="s">
        <v>16</v>
      </c>
      <c r="O9" t="s">
        <v>3</v>
      </c>
      <c r="P9" t="s">
        <v>17</v>
      </c>
      <c r="Q9" t="s">
        <v>4</v>
      </c>
      <c r="R9" t="s">
        <v>5</v>
      </c>
      <c r="S9" t="s">
        <v>6</v>
      </c>
      <c r="T9" t="s">
        <v>16</v>
      </c>
    </row>
    <row r="10" spans="1:20" x14ac:dyDescent="0.35">
      <c r="A10">
        <v>127.998953307392</v>
      </c>
      <c r="B10">
        <v>2.6316154750381902</v>
      </c>
      <c r="C10">
        <v>6.9755426885591403</v>
      </c>
      <c r="D10">
        <v>21887.718102369599</v>
      </c>
      <c r="E10">
        <v>320.25807867145897</v>
      </c>
      <c r="F10">
        <v>257</v>
      </c>
      <c r="H10">
        <v>177.68666573033599</v>
      </c>
      <c r="I10">
        <v>2.6617866175044198</v>
      </c>
      <c r="J10">
        <v>7.1315206180856903</v>
      </c>
      <c r="K10">
        <v>42134.2250601263</v>
      </c>
      <c r="L10">
        <v>450.833681127962</v>
      </c>
      <c r="M10">
        <v>356</v>
      </c>
      <c r="O10">
        <v>205.53891019417401</v>
      </c>
      <c r="P10">
        <v>2.67682580408079</v>
      </c>
      <c r="Q10">
        <v>7.1878703648971696</v>
      </c>
      <c r="R10">
        <v>56391.530532254801</v>
      </c>
      <c r="S10">
        <v>532.37496804862496</v>
      </c>
      <c r="T10">
        <v>412</v>
      </c>
    </row>
    <row r="12" spans="1:20" x14ac:dyDescent="0.35">
      <c r="A12" t="s">
        <v>14</v>
      </c>
      <c r="B12">
        <f>(E10 - A10*B10)/(D10-A10*A10)</f>
        <v>-3.0134428896595603E-3</v>
      </c>
      <c r="D12" t="s">
        <v>18</v>
      </c>
      <c r="E12">
        <f>(-1)/B12</f>
        <v>331.84634207983072</v>
      </c>
      <c r="H12" t="s">
        <v>14</v>
      </c>
      <c r="I12">
        <f>(L10 - H10*I10)/(K10-H10*H10)</f>
        <v>-2.0953409535056813E-3</v>
      </c>
      <c r="K12" t="s">
        <v>18</v>
      </c>
      <c r="L12">
        <f>(-1)/I12</f>
        <v>477.24929841461653</v>
      </c>
      <c r="O12" t="s">
        <v>14</v>
      </c>
      <c r="P12">
        <f>(S10 - O10*P10)/(R10-O10*O10)</f>
        <v>-1.2595637396336271E-3</v>
      </c>
      <c r="R12" t="s">
        <v>18</v>
      </c>
      <c r="S12">
        <f>(-1)/P12</f>
        <v>793.92568119726343</v>
      </c>
    </row>
    <row r="13" spans="1:20" x14ac:dyDescent="0.35">
      <c r="A13" t="s">
        <v>15</v>
      </c>
      <c r="B13">
        <f>SQRT(((C10-B10*B10)/(D10-A10*A10)) - (B12*B12))/SQRT(F10)</f>
        <v>1.069752906295501E-5</v>
      </c>
      <c r="D13" t="s">
        <v>19</v>
      </c>
      <c r="E13">
        <f>B13/(B12*B12)</f>
        <v>1.178033239327575</v>
      </c>
      <c r="H13" t="s">
        <v>15</v>
      </c>
      <c r="I13">
        <f>SQRT(((J10-I10*I10)/(K10-H10*H10)) - (I12*I12))/SQRT(M10)</f>
        <v>3.3454144714153378E-6</v>
      </c>
      <c r="K13" t="s">
        <v>19</v>
      </c>
      <c r="L13">
        <f>I13/(I12*I12)</f>
        <v>0.76197465940702147</v>
      </c>
      <c r="O13" t="s">
        <v>15</v>
      </c>
      <c r="P13">
        <f>SQRT(((Q10-P10*P10)/(R10-O10*O10)) - (P12*P12))/SQRT(T10)</f>
        <v>2.3604157126858711E-6</v>
      </c>
      <c r="R13" t="s">
        <v>19</v>
      </c>
      <c r="S13">
        <f>P13/(P12*P12)</f>
        <v>1.4878124811277502</v>
      </c>
    </row>
    <row r="15" spans="1:20" x14ac:dyDescent="0.35">
      <c r="A15" t="s">
        <v>20</v>
      </c>
      <c r="B15">
        <f>(-B12*$B$2*$B$3*10^(-4))/2</f>
        <v>9.9443615358765498E-4</v>
      </c>
      <c r="C15" t="s">
        <v>21</v>
      </c>
      <c r="H15" t="s">
        <v>20</v>
      </c>
      <c r="I15">
        <f>(-I12*$B$2*$B$3*10^(-4))/2</f>
        <v>6.9146251465687495E-4</v>
      </c>
      <c r="J15" t="s">
        <v>21</v>
      </c>
      <c r="O15" t="s">
        <v>20</v>
      </c>
      <c r="P15">
        <f>(-P12*$B$2*$B$3*10^(-4))/2</f>
        <v>4.1565603407909695E-4</v>
      </c>
      <c r="Q15" t="s">
        <v>21</v>
      </c>
    </row>
    <row r="16" spans="1:20" x14ac:dyDescent="0.35">
      <c r="B16">
        <f>B15*10000</f>
        <v>9.9443615358765491</v>
      </c>
      <c r="C16" t="s">
        <v>22</v>
      </c>
      <c r="D16" t="s">
        <v>23</v>
      </c>
      <c r="E16">
        <f>B16*SQRT((B13/B12)^2 + ($F$2/$B$2)^2 + ($F$3/$B$3)^2)</f>
        <v>0.93825801287743416</v>
      </c>
      <c r="F16" t="s">
        <v>22</v>
      </c>
      <c r="I16">
        <f>I15*10000</f>
        <v>6.9146251465687492</v>
      </c>
      <c r="J16" t="s">
        <v>22</v>
      </c>
      <c r="K16" t="s">
        <v>23</v>
      </c>
      <c r="L16">
        <f>I16*SQRT((I13/I12)^2 + ($F$2/$B$2)^2 + ($F$3/$B$3)^2)</f>
        <v>0.65203162368321299</v>
      </c>
      <c r="M16" t="s">
        <v>22</v>
      </c>
      <c r="P16">
        <f>P15*10000</f>
        <v>4.1565603407909695</v>
      </c>
      <c r="Q16" t="s">
        <v>22</v>
      </c>
      <c r="R16" t="s">
        <v>23</v>
      </c>
      <c r="S16">
        <f>P16*SQRT((P13/P12)^2 + ($F$2/$B$2)^2 + ($F$3/$B$3)^2)</f>
        <v>0.39197432155497197</v>
      </c>
      <c r="T16" t="s">
        <v>22</v>
      </c>
    </row>
    <row r="19" spans="1:14" x14ac:dyDescent="0.35">
      <c r="A19" t="s">
        <v>0</v>
      </c>
      <c r="B19">
        <v>150</v>
      </c>
      <c r="C19" t="s">
        <v>1</v>
      </c>
      <c r="H19" t="s">
        <v>0</v>
      </c>
      <c r="I19">
        <v>250</v>
      </c>
      <c r="J19" t="s">
        <v>1</v>
      </c>
    </row>
    <row r="20" spans="1:14" x14ac:dyDescent="0.35">
      <c r="A20" t="s">
        <v>2</v>
      </c>
      <c r="H20" t="s">
        <v>2</v>
      </c>
    </row>
    <row r="22" spans="1:14" x14ac:dyDescent="0.35">
      <c r="A22" t="s">
        <v>3</v>
      </c>
      <c r="B22" t="s">
        <v>17</v>
      </c>
      <c r="C22" t="s">
        <v>4</v>
      </c>
      <c r="D22" t="s">
        <v>5</v>
      </c>
      <c r="E22" t="s">
        <v>6</v>
      </c>
      <c r="F22" t="s">
        <v>16</v>
      </c>
      <c r="H22" t="s">
        <v>3</v>
      </c>
      <c r="I22" t="s">
        <v>17</v>
      </c>
      <c r="J22" t="s">
        <v>4</v>
      </c>
      <c r="K22" t="s">
        <v>5</v>
      </c>
      <c r="L22" t="s">
        <v>6</v>
      </c>
      <c r="M22" t="s">
        <v>16</v>
      </c>
    </row>
    <row r="23" spans="1:14" x14ac:dyDescent="0.35">
      <c r="A23">
        <v>297.93714070351803</v>
      </c>
      <c r="B23">
        <v>2.5940027253179698</v>
      </c>
      <c r="C23">
        <v>6.7524539391594702</v>
      </c>
      <c r="D23">
        <v>118467.08828130399</v>
      </c>
      <c r="E23">
        <v>746.39783130215801</v>
      </c>
      <c r="F23">
        <v>597</v>
      </c>
      <c r="H23">
        <v>508.54991846757798</v>
      </c>
      <c r="I23">
        <v>2.58238408545418</v>
      </c>
      <c r="J23">
        <v>6.6917285621895903</v>
      </c>
      <c r="K23">
        <v>344983.27317808301</v>
      </c>
      <c r="L23">
        <v>1268.7017900183801</v>
      </c>
      <c r="M23">
        <v>257</v>
      </c>
    </row>
    <row r="25" spans="1:14" x14ac:dyDescent="0.35">
      <c r="A25" t="s">
        <v>14</v>
      </c>
      <c r="B25">
        <f>(E23 - A23*B23)/(D23-A23*A23)</f>
        <v>-8.906207130246112E-4</v>
      </c>
      <c r="D25" t="s">
        <v>18</v>
      </c>
      <c r="E25">
        <f>(-1)/B25</f>
        <v>1122.8124221408787</v>
      </c>
      <c r="H25" t="s">
        <v>14</v>
      </c>
      <c r="I25">
        <f>(L23 - H23*I23)/(K23-H23*H23)</f>
        <v>-5.1608725346409989E-4</v>
      </c>
      <c r="K25" t="s">
        <v>18</v>
      </c>
      <c r="L25">
        <f>(-1)/I25</f>
        <v>1937.6568463719325</v>
      </c>
    </row>
    <row r="26" spans="1:14" x14ac:dyDescent="0.35">
      <c r="A26" t="s">
        <v>15</v>
      </c>
      <c r="B26">
        <f>SQRT(((C23-B23*B23)/(D23-A23*A23)) - (B25*B25))/SQRT(F23)</f>
        <v>1.5960676443341134E-6</v>
      </c>
      <c r="D26" t="s">
        <v>19</v>
      </c>
      <c r="E26">
        <f>B26/(B25*B25)</f>
        <v>2.0121748252961975</v>
      </c>
      <c r="H26" t="s">
        <v>15</v>
      </c>
      <c r="I26">
        <f>SQRT(((J23-I23*I23)/(K23-H23*H23)) - (I25*I25))/SQRT(M23)</f>
        <v>9.3214340632425284E-7</v>
      </c>
      <c r="K26" t="s">
        <v>19</v>
      </c>
      <c r="L26">
        <f>I26/(I25*I25)</f>
        <v>3.4997455196600469</v>
      </c>
    </row>
    <row r="28" spans="1:14" x14ac:dyDescent="0.35">
      <c r="A28" t="s">
        <v>20</v>
      </c>
      <c r="B28">
        <f>(-B25*$B$2*$B$3*10^(-4))/2</f>
        <v>2.9390483529812168E-4</v>
      </c>
      <c r="C28" t="s">
        <v>21</v>
      </c>
      <c r="H28" t="s">
        <v>20</v>
      </c>
      <c r="I28">
        <f>(-I25*$B$2*$B$3*10^(-4))/2</f>
        <v>1.7030879364315297E-4</v>
      </c>
      <c r="J28" t="s">
        <v>21</v>
      </c>
    </row>
    <row r="29" spans="1:14" x14ac:dyDescent="0.35">
      <c r="B29">
        <f>B28*10000</f>
        <v>2.9390483529812168</v>
      </c>
      <c r="C29" t="s">
        <v>22</v>
      </c>
      <c r="D29" t="s">
        <v>23</v>
      </c>
      <c r="E29">
        <f>B29*SQRT((B26/B25)^2 + ($F$2/$B$2)^2 + ($F$3/$B$3)^2)</f>
        <v>0.27715513291125321</v>
      </c>
      <c r="F29" t="s">
        <v>22</v>
      </c>
      <c r="I29">
        <f>I28*10000</f>
        <v>1.7030879364315297</v>
      </c>
      <c r="J29" t="s">
        <v>22</v>
      </c>
      <c r="K29" t="s">
        <v>23</v>
      </c>
      <c r="L29">
        <f>I29*SQRT((I26/I25)^2 + ($F$2/$B$2)^2 + ($F$3/$B$3)^2)</f>
        <v>0.16060331515266255</v>
      </c>
      <c r="M29" t="s">
        <v>22</v>
      </c>
    </row>
    <row r="31" spans="1:14" x14ac:dyDescent="0.35">
      <c r="A31" t="s">
        <v>28</v>
      </c>
      <c r="H31" t="s">
        <v>34</v>
      </c>
      <c r="N31" t="s">
        <v>48</v>
      </c>
    </row>
    <row r="32" spans="1:14" x14ac:dyDescent="0.35">
      <c r="A32" t="s">
        <v>29</v>
      </c>
      <c r="B32">
        <f>(101 - 95.75)/100</f>
        <v>5.2499999999999998E-2</v>
      </c>
      <c r="C32" t="s">
        <v>27</v>
      </c>
      <c r="D32">
        <f>B32*735.6</f>
        <v>38.619</v>
      </c>
      <c r="E32" t="s">
        <v>1</v>
      </c>
      <c r="H32" t="s">
        <v>35</v>
      </c>
      <c r="I32" t="s">
        <v>36</v>
      </c>
      <c r="J32" t="s">
        <v>37</v>
      </c>
      <c r="K32" t="s">
        <v>38</v>
      </c>
    </row>
    <row r="33" spans="1:19" x14ac:dyDescent="0.35">
      <c r="A33" t="s">
        <v>30</v>
      </c>
      <c r="B33">
        <f>(101 - 93.5)/100</f>
        <v>7.4999999999999997E-2</v>
      </c>
      <c r="C33" t="s">
        <v>27</v>
      </c>
      <c r="D33">
        <f t="shared" ref="D33:D36" si="0">B33*735.6</f>
        <v>55.17</v>
      </c>
      <c r="E33" t="s">
        <v>1</v>
      </c>
      <c r="H33">
        <f>1/D32</f>
        <v>2.5893990004919858E-2</v>
      </c>
      <c r="I33">
        <f>$B$16</f>
        <v>9.9443615358765491</v>
      </c>
      <c r="J33">
        <f>$L$4/(D32*D32)</f>
        <v>1.2330471430914219E-3</v>
      </c>
      <c r="K33">
        <f>$E$16</f>
        <v>0.93825801287743416</v>
      </c>
      <c r="O33" t="s">
        <v>42</v>
      </c>
      <c r="P33">
        <f>SQRT((8*8.31*293)/(PI()*4*10^(-3)))</f>
        <v>1245.0144257613074</v>
      </c>
    </row>
    <row r="34" spans="1:19" x14ac:dyDescent="0.35">
      <c r="A34" t="s">
        <v>31</v>
      </c>
      <c r="B34">
        <f>(101 - 88.5)/100</f>
        <v>0.125</v>
      </c>
      <c r="C34" t="s">
        <v>27</v>
      </c>
      <c r="D34">
        <f t="shared" si="0"/>
        <v>91.95</v>
      </c>
      <c r="E34" t="s">
        <v>1</v>
      </c>
      <c r="H34">
        <f t="shared" ref="H34:H37" si="1">1/D33</f>
        <v>1.8125793003443899E-2</v>
      </c>
      <c r="I34">
        <f>$I$16</f>
        <v>6.9146251465687492</v>
      </c>
      <c r="J34">
        <f t="shared" ref="J34:J37" si="2">$L$4/(D33*D33)</f>
        <v>6.0419310011479671E-4</v>
      </c>
      <c r="K34">
        <f>$L$16</f>
        <v>0.65203162368321299</v>
      </c>
    </row>
    <row r="35" spans="1:19" x14ac:dyDescent="0.35">
      <c r="A35" t="s">
        <v>32</v>
      </c>
      <c r="B35">
        <f>(101 - 82.25)/100</f>
        <v>0.1875</v>
      </c>
      <c r="C35" t="s">
        <v>27</v>
      </c>
      <c r="D35">
        <f t="shared" si="0"/>
        <v>137.92500000000001</v>
      </c>
      <c r="E35" t="s">
        <v>1</v>
      </c>
      <c r="H35">
        <f t="shared" si="1"/>
        <v>1.0875475802066339E-2</v>
      </c>
      <c r="I35">
        <f>$P$16</f>
        <v>4.1565603407909695</v>
      </c>
      <c r="J35">
        <f t="shared" si="2"/>
        <v>2.1750951604132684E-4</v>
      </c>
      <c r="K35">
        <f>$S$16</f>
        <v>0.39197432155497197</v>
      </c>
      <c r="O35" t="s">
        <v>44</v>
      </c>
      <c r="P35">
        <f>3*I48*10^(-4)/P33</f>
        <v>1.4192079862475504E-7</v>
      </c>
    </row>
    <row r="36" spans="1:19" x14ac:dyDescent="0.35">
      <c r="A36" t="s">
        <v>33</v>
      </c>
      <c r="B36">
        <f>(101 - 69.75)/100</f>
        <v>0.3125</v>
      </c>
      <c r="C36" t="s">
        <v>27</v>
      </c>
      <c r="D36">
        <f t="shared" si="0"/>
        <v>229.875</v>
      </c>
      <c r="E36" t="s">
        <v>1</v>
      </c>
      <c r="H36">
        <f t="shared" si="1"/>
        <v>7.2503172013775596E-3</v>
      </c>
      <c r="I36">
        <f>$B$29</f>
        <v>2.9390483529812168</v>
      </c>
      <c r="J36">
        <f t="shared" si="2"/>
        <v>9.6670896018367461E-5</v>
      </c>
      <c r="K36">
        <f>$E$29</f>
        <v>0.27715513291125321</v>
      </c>
      <c r="O36" t="s">
        <v>45</v>
      </c>
      <c r="P36">
        <f>0.23 * 10^(-6)</f>
        <v>2.2999999999999999E-7</v>
      </c>
      <c r="R36" t="s">
        <v>43</v>
      </c>
      <c r="S36">
        <f>(P36-P35)/P36</f>
        <v>0.38295304945758679</v>
      </c>
    </row>
    <row r="37" spans="1:19" x14ac:dyDescent="0.35">
      <c r="H37">
        <f t="shared" si="1"/>
        <v>4.3501903208265358E-3</v>
      </c>
      <c r="I37">
        <f>$I$29</f>
        <v>1.7030879364315297</v>
      </c>
      <c r="J37">
        <f t="shared" si="2"/>
        <v>3.4801522566612291E-5</v>
      </c>
      <c r="K37">
        <f>$L$29</f>
        <v>0.16060331515266255</v>
      </c>
    </row>
    <row r="39" spans="1:19" x14ac:dyDescent="0.35">
      <c r="H39">
        <f>H33*1000</f>
        <v>25.893990004919857</v>
      </c>
      <c r="J39">
        <f t="shared" ref="I39:J39" si="3">J33*1000</f>
        <v>1.2330471430914218</v>
      </c>
      <c r="O39" t="s">
        <v>46</v>
      </c>
      <c r="P39">
        <f>(1.38*10^(-23)*293)/(P35*133.3*753.35)</f>
        <v>2.8370939546663149E-19</v>
      </c>
      <c r="Q39" t="s">
        <v>47</v>
      </c>
    </row>
    <row r="40" spans="1:19" x14ac:dyDescent="0.35">
      <c r="H40">
        <f>H34*1000</f>
        <v>18.125793003443899</v>
      </c>
      <c r="J40">
        <f t="shared" ref="I40:J40" si="4">J34*1000</f>
        <v>0.60419310011479666</v>
      </c>
    </row>
    <row r="41" spans="1:19" x14ac:dyDescent="0.35">
      <c r="H41">
        <f>H35*1000</f>
        <v>10.87547580206634</v>
      </c>
      <c r="J41">
        <f t="shared" ref="I41:J41" si="5">J35*1000</f>
        <v>0.21750951604132684</v>
      </c>
    </row>
    <row r="42" spans="1:19" x14ac:dyDescent="0.35">
      <c r="H42">
        <f>H36*1000</f>
        <v>7.2503172013775599</v>
      </c>
      <c r="J42">
        <f t="shared" ref="I42:J42" si="6">J36*1000</f>
        <v>9.6670896018367466E-2</v>
      </c>
    </row>
    <row r="43" spans="1:19" x14ac:dyDescent="0.35">
      <c r="H43">
        <f>H37*1000</f>
        <v>4.3501903208265356</v>
      </c>
      <c r="J43">
        <f t="shared" ref="I43:J43" si="7">J37*1000</f>
        <v>3.4801522566612293E-2</v>
      </c>
    </row>
    <row r="48" spans="1:19" x14ac:dyDescent="0.35">
      <c r="C48" t="s">
        <v>41</v>
      </c>
      <c r="H48">
        <f>1/753.35</f>
        <v>1.3274042609676777E-3</v>
      </c>
      <c r="I48">
        <f>FORECAST(H48,I33:I37,H33:H37)</f>
        <v>0.58897813867795179</v>
      </c>
      <c r="J48" t="s">
        <v>22</v>
      </c>
    </row>
    <row r="50" spans="3:9" x14ac:dyDescent="0.35">
      <c r="C50" t="s">
        <v>40</v>
      </c>
      <c r="E50">
        <v>0.62</v>
      </c>
      <c r="F50" t="s">
        <v>22</v>
      </c>
      <c r="H50" t="s">
        <v>43</v>
      </c>
      <c r="I50">
        <f>(E50-I48)/E50</f>
        <v>5.0035260196851943E-2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Sokolov</dc:creator>
  <cp:lastModifiedBy>Igor Sokolov</cp:lastModifiedBy>
  <dcterms:created xsi:type="dcterms:W3CDTF">2023-04-21T17:09:36Z</dcterms:created>
  <dcterms:modified xsi:type="dcterms:W3CDTF">2023-04-21T19:22:12Z</dcterms:modified>
</cp:coreProperties>
</file>