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olub\Desktop\ЛАБЫ\2 Семестр\2.2.6\"/>
    </mc:Choice>
  </mc:AlternateContent>
  <xr:revisionPtr revIDLastSave="0" documentId="13_ncr:1_{A7D8FC5F-D845-47A1-9029-0B0B19DD1AD7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E53" i="1"/>
  <c r="D53" i="1"/>
  <c r="C53" i="1"/>
  <c r="B53" i="1"/>
  <c r="E42" i="1"/>
  <c r="D42" i="1"/>
  <c r="C42" i="1"/>
  <c r="B42" i="1"/>
  <c r="E31" i="1"/>
  <c r="D31" i="1"/>
  <c r="C31" i="1"/>
  <c r="B31" i="1"/>
  <c r="E20" i="1"/>
  <c r="D20" i="1"/>
  <c r="C20" i="1"/>
  <c r="B20" i="1"/>
  <c r="B10" i="1"/>
  <c r="E9" i="1"/>
  <c r="D9" i="1"/>
  <c r="C9" i="1"/>
  <c r="B9" i="1"/>
  <c r="E52" i="1"/>
  <c r="D52" i="1"/>
  <c r="C52" i="1"/>
  <c r="B52" i="1"/>
  <c r="E41" i="1"/>
  <c r="D41" i="1"/>
  <c r="C41" i="1"/>
  <c r="B41" i="1"/>
  <c r="E30" i="1"/>
  <c r="D30" i="1"/>
  <c r="C30" i="1"/>
  <c r="B30" i="1"/>
  <c r="E19" i="1"/>
  <c r="D19" i="1"/>
  <c r="C19" i="1"/>
  <c r="B19" i="1"/>
  <c r="E8" i="1"/>
  <c r="D8" i="1"/>
  <c r="C8" i="1"/>
  <c r="B8" i="1"/>
  <c r="B54" i="1"/>
  <c r="Q19" i="1"/>
  <c r="H52" i="1"/>
  <c r="H54" i="1" s="1"/>
  <c r="T14" i="1" s="1"/>
  <c r="H41" i="1"/>
  <c r="H30" i="1"/>
  <c r="H19" i="1"/>
  <c r="H21" i="1" s="1"/>
  <c r="T11" i="1" s="1"/>
  <c r="H8" i="1"/>
  <c r="H10" i="1" s="1"/>
  <c r="T10" i="1" s="1"/>
  <c r="E40" i="1"/>
  <c r="D40" i="1"/>
  <c r="E29" i="1"/>
  <c r="D29" i="1"/>
  <c r="S14" i="1"/>
  <c r="S13" i="1"/>
  <c r="S12" i="1"/>
  <c r="S11" i="1"/>
  <c r="S10" i="1"/>
  <c r="H53" i="1"/>
  <c r="H20" i="1"/>
  <c r="H9" i="1"/>
  <c r="C7" i="1"/>
  <c r="E51" i="1"/>
  <c r="D51" i="1"/>
  <c r="C51" i="1"/>
  <c r="B51" i="1"/>
  <c r="C40" i="1"/>
  <c r="B40" i="1"/>
  <c r="C29" i="1"/>
  <c r="B29" i="1"/>
  <c r="E18" i="1"/>
  <c r="D18" i="1"/>
  <c r="C18" i="1"/>
  <c r="B18" i="1"/>
  <c r="E7" i="1"/>
  <c r="D7" i="1"/>
  <c r="B7" i="1"/>
  <c r="M6" i="1"/>
  <c r="L17" i="1"/>
  <c r="O11" i="1"/>
  <c r="O12" i="1"/>
  <c r="O13" i="1"/>
  <c r="O14" i="1"/>
  <c r="O10" i="1"/>
  <c r="O17" i="1" s="1"/>
  <c r="L14" i="1"/>
  <c r="L13" i="1"/>
  <c r="L12" i="1"/>
  <c r="L11" i="1"/>
  <c r="L10" i="1"/>
  <c r="B28" i="1"/>
  <c r="E50" i="1"/>
  <c r="D50" i="1"/>
  <c r="C50" i="1"/>
  <c r="B50" i="1"/>
  <c r="E39" i="1"/>
  <c r="D39" i="1"/>
  <c r="C39" i="1"/>
  <c r="B39" i="1"/>
  <c r="E28" i="1"/>
  <c r="D28" i="1"/>
  <c r="C28" i="1"/>
  <c r="E17" i="1"/>
  <c r="D17" i="1"/>
  <c r="C17" i="1"/>
  <c r="B17" i="1"/>
  <c r="C6" i="1"/>
  <c r="D6" i="1"/>
  <c r="E6" i="1"/>
  <c r="B6" i="1"/>
  <c r="D10" i="1" l="1"/>
  <c r="E32" i="1"/>
  <c r="D32" i="1"/>
  <c r="E10" i="1"/>
  <c r="C10" i="1"/>
  <c r="C43" i="1"/>
  <c r="H29" i="1"/>
  <c r="H31" i="1" s="1"/>
  <c r="E21" i="1"/>
  <c r="D43" i="1"/>
  <c r="E43" i="1"/>
  <c r="C21" i="1"/>
  <c r="D21" i="1"/>
  <c r="D54" i="1"/>
  <c r="H51" i="1"/>
  <c r="C54" i="1"/>
  <c r="B43" i="1"/>
  <c r="H40" i="1"/>
  <c r="H42" i="1" s="1"/>
  <c r="C32" i="1"/>
  <c r="B32" i="1"/>
  <c r="H18" i="1"/>
  <c r="B21" i="1"/>
  <c r="H7" i="1"/>
  <c r="M14" i="1" l="1"/>
  <c r="H43" i="1"/>
  <c r="T13" i="1" s="1"/>
  <c r="M13" i="1"/>
  <c r="H32" i="1"/>
  <c r="T12" i="1" s="1"/>
  <c r="M12" i="1"/>
  <c r="M11" i="1"/>
  <c r="M10" i="1"/>
  <c r="Q14" i="1" l="1"/>
  <c r="P14" i="1"/>
  <c r="Q13" i="1"/>
  <c r="P13" i="1"/>
  <c r="P12" i="1"/>
  <c r="Q12" i="1"/>
  <c r="Q11" i="1"/>
  <c r="P11" i="1"/>
  <c r="Q10" i="1"/>
  <c r="M17" i="1"/>
  <c r="P10" i="1"/>
  <c r="Q17" i="1" l="1"/>
  <c r="M19" i="1" s="1"/>
  <c r="P17" i="1"/>
  <c r="M20" i="1" l="1"/>
  <c r="Q20" i="1" s="1"/>
</calcChain>
</file>

<file path=xl/sharedStrings.xml><?xml version="1.0" encoding="utf-8"?>
<sst xmlns="http://schemas.openxmlformats.org/spreadsheetml/2006/main" count="86" uniqueCount="41">
  <si>
    <t>T=295.0</t>
  </si>
  <si>
    <t>S=</t>
  </si>
  <si>
    <t>РО_жел</t>
  </si>
  <si>
    <t>РО_стек</t>
  </si>
  <si>
    <t>d</t>
  </si>
  <si>
    <t>t</t>
  </si>
  <si>
    <t>Vуст</t>
  </si>
  <si>
    <t>эта</t>
  </si>
  <si>
    <t>Re</t>
  </si>
  <si>
    <t>Sуст</t>
  </si>
  <si>
    <t>тау</t>
  </si>
  <si>
    <t>&lt;эта&gt;</t>
  </si>
  <si>
    <t>сигмаЭта</t>
  </si>
  <si>
    <t>Dвнутр</t>
  </si>
  <si>
    <t>T=304,0</t>
  </si>
  <si>
    <t>T=313,3</t>
  </si>
  <si>
    <t>T=323,3</t>
  </si>
  <si>
    <t>T=333,2</t>
  </si>
  <si>
    <t>1/T</t>
  </si>
  <si>
    <t>lnЭта</t>
  </si>
  <si>
    <t>1/T^2</t>
  </si>
  <si>
    <t>lnЭ^2</t>
  </si>
  <si>
    <t>TlnЭ</t>
  </si>
  <si>
    <t>&lt;1/T&gt;</t>
  </si>
  <si>
    <t>&lt;lnЭ&gt;</t>
  </si>
  <si>
    <t>&lt;1/T^2&gt;</t>
  </si>
  <si>
    <t>&lt;lnЭ^2&gt;</t>
  </si>
  <si>
    <t>&lt;TlnЭ&gt;</t>
  </si>
  <si>
    <t>W=</t>
  </si>
  <si>
    <t>Накл=</t>
  </si>
  <si>
    <t>k=</t>
  </si>
  <si>
    <t>сигмаW=</t>
  </si>
  <si>
    <t>сигмаНа=</t>
  </si>
  <si>
    <t>сигма_t=</t>
  </si>
  <si>
    <t>сигма_d=</t>
  </si>
  <si>
    <t>сигма_T=</t>
  </si>
  <si>
    <t>случЭта</t>
  </si>
  <si>
    <t>систЭта</t>
  </si>
  <si>
    <t>сигма_S=</t>
  </si>
  <si>
    <t>КРЕСТЫ</t>
  </si>
  <si>
    <t>lnЭ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</si>
</sst>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"/>
  <sheetViews>
    <sheetView tabSelected="1" topLeftCell="A28" zoomScaleNormal="100" workbookViewId="0">
      <selection activeCell="E54" sqref="E54"/>
    </sheetView>
  </sheetViews>
  <sheetFormatPr defaultRowHeight="16" customHeight="1" x14ac:dyDescent="0.35"/>
  <cols>
    <col min="13" max="13" width="12" bestFit="1" customWidth="1"/>
    <col min="15" max="15" width="11" bestFit="1" customWidth="1"/>
    <col min="17" max="17" width="10.81640625" customWidth="1"/>
    <col min="19" max="19" width="12" bestFit="1" customWidth="1"/>
  </cols>
  <sheetData>
    <row r="1" spans="1:20" ht="16" customHeight="1" x14ac:dyDescent="0.35">
      <c r="A1" t="s">
        <v>1</v>
      </c>
      <c r="B1">
        <v>20</v>
      </c>
      <c r="F1" t="s">
        <v>2</v>
      </c>
      <c r="G1">
        <v>7.8</v>
      </c>
      <c r="I1" t="s">
        <v>13</v>
      </c>
      <c r="J1">
        <v>26.5</v>
      </c>
      <c r="L1" t="s">
        <v>35</v>
      </c>
      <c r="M1">
        <v>0.1</v>
      </c>
    </row>
    <row r="2" spans="1:20" ht="16" customHeight="1" x14ac:dyDescent="0.35">
      <c r="F2" t="s">
        <v>3</v>
      </c>
      <c r="G2">
        <v>2.5</v>
      </c>
      <c r="L2" t="s">
        <v>34</v>
      </c>
      <c r="M2">
        <v>0.02</v>
      </c>
    </row>
    <row r="3" spans="1:20" ht="16" customHeight="1" x14ac:dyDescent="0.35">
      <c r="B3" t="s">
        <v>0</v>
      </c>
      <c r="D3">
        <v>1.26</v>
      </c>
      <c r="L3" t="s">
        <v>33</v>
      </c>
      <c r="M3">
        <v>0.1</v>
      </c>
    </row>
    <row r="4" spans="1:20" ht="16" customHeight="1" x14ac:dyDescent="0.35">
      <c r="A4" t="s">
        <v>4</v>
      </c>
      <c r="B4">
        <v>0.68</v>
      </c>
      <c r="C4">
        <v>0.82</v>
      </c>
      <c r="D4">
        <v>2.06</v>
      </c>
      <c r="E4">
        <v>1.94</v>
      </c>
      <c r="L4" t="s">
        <v>38</v>
      </c>
      <c r="M4">
        <v>0.1</v>
      </c>
    </row>
    <row r="5" spans="1:20" ht="16" customHeight="1" x14ac:dyDescent="0.35">
      <c r="A5" t="s">
        <v>5</v>
      </c>
      <c r="B5">
        <v>139</v>
      </c>
      <c r="C5">
        <v>81</v>
      </c>
      <c r="D5">
        <v>72</v>
      </c>
      <c r="E5">
        <v>71</v>
      </c>
    </row>
    <row r="6" spans="1:20" ht="16" customHeight="1" x14ac:dyDescent="0.35">
      <c r="A6" t="s">
        <v>6</v>
      </c>
      <c r="B6">
        <f>$B$1/B5*10</f>
        <v>1.4388489208633093</v>
      </c>
      <c r="C6">
        <f t="shared" ref="C6:E6" si="0">$B$1/C5*10</f>
        <v>2.4691358024691357</v>
      </c>
      <c r="D6">
        <f t="shared" si="0"/>
        <v>2.7777777777777777</v>
      </c>
      <c r="E6">
        <f t="shared" si="0"/>
        <v>2.8169014084507045</v>
      </c>
      <c r="L6" t="s">
        <v>30</v>
      </c>
      <c r="M6">
        <f>1.38*10^(-23)</f>
        <v>1.3800000000000001E-23</v>
      </c>
    </row>
    <row r="7" spans="1:20" ht="16" customHeight="1" x14ac:dyDescent="0.35">
      <c r="A7" t="s">
        <v>7</v>
      </c>
      <c r="B7">
        <f>2*9.81*B4^2*($G$1-$D$3)/(9*4*B6)*10</f>
        <v>11.454519624000003</v>
      </c>
      <c r="C7">
        <f>2*9.81*C4^2*($G$1-$D$3)/(9*4*C6)*10</f>
        <v>9.7063730459999995</v>
      </c>
      <c r="D7">
        <f>2*9.81*D4^2*($G$2-$D$3)/(9*4*D6)/(1+2.4*(D4/$J$1))*10</f>
        <v>8.7008807261162708</v>
      </c>
      <c r="E7">
        <f>2*9.81*E4^2*($G$2-$D$3)/(9*4*E6)/(1+2.4*(E4/$J$1))*10</f>
        <v>7.6798754906278068</v>
      </c>
      <c r="G7" t="s">
        <v>11</v>
      </c>
      <c r="H7">
        <f>AVERAGE(B7:E7)</f>
        <v>9.3854122216860194</v>
      </c>
      <c r="S7" t="s">
        <v>39</v>
      </c>
    </row>
    <row r="8" spans="1:20" ht="16" customHeight="1" x14ac:dyDescent="0.35">
      <c r="A8" t="s">
        <v>8</v>
      </c>
      <c r="B8">
        <f>B6*B4/2*$D$3/B7/100</f>
        <v>5.3813070991325367E-4</v>
      </c>
      <c r="C8">
        <f>C6*C4/2*$D$3/C7/100</f>
        <v>1.3141423160953126E-3</v>
      </c>
      <c r="D8">
        <f>D6*D4/2*$D$3/D7/100</f>
        <v>4.1432587268773304E-3</v>
      </c>
      <c r="E8">
        <f>E6*E4/2*$D$3/E7/100</f>
        <v>4.4829071846411031E-3</v>
      </c>
      <c r="G8" t="s">
        <v>36</v>
      </c>
      <c r="H8">
        <f>SQRT(SUM((B7-H7)^2,(C7-H7)^2,(D7-H7)^2,(E7-H7)^2)/(4*3))</f>
        <v>0.80424188952860654</v>
      </c>
      <c r="L8" t="s">
        <v>18</v>
      </c>
      <c r="M8" t="s">
        <v>19</v>
      </c>
      <c r="O8" t="s">
        <v>20</v>
      </c>
      <c r="P8" t="s">
        <v>21</v>
      </c>
      <c r="Q8" t="s">
        <v>22</v>
      </c>
      <c r="S8" t="s">
        <v>18</v>
      </c>
      <c r="T8" t="s">
        <v>40</v>
      </c>
    </row>
    <row r="9" spans="1:20" ht="16" customHeight="1" x14ac:dyDescent="0.35">
      <c r="A9" t="s">
        <v>10</v>
      </c>
      <c r="B9">
        <f>2*B4^2/4*$G$1/(9*B7)/100</f>
        <v>1.7492949500344174E-4</v>
      </c>
      <c r="C9">
        <f>2*C4^2/4*$G$1/(9*C7)/100</f>
        <v>3.0018765191948643E-4</v>
      </c>
      <c r="D9">
        <f>2*D4^2/4*$G$2/(9*D7)/100</f>
        <v>6.7738991883867466E-4</v>
      </c>
      <c r="E9">
        <f>2*E4^2/4*$G$2/(9*E7)/100</f>
        <v>6.8063892814425211E-4</v>
      </c>
      <c r="G9" t="s">
        <v>37</v>
      </c>
      <c r="H9">
        <f>H7*SQRT(4*($M$2/D4)^2 + ($M$3/D5)^2 + ($M$4/$B$1)^2)</f>
        <v>0.18863683405464093</v>
      </c>
    </row>
    <row r="10" spans="1:20" ht="16" customHeight="1" x14ac:dyDescent="0.35">
      <c r="A10" t="s">
        <v>9</v>
      </c>
      <c r="B10">
        <f>B6*B9</f>
        <v>2.516971151128658E-4</v>
      </c>
      <c r="C10">
        <f t="shared" ref="C10:E10" si="1">C6*C9</f>
        <v>7.412040788135467E-4</v>
      </c>
      <c r="D10">
        <f t="shared" si="1"/>
        <v>1.881638663440763E-3</v>
      </c>
      <c r="E10">
        <f t="shared" si="1"/>
        <v>1.9172927553359215E-3</v>
      </c>
      <c r="G10" t="s">
        <v>12</v>
      </c>
      <c r="H10">
        <f>SQRT(H8*H8+H9*H9)</f>
        <v>0.8260683216506377</v>
      </c>
      <c r="L10">
        <f>1/295</f>
        <v>3.3898305084745762E-3</v>
      </c>
      <c r="M10">
        <f>LN(H7)</f>
        <v>2.2391565925353483</v>
      </c>
      <c r="O10">
        <f>L10*L10</f>
        <v>1.1490950876185003E-5</v>
      </c>
      <c r="P10">
        <f>M10*M10</f>
        <v>5.0138222458945121</v>
      </c>
      <c r="Q10">
        <f>L10*M10</f>
        <v>7.5903613306282994E-3</v>
      </c>
      <c r="S10">
        <f>$M$1/295*L10</f>
        <v>1.1490950876185005E-6</v>
      </c>
      <c r="T10">
        <f>H10/H7</f>
        <v>8.801620026256457E-2</v>
      </c>
    </row>
    <row r="11" spans="1:20" ht="16" customHeight="1" x14ac:dyDescent="0.35">
      <c r="L11">
        <f>1/304</f>
        <v>3.2894736842105261E-3</v>
      </c>
      <c r="M11">
        <f>LN(H18)</f>
        <v>1.5316138227187366</v>
      </c>
      <c r="O11">
        <f t="shared" ref="O11:O14" si="2">L11*L11</f>
        <v>1.0820637119113572E-5</v>
      </c>
      <c r="P11">
        <f t="shared" ref="P11:P14" si="3">M11*M11</f>
        <v>2.3458409019431015</v>
      </c>
      <c r="Q11">
        <f t="shared" ref="Q11:Q14" si="4">L11*M11</f>
        <v>5.0382033642063697E-3</v>
      </c>
      <c r="S11">
        <f>$M$1/304*L11</f>
        <v>1.0820637119113572E-6</v>
      </c>
      <c r="T11">
        <f>H21/H18</f>
        <v>0.12282289946294818</v>
      </c>
    </row>
    <row r="12" spans="1:20" ht="16" customHeight="1" x14ac:dyDescent="0.35">
      <c r="L12">
        <f>1/313.3</f>
        <v>3.1918289179699967E-3</v>
      </c>
      <c r="M12">
        <f>LN(H29)</f>
        <v>0.8095592570457365</v>
      </c>
      <c r="O12">
        <f t="shared" si="2"/>
        <v>1.018777184158952E-5</v>
      </c>
      <c r="P12">
        <f t="shared" si="3"/>
        <v>0.65538619066844483</v>
      </c>
      <c r="Q12">
        <f t="shared" si="4"/>
        <v>2.5839746474488876E-3</v>
      </c>
      <c r="S12">
        <f>$M$1/313.3*L12</f>
        <v>1.018777184158952E-6</v>
      </c>
      <c r="T12">
        <f>H32/H29</f>
        <v>0.12910570465841417</v>
      </c>
    </row>
    <row r="13" spans="1:20" ht="16" customHeight="1" x14ac:dyDescent="0.35">
      <c r="L13">
        <f>1/323.3</f>
        <v>3.0931023816888337E-3</v>
      </c>
      <c r="M13">
        <f>LN(H40)</f>
        <v>0.16746356935929524</v>
      </c>
      <c r="O13">
        <f t="shared" si="2"/>
        <v>9.5672823436091351E-6</v>
      </c>
      <c r="P13">
        <f t="shared" si="3"/>
        <v>2.8044047062555488E-2</v>
      </c>
      <c r="Q13">
        <f t="shared" si="4"/>
        <v>5.1798196523134932E-4</v>
      </c>
      <c r="S13">
        <f>$M$1/323.3*L13</f>
        <v>9.5672823436091377E-7</v>
      </c>
      <c r="T13">
        <f>H43/H40</f>
        <v>7.8826640203536746E-2</v>
      </c>
    </row>
    <row r="14" spans="1:20" ht="16" customHeight="1" x14ac:dyDescent="0.35">
      <c r="B14" t="s">
        <v>14</v>
      </c>
      <c r="D14">
        <v>1.256</v>
      </c>
      <c r="L14">
        <f>1/333.2</f>
        <v>3.0012004801920769E-3</v>
      </c>
      <c r="M14">
        <f>LN(H51)</f>
        <v>-0.28779988861508593</v>
      </c>
      <c r="O14">
        <f t="shared" si="2"/>
        <v>9.0072043223051539E-6</v>
      </c>
      <c r="P14">
        <f t="shared" si="3"/>
        <v>8.2828775886855874E-2</v>
      </c>
      <c r="Q14">
        <f t="shared" si="4"/>
        <v>-8.6374516391082216E-4</v>
      </c>
      <c r="S14">
        <f>$M$1/333.2*L14</f>
        <v>9.0072043223051537E-7</v>
      </c>
      <c r="T14">
        <f>H54/H51</f>
        <v>9.0367435607033919E-2</v>
      </c>
    </row>
    <row r="15" spans="1:20" ht="16" customHeight="1" x14ac:dyDescent="0.35">
      <c r="A15" t="s">
        <v>4</v>
      </c>
      <c r="B15">
        <v>0.8</v>
      </c>
      <c r="C15">
        <v>0.86</v>
      </c>
      <c r="D15">
        <v>1.96</v>
      </c>
      <c r="E15">
        <v>1.98</v>
      </c>
    </row>
    <row r="16" spans="1:20" ht="16" customHeight="1" x14ac:dyDescent="0.35">
      <c r="A16" t="s">
        <v>5</v>
      </c>
      <c r="B16">
        <v>54</v>
      </c>
      <c r="C16">
        <v>36</v>
      </c>
      <c r="D16">
        <v>34</v>
      </c>
      <c r="E16">
        <v>34</v>
      </c>
      <c r="L16" t="s">
        <v>23</v>
      </c>
      <c r="M16" t="s">
        <v>24</v>
      </c>
      <c r="O16" t="s">
        <v>25</v>
      </c>
      <c r="P16" t="s">
        <v>26</v>
      </c>
      <c r="Q16" t="s">
        <v>27</v>
      </c>
    </row>
    <row r="17" spans="1:17" ht="16" customHeight="1" x14ac:dyDescent="0.35">
      <c r="A17" t="s">
        <v>6</v>
      </c>
      <c r="B17">
        <f>$B$1/B16*10</f>
        <v>3.7037037037037033</v>
      </c>
      <c r="C17">
        <f t="shared" ref="C17" si="5">$B$1/C16*10</f>
        <v>5.5555555555555554</v>
      </c>
      <c r="D17">
        <f t="shared" ref="D17" si="6">$B$1/D16*10</f>
        <v>5.882352941176471</v>
      </c>
      <c r="E17">
        <f t="shared" ref="E17" si="7">$B$1/E16*10</f>
        <v>5.882352941176471</v>
      </c>
      <c r="L17">
        <f>AVERAGE(L10:L14)</f>
        <v>3.1930871945072018E-3</v>
      </c>
      <c r="M17">
        <f t="shared" ref="M17:Q17" si="8">AVERAGE(M10:M14)</f>
        <v>0.89199867060880622</v>
      </c>
      <c r="O17">
        <f t="shared" si="8"/>
        <v>1.0214769300560476E-5</v>
      </c>
      <c r="P17">
        <f t="shared" si="8"/>
        <v>1.625184432291094</v>
      </c>
      <c r="Q17">
        <f t="shared" si="8"/>
        <v>2.973355228720817E-3</v>
      </c>
    </row>
    <row r="18" spans="1:17" ht="16" customHeight="1" x14ac:dyDescent="0.35">
      <c r="A18" t="s">
        <v>7</v>
      </c>
      <c r="B18">
        <f>2*9.81*B15^2*($G$1-$D$14)/(9*4*B17)*10</f>
        <v>6.1628774400000008</v>
      </c>
      <c r="C18">
        <f>2*9.81*C15^2*($G$1-$D$14)/(9*4*C17)*10</f>
        <v>4.7479834943999997</v>
      </c>
      <c r="D18">
        <f>2*9.81*D15^2*($G$2-$D$14)/(9*4*D17)/(1+2.4*(D15/$J$1))*10</f>
        <v>3.760222566286374</v>
      </c>
      <c r="E18">
        <f>2*9.81*E15^2*($G$2-$D$14)/(9*4*E17)/(1+2.4*(E15/$J$1))*10</f>
        <v>3.831459531537182</v>
      </c>
      <c r="G18" t="s">
        <v>11</v>
      </c>
      <c r="H18">
        <f>AVERAGE(B18:E18)</f>
        <v>4.6256357580558891</v>
      </c>
    </row>
    <row r="19" spans="1:17" ht="16" customHeight="1" x14ac:dyDescent="0.35">
      <c r="A19" t="s">
        <v>8</v>
      </c>
      <c r="B19">
        <f>B17*B15/2*$D$14/B18/100</f>
        <v>3.0192726674453229E-3</v>
      </c>
      <c r="C19">
        <f>C17*C15/2*$D$14/C18/100</f>
        <v>6.3194079086064912E-3</v>
      </c>
      <c r="D19">
        <f>D17*D15/2*$D$14/D18/100</f>
        <v>1.9255430923563764E-2</v>
      </c>
      <c r="E19">
        <f>E17*E15/2*$D$14/E18/100</f>
        <v>1.9090252372421516E-2</v>
      </c>
      <c r="G19" t="s">
        <v>36</v>
      </c>
      <c r="H19">
        <f>SQRT(SUM((B18-H18)^2,(C18-H18)^2,(D18-H18)^2,(E18-H18)^2)/(4*3))</f>
        <v>0.55959336639437585</v>
      </c>
      <c r="L19" t="s">
        <v>29</v>
      </c>
      <c r="M19">
        <f>(Q17-L17*M17)/(O17-L17*L17)</f>
        <v>6598.2493590029007</v>
      </c>
      <c r="P19" t="s">
        <v>28</v>
      </c>
      <c r="Q19">
        <f>M6*M19</f>
        <v>9.1055841154240036E-20</v>
      </c>
    </row>
    <row r="20" spans="1:17" ht="16" customHeight="1" x14ac:dyDescent="0.35">
      <c r="A20" t="s">
        <v>10</v>
      </c>
      <c r="B20">
        <f>2*B15^2/4*$G$1/(9*B18)/100</f>
        <v>4.5000624470204186E-4</v>
      </c>
      <c r="C20">
        <f>2*C15^2/4*$G$1/(9*C18)/100</f>
        <v>6.7500936705306271E-4</v>
      </c>
      <c r="D20">
        <f>2*D15^2/4*$G$2/(9*D18)/100</f>
        <v>1.4189467409172517E-3</v>
      </c>
      <c r="E20">
        <f>2*E15^2/4*$G$2/(9*E18)/100</f>
        <v>1.4211294560680027E-3</v>
      </c>
      <c r="G20" t="s">
        <v>37</v>
      </c>
      <c r="H20">
        <f>H18*SQRT(4*($M$2/D15)^2 + ($M$3/D16)^2 + ($M$4/$B$1)^2)</f>
        <v>9.8140212535214086E-2</v>
      </c>
      <c r="L20" t="s">
        <v>32</v>
      </c>
      <c r="M20">
        <f>SQRT((P17-M17*M17)/(O17-L17*L17)-M19*M19)/SQRT(5)</f>
        <v>203.12807776553086</v>
      </c>
      <c r="P20" t="s">
        <v>31</v>
      </c>
      <c r="Q20">
        <f>Q19*M20/M19</f>
        <v>2.8031674731643264E-21</v>
      </c>
    </row>
    <row r="21" spans="1:17" ht="16" customHeight="1" x14ac:dyDescent="0.35">
      <c r="A21" t="s">
        <v>9</v>
      </c>
      <c r="B21">
        <f>B17*B20</f>
        <v>1.6666897951927474E-3</v>
      </c>
      <c r="C21">
        <f t="shared" ref="C21" si="9">C17*C20</f>
        <v>3.7500520391836817E-3</v>
      </c>
      <c r="D21">
        <f t="shared" ref="D21" si="10">D17*D20</f>
        <v>8.3467455348073642E-3</v>
      </c>
      <c r="E21">
        <f t="shared" ref="E21" si="11">E17*E20</f>
        <v>8.3595850356941344E-3</v>
      </c>
      <c r="G21" t="s">
        <v>12</v>
      </c>
      <c r="H21">
        <f>SQRT(H19*H19+H20*H20)</f>
        <v>0.56813399566391654</v>
      </c>
    </row>
    <row r="25" spans="1:17" ht="16" customHeight="1" x14ac:dyDescent="0.35">
      <c r="B25" t="s">
        <v>15</v>
      </c>
      <c r="D25">
        <v>1.252</v>
      </c>
    </row>
    <row r="26" spans="1:17" ht="16" customHeight="1" x14ac:dyDescent="0.35">
      <c r="A26" t="s">
        <v>4</v>
      </c>
      <c r="B26">
        <v>0.7</v>
      </c>
      <c r="C26">
        <v>0.86</v>
      </c>
      <c r="D26">
        <v>1.9</v>
      </c>
      <c r="E26">
        <v>1.93</v>
      </c>
    </row>
    <row r="27" spans="1:17" ht="16" customHeight="1" x14ac:dyDescent="0.35">
      <c r="A27" t="s">
        <v>5</v>
      </c>
      <c r="B27">
        <v>31</v>
      </c>
      <c r="C27">
        <v>21</v>
      </c>
      <c r="D27">
        <v>17</v>
      </c>
      <c r="E27">
        <v>16</v>
      </c>
    </row>
    <row r="28" spans="1:17" ht="16" customHeight="1" x14ac:dyDescent="0.35">
      <c r="A28" t="s">
        <v>6</v>
      </c>
      <c r="B28">
        <f>$B$1/B27*10</f>
        <v>6.4516129032258061</v>
      </c>
      <c r="C28">
        <f t="shared" ref="C28" si="12">$B$1/C27*10</f>
        <v>9.5238095238095237</v>
      </c>
      <c r="D28">
        <f t="shared" ref="D28" si="13">$B$1/D27*10</f>
        <v>11.764705882352942</v>
      </c>
      <c r="E28">
        <f t="shared" ref="E28" si="14">$B$1/E27*10</f>
        <v>12.5</v>
      </c>
    </row>
    <row r="29" spans="1:17" ht="16" customHeight="1" x14ac:dyDescent="0.35">
      <c r="A29" t="s">
        <v>7</v>
      </c>
      <c r="B29">
        <f>2*9.81*B26^2*($G$1-$D$25)/(9*4*B28)*10</f>
        <v>2.7103972700000001</v>
      </c>
      <c r="C29">
        <f>2*9.81*C26^2*($G$1-$D$25)/(9*4*C28)*10</f>
        <v>2.7713499828000003</v>
      </c>
      <c r="D29">
        <f>2*9.81*D26^2*($G$2-$D$25)/(9*4*D28)/(1+2.4*(D26/$J$1))*10</f>
        <v>1.7806626027044425</v>
      </c>
      <c r="E29">
        <f>2*9.81*E26^2*($G$2-$D$25)/(9*4*E28)/(1+2.4*(E26/$J$1))*10</f>
        <v>1.7252599659771295</v>
      </c>
      <c r="G29" t="s">
        <v>11</v>
      </c>
      <c r="H29">
        <f>AVERAGE(B29:E29)</f>
        <v>2.2469174553703928</v>
      </c>
    </row>
    <row r="30" spans="1:17" ht="16" customHeight="1" x14ac:dyDescent="0.35">
      <c r="A30" t="s">
        <v>8</v>
      </c>
      <c r="B30">
        <f>B28*B26/2*$D$25/B29/100</f>
        <v>1.0430562358829221E-2</v>
      </c>
      <c r="C30">
        <f>C28*C26/2*$D$25/C29/100</f>
        <v>1.8500868266583391E-2</v>
      </c>
      <c r="D30">
        <f>D28*D26/2*$D$25/D29/100</f>
        <v>7.85827767439959E-2</v>
      </c>
      <c r="E30">
        <f>E28*E26/2*$D$25/E29/100</f>
        <v>8.7536083244397267E-2</v>
      </c>
      <c r="G30" t="s">
        <v>36</v>
      </c>
      <c r="H30">
        <f>SQRT(SUM((B29-H29)^2,(C29-H29)^2,(D29-H29)^2,(E29-H29)^2)/(4*3))</f>
        <v>0.28568093190800742</v>
      </c>
    </row>
    <row r="31" spans="1:17" ht="16" customHeight="1" x14ac:dyDescent="0.35">
      <c r="A31" t="s">
        <v>10</v>
      </c>
      <c r="B31">
        <f>2*B26^2/4*$G$1/(9*B29)/100</f>
        <v>7.8340299292484639E-4</v>
      </c>
      <c r="C31">
        <f>2*C26^2/4*$G$1/(9*C29)/100</f>
        <v>1.1564520371747731E-3</v>
      </c>
      <c r="D31">
        <f>2*D26^2/4*$G$2/(9*D29)/100</f>
        <v>2.8157433537795832E-3</v>
      </c>
      <c r="E31">
        <f>2*E26^2/4*$G$2/(9*E29)/100</f>
        <v>2.9986624185602893E-3</v>
      </c>
      <c r="G31" t="s">
        <v>37</v>
      </c>
      <c r="H31">
        <f>H29*SQRT(4*($M$2/D26)^2 + ($M$3/D27)^2 + ($M$4/$B$1)^2)</f>
        <v>5.0383854779824627E-2</v>
      </c>
    </row>
    <row r="32" spans="1:17" ht="16" customHeight="1" x14ac:dyDescent="0.35">
      <c r="A32" t="s">
        <v>9</v>
      </c>
      <c r="B32">
        <f>B28*B31</f>
        <v>5.0542128575796538E-3</v>
      </c>
      <c r="C32">
        <f t="shared" ref="C32" si="15">C28*C31</f>
        <v>1.1013828925474029E-2</v>
      </c>
      <c r="D32">
        <f t="shared" ref="D32" si="16">D28*D31</f>
        <v>3.3126392397406862E-2</v>
      </c>
      <c r="E32">
        <f t="shared" ref="E32" si="17">E28*E31</f>
        <v>3.7483280232003618E-2</v>
      </c>
      <c r="G32" t="s">
        <v>12</v>
      </c>
      <c r="H32">
        <f>SQRT(H30*H30+H31*H31)</f>
        <v>0.29008986138488541</v>
      </c>
    </row>
    <row r="36" spans="1:8" ht="16" customHeight="1" x14ac:dyDescent="0.35">
      <c r="B36" t="s">
        <v>16</v>
      </c>
      <c r="D36">
        <v>1.248</v>
      </c>
    </row>
    <row r="37" spans="1:8" ht="16" customHeight="1" x14ac:dyDescent="0.35">
      <c r="A37" t="s">
        <v>4</v>
      </c>
      <c r="B37">
        <v>0.78</v>
      </c>
      <c r="C37">
        <v>0.8</v>
      </c>
      <c r="D37">
        <v>1.94</v>
      </c>
      <c r="E37">
        <v>1.98</v>
      </c>
    </row>
    <row r="38" spans="1:8" ht="16" customHeight="1" x14ac:dyDescent="0.35">
      <c r="A38" t="s">
        <v>5</v>
      </c>
      <c r="B38">
        <v>12.8</v>
      </c>
      <c r="C38">
        <v>11.1</v>
      </c>
      <c r="D38">
        <v>9.3000000000000007</v>
      </c>
      <c r="E38">
        <v>9.3000000000000007</v>
      </c>
    </row>
    <row r="39" spans="1:8" ht="16" customHeight="1" x14ac:dyDescent="0.35">
      <c r="A39" t="s">
        <v>6</v>
      </c>
      <c r="B39">
        <f>$B$1/B38*10</f>
        <v>15.625</v>
      </c>
      <c r="C39">
        <f t="shared" ref="C39" si="18">$B$1/C38*10</f>
        <v>18.018018018018019</v>
      </c>
      <c r="D39">
        <f t="shared" ref="D39" si="19">$B$1/D38*10</f>
        <v>21.50537634408602</v>
      </c>
      <c r="E39">
        <f t="shared" ref="E39" si="20">$B$1/E38*10</f>
        <v>21.50537634408602</v>
      </c>
    </row>
    <row r="40" spans="1:8" ht="16" customHeight="1" x14ac:dyDescent="0.35">
      <c r="A40" t="s">
        <v>7</v>
      </c>
      <c r="B40">
        <f>2*9.81*B37^2*($G$1-$D$36)/(9*4*B39)*10</f>
        <v>1.3903993958399998</v>
      </c>
      <c r="C40">
        <f>2*9.81*C37^2*($G$1-$D$36)/(9*4*C39)*10</f>
        <v>1.2683623680000002</v>
      </c>
      <c r="D40">
        <f>2*9.81*D37^2*($G$2-$D$36)/(9*4*D39)/(1+2.4*(D37/$J$1))*10</f>
        <v>1.0156905754506356</v>
      </c>
      <c r="E40">
        <f>2*9.81*E37^2*($G$2-$D$36)/(9*4*E39)/(1+2.4*(E37/$J$1))*10</f>
        <v>1.0547565302015873</v>
      </c>
      <c r="G40" t="s">
        <v>11</v>
      </c>
      <c r="H40">
        <f>AVERAGE(B40:E40)</f>
        <v>1.182302217373056</v>
      </c>
    </row>
    <row r="41" spans="1:8" ht="16" customHeight="1" x14ac:dyDescent="0.35">
      <c r="A41" t="s">
        <v>8</v>
      </c>
      <c r="B41">
        <f>B39*B37/2*$D$36/B40/100</f>
        <v>5.4696513985504819E-2</v>
      </c>
      <c r="C41">
        <f>C39*C37/2*$D$3/C40/100</f>
        <v>7.1596897780879923E-2</v>
      </c>
      <c r="D41">
        <f>D39*D37/2*$D$3/D40/100</f>
        <v>0.25877832878463464</v>
      </c>
      <c r="E41">
        <f>E39*E37/2*$D$3/E40/100</f>
        <v>0.25433174086616839</v>
      </c>
      <c r="G41" t="s">
        <v>36</v>
      </c>
      <c r="H41">
        <f>SQRT(SUM((B40-H40)^2,(C40-H40)^2,(D40-H40)^2,(E40-H40)^2)/(4*3))</f>
        <v>8.8852934087720853E-2</v>
      </c>
    </row>
    <row r="42" spans="1:8" ht="16" customHeight="1" x14ac:dyDescent="0.35">
      <c r="A42" t="s">
        <v>10</v>
      </c>
      <c r="B42">
        <f>2*B37^2/4*$G$1/(9*B40)/100</f>
        <v>1.8961458181641672E-3</v>
      </c>
      <c r="C42">
        <f>2*C37^2/4*$G$1/(9*C40)/100</f>
        <v>2.1865465290541743E-3</v>
      </c>
      <c r="D42">
        <f>2*D37^2/4*$G$2/(9*D40)/100</f>
        <v>5.1464711286732558E-3</v>
      </c>
      <c r="E42">
        <f>2*E37^2/4*$G$2/(9*E40)/100</f>
        <v>5.1623287878192516E-3</v>
      </c>
      <c r="G42" t="s">
        <v>37</v>
      </c>
      <c r="H42">
        <f>H40*SQRT(4*($M$2/D37)^2 + ($M$3/D38)^2 + ($M$4/$B$1)^2)</f>
        <v>2.812152942629946E-2</v>
      </c>
    </row>
    <row r="43" spans="1:8" ht="16" customHeight="1" x14ac:dyDescent="0.35">
      <c r="A43" t="s">
        <v>9</v>
      </c>
      <c r="B43">
        <f>B39*B42</f>
        <v>2.9627278408815114E-2</v>
      </c>
      <c r="C43">
        <f t="shared" ref="C43" si="21">C39*C42</f>
        <v>3.9397234757732873E-2</v>
      </c>
      <c r="D43">
        <f t="shared" ref="D43" si="22">D39*D42</f>
        <v>0.11067679846609152</v>
      </c>
      <c r="E43">
        <f t="shared" ref="E43" si="23">E39*E42</f>
        <v>0.11101782339396239</v>
      </c>
      <c r="G43" t="s">
        <v>12</v>
      </c>
      <c r="H43">
        <f>SQRT(H41*H41+H42*H42)</f>
        <v>9.3196911500709578E-2</v>
      </c>
    </row>
    <row r="47" spans="1:8" ht="16" customHeight="1" x14ac:dyDescent="0.35">
      <c r="B47" t="s">
        <v>17</v>
      </c>
      <c r="D47">
        <v>1.244</v>
      </c>
    </row>
    <row r="48" spans="1:8" ht="16" customHeight="1" x14ac:dyDescent="0.35">
      <c r="A48" t="s">
        <v>4</v>
      </c>
      <c r="B48">
        <v>0.9</v>
      </c>
      <c r="C48">
        <v>0.88</v>
      </c>
      <c r="D48">
        <v>2.04</v>
      </c>
      <c r="E48">
        <v>1.96</v>
      </c>
    </row>
    <row r="49" spans="1:8" ht="16" customHeight="1" x14ac:dyDescent="0.35">
      <c r="A49" t="s">
        <v>5</v>
      </c>
      <c r="B49">
        <v>6.3</v>
      </c>
      <c r="C49">
        <v>5.7</v>
      </c>
      <c r="D49">
        <v>5.7</v>
      </c>
      <c r="E49">
        <v>5.5</v>
      </c>
    </row>
    <row r="50" spans="1:8" ht="16" customHeight="1" x14ac:dyDescent="0.35">
      <c r="A50" t="s">
        <v>6</v>
      </c>
      <c r="B50">
        <f>$B$1/B49*10</f>
        <v>31.746031746031747</v>
      </c>
      <c r="C50">
        <f t="shared" ref="C50" si="24">$B$1/C49*10</f>
        <v>35.087719298245609</v>
      </c>
      <c r="D50">
        <f t="shared" ref="D50" si="25">$B$1/D49*10</f>
        <v>35.087719298245609</v>
      </c>
      <c r="E50">
        <f t="shared" ref="E50" si="26">$B$1/E49*10</f>
        <v>36.36363636363636</v>
      </c>
    </row>
    <row r="51" spans="1:8" ht="16" customHeight="1" x14ac:dyDescent="0.35">
      <c r="A51" t="s">
        <v>7</v>
      </c>
      <c r="B51">
        <f>2*9.81*B48^2*($G$1-$D$47)/(9*4*B50)*10</f>
        <v>0.91165605300000008</v>
      </c>
      <c r="C51">
        <f>2*9.81*C48^2*($G$1-$D$47)/(9*4*C50)*10</f>
        <v>0.78857980608000022</v>
      </c>
      <c r="D51">
        <f>2*9.81*D48^2*($G$2-$D$47)/(9*4*D50)/(1+2.4*(D48/$J$1))*10</f>
        <v>0.68527184697668508</v>
      </c>
      <c r="E51">
        <f>2*9.81*E48^2*($G$2-$D$47)/(9*4*E50)/(1+2.4*(E48/$J$1))*10</f>
        <v>0.61413886627355474</v>
      </c>
      <c r="G51" t="s">
        <v>11</v>
      </c>
      <c r="H51">
        <f>AVERAGE(B51:E51)</f>
        <v>0.74991164308255998</v>
      </c>
    </row>
    <row r="52" spans="1:8" ht="16" customHeight="1" x14ac:dyDescent="0.35">
      <c r="A52" t="s">
        <v>8</v>
      </c>
      <c r="B52">
        <f>B50*B48/2*$D$47/B51/100</f>
        <v>0.19493567242764276</v>
      </c>
      <c r="C52">
        <f>C50*C48/2*$D$47/C51/100</f>
        <v>0.24354686598631128</v>
      </c>
      <c r="D52">
        <f>D50*D48/2*$D$47/D51/100</f>
        <v>0.64969990317831716</v>
      </c>
      <c r="E52">
        <f>E50*E48/2*$D$47/E51/100</f>
        <v>0.72185036313741124</v>
      </c>
      <c r="G52" t="s">
        <v>36</v>
      </c>
      <c r="H52">
        <f>SQRT(SUM((B51-H51)^2,(C51-H51)^2,(D51-H51)^2,(E51-H51)^2)/(4*3))</f>
        <v>6.4723148314039941E-2</v>
      </c>
    </row>
    <row r="53" spans="1:8" ht="16" customHeight="1" x14ac:dyDescent="0.35">
      <c r="A53" t="s">
        <v>10</v>
      </c>
      <c r="B53">
        <f>2*B48^2/4*$G$1/(9*B51)/100</f>
        <v>3.8501362311472525E-3</v>
      </c>
      <c r="C53">
        <f>2*C48^2/4*$G$1/(9*C51)/100</f>
        <v>4.2554137291627514E-3</v>
      </c>
      <c r="D53">
        <f>2*D48^2/4*$G$2/(9*D51)/100</f>
        <v>8.4346088716477675E-3</v>
      </c>
      <c r="E53">
        <f>2*E48^2/4*$G$2/(9*E51)/100</f>
        <v>8.6878649904221315E-3</v>
      </c>
      <c r="G53" t="s">
        <v>37</v>
      </c>
      <c r="H53">
        <f>H51*SQRT(4*($M$2/D48)^2 + ($M$3/D49)^2 + ($M$4/$B$1)^2)</f>
        <v>2.0083839615118546E-2</v>
      </c>
    </row>
    <row r="54" spans="1:8" ht="16" customHeight="1" x14ac:dyDescent="0.35">
      <c r="A54" t="s">
        <v>9</v>
      </c>
      <c r="B54">
        <f>B50*B53</f>
        <v>0.12222654702054771</v>
      </c>
      <c r="C54">
        <f t="shared" ref="C54" si="27">C50*C53</f>
        <v>0.1493127624267632</v>
      </c>
      <c r="D54">
        <f t="shared" ref="D54:E54" si="28">D50*D53</f>
        <v>0.29595118847886898</v>
      </c>
      <c r="E54">
        <f t="shared" si="28"/>
        <v>0.31592236328807749</v>
      </c>
      <c r="G54" t="s">
        <v>12</v>
      </c>
      <c r="H54">
        <f>SQRT(H52*H52+H53*H53)</f>
        <v>6.7767592117228242E-2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2023-04-09T21:28:48Z</dcterms:modified>
</cp:coreProperties>
</file>