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neDrive - 國立中央大學\暫存\"/>
    </mc:Choice>
  </mc:AlternateContent>
  <bookViews>
    <workbookView xWindow="-120" yWindow="-120" windowWidth="29040" windowHeight="15840"/>
  </bookViews>
  <sheets>
    <sheet name="台達電" sheetId="1" r:id="rId1"/>
    <sheet name="特別股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1" l="1"/>
  <c r="X12" i="1"/>
  <c r="N6" i="1"/>
  <c r="N7" i="1"/>
  <c r="J4" i="1"/>
  <c r="J5" i="1"/>
  <c r="J52" i="1" l="1"/>
  <c r="J51" i="1"/>
  <c r="J50" i="1"/>
  <c r="J49" i="1"/>
  <c r="J48" i="1"/>
  <c r="J47" i="1" l="1"/>
  <c r="J46" i="1"/>
  <c r="J45" i="1"/>
  <c r="J44" i="1"/>
  <c r="J43" i="1"/>
  <c r="J42" i="1"/>
  <c r="J41" i="1"/>
  <c r="J40" i="1"/>
  <c r="J39" i="1" l="1"/>
  <c r="J38" i="1" l="1"/>
  <c r="J37" i="1" l="1"/>
  <c r="J36" i="1" l="1"/>
  <c r="J35" i="1" l="1"/>
  <c r="J34" i="1"/>
  <c r="J33" i="1" l="1"/>
  <c r="J32" i="1" l="1"/>
  <c r="J31" i="1"/>
  <c r="J30" i="1"/>
  <c r="J29" i="1" l="1"/>
  <c r="J28" i="1"/>
  <c r="J27" i="1" l="1"/>
  <c r="J26" i="1" l="1"/>
  <c r="J25" i="1" l="1"/>
  <c r="J24" i="1" l="1"/>
  <c r="J11" i="1" l="1"/>
  <c r="J13" i="1"/>
  <c r="J23" i="1"/>
  <c r="J10" i="1"/>
  <c r="J22" i="1"/>
  <c r="Q4" i="1" l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P4" i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T28" i="2" l="1"/>
  <c r="S28" i="2"/>
  <c r="R28" i="2"/>
  <c r="Q28" i="2"/>
  <c r="P28" i="2"/>
  <c r="O28" i="2"/>
  <c r="N28" i="2"/>
  <c r="M28" i="2"/>
  <c r="L28" i="2"/>
  <c r="K28" i="2"/>
  <c r="J28" i="2"/>
  <c r="H28" i="2"/>
  <c r="G28" i="2"/>
  <c r="F28" i="2"/>
  <c r="E28" i="2"/>
  <c r="D28" i="2"/>
  <c r="C28" i="2"/>
  <c r="G13" i="2"/>
  <c r="T9" i="2"/>
  <c r="T14" i="2" s="1"/>
  <c r="S9" i="2"/>
  <c r="S19" i="2" s="1"/>
  <c r="R9" i="2"/>
  <c r="R12" i="2" s="1"/>
  <c r="Q9" i="2"/>
  <c r="Q17" i="2" s="1"/>
  <c r="P9" i="2"/>
  <c r="P22" i="2" s="1"/>
  <c r="O9" i="2"/>
  <c r="O22" i="2" s="1"/>
  <c r="N9" i="2"/>
  <c r="N20" i="2" s="1"/>
  <c r="M9" i="2"/>
  <c r="M20" i="2" s="1"/>
  <c r="L9" i="2"/>
  <c r="L13" i="2" s="1"/>
  <c r="K9" i="2"/>
  <c r="K23" i="2" s="1"/>
  <c r="J9" i="2"/>
  <c r="J23" i="2" s="1"/>
  <c r="H9" i="2"/>
  <c r="H21" i="2" s="1"/>
  <c r="G9" i="2"/>
  <c r="G14" i="2" s="1"/>
  <c r="F9" i="2"/>
  <c r="F19" i="2" s="1"/>
  <c r="E9" i="2"/>
  <c r="E12" i="2" s="1"/>
  <c r="D9" i="2"/>
  <c r="D17" i="2" s="1"/>
  <c r="C9" i="2"/>
  <c r="C22" i="2" s="1"/>
  <c r="J12" i="2" l="1"/>
  <c r="J14" i="2"/>
  <c r="J15" i="2"/>
  <c r="J13" i="2"/>
  <c r="J16" i="2"/>
  <c r="J27" i="2" s="1"/>
  <c r="J18" i="2"/>
  <c r="S18" i="2"/>
  <c r="M11" i="2"/>
  <c r="N11" i="2"/>
  <c r="R11" i="2"/>
  <c r="L14" i="2"/>
  <c r="O18" i="2"/>
  <c r="O11" i="2"/>
  <c r="M12" i="2"/>
  <c r="L19" i="2"/>
  <c r="M14" i="2"/>
  <c r="O14" i="2"/>
  <c r="O15" i="2"/>
  <c r="N19" i="2"/>
  <c r="O12" i="2"/>
  <c r="L16" i="2"/>
  <c r="L27" i="2" s="1"/>
  <c r="L29" i="2" s="1"/>
  <c r="O16" i="2"/>
  <c r="O27" i="2" s="1"/>
  <c r="O29" i="2" s="1"/>
  <c r="J29" i="2"/>
  <c r="M13" i="2"/>
  <c r="J17" i="2"/>
  <c r="L18" i="2"/>
  <c r="E11" i="2"/>
  <c r="O13" i="2"/>
  <c r="L17" i="2"/>
  <c r="O20" i="2"/>
  <c r="L11" i="2"/>
  <c r="T13" i="2"/>
  <c r="O17" i="2"/>
  <c r="F12" i="2"/>
  <c r="S12" i="2"/>
  <c r="N13" i="2"/>
  <c r="H14" i="2"/>
  <c r="C15" i="2"/>
  <c r="P15" i="2"/>
  <c r="K16" i="2"/>
  <c r="K27" i="2" s="1"/>
  <c r="K29" i="2" s="1"/>
  <c r="E17" i="2"/>
  <c r="R17" i="2"/>
  <c r="M18" i="2"/>
  <c r="G19" i="2"/>
  <c r="T19" i="2"/>
  <c r="J21" i="2"/>
  <c r="D22" i="2"/>
  <c r="Q22" i="2"/>
  <c r="L23" i="2"/>
  <c r="G12" i="2"/>
  <c r="T12" i="2"/>
  <c r="D15" i="2"/>
  <c r="Q15" i="2"/>
  <c r="F17" i="2"/>
  <c r="S17" i="2"/>
  <c r="N18" i="2"/>
  <c r="H19" i="2"/>
  <c r="C20" i="2"/>
  <c r="P20" i="2"/>
  <c r="K21" i="2"/>
  <c r="E22" i="2"/>
  <c r="R22" i="2"/>
  <c r="M23" i="2"/>
  <c r="H12" i="2"/>
  <c r="C13" i="2"/>
  <c r="P13" i="2"/>
  <c r="K14" i="2"/>
  <c r="E15" i="2"/>
  <c r="R15" i="2"/>
  <c r="M16" i="2"/>
  <c r="M27" i="2" s="1"/>
  <c r="M29" i="2" s="1"/>
  <c r="G17" i="2"/>
  <c r="T17" i="2"/>
  <c r="J19" i="2"/>
  <c r="D20" i="2"/>
  <c r="Q20" i="2"/>
  <c r="L21" i="2"/>
  <c r="F22" i="2"/>
  <c r="S22" i="2"/>
  <c r="N23" i="2"/>
  <c r="D13" i="2"/>
  <c r="Q13" i="2"/>
  <c r="F15" i="2"/>
  <c r="S15" i="2"/>
  <c r="N16" i="2"/>
  <c r="N27" i="2" s="1"/>
  <c r="N29" i="2" s="1"/>
  <c r="H17" i="2"/>
  <c r="C18" i="2"/>
  <c r="P18" i="2"/>
  <c r="K19" i="2"/>
  <c r="E20" i="2"/>
  <c r="R20" i="2"/>
  <c r="M21" i="2"/>
  <c r="G22" i="2"/>
  <c r="T22" i="2"/>
  <c r="O23" i="2"/>
  <c r="C11" i="2"/>
  <c r="K12" i="2"/>
  <c r="T15" i="2"/>
  <c r="Q18" i="2"/>
  <c r="F20" i="2"/>
  <c r="S20" i="2"/>
  <c r="N21" i="2"/>
  <c r="H22" i="2"/>
  <c r="P23" i="2"/>
  <c r="P11" i="2"/>
  <c r="E13" i="2"/>
  <c r="R13" i="2"/>
  <c r="G15" i="2"/>
  <c r="D18" i="2"/>
  <c r="C23" i="2"/>
  <c r="D11" i="2"/>
  <c r="Q11" i="2"/>
  <c r="L12" i="2"/>
  <c r="F13" i="2"/>
  <c r="S13" i="2"/>
  <c r="N14" i="2"/>
  <c r="H15" i="2"/>
  <c r="C16" i="2"/>
  <c r="C27" i="2" s="1"/>
  <c r="C29" i="2" s="1"/>
  <c r="P16" i="2"/>
  <c r="P27" i="2" s="1"/>
  <c r="P29" i="2" s="1"/>
  <c r="K17" i="2"/>
  <c r="E18" i="2"/>
  <c r="R18" i="2"/>
  <c r="M19" i="2"/>
  <c r="G20" i="2"/>
  <c r="T20" i="2"/>
  <c r="O21" i="2"/>
  <c r="J22" i="2"/>
  <c r="D23" i="2"/>
  <c r="Q23" i="2"/>
  <c r="D16" i="2"/>
  <c r="D27" i="2" s="1"/>
  <c r="D29" i="2" s="1"/>
  <c r="Q16" i="2"/>
  <c r="Q27" i="2" s="1"/>
  <c r="Q29" i="2" s="1"/>
  <c r="F18" i="2"/>
  <c r="C21" i="2"/>
  <c r="P21" i="2"/>
  <c r="E23" i="2"/>
  <c r="R23" i="2"/>
  <c r="F11" i="2"/>
  <c r="S11" i="2"/>
  <c r="N12" i="2"/>
  <c r="H13" i="2"/>
  <c r="C14" i="2"/>
  <c r="P14" i="2"/>
  <c r="K15" i="2"/>
  <c r="E16" i="2"/>
  <c r="E27" i="2" s="1"/>
  <c r="E29" i="2" s="1"/>
  <c r="R16" i="2"/>
  <c r="R27" i="2" s="1"/>
  <c r="R29" i="2" s="1"/>
  <c r="M17" i="2"/>
  <c r="G18" i="2"/>
  <c r="T18" i="2"/>
  <c r="O19" i="2"/>
  <c r="J20" i="2"/>
  <c r="D21" i="2"/>
  <c r="Q21" i="2"/>
  <c r="L22" i="2"/>
  <c r="F23" i="2"/>
  <c r="S23" i="2"/>
  <c r="K22" i="2"/>
  <c r="G11" i="2"/>
  <c r="T11" i="2"/>
  <c r="D14" i="2"/>
  <c r="Q14" i="2"/>
  <c r="L15" i="2"/>
  <c r="F16" i="2"/>
  <c r="F27" i="2" s="1"/>
  <c r="F29" i="2" s="1"/>
  <c r="S16" i="2"/>
  <c r="S27" i="2" s="1"/>
  <c r="S29" i="2" s="1"/>
  <c r="N17" i="2"/>
  <c r="H18" i="2"/>
  <c r="C19" i="2"/>
  <c r="P19" i="2"/>
  <c r="K20" i="2"/>
  <c r="E21" i="2"/>
  <c r="R21" i="2"/>
  <c r="M22" i="2"/>
  <c r="G23" i="2"/>
  <c r="T23" i="2"/>
  <c r="H11" i="2"/>
  <c r="K13" i="2"/>
  <c r="R14" i="2"/>
  <c r="M15" i="2"/>
  <c r="T16" i="2"/>
  <c r="T27" i="2" s="1"/>
  <c r="T29" i="2" s="1"/>
  <c r="D19" i="2"/>
  <c r="Q19" i="2"/>
  <c r="L20" i="2"/>
  <c r="S21" i="2"/>
  <c r="N22" i="2"/>
  <c r="H23" i="2"/>
  <c r="H20" i="2"/>
  <c r="C12" i="2"/>
  <c r="P12" i="2"/>
  <c r="E14" i="2"/>
  <c r="G16" i="2"/>
  <c r="G27" i="2" s="1"/>
  <c r="G29" i="2" s="1"/>
  <c r="F21" i="2"/>
  <c r="J11" i="2"/>
  <c r="D12" i="2"/>
  <c r="Q12" i="2"/>
  <c r="F14" i="2"/>
  <c r="S14" i="2"/>
  <c r="N15" i="2"/>
  <c r="H16" i="2"/>
  <c r="H27" i="2" s="1"/>
  <c r="H29" i="2" s="1"/>
  <c r="C17" i="2"/>
  <c r="P17" i="2"/>
  <c r="K18" i="2"/>
  <c r="E19" i="2"/>
  <c r="R19" i="2"/>
  <c r="G21" i="2"/>
  <c r="T21" i="2"/>
  <c r="K11" i="2"/>
  <c r="T4" i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S4" i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J15" i="1" l="1"/>
  <c r="E17" i="1"/>
  <c r="J17" i="1" s="1"/>
  <c r="N5" i="1" s="1"/>
  <c r="J6" i="1"/>
  <c r="J14" i="1"/>
  <c r="J16" i="1"/>
  <c r="J18" i="1"/>
  <c r="J3" i="1"/>
  <c r="J19" i="1"/>
  <c r="J7" i="1"/>
  <c r="J8" i="1"/>
  <c r="J9" i="1"/>
  <c r="J20" i="1"/>
  <c r="J21" i="1"/>
  <c r="N3" i="1" l="1"/>
  <c r="N4" i="1" s="1"/>
</calcChain>
</file>

<file path=xl/sharedStrings.xml><?xml version="1.0" encoding="utf-8"?>
<sst xmlns="http://schemas.openxmlformats.org/spreadsheetml/2006/main" count="124" uniqueCount="89">
  <si>
    <t>數量</t>
    <phoneticPr fontId="3" type="noConversion"/>
  </si>
  <si>
    <t>成交日期</t>
    <phoneticPr fontId="3" type="noConversion"/>
  </si>
  <si>
    <t>單價</t>
    <phoneticPr fontId="3" type="noConversion"/>
  </si>
  <si>
    <t>總成本</t>
    <phoneticPr fontId="3" type="noConversion"/>
  </si>
  <si>
    <t>賣出</t>
    <phoneticPr fontId="3" type="noConversion"/>
  </si>
  <si>
    <t>買進</t>
    <phoneticPr fontId="3" type="noConversion"/>
  </si>
  <si>
    <t>總收益</t>
    <phoneticPr fontId="3" type="noConversion"/>
  </si>
  <si>
    <t>損益</t>
    <phoneticPr fontId="3" type="noConversion"/>
  </si>
  <si>
    <t>預計總投入金額</t>
    <phoneticPr fontId="3" type="noConversion"/>
  </si>
  <si>
    <t>剩餘可投入金額</t>
    <phoneticPr fontId="3" type="noConversion"/>
  </si>
  <si>
    <t>目前投入金額</t>
    <phoneticPr fontId="3" type="noConversion"/>
  </si>
  <si>
    <t>已實現獲利</t>
    <phoneticPr fontId="3" type="noConversion"/>
  </si>
  <si>
    <t>庫存股票</t>
    <phoneticPr fontId="3" type="noConversion"/>
  </si>
  <si>
    <t>股價</t>
    <phoneticPr fontId="5" type="noConversion"/>
  </si>
  <si>
    <t>累計張數
(買進後)</t>
    <phoneticPr fontId="5" type="noConversion"/>
  </si>
  <si>
    <r>
      <rPr>
        <b/>
        <sz val="12"/>
        <color rgb="FFFF0000"/>
        <rFont val="新細明體"/>
        <family val="1"/>
        <charset val="136"/>
      </rPr>
      <t>台達電蛛網</t>
    </r>
    <r>
      <rPr>
        <sz val="12"/>
        <rFont val="新細明體"/>
        <family val="1"/>
        <charset val="136"/>
      </rPr>
      <t xml:space="preserve"> 
   (跌</t>
    </r>
    <r>
      <rPr>
        <b/>
        <sz val="12"/>
        <color rgb="FFFF0000"/>
        <rFont val="新細明體"/>
        <family val="1"/>
        <charset val="136"/>
      </rPr>
      <t>2.5</t>
    </r>
    <r>
      <rPr>
        <sz val="12"/>
        <rFont val="新細明體"/>
        <family val="1"/>
        <charset val="136"/>
      </rPr>
      <t>元買</t>
    </r>
    <r>
      <rPr>
        <b/>
        <sz val="12"/>
        <color rgb="FFFF0000"/>
        <rFont val="新細明體"/>
        <family val="1"/>
        <charset val="136"/>
      </rPr>
      <t>8股</t>
    </r>
    <r>
      <rPr>
        <sz val="12"/>
        <rFont val="新細明體"/>
        <family val="1"/>
        <charset val="136"/>
      </rPr>
      <t>,買進後漲</t>
    </r>
    <r>
      <rPr>
        <b/>
        <sz val="12"/>
        <color rgb="FFFF0000"/>
        <rFont val="新細明體"/>
        <family val="1"/>
        <charset val="136"/>
      </rPr>
      <t>5</t>
    </r>
    <r>
      <rPr>
        <sz val="12"/>
        <rFont val="新細明體"/>
        <family val="1"/>
        <charset val="136"/>
      </rPr>
      <t>元賣</t>
    </r>
    <r>
      <rPr>
        <b/>
        <sz val="12"/>
        <color rgb="FFFF0000"/>
        <rFont val="新細明體"/>
        <family val="1"/>
        <charset val="136"/>
      </rPr>
      <t>8股</t>
    </r>
    <r>
      <rPr>
        <sz val="12"/>
        <rFont val="新細明體"/>
        <family val="1"/>
        <charset val="136"/>
      </rPr>
      <t>)</t>
    </r>
    <phoneticPr fontId="5" type="noConversion"/>
  </si>
  <si>
    <t>標的</t>
    <phoneticPr fontId="5" type="noConversion"/>
  </si>
  <si>
    <t>聯邦銀甲</t>
    <phoneticPr fontId="5" type="noConversion"/>
  </si>
  <si>
    <t>台新戊</t>
    <phoneticPr fontId="5" type="noConversion"/>
  </si>
  <si>
    <t>王道銀甲</t>
    <phoneticPr fontId="5" type="noConversion"/>
  </si>
  <si>
    <t>新光金乙</t>
    <phoneticPr fontId="5" type="noConversion"/>
  </si>
  <si>
    <t>新光金甲</t>
    <phoneticPr fontId="5" type="noConversion"/>
  </si>
  <si>
    <t>開發乙</t>
    <phoneticPr fontId="5" type="noConversion"/>
  </si>
  <si>
    <t>富邦甲</t>
    <phoneticPr fontId="5" type="noConversion"/>
  </si>
  <si>
    <t>裕融甲</t>
    <phoneticPr fontId="5" type="noConversion"/>
  </si>
  <si>
    <t>中租KY甲</t>
    <phoneticPr fontId="5" type="noConversion"/>
  </si>
  <si>
    <t>國泰甲</t>
    <phoneticPr fontId="5" type="noConversion"/>
  </si>
  <si>
    <t>台新戊二</t>
    <phoneticPr fontId="5" type="noConversion"/>
  </si>
  <si>
    <t>中信乙</t>
    <phoneticPr fontId="5" type="noConversion"/>
  </si>
  <si>
    <t>富邦乙</t>
    <phoneticPr fontId="5" type="noConversion"/>
  </si>
  <si>
    <t>國泰乙</t>
    <phoneticPr fontId="5" type="noConversion"/>
  </si>
  <si>
    <t>中信丙</t>
    <phoneticPr fontId="5" type="noConversion"/>
  </si>
  <si>
    <t>高雄銀甲</t>
    <phoneticPr fontId="5" type="noConversion"/>
  </si>
  <si>
    <t>富邦丙</t>
    <phoneticPr fontId="5" type="noConversion"/>
  </si>
  <si>
    <t>最早收回日</t>
    <phoneticPr fontId="5" type="noConversion"/>
  </si>
  <si>
    <t>112/4/24</t>
    <phoneticPr fontId="5" type="noConversion"/>
  </si>
  <si>
    <t>112/12/28</t>
    <phoneticPr fontId="5" type="noConversion"/>
  </si>
  <si>
    <t>113/5/29</t>
    <phoneticPr fontId="5" type="noConversion"/>
  </si>
  <si>
    <t>116/9/1</t>
    <phoneticPr fontId="5" type="noConversion"/>
  </si>
  <si>
    <t>115/9/27</t>
    <phoneticPr fontId="5" type="noConversion"/>
  </si>
  <si>
    <t>117/12/30</t>
    <phoneticPr fontId="5" type="noConversion"/>
  </si>
  <si>
    <t>112/4/22</t>
    <phoneticPr fontId="5" type="noConversion"/>
  </si>
  <si>
    <t>112/10/16</t>
    <phoneticPr fontId="5" type="noConversion"/>
  </si>
  <si>
    <t>116/9/7</t>
    <phoneticPr fontId="5" type="noConversion"/>
  </si>
  <si>
    <t>112/12/8</t>
    <phoneticPr fontId="5" type="noConversion"/>
  </si>
  <si>
    <t>114/11/30</t>
    <phoneticPr fontId="5" type="noConversion"/>
  </si>
  <si>
    <t>113/12/2</t>
    <phoneticPr fontId="5" type="noConversion"/>
  </si>
  <si>
    <t>114/3/16</t>
    <phoneticPr fontId="5" type="noConversion"/>
  </si>
  <si>
    <t>114/6/27</t>
    <phoneticPr fontId="5" type="noConversion"/>
  </si>
  <si>
    <t>115/4/3</t>
    <phoneticPr fontId="5" type="noConversion"/>
  </si>
  <si>
    <t>115/1/12</t>
    <phoneticPr fontId="5" type="noConversion"/>
  </si>
  <si>
    <t>117/10/26</t>
    <phoneticPr fontId="5" type="noConversion"/>
  </si>
  <si>
    <t>上市價</t>
    <phoneticPr fontId="5" type="noConversion"/>
  </si>
  <si>
    <t>重設期間</t>
    <phoneticPr fontId="5" type="noConversion"/>
  </si>
  <si>
    <t>5.5年</t>
    <phoneticPr fontId="5" type="noConversion"/>
  </si>
  <si>
    <t>7年</t>
    <phoneticPr fontId="5" type="noConversion"/>
  </si>
  <si>
    <t>5年</t>
    <phoneticPr fontId="5" type="noConversion"/>
  </si>
  <si>
    <t>年息</t>
    <phoneticPr fontId="5" type="noConversion"/>
  </si>
  <si>
    <t>年配息(元)</t>
    <phoneticPr fontId="5" type="noConversion"/>
  </si>
  <si>
    <t>月增價格(元)</t>
    <phoneticPr fontId="5" type="noConversion"/>
  </si>
  <si>
    <t>合理價</t>
    <phoneticPr fontId="5" type="noConversion"/>
  </si>
  <si>
    <t>8月底</t>
    <phoneticPr fontId="5" type="noConversion"/>
  </si>
  <si>
    <t>9月底</t>
    <phoneticPr fontId="5" type="noConversion"/>
  </si>
  <si>
    <t>10月底</t>
    <phoneticPr fontId="5" type="noConversion"/>
  </si>
  <si>
    <t>11月底</t>
    <phoneticPr fontId="5" type="noConversion"/>
  </si>
  <si>
    <t>12月底</t>
    <phoneticPr fontId="5" type="noConversion"/>
  </si>
  <si>
    <t>1月底</t>
    <phoneticPr fontId="5" type="noConversion"/>
  </si>
  <si>
    <t>2月底</t>
    <phoneticPr fontId="5" type="noConversion"/>
  </si>
  <si>
    <t>3月底</t>
    <phoneticPr fontId="5" type="noConversion"/>
  </si>
  <si>
    <t>4月底</t>
    <phoneticPr fontId="5" type="noConversion"/>
  </si>
  <si>
    <t>5月底</t>
    <phoneticPr fontId="5" type="noConversion"/>
  </si>
  <si>
    <t>6月底</t>
    <phoneticPr fontId="5" type="noConversion"/>
  </si>
  <si>
    <t>7月底</t>
    <phoneticPr fontId="5" type="noConversion"/>
  </si>
  <si>
    <t>備註</t>
    <phoneticPr fontId="5" type="noConversion"/>
  </si>
  <si>
    <t>可轉普通股</t>
    <phoneticPr fontId="5" type="noConversion"/>
  </si>
  <si>
    <t>海外所得</t>
    <phoneticPr fontId="5" type="noConversion"/>
  </si>
  <si>
    <r>
      <rPr>
        <sz val="12"/>
        <color theme="1"/>
        <rFont val="新細明體"/>
        <family val="2"/>
        <charset val="136"/>
        <scheme val="minor"/>
      </rPr>
      <t>1月股價</t>
    </r>
    <r>
      <rPr>
        <sz val="8"/>
        <rFont val="新細明體"/>
        <family val="1"/>
        <charset val="136"/>
      </rPr>
      <t>(怕不配息)</t>
    </r>
    <phoneticPr fontId="5" type="noConversion"/>
  </si>
  <si>
    <t>1月現價</t>
    <phoneticPr fontId="5" type="noConversion"/>
  </si>
  <si>
    <t>1月底價差比例</t>
    <phoneticPr fontId="5" type="noConversion"/>
  </si>
  <si>
    <t>現價值利率</t>
    <phoneticPr fontId="5" type="noConversion"/>
  </si>
  <si>
    <t>放至收回報酬率</t>
    <phoneticPr fontId="5" type="noConversion"/>
  </si>
  <si>
    <t>可轉股票</t>
    <phoneticPr fontId="5" type="noConversion"/>
  </si>
  <si>
    <t>報酬率最高</t>
    <phoneticPr fontId="5" type="noConversion"/>
  </si>
  <si>
    <t>股本最大</t>
    <phoneticPr fontId="5" type="noConversion"/>
  </si>
  <si>
    <t>目標單價</t>
    <phoneticPr fontId="3" type="noConversion"/>
  </si>
  <si>
    <t>庫存均價</t>
    <phoneticPr fontId="3" type="noConversion"/>
  </si>
  <si>
    <t>最後更新日</t>
    <phoneticPr fontId="3" type="noConversion"/>
  </si>
  <si>
    <t>庫存明細</t>
    <phoneticPr fontId="3" type="noConversion"/>
  </si>
  <si>
    <t>庫存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</si>
</sst>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.00_ "/>
    <numFmt numFmtId="177" formatCode="#,##0_ "/>
    <numFmt numFmtId="178" formatCode="m&quot;月&quot;d&quot;日&quot;"/>
    <numFmt numFmtId="179" formatCode="#,##0.000_ "/>
    <numFmt numFmtId="180" formatCode="0.000_);[Red]\(0.000\)"/>
  </numFmts>
  <fonts count="16">
    <font>
      <sz val="12"/>
      <color theme="1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1"/>
      <name val="新細明體"/>
      <family val="1"/>
      <charset val="136"/>
    </font>
    <font>
      <sz val="12"/>
      <name val="新細明體"/>
      <family val="1"/>
      <charset val="136"/>
    </font>
    <font>
      <b/>
      <sz val="12"/>
      <color rgb="FFFF0000"/>
      <name val="新細明體"/>
      <family val="1"/>
      <charset val="136"/>
    </font>
    <font>
      <b/>
      <sz val="12"/>
      <name val="新細明體"/>
      <family val="1"/>
      <charset val="136"/>
    </font>
    <font>
      <sz val="12"/>
      <color rgb="FFFF0000"/>
      <name val="新細明體"/>
      <family val="1"/>
      <charset val="136"/>
    </font>
    <font>
      <b/>
      <sz val="11"/>
      <color rgb="FFFF0000"/>
      <name val="新細明體"/>
      <family val="1"/>
      <charset val="136"/>
    </font>
    <font>
      <sz val="8"/>
      <name val="新細明體"/>
      <family val="1"/>
      <charset val="136"/>
    </font>
    <font>
      <sz val="12"/>
      <color theme="0" tint="-0.249977111117893"/>
      <name val="新細明體"/>
      <family val="2"/>
      <charset val="136"/>
      <scheme val="minor"/>
    </font>
    <font>
      <sz val="12"/>
      <color theme="0" tint="-0.14999847407452621"/>
      <name val="新細明體"/>
      <family val="2"/>
      <charset val="136"/>
      <scheme val="minor"/>
    </font>
    <font>
      <sz val="12"/>
      <color theme="0" tint="-0.14999847407452621"/>
      <name val="新細明體"/>
      <family val="1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25">
    <xf numFmtId="0" fontId="0" fillId="0" borderId="0" xfId="0">
      <alignment vertical="center"/>
    </xf>
    <xf numFmtId="0" fontId="0" fillId="0" borderId="1" xfId="0" applyBorder="1">
      <alignment vertical="center"/>
    </xf>
    <xf numFmtId="0" fontId="4" fillId="0" borderId="1" xfId="0" applyFont="1" applyBorder="1">
      <alignment vertical="center"/>
    </xf>
    <xf numFmtId="0" fontId="4" fillId="3" borderId="1" xfId="2" applyFont="1" applyBorder="1">
      <alignment vertical="center"/>
    </xf>
    <xf numFmtId="0" fontId="4" fillId="2" borderId="1" xfId="1" applyFont="1" applyBorder="1">
      <alignment vertical="center"/>
    </xf>
    <xf numFmtId="14" fontId="4" fillId="3" borderId="1" xfId="2" applyNumberFormat="1" applyFont="1" applyBorder="1">
      <alignment vertical="center"/>
    </xf>
    <xf numFmtId="14" fontId="4" fillId="2" borderId="1" xfId="1" applyNumberFormat="1" applyFont="1" applyBorder="1">
      <alignment vertical="center"/>
    </xf>
    <xf numFmtId="176" fontId="0" fillId="6" borderId="7" xfId="0" applyNumberFormat="1" applyFont="1" applyFill="1" applyBorder="1" applyAlignment="1">
      <alignment horizontal="center"/>
    </xf>
    <xf numFmtId="177" fontId="0" fillId="6" borderId="1" xfId="0" applyNumberFormat="1" applyFont="1" applyFill="1" applyBorder="1" applyAlignment="1">
      <alignment horizontal="center"/>
    </xf>
    <xf numFmtId="176" fontId="0" fillId="6" borderId="1" xfId="0" applyNumberFormat="1" applyFont="1" applyFill="1" applyBorder="1" applyAlignment="1">
      <alignment horizontal="center"/>
    </xf>
    <xf numFmtId="177" fontId="0" fillId="6" borderId="8" xfId="0" applyNumberFormat="1" applyFont="1" applyFill="1" applyBorder="1" applyAlignment="1">
      <alignment horizontal="center"/>
    </xf>
    <xf numFmtId="176" fontId="0" fillId="5" borderId="7" xfId="0" applyNumberFormat="1" applyFont="1" applyFill="1" applyBorder="1" applyAlignment="1">
      <alignment horizontal="center"/>
    </xf>
    <xf numFmtId="177" fontId="0" fillId="5" borderId="1" xfId="0" applyNumberFormat="1" applyFont="1" applyFill="1" applyBorder="1" applyAlignment="1">
      <alignment horizontal="center"/>
    </xf>
    <xf numFmtId="176" fontId="0" fillId="5" borderId="1" xfId="0" applyNumberFormat="1" applyFont="1" applyFill="1" applyBorder="1" applyAlignment="1">
      <alignment horizontal="center"/>
    </xf>
    <xf numFmtId="177" fontId="0" fillId="5" borderId="8" xfId="0" applyNumberFormat="1" applyFont="1" applyFill="1" applyBorder="1" applyAlignment="1">
      <alignment horizontal="center"/>
    </xf>
    <xf numFmtId="176" fontId="0" fillId="6" borderId="10" xfId="0" applyNumberFormat="1" applyFont="1" applyFill="1" applyBorder="1" applyAlignment="1">
      <alignment horizontal="center"/>
    </xf>
    <xf numFmtId="177" fontId="0" fillId="6" borderId="11" xfId="0" applyNumberFormat="1" applyFont="1" applyFill="1" applyBorder="1" applyAlignment="1">
      <alignment horizontal="center"/>
    </xf>
    <xf numFmtId="0" fontId="0" fillId="0" borderId="0" xfId="0" applyFont="1" applyAlignment="1"/>
    <xf numFmtId="0" fontId="9" fillId="0" borderId="0" xfId="0" applyFont="1" applyAlignment="1"/>
    <xf numFmtId="0" fontId="0" fillId="0" borderId="0" xfId="0" applyAlignment="1"/>
    <xf numFmtId="0" fontId="0" fillId="6" borderId="12" xfId="0" applyFont="1" applyFill="1" applyBorder="1" applyAlignment="1">
      <alignment horizontal="center"/>
    </xf>
    <xf numFmtId="0" fontId="9" fillId="6" borderId="13" xfId="0" applyFont="1" applyFill="1" applyBorder="1" applyAlignment="1">
      <alignment horizontal="center"/>
    </xf>
    <xf numFmtId="0" fontId="9" fillId="6" borderId="14" xfId="0" applyFont="1" applyFill="1" applyBorder="1" applyAlignment="1">
      <alignment horizontal="center"/>
    </xf>
    <xf numFmtId="0" fontId="9" fillId="7" borderId="13" xfId="0" applyFont="1" applyFill="1" applyBorder="1" applyAlignment="1">
      <alignment horizontal="center"/>
    </xf>
    <xf numFmtId="0" fontId="9" fillId="7" borderId="14" xfId="0" applyFont="1" applyFill="1" applyBorder="1" applyAlignment="1">
      <alignment horizontal="center"/>
    </xf>
    <xf numFmtId="178" fontId="0" fillId="6" borderId="7" xfId="0" applyNumberFormat="1" applyFont="1" applyFill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49" fontId="8" fillId="5" borderId="1" xfId="0" applyNumberFormat="1" applyFont="1" applyFill="1" applyBorder="1" applyAlignment="1">
      <alignment horizontal="center"/>
    </xf>
    <xf numFmtId="49" fontId="8" fillId="0" borderId="8" xfId="0" applyNumberFormat="1" applyFont="1" applyBorder="1" applyAlignment="1">
      <alignment horizontal="center"/>
    </xf>
    <xf numFmtId="49" fontId="10" fillId="7" borderId="1" xfId="0" applyNumberFormat="1" applyFont="1" applyFill="1" applyBorder="1" applyAlignment="1">
      <alignment horizontal="center"/>
    </xf>
    <xf numFmtId="49" fontId="0" fillId="7" borderId="1" xfId="0" applyNumberFormat="1" applyFont="1" applyFill="1" applyBorder="1" applyAlignment="1">
      <alignment horizontal="center"/>
    </xf>
    <xf numFmtId="49" fontId="0" fillId="7" borderId="8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177" fontId="0" fillId="0" borderId="1" xfId="0" applyNumberFormat="1" applyFont="1" applyBorder="1" applyAlignment="1">
      <alignment horizontal="center"/>
    </xf>
    <xf numFmtId="177" fontId="0" fillId="0" borderId="8" xfId="0" applyNumberFormat="1" applyFont="1" applyBorder="1" applyAlignment="1">
      <alignment horizontal="center"/>
    </xf>
    <xf numFmtId="177" fontId="0" fillId="7" borderId="1" xfId="0" applyNumberFormat="1" applyFont="1" applyFill="1" applyBorder="1" applyAlignment="1">
      <alignment horizontal="center"/>
    </xf>
    <xf numFmtId="177" fontId="0" fillId="7" borderId="8" xfId="0" applyNumberFormat="1" applyFont="1" applyFill="1" applyBorder="1" applyAlignment="1">
      <alignment horizontal="center"/>
    </xf>
    <xf numFmtId="10" fontId="0" fillId="0" borderId="1" xfId="0" applyNumberFormat="1" applyFont="1" applyBorder="1" applyAlignment="1">
      <alignment horizontal="center"/>
    </xf>
    <xf numFmtId="10" fontId="0" fillId="5" borderId="1" xfId="0" applyNumberFormat="1" applyFont="1" applyFill="1" applyBorder="1" applyAlignment="1">
      <alignment horizontal="center"/>
    </xf>
    <xf numFmtId="10" fontId="0" fillId="0" borderId="8" xfId="0" applyNumberFormat="1" applyFont="1" applyBorder="1" applyAlignment="1">
      <alignment horizontal="center"/>
    </xf>
    <xf numFmtId="10" fontId="0" fillId="7" borderId="1" xfId="0" applyNumberFormat="1" applyFont="1" applyFill="1" applyBorder="1" applyAlignment="1">
      <alignment horizontal="center"/>
    </xf>
    <xf numFmtId="10" fontId="0" fillId="7" borderId="8" xfId="0" applyNumberFormat="1" applyFont="1" applyFill="1" applyBorder="1" applyAlignment="1">
      <alignment horizontal="center"/>
    </xf>
    <xf numFmtId="179" fontId="0" fillId="0" borderId="1" xfId="0" applyNumberFormat="1" applyFont="1" applyBorder="1" applyAlignment="1">
      <alignment horizontal="center"/>
    </xf>
    <xf numFmtId="179" fontId="0" fillId="5" borderId="1" xfId="0" applyNumberFormat="1" applyFont="1" applyFill="1" applyBorder="1" applyAlignment="1">
      <alignment horizontal="center"/>
    </xf>
    <xf numFmtId="179" fontId="0" fillId="0" borderId="8" xfId="0" applyNumberFormat="1" applyFont="1" applyBorder="1" applyAlignment="1">
      <alignment horizontal="center"/>
    </xf>
    <xf numFmtId="179" fontId="0" fillId="7" borderId="1" xfId="0" applyNumberFormat="1" applyFont="1" applyFill="1" applyBorder="1" applyAlignment="1">
      <alignment horizontal="center"/>
    </xf>
    <xf numFmtId="179" fontId="0" fillId="7" borderId="8" xfId="0" applyNumberFormat="1" applyFont="1" applyFill="1" applyBorder="1" applyAlignment="1">
      <alignment horizontal="center"/>
    </xf>
    <xf numFmtId="178" fontId="0" fillId="5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/>
    <xf numFmtId="0" fontId="0" fillId="5" borderId="8" xfId="0" applyFill="1" applyBorder="1" applyAlignment="1">
      <alignment horizontal="center"/>
    </xf>
    <xf numFmtId="0" fontId="0" fillId="7" borderId="1" xfId="0" applyFill="1" applyBorder="1" applyAlignment="1"/>
    <xf numFmtId="180" fontId="0" fillId="5" borderId="8" xfId="0" applyNumberFormat="1" applyFont="1" applyFill="1" applyBorder="1" applyAlignment="1">
      <alignment horizontal="center"/>
    </xf>
    <xf numFmtId="180" fontId="0" fillId="7" borderId="1" xfId="0" applyNumberFormat="1" applyFont="1" applyFill="1" applyBorder="1" applyAlignment="1">
      <alignment horizontal="center"/>
    </xf>
    <xf numFmtId="180" fontId="0" fillId="0" borderId="8" xfId="0" applyNumberFormat="1" applyFont="1" applyBorder="1" applyAlignment="1">
      <alignment horizontal="center"/>
    </xf>
    <xf numFmtId="178" fontId="9" fillId="6" borderId="7" xfId="0" applyNumberFormat="1" applyFont="1" applyFill="1" applyBorder="1" applyAlignment="1">
      <alignment horizontal="center"/>
    </xf>
    <xf numFmtId="179" fontId="9" fillId="0" borderId="1" xfId="0" applyNumberFormat="1" applyFont="1" applyBorder="1" applyAlignment="1">
      <alignment horizontal="center"/>
    </xf>
    <xf numFmtId="179" fontId="9" fillId="5" borderId="1" xfId="0" applyNumberFormat="1" applyFont="1" applyFill="1" applyBorder="1" applyAlignment="1">
      <alignment horizontal="center"/>
    </xf>
    <xf numFmtId="180" fontId="9" fillId="0" borderId="8" xfId="0" applyNumberFormat="1" applyFont="1" applyBorder="1" applyAlignment="1">
      <alignment horizontal="center"/>
    </xf>
    <xf numFmtId="179" fontId="9" fillId="7" borderId="1" xfId="0" applyNumberFormat="1" applyFont="1" applyFill="1" applyBorder="1" applyAlignment="1">
      <alignment horizontal="center"/>
    </xf>
    <xf numFmtId="180" fontId="9" fillId="7" borderId="1" xfId="0" applyNumberFormat="1" applyFont="1" applyFill="1" applyBorder="1" applyAlignment="1">
      <alignment horizontal="center"/>
    </xf>
    <xf numFmtId="179" fontId="9" fillId="7" borderId="8" xfId="0" applyNumberFormat="1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wrapText="1"/>
    </xf>
    <xf numFmtId="0" fontId="6" fillId="5" borderId="1" xfId="0" applyFont="1" applyFill="1" applyBorder="1" applyAlignment="1">
      <alignment horizontal="center" wrapText="1"/>
    </xf>
    <xf numFmtId="0" fontId="6" fillId="5" borderId="8" xfId="0" applyFont="1" applyFill="1" applyBorder="1" applyAlignment="1">
      <alignment horizontal="center" wrapText="1"/>
    </xf>
    <xf numFmtId="0" fontId="6" fillId="7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wrapText="1"/>
    </xf>
    <xf numFmtId="0" fontId="6" fillId="7" borderId="8" xfId="0" applyFont="1" applyFill="1" applyBorder="1" applyAlignment="1">
      <alignment horizontal="center"/>
    </xf>
    <xf numFmtId="0" fontId="6" fillId="0" borderId="0" xfId="0" applyFont="1" applyAlignment="1"/>
    <xf numFmtId="0" fontId="0" fillId="6" borderId="7" xfId="0" applyFont="1" applyFill="1" applyBorder="1" applyAlignment="1">
      <alignment horizontal="center" vertical="center"/>
    </xf>
    <xf numFmtId="176" fontId="10" fillId="6" borderId="1" xfId="0" applyNumberFormat="1" applyFont="1" applyFill="1" applyBorder="1" applyAlignment="1">
      <alignment horizontal="center"/>
    </xf>
    <xf numFmtId="176" fontId="10" fillId="6" borderId="8" xfId="0" applyNumberFormat="1" applyFont="1" applyFill="1" applyBorder="1" applyAlignment="1">
      <alignment horizontal="center"/>
    </xf>
    <xf numFmtId="176" fontId="10" fillId="7" borderId="1" xfId="0" applyNumberFormat="1" applyFont="1" applyFill="1" applyBorder="1" applyAlignment="1">
      <alignment horizontal="center"/>
    </xf>
    <xf numFmtId="176" fontId="8" fillId="7" borderId="1" xfId="0" applyNumberFormat="1" applyFont="1" applyFill="1" applyBorder="1" applyAlignment="1">
      <alignment horizontal="center"/>
    </xf>
    <xf numFmtId="176" fontId="8" fillId="7" borderId="8" xfId="0" applyNumberFormat="1" applyFont="1" applyFill="1" applyBorder="1" applyAlignment="1">
      <alignment horizontal="center"/>
    </xf>
    <xf numFmtId="0" fontId="8" fillId="0" borderId="0" xfId="0" applyFont="1" applyAlignment="1"/>
    <xf numFmtId="0" fontId="10" fillId="6" borderId="1" xfId="0" applyFont="1" applyFill="1" applyBorder="1" applyAlignment="1">
      <alignment horizontal="center"/>
    </xf>
    <xf numFmtId="0" fontId="10" fillId="6" borderId="8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0" fontId="10" fillId="7" borderId="8" xfId="0" applyFont="1" applyFill="1" applyBorder="1" applyAlignment="1">
      <alignment horizontal="center"/>
    </xf>
    <xf numFmtId="0" fontId="9" fillId="6" borderId="7" xfId="0" applyFont="1" applyFill="1" applyBorder="1" applyAlignment="1">
      <alignment horizontal="center" vertical="center"/>
    </xf>
    <xf numFmtId="10" fontId="9" fillId="6" borderId="1" xfId="0" applyNumberFormat="1" applyFont="1" applyFill="1" applyBorder="1" applyAlignment="1"/>
    <xf numFmtId="10" fontId="9" fillId="6" borderId="8" xfId="0" applyNumberFormat="1" applyFont="1" applyFill="1" applyBorder="1" applyAlignment="1"/>
    <xf numFmtId="10" fontId="9" fillId="7" borderId="1" xfId="0" applyNumberFormat="1" applyFont="1" applyFill="1" applyBorder="1" applyAlignment="1"/>
    <xf numFmtId="10" fontId="9" fillId="7" borderId="8" xfId="0" applyNumberFormat="1" applyFont="1" applyFill="1" applyBorder="1" applyAlignment="1"/>
    <xf numFmtId="0" fontId="8" fillId="6" borderId="9" xfId="0" applyFont="1" applyFill="1" applyBorder="1" applyAlignment="1">
      <alignment horizontal="center"/>
    </xf>
    <xf numFmtId="10" fontId="9" fillId="6" borderId="10" xfId="0" applyNumberFormat="1" applyFont="1" applyFill="1" applyBorder="1" applyAlignment="1"/>
    <xf numFmtId="10" fontId="8" fillId="6" borderId="10" xfId="0" applyNumberFormat="1" applyFont="1" applyFill="1" applyBorder="1" applyAlignment="1"/>
    <xf numFmtId="10" fontId="8" fillId="6" borderId="11" xfId="0" applyNumberFormat="1" applyFont="1" applyFill="1" applyBorder="1" applyAlignment="1"/>
    <xf numFmtId="10" fontId="9" fillId="7" borderId="10" xfId="0" applyNumberFormat="1" applyFont="1" applyFill="1" applyBorder="1" applyAlignment="1"/>
    <xf numFmtId="10" fontId="9" fillId="7" borderId="11" xfId="0" applyNumberFormat="1" applyFont="1" applyFill="1" applyBorder="1" applyAlignment="1"/>
    <xf numFmtId="0" fontId="0" fillId="0" borderId="0" xfId="0" applyFont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6" fillId="5" borderId="13" xfId="0" applyFont="1" applyFill="1" applyBorder="1" applyAlignment="1">
      <alignment horizontal="center" wrapText="1"/>
    </xf>
    <xf numFmtId="0" fontId="6" fillId="5" borderId="13" xfId="0" applyFont="1" applyFill="1" applyBorder="1" applyAlignment="1">
      <alignment horizontal="center"/>
    </xf>
    <xf numFmtId="0" fontId="6" fillId="5" borderId="14" xfId="0" applyFont="1" applyFill="1" applyBorder="1" applyAlignment="1">
      <alignment horizontal="center" wrapText="1"/>
    </xf>
    <xf numFmtId="176" fontId="13" fillId="5" borderId="7" xfId="0" applyNumberFormat="1" applyFont="1" applyFill="1" applyBorder="1" applyAlignment="1">
      <alignment horizontal="center"/>
    </xf>
    <xf numFmtId="177" fontId="13" fillId="5" borderId="1" xfId="0" applyNumberFormat="1" applyFont="1" applyFill="1" applyBorder="1" applyAlignment="1">
      <alignment horizontal="center"/>
    </xf>
    <xf numFmtId="176" fontId="13" fillId="6" borderId="9" xfId="0" applyNumberFormat="1" applyFont="1" applyFill="1" applyBorder="1" applyAlignment="1">
      <alignment horizontal="center"/>
    </xf>
    <xf numFmtId="177" fontId="13" fillId="6" borderId="10" xfId="0" applyNumberFormat="1" applyFont="1" applyFill="1" applyBorder="1" applyAlignment="1">
      <alignment horizontal="center"/>
    </xf>
    <xf numFmtId="0" fontId="15" fillId="0" borderId="1" xfId="0" applyFont="1" applyBorder="1">
      <alignment vertical="center"/>
    </xf>
    <xf numFmtId="0" fontId="4" fillId="3" borderId="1" xfId="2" applyFont="1" applyBorder="1" applyAlignment="1">
      <alignment horizontal="right" vertical="center"/>
    </xf>
    <xf numFmtId="14" fontId="0" fillId="0" borderId="1" xfId="0" applyNumberFormat="1" applyBorder="1">
      <alignment vertical="center"/>
    </xf>
    <xf numFmtId="14" fontId="4" fillId="3" borderId="1" xfId="2" applyNumberFormat="1" applyFont="1" applyBorder="1" applyAlignment="1">
      <alignment horizontal="right" vertical="center"/>
    </xf>
    <xf numFmtId="0" fontId="4" fillId="3" borderId="2" xfId="2" applyFont="1" applyBorder="1" applyAlignment="1">
      <alignment horizontal="center" vertical="center"/>
    </xf>
    <xf numFmtId="0" fontId="4" fillId="3" borderId="3" xfId="2" applyFont="1" applyBorder="1" applyAlignment="1">
      <alignment horizontal="center" vertical="center"/>
    </xf>
    <xf numFmtId="0" fontId="4" fillId="3" borderId="1" xfId="2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7" xfId="0" applyFill="1" applyBorder="1" applyAlignment="1"/>
    <xf numFmtId="0" fontId="0" fillId="4" borderId="18" xfId="0" applyFill="1" applyBorder="1" applyAlignment="1"/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7" fillId="4" borderId="4" xfId="0" applyFont="1" applyFill="1" applyBorder="1" applyAlignment="1">
      <alignment horizontal="center" wrapText="1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14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0" fillId="6" borderId="15" xfId="0" applyFont="1" applyFill="1" applyBorder="1" applyAlignment="1"/>
    <xf numFmtId="0" fontId="0" fillId="0" borderId="0" xfId="0" applyBorder="1" applyAlignment="1"/>
    <xf numFmtId="0" fontId="0" fillId="0" borderId="16" xfId="0" applyBorder="1" applyAlignment="1"/>
    <xf numFmtId="0" fontId="0" fillId="7" borderId="1" xfId="0" applyFill="1" applyBorder="1" applyAlignment="1">
      <alignment horizontal="center"/>
    </xf>
    <xf numFmtId="0" fontId="0" fillId="7" borderId="8" xfId="0" applyFill="1" applyBorder="1" applyAlignment="1">
      <alignment horizontal="center"/>
    </xf>
  </cellXfs>
  <cellStyles count="3">
    <cellStyle name="一般" xfId="0" builtinId="0"/>
    <cellStyle name="好" xfId="1" builtinId="26"/>
    <cellStyle name="壞" xfId="2" builtinId="27"/>
  </cellStyles>
  <dxfs count="2"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2"/>
  <sheetViews>
    <sheetView tabSelected="1" workbookViewId="0">
      <selection activeCell="A18" sqref="A18"/>
    </sheetView>
  </sheetViews>
  <sheetFormatPr defaultRowHeight="16.5"/>
  <cols>
    <col min="1" max="1" width="9.5" style="3" bestFit="1" customWidth="1"/>
    <col min="2" max="2" width="9.25" style="3" customWidth="1"/>
    <col min="3" max="3" width="9" style="3"/>
    <col min="4" max="4" width="10.5" style="5" bestFit="1" customWidth="1"/>
    <col min="5" max="5" width="9" style="3"/>
    <col min="6" max="7" width="9" style="4"/>
    <col min="8" max="8" width="10.5" style="6" bestFit="1" customWidth="1"/>
    <col min="9" max="9" width="9" style="4"/>
    <col min="10" max="10" width="9" style="2"/>
    <col min="13" max="13" width="9.5" bestFit="1" customWidth="1"/>
    <col min="14" max="14" width="9.625" bestFit="1" customWidth="1"/>
    <col min="17" max="17" width="8.75" customWidth="1"/>
    <col min="18" max="18" width="2" customWidth="1"/>
    <col min="20" max="20" width="8.625" bestFit="1" customWidth="1"/>
    <col min="24" max="24" width="9.5" bestFit="1" customWidth="1"/>
  </cols>
  <sheetData>
    <row r="1" spans="1:25" ht="34.9" customHeight="1" thickBot="1">
      <c r="A1" s="3" t="s">
        <v>5</v>
      </c>
      <c r="F1" s="4" t="s">
        <v>4</v>
      </c>
      <c r="P1" s="114" t="s">
        <v>15</v>
      </c>
      <c r="Q1" s="115"/>
      <c r="R1" s="115"/>
      <c r="S1" s="115"/>
      <c r="T1" s="116"/>
      <c r="V1" s="3" t="s">
        <v>87</v>
      </c>
      <c r="W1" s="3"/>
      <c r="X1" s="3"/>
      <c r="Y1" s="5"/>
    </row>
    <row r="2" spans="1:25" ht="29.45" customHeight="1">
      <c r="A2" s="3" t="s">
        <v>84</v>
      </c>
      <c r="B2" s="3" t="s">
        <v>2</v>
      </c>
      <c r="C2" s="3" t="s">
        <v>0</v>
      </c>
      <c r="D2" s="5" t="s">
        <v>1</v>
      </c>
      <c r="E2" s="3" t="s">
        <v>3</v>
      </c>
      <c r="F2" s="4" t="s">
        <v>2</v>
      </c>
      <c r="G2" s="4" t="s">
        <v>0</v>
      </c>
      <c r="H2" s="6" t="s">
        <v>1</v>
      </c>
      <c r="I2" s="4" t="s">
        <v>6</v>
      </c>
      <c r="J2" s="2" t="s">
        <v>7</v>
      </c>
      <c r="L2" s="109" t="s">
        <v>8</v>
      </c>
      <c r="M2" s="109"/>
      <c r="N2" s="1">
        <v>50000</v>
      </c>
      <c r="P2" s="94" t="s">
        <v>13</v>
      </c>
      <c r="Q2" s="95" t="s">
        <v>14</v>
      </c>
      <c r="R2" s="110"/>
      <c r="S2" s="96" t="s">
        <v>13</v>
      </c>
      <c r="T2" s="97" t="s">
        <v>14</v>
      </c>
      <c r="V2" s="3" t="s">
        <v>2</v>
      </c>
      <c r="W2" s="3" t="s">
        <v>0</v>
      </c>
      <c r="X2" s="5" t="s">
        <v>1</v>
      </c>
      <c r="Y2" s="3" t="s">
        <v>3</v>
      </c>
    </row>
    <row r="3" spans="1:25">
      <c r="A3" s="3">
        <v>272.5</v>
      </c>
      <c r="B3" s="3">
        <v>253</v>
      </c>
      <c r="C3" s="3">
        <v>8</v>
      </c>
      <c r="D3" s="105" t="s">
        <v>88</v>
      </c>
      <c r="E3" s="3">
        <v>2025</v>
      </c>
      <c r="J3" s="2">
        <f>I3-E3</f>
        <v>-2025</v>
      </c>
      <c r="L3" s="117" t="s">
        <v>10</v>
      </c>
      <c r="M3" s="118"/>
      <c r="N3" s="102">
        <f>SUM(J:J)*-1</f>
        <v>23787</v>
      </c>
      <c r="P3" s="7">
        <v>225</v>
      </c>
      <c r="Q3" s="8">
        <v>160</v>
      </c>
      <c r="R3" s="111"/>
      <c r="S3" s="9">
        <v>275</v>
      </c>
      <c r="T3" s="10">
        <v>0</v>
      </c>
      <c r="V3" s="3">
        <v>253</v>
      </c>
      <c r="W3" s="3">
        <v>10</v>
      </c>
      <c r="X3" s="5">
        <v>44617</v>
      </c>
      <c r="Y3" s="3">
        <v>2532</v>
      </c>
    </row>
    <row r="4" spans="1:25">
      <c r="A4" s="3">
        <v>270</v>
      </c>
      <c r="B4" s="103">
        <v>249.5</v>
      </c>
      <c r="C4" s="3">
        <v>8</v>
      </c>
      <c r="D4" s="105" t="s">
        <v>88</v>
      </c>
      <c r="E4" s="3">
        <v>1996</v>
      </c>
      <c r="J4" s="2">
        <f t="shared" ref="J4:J24" si="0">I4-E4</f>
        <v>-1996</v>
      </c>
      <c r="L4" s="119" t="s">
        <v>9</v>
      </c>
      <c r="M4" s="118"/>
      <c r="N4" s="102">
        <f>N2-N3</f>
        <v>26213</v>
      </c>
      <c r="P4" s="11">
        <f>P3-2.5</f>
        <v>222.5</v>
      </c>
      <c r="Q4" s="12">
        <f>Q3+8</f>
        <v>168</v>
      </c>
      <c r="R4" s="111"/>
      <c r="S4" s="13">
        <f>S3-2.5</f>
        <v>272.5</v>
      </c>
      <c r="T4" s="14">
        <f>T3+8</f>
        <v>8</v>
      </c>
      <c r="V4" s="103">
        <v>251.5</v>
      </c>
      <c r="W4" s="3">
        <v>3</v>
      </c>
      <c r="X4" s="5">
        <v>44658</v>
      </c>
      <c r="Y4" s="3">
        <v>755</v>
      </c>
    </row>
    <row r="5" spans="1:25">
      <c r="A5" s="3">
        <v>267.5</v>
      </c>
      <c r="B5" s="103">
        <v>249</v>
      </c>
      <c r="C5" s="3">
        <v>8</v>
      </c>
      <c r="D5" s="105" t="s">
        <v>88</v>
      </c>
      <c r="E5" s="3">
        <v>1994</v>
      </c>
      <c r="J5" s="2">
        <f t="shared" ref="J5:J13" si="1">I5-E5</f>
        <v>-1994</v>
      </c>
      <c r="L5" s="109" t="s">
        <v>11</v>
      </c>
      <c r="M5" s="109"/>
      <c r="N5" s="1">
        <f>SUMIF(J:J,"&gt;0")</f>
        <v>1651</v>
      </c>
      <c r="P5" s="11">
        <f t="shared" ref="P5:P23" si="2">P4-2.5</f>
        <v>220</v>
      </c>
      <c r="Q5" s="12">
        <f t="shared" ref="Q5:Q23" si="3">Q4+8</f>
        <v>176</v>
      </c>
      <c r="R5" s="111"/>
      <c r="S5" s="13">
        <f t="shared" ref="S5:S23" si="4">S4-2.5</f>
        <v>270</v>
      </c>
      <c r="T5" s="14">
        <f t="shared" ref="T5:T23" si="5">T4+8</f>
        <v>16</v>
      </c>
      <c r="V5" s="103">
        <v>249</v>
      </c>
      <c r="W5" s="3">
        <v>16</v>
      </c>
      <c r="X5" s="5">
        <v>44673</v>
      </c>
      <c r="Y5" s="3">
        <v>3987</v>
      </c>
    </row>
    <row r="6" spans="1:25">
      <c r="A6" s="3">
        <v>265</v>
      </c>
      <c r="B6" s="103">
        <v>249</v>
      </c>
      <c r="C6" s="3">
        <v>8</v>
      </c>
      <c r="D6" s="105" t="s">
        <v>88</v>
      </c>
      <c r="E6" s="3">
        <v>1994</v>
      </c>
      <c r="J6" s="2">
        <f t="shared" si="1"/>
        <v>-1994</v>
      </c>
      <c r="L6" s="109" t="s">
        <v>12</v>
      </c>
      <c r="M6" s="109"/>
      <c r="N6" s="1">
        <f>SUM(C:C)-SUM(G:G)</f>
        <v>104</v>
      </c>
      <c r="P6" s="11">
        <f t="shared" si="2"/>
        <v>217.5</v>
      </c>
      <c r="Q6" s="12">
        <f t="shared" si="3"/>
        <v>184</v>
      </c>
      <c r="R6" s="111"/>
      <c r="S6" s="13">
        <f t="shared" si="4"/>
        <v>267.5</v>
      </c>
      <c r="T6" s="14">
        <f t="shared" si="5"/>
        <v>24</v>
      </c>
      <c r="V6" s="3">
        <v>245</v>
      </c>
      <c r="W6" s="3">
        <v>9</v>
      </c>
      <c r="X6" s="5">
        <v>44684</v>
      </c>
      <c r="Y6" s="3">
        <v>2206</v>
      </c>
    </row>
    <row r="7" spans="1:25">
      <c r="A7" s="3">
        <v>262.5</v>
      </c>
      <c r="B7" s="3">
        <v>245</v>
      </c>
      <c r="C7" s="3">
        <v>8</v>
      </c>
      <c r="D7" s="105" t="s">
        <v>88</v>
      </c>
      <c r="E7" s="3">
        <v>1961</v>
      </c>
      <c r="J7" s="2">
        <f t="shared" si="1"/>
        <v>-1961</v>
      </c>
      <c r="L7" s="109" t="s">
        <v>86</v>
      </c>
      <c r="M7" s="109"/>
      <c r="N7" s="104">
        <f>MAX(MAX(D:D),MAX(H:H))</f>
        <v>44757</v>
      </c>
      <c r="P7" s="11">
        <f t="shared" si="2"/>
        <v>215</v>
      </c>
      <c r="Q7" s="12">
        <f t="shared" si="3"/>
        <v>192</v>
      </c>
      <c r="R7" s="111"/>
      <c r="S7" s="13">
        <f t="shared" si="4"/>
        <v>265</v>
      </c>
      <c r="T7" s="14">
        <f t="shared" si="5"/>
        <v>32</v>
      </c>
      <c r="V7" s="3">
        <v>245</v>
      </c>
      <c r="W7" s="3">
        <v>9</v>
      </c>
      <c r="X7" s="5">
        <v>44684</v>
      </c>
      <c r="Y7" s="3">
        <v>2206</v>
      </c>
    </row>
    <row r="8" spans="1:25">
      <c r="A8" s="3">
        <v>260</v>
      </c>
      <c r="B8" s="3">
        <v>245</v>
      </c>
      <c r="C8" s="3">
        <v>8</v>
      </c>
      <c r="D8" s="105" t="s">
        <v>88</v>
      </c>
      <c r="E8" s="3">
        <v>1961</v>
      </c>
      <c r="J8" s="2">
        <f t="shared" si="1"/>
        <v>-1961</v>
      </c>
      <c r="P8" s="11">
        <f t="shared" si="2"/>
        <v>212.5</v>
      </c>
      <c r="Q8" s="12">
        <f t="shared" si="3"/>
        <v>200</v>
      </c>
      <c r="R8" s="111"/>
      <c r="S8" s="13">
        <f t="shared" si="4"/>
        <v>262.5</v>
      </c>
      <c r="T8" s="14">
        <f t="shared" si="5"/>
        <v>40</v>
      </c>
      <c r="V8" s="3">
        <v>245</v>
      </c>
      <c r="W8" s="3">
        <v>9</v>
      </c>
      <c r="X8" s="5">
        <v>44684</v>
      </c>
      <c r="Y8" s="3">
        <v>2206</v>
      </c>
    </row>
    <row r="9" spans="1:25">
      <c r="A9" s="3">
        <v>257.5</v>
      </c>
      <c r="B9" s="3">
        <v>245</v>
      </c>
      <c r="C9" s="3">
        <v>8</v>
      </c>
      <c r="D9" s="105" t="s">
        <v>88</v>
      </c>
      <c r="E9" s="3">
        <v>1961</v>
      </c>
      <c r="J9" s="2">
        <f t="shared" si="1"/>
        <v>-1961</v>
      </c>
      <c r="P9" s="11">
        <f t="shared" si="2"/>
        <v>210</v>
      </c>
      <c r="Q9" s="12">
        <f t="shared" si="3"/>
        <v>208</v>
      </c>
      <c r="R9" s="111"/>
      <c r="S9" s="13">
        <f t="shared" si="4"/>
        <v>260</v>
      </c>
      <c r="T9" s="14">
        <f t="shared" si="5"/>
        <v>48</v>
      </c>
      <c r="V9" s="3">
        <v>237.5</v>
      </c>
      <c r="W9" s="3">
        <v>8</v>
      </c>
      <c r="X9" s="5">
        <v>44687</v>
      </c>
      <c r="Y9" s="3">
        <v>1901</v>
      </c>
    </row>
    <row r="10" spans="1:25">
      <c r="A10" s="3">
        <v>255</v>
      </c>
      <c r="B10" s="3">
        <v>237.5</v>
      </c>
      <c r="C10" s="3">
        <v>8</v>
      </c>
      <c r="D10" s="105" t="s">
        <v>88</v>
      </c>
      <c r="E10" s="3">
        <v>1901</v>
      </c>
      <c r="J10" s="2">
        <f t="shared" si="1"/>
        <v>-1901</v>
      </c>
      <c r="P10" s="11">
        <f t="shared" si="2"/>
        <v>207.5</v>
      </c>
      <c r="Q10" s="12">
        <f t="shared" si="3"/>
        <v>216</v>
      </c>
      <c r="R10" s="111"/>
      <c r="S10" s="13">
        <f t="shared" si="4"/>
        <v>257.5</v>
      </c>
      <c r="T10" s="14">
        <f t="shared" si="5"/>
        <v>56</v>
      </c>
      <c r="V10" s="3">
        <v>235</v>
      </c>
      <c r="W10" s="3">
        <v>8</v>
      </c>
      <c r="X10" s="5">
        <v>44687</v>
      </c>
      <c r="Y10" s="3">
        <v>1881</v>
      </c>
    </row>
    <row r="11" spans="1:25">
      <c r="A11" s="3">
        <v>252.5</v>
      </c>
      <c r="B11" s="3">
        <v>235</v>
      </c>
      <c r="C11" s="3">
        <v>8</v>
      </c>
      <c r="D11" s="105" t="s">
        <v>88</v>
      </c>
      <c r="E11" s="3">
        <v>1881</v>
      </c>
      <c r="J11" s="2">
        <f t="shared" si="1"/>
        <v>-1881</v>
      </c>
      <c r="P11" s="11">
        <f t="shared" si="2"/>
        <v>205</v>
      </c>
      <c r="Q11" s="12">
        <f t="shared" si="3"/>
        <v>224</v>
      </c>
      <c r="R11" s="111"/>
      <c r="S11" s="13">
        <f t="shared" si="4"/>
        <v>255</v>
      </c>
      <c r="T11" s="14">
        <f t="shared" si="5"/>
        <v>64</v>
      </c>
      <c r="V11" s="3">
        <v>235</v>
      </c>
      <c r="W11" s="3">
        <v>8</v>
      </c>
      <c r="X11" s="5">
        <v>44687</v>
      </c>
      <c r="Y11" s="3">
        <v>1881</v>
      </c>
    </row>
    <row r="12" spans="1:25">
      <c r="A12" s="3">
        <v>250</v>
      </c>
      <c r="B12" s="3">
        <v>250</v>
      </c>
      <c r="C12" s="3">
        <v>8</v>
      </c>
      <c r="D12" s="5">
        <v>44670</v>
      </c>
      <c r="E12" s="3">
        <v>2001</v>
      </c>
      <c r="F12" s="4">
        <v>256</v>
      </c>
      <c r="G12" s="4">
        <v>8</v>
      </c>
      <c r="H12" s="6">
        <v>44671</v>
      </c>
      <c r="I12" s="4">
        <v>2041</v>
      </c>
      <c r="J12" s="2">
        <f t="shared" si="1"/>
        <v>40</v>
      </c>
      <c r="P12" s="11">
        <f t="shared" si="2"/>
        <v>202.5</v>
      </c>
      <c r="Q12" s="12">
        <f t="shared" si="3"/>
        <v>232</v>
      </c>
      <c r="R12" s="111"/>
      <c r="S12" s="13">
        <f t="shared" si="4"/>
        <v>252.5</v>
      </c>
      <c r="T12" s="14">
        <f t="shared" si="5"/>
        <v>72</v>
      </c>
      <c r="V12" s="106" t="s">
        <v>85</v>
      </c>
      <c r="W12" s="107"/>
      <c r="X12" s="108">
        <f>SUM(Y3:Y11)/SUM(W3:W11)</f>
        <v>244.4375</v>
      </c>
      <c r="Y12" s="108"/>
    </row>
    <row r="13" spans="1:25">
      <c r="A13" s="3">
        <v>250</v>
      </c>
      <c r="B13" s="3">
        <v>235</v>
      </c>
      <c r="C13" s="3">
        <v>8</v>
      </c>
      <c r="D13" s="105" t="s">
        <v>88</v>
      </c>
      <c r="E13" s="3">
        <v>1881</v>
      </c>
      <c r="J13" s="2">
        <f t="shared" si="1"/>
        <v>-1881</v>
      </c>
      <c r="P13" s="7">
        <f t="shared" si="2"/>
        <v>200</v>
      </c>
      <c r="Q13" s="8">
        <f t="shared" si="3"/>
        <v>240</v>
      </c>
      <c r="R13" s="111"/>
      <c r="S13" s="9">
        <f t="shared" si="4"/>
        <v>250</v>
      </c>
      <c r="T13" s="10">
        <f t="shared" si="5"/>
        <v>80</v>
      </c>
    </row>
    <row r="14" spans="1:25">
      <c r="A14" s="3">
        <v>247.5</v>
      </c>
      <c r="B14" s="3">
        <v>247.5</v>
      </c>
      <c r="C14" s="3">
        <v>8</v>
      </c>
      <c r="D14" s="5">
        <v>44673</v>
      </c>
      <c r="E14" s="3">
        <v>1981</v>
      </c>
      <c r="J14" s="2">
        <f t="shared" si="0"/>
        <v>-1981</v>
      </c>
      <c r="P14" s="98">
        <f t="shared" si="2"/>
        <v>197.5</v>
      </c>
      <c r="Q14" s="99">
        <f t="shared" si="3"/>
        <v>248</v>
      </c>
      <c r="R14" s="112"/>
      <c r="S14" s="13">
        <f t="shared" si="4"/>
        <v>247.5</v>
      </c>
      <c r="T14" s="14">
        <f t="shared" si="5"/>
        <v>88</v>
      </c>
    </row>
    <row r="15" spans="1:25">
      <c r="A15" s="3">
        <v>242.5</v>
      </c>
      <c r="B15" s="3">
        <v>240.5</v>
      </c>
      <c r="C15" s="3">
        <v>8</v>
      </c>
      <c r="D15" s="5">
        <v>44676</v>
      </c>
      <c r="E15" s="3">
        <v>1925</v>
      </c>
      <c r="F15" s="4">
        <v>247.5</v>
      </c>
      <c r="G15" s="4">
        <v>8</v>
      </c>
      <c r="H15" s="6">
        <v>44677</v>
      </c>
      <c r="I15" s="4">
        <v>1974</v>
      </c>
      <c r="J15" s="2">
        <f>I15-E15</f>
        <v>49</v>
      </c>
      <c r="P15" s="98">
        <f t="shared" si="2"/>
        <v>195</v>
      </c>
      <c r="Q15" s="99">
        <f t="shared" si="3"/>
        <v>256</v>
      </c>
      <c r="R15" s="112"/>
      <c r="S15" s="13">
        <f t="shared" si="4"/>
        <v>245</v>
      </c>
      <c r="T15" s="14">
        <f t="shared" si="5"/>
        <v>96</v>
      </c>
    </row>
    <row r="16" spans="1:25">
      <c r="A16" s="3">
        <v>240</v>
      </c>
      <c r="B16" s="3">
        <v>240</v>
      </c>
      <c r="C16" s="3">
        <v>8</v>
      </c>
      <c r="D16" s="5">
        <v>44676</v>
      </c>
      <c r="E16" s="3">
        <v>1921</v>
      </c>
      <c r="F16" s="4">
        <v>245</v>
      </c>
      <c r="G16" s="4">
        <v>8</v>
      </c>
      <c r="H16" s="6">
        <v>44677</v>
      </c>
      <c r="I16" s="4">
        <v>1954</v>
      </c>
      <c r="J16" s="2">
        <f t="shared" si="0"/>
        <v>33</v>
      </c>
      <c r="P16" s="98">
        <f t="shared" si="2"/>
        <v>192.5</v>
      </c>
      <c r="Q16" s="99">
        <f t="shared" si="3"/>
        <v>264</v>
      </c>
      <c r="R16" s="112"/>
      <c r="S16" s="13">
        <f t="shared" si="4"/>
        <v>242.5</v>
      </c>
      <c r="T16" s="14">
        <f t="shared" si="5"/>
        <v>104</v>
      </c>
    </row>
    <row r="17" spans="1:20">
      <c r="A17" s="3">
        <v>237.5</v>
      </c>
      <c r="B17" s="3">
        <v>237</v>
      </c>
      <c r="C17" s="3">
        <v>8</v>
      </c>
      <c r="D17" s="5">
        <v>44676</v>
      </c>
      <c r="E17" s="3">
        <f>B17*C17+1</f>
        <v>1897</v>
      </c>
      <c r="F17" s="4">
        <v>242.5</v>
      </c>
      <c r="G17" s="4">
        <v>8</v>
      </c>
      <c r="H17" s="6">
        <v>44677</v>
      </c>
      <c r="I17" s="4">
        <v>1934</v>
      </c>
      <c r="J17" s="2">
        <f t="shared" si="0"/>
        <v>37</v>
      </c>
      <c r="P17" s="98">
        <f t="shared" si="2"/>
        <v>190</v>
      </c>
      <c r="Q17" s="99">
        <f t="shared" si="3"/>
        <v>272</v>
      </c>
      <c r="R17" s="112"/>
      <c r="S17" s="13">
        <f t="shared" si="4"/>
        <v>240</v>
      </c>
      <c r="T17" s="14">
        <f t="shared" si="5"/>
        <v>112</v>
      </c>
    </row>
    <row r="18" spans="1:20">
      <c r="A18" s="3">
        <v>245</v>
      </c>
      <c r="B18" s="3">
        <v>245</v>
      </c>
      <c r="C18" s="3">
        <v>8</v>
      </c>
      <c r="D18" s="5">
        <v>44678</v>
      </c>
      <c r="E18" s="3">
        <v>1961</v>
      </c>
      <c r="F18" s="4">
        <v>250</v>
      </c>
      <c r="G18" s="4">
        <v>8</v>
      </c>
      <c r="H18" s="6">
        <v>44680</v>
      </c>
      <c r="I18" s="4">
        <v>1993</v>
      </c>
      <c r="J18" s="2">
        <f t="shared" si="0"/>
        <v>32</v>
      </c>
      <c r="P18" s="98">
        <f t="shared" si="2"/>
        <v>187.5</v>
      </c>
      <c r="Q18" s="99">
        <f t="shared" si="3"/>
        <v>280</v>
      </c>
      <c r="R18" s="112"/>
      <c r="S18" s="13">
        <f t="shared" si="4"/>
        <v>237.5</v>
      </c>
      <c r="T18" s="14">
        <f t="shared" si="5"/>
        <v>120</v>
      </c>
    </row>
    <row r="19" spans="1:20">
      <c r="A19" s="3">
        <v>245</v>
      </c>
      <c r="B19" s="3">
        <v>245</v>
      </c>
      <c r="C19" s="3">
        <v>8</v>
      </c>
      <c r="D19" s="5">
        <v>44684</v>
      </c>
      <c r="E19" s="3">
        <v>1961</v>
      </c>
      <c r="J19" s="2">
        <f t="shared" si="0"/>
        <v>-1961</v>
      </c>
      <c r="P19" s="98">
        <f t="shared" si="2"/>
        <v>185</v>
      </c>
      <c r="Q19" s="99">
        <f t="shared" si="3"/>
        <v>288</v>
      </c>
      <c r="R19" s="112"/>
      <c r="S19" s="13">
        <f t="shared" si="4"/>
        <v>235</v>
      </c>
      <c r="T19" s="14">
        <f t="shared" si="5"/>
        <v>128</v>
      </c>
    </row>
    <row r="20" spans="1:20">
      <c r="A20" s="3">
        <v>242.5</v>
      </c>
      <c r="B20" s="3">
        <v>242.5</v>
      </c>
      <c r="C20" s="3">
        <v>8</v>
      </c>
      <c r="D20" s="5">
        <v>44684</v>
      </c>
      <c r="E20" s="3">
        <v>1941</v>
      </c>
      <c r="J20" s="2">
        <f t="shared" si="0"/>
        <v>-1941</v>
      </c>
      <c r="P20" s="98">
        <f t="shared" si="2"/>
        <v>182.5</v>
      </c>
      <c r="Q20" s="99">
        <f t="shared" si="3"/>
        <v>296</v>
      </c>
      <c r="R20" s="112"/>
      <c r="S20" s="13">
        <f t="shared" si="4"/>
        <v>232.5</v>
      </c>
      <c r="T20" s="14">
        <f t="shared" si="5"/>
        <v>136</v>
      </c>
    </row>
    <row r="21" spans="1:20">
      <c r="A21" s="103">
        <v>240</v>
      </c>
      <c r="B21" s="103">
        <v>237.5</v>
      </c>
      <c r="C21" s="3">
        <v>8</v>
      </c>
      <c r="D21" s="5">
        <v>44687</v>
      </c>
      <c r="E21" s="3">
        <v>1901</v>
      </c>
      <c r="F21" s="4">
        <v>245</v>
      </c>
      <c r="G21" s="4">
        <v>8</v>
      </c>
      <c r="H21" s="6">
        <v>44757</v>
      </c>
      <c r="I21" s="4">
        <v>1954</v>
      </c>
      <c r="J21" s="2">
        <f t="shared" si="0"/>
        <v>53</v>
      </c>
      <c r="P21" s="98">
        <f t="shared" si="2"/>
        <v>180</v>
      </c>
      <c r="Q21" s="99">
        <f t="shared" si="3"/>
        <v>304</v>
      </c>
      <c r="R21" s="112"/>
      <c r="S21" s="13">
        <f t="shared" si="4"/>
        <v>230</v>
      </c>
      <c r="T21" s="14">
        <f t="shared" si="5"/>
        <v>144</v>
      </c>
    </row>
    <row r="22" spans="1:20">
      <c r="A22" s="3">
        <v>237.5</v>
      </c>
      <c r="B22" s="3">
        <v>237.5</v>
      </c>
      <c r="C22" s="3">
        <v>8</v>
      </c>
      <c r="D22" s="5">
        <v>44687</v>
      </c>
      <c r="E22" s="3">
        <v>1901</v>
      </c>
      <c r="F22" s="4">
        <v>242.5</v>
      </c>
      <c r="G22" s="4">
        <v>8</v>
      </c>
      <c r="H22" s="6">
        <v>44756</v>
      </c>
      <c r="I22" s="4">
        <v>1934</v>
      </c>
      <c r="J22" s="2">
        <f t="shared" si="0"/>
        <v>33</v>
      </c>
      <c r="P22" s="98">
        <f t="shared" si="2"/>
        <v>177.5</v>
      </c>
      <c r="Q22" s="99">
        <f t="shared" si="3"/>
        <v>312</v>
      </c>
      <c r="R22" s="112"/>
      <c r="S22" s="13">
        <f t="shared" si="4"/>
        <v>227.5</v>
      </c>
      <c r="T22" s="14">
        <f t="shared" si="5"/>
        <v>152</v>
      </c>
    </row>
    <row r="23" spans="1:20" ht="17.25" thickBot="1">
      <c r="A23" s="3">
        <v>235</v>
      </c>
      <c r="B23" s="3">
        <v>235</v>
      </c>
      <c r="C23" s="3">
        <v>8</v>
      </c>
      <c r="D23" s="5">
        <v>44687</v>
      </c>
      <c r="E23" s="3">
        <v>1881</v>
      </c>
      <c r="F23" s="4">
        <v>240</v>
      </c>
      <c r="G23" s="4">
        <v>8</v>
      </c>
      <c r="H23" s="6">
        <v>44712</v>
      </c>
      <c r="I23" s="4">
        <v>1914</v>
      </c>
      <c r="J23" s="2">
        <f t="shared" si="0"/>
        <v>33</v>
      </c>
      <c r="P23" s="100">
        <f t="shared" si="2"/>
        <v>175</v>
      </c>
      <c r="Q23" s="101">
        <f t="shared" si="3"/>
        <v>320</v>
      </c>
      <c r="R23" s="113"/>
      <c r="S23" s="15">
        <f t="shared" si="4"/>
        <v>225</v>
      </c>
      <c r="T23" s="16">
        <f t="shared" si="5"/>
        <v>160</v>
      </c>
    </row>
    <row r="24" spans="1:20">
      <c r="A24" s="3">
        <v>232.5</v>
      </c>
      <c r="B24" s="3">
        <v>229.5</v>
      </c>
      <c r="C24" s="3">
        <v>8</v>
      </c>
      <c r="D24" s="5">
        <v>44690</v>
      </c>
      <c r="E24" s="3">
        <v>1837</v>
      </c>
      <c r="F24" s="4">
        <v>237.5</v>
      </c>
      <c r="G24" s="4">
        <v>8</v>
      </c>
      <c r="H24" s="6">
        <v>44711</v>
      </c>
      <c r="I24" s="4">
        <v>1894</v>
      </c>
      <c r="J24" s="2">
        <f t="shared" si="0"/>
        <v>57</v>
      </c>
    </row>
    <row r="25" spans="1:20">
      <c r="A25" s="3">
        <v>230</v>
      </c>
      <c r="B25" s="3">
        <v>229.5</v>
      </c>
      <c r="C25" s="3">
        <v>8</v>
      </c>
      <c r="D25" s="5">
        <v>44690</v>
      </c>
      <c r="E25" s="3">
        <v>1837</v>
      </c>
      <c r="F25" s="4">
        <v>235</v>
      </c>
      <c r="G25" s="4">
        <v>8</v>
      </c>
      <c r="H25" s="6">
        <v>44711</v>
      </c>
      <c r="I25" s="4">
        <v>1874</v>
      </c>
      <c r="J25" s="2">
        <f t="shared" ref="J25:J32" si="6">I25-E25</f>
        <v>37</v>
      </c>
    </row>
    <row r="26" spans="1:20">
      <c r="A26" s="3">
        <v>227.5</v>
      </c>
      <c r="B26" s="3">
        <v>225.5</v>
      </c>
      <c r="C26" s="3">
        <v>8</v>
      </c>
      <c r="D26" s="5">
        <v>44691</v>
      </c>
      <c r="E26" s="3">
        <v>1805</v>
      </c>
      <c r="F26" s="4">
        <v>232.5</v>
      </c>
      <c r="G26" s="4">
        <v>8</v>
      </c>
      <c r="H26" s="6">
        <v>44699</v>
      </c>
      <c r="I26" s="4">
        <v>1854</v>
      </c>
      <c r="J26" s="2">
        <f t="shared" si="6"/>
        <v>49</v>
      </c>
    </row>
    <row r="27" spans="1:20">
      <c r="A27" s="3">
        <v>225</v>
      </c>
      <c r="B27" s="3">
        <v>225</v>
      </c>
      <c r="C27" s="3">
        <v>8</v>
      </c>
      <c r="D27" s="5">
        <v>44691</v>
      </c>
      <c r="E27" s="3">
        <v>1801</v>
      </c>
      <c r="F27" s="4">
        <v>230.5</v>
      </c>
      <c r="G27" s="4">
        <v>8</v>
      </c>
      <c r="H27" s="6">
        <v>44699</v>
      </c>
      <c r="I27" s="4">
        <v>1838</v>
      </c>
      <c r="J27" s="2">
        <f t="shared" si="6"/>
        <v>37</v>
      </c>
    </row>
    <row r="28" spans="1:20">
      <c r="A28" s="3">
        <v>222.5</v>
      </c>
      <c r="B28" s="3">
        <v>220.5</v>
      </c>
      <c r="C28" s="3">
        <v>8</v>
      </c>
      <c r="D28" s="5">
        <v>44693</v>
      </c>
      <c r="E28" s="3">
        <v>1765</v>
      </c>
      <c r="F28" s="4">
        <v>229</v>
      </c>
      <c r="G28" s="4">
        <v>8</v>
      </c>
      <c r="H28" s="6">
        <v>44699</v>
      </c>
      <c r="I28" s="4">
        <v>1826</v>
      </c>
      <c r="J28" s="2">
        <f t="shared" si="6"/>
        <v>61</v>
      </c>
    </row>
    <row r="29" spans="1:20">
      <c r="A29" s="3">
        <v>220</v>
      </c>
      <c r="B29" s="3">
        <v>220</v>
      </c>
      <c r="C29" s="3">
        <v>8</v>
      </c>
      <c r="D29" s="5">
        <v>44693</v>
      </c>
      <c r="E29" s="3">
        <v>1761</v>
      </c>
      <c r="F29" s="4">
        <v>225.5</v>
      </c>
      <c r="G29" s="4">
        <v>8</v>
      </c>
      <c r="H29" s="6">
        <v>44697</v>
      </c>
      <c r="I29" s="4">
        <v>1798</v>
      </c>
      <c r="J29" s="2">
        <f t="shared" si="6"/>
        <v>37</v>
      </c>
    </row>
    <row r="30" spans="1:20">
      <c r="A30" s="3">
        <v>227.5</v>
      </c>
      <c r="B30" s="3">
        <v>222.5</v>
      </c>
      <c r="C30" s="3">
        <v>8</v>
      </c>
      <c r="D30" s="5">
        <v>44700</v>
      </c>
      <c r="E30" s="3">
        <v>1781</v>
      </c>
      <c r="F30" s="4">
        <v>234</v>
      </c>
      <c r="G30" s="4">
        <v>8</v>
      </c>
      <c r="H30" s="6">
        <v>44711</v>
      </c>
      <c r="I30" s="4">
        <v>1866</v>
      </c>
      <c r="J30" s="2">
        <f t="shared" si="6"/>
        <v>85</v>
      </c>
    </row>
    <row r="31" spans="1:20">
      <c r="A31" s="3">
        <v>225</v>
      </c>
      <c r="B31" s="3">
        <v>222.5</v>
      </c>
      <c r="C31" s="3">
        <v>8</v>
      </c>
      <c r="D31" s="5">
        <v>44700</v>
      </c>
      <c r="E31" s="3">
        <v>1781</v>
      </c>
      <c r="F31" s="4">
        <v>230</v>
      </c>
      <c r="G31" s="4">
        <v>8</v>
      </c>
      <c r="H31" s="6">
        <v>44708</v>
      </c>
      <c r="I31" s="4">
        <v>1834</v>
      </c>
      <c r="J31" s="2">
        <f t="shared" si="6"/>
        <v>53</v>
      </c>
    </row>
    <row r="32" spans="1:20">
      <c r="A32" s="3">
        <v>222.5</v>
      </c>
      <c r="B32" s="3">
        <v>222.5</v>
      </c>
      <c r="C32" s="3">
        <v>8</v>
      </c>
      <c r="D32" s="5">
        <v>44700</v>
      </c>
      <c r="E32" s="3">
        <v>1781</v>
      </c>
      <c r="F32" s="4">
        <v>227.5</v>
      </c>
      <c r="G32" s="4">
        <v>8</v>
      </c>
      <c r="H32" s="6">
        <v>44704</v>
      </c>
      <c r="I32" s="4">
        <v>1814</v>
      </c>
      <c r="J32" s="2">
        <f t="shared" si="6"/>
        <v>33</v>
      </c>
    </row>
    <row r="33" spans="1:10">
      <c r="A33" s="3">
        <v>222.5</v>
      </c>
      <c r="B33" s="3">
        <v>222.5</v>
      </c>
      <c r="C33" s="3">
        <v>8</v>
      </c>
      <c r="D33" s="5">
        <v>44705</v>
      </c>
      <c r="E33" s="3">
        <v>1781</v>
      </c>
      <c r="F33" s="4">
        <v>227.5</v>
      </c>
      <c r="G33" s="4">
        <v>8</v>
      </c>
      <c r="H33" s="6">
        <v>44708</v>
      </c>
      <c r="I33" s="4">
        <v>1814</v>
      </c>
      <c r="J33" s="2">
        <f t="shared" ref="J33:J38" si="7">I33-E33</f>
        <v>33</v>
      </c>
    </row>
    <row r="34" spans="1:10">
      <c r="A34" s="3">
        <v>235</v>
      </c>
      <c r="B34" s="3">
        <v>233.5</v>
      </c>
      <c r="C34" s="3">
        <v>8</v>
      </c>
      <c r="D34" s="5">
        <v>44718</v>
      </c>
      <c r="E34" s="3">
        <v>1869</v>
      </c>
      <c r="F34" s="4">
        <v>240</v>
      </c>
      <c r="G34" s="4">
        <v>8</v>
      </c>
      <c r="H34" s="6">
        <v>44736</v>
      </c>
      <c r="I34" s="4">
        <v>1914</v>
      </c>
      <c r="J34" s="2">
        <f t="shared" si="7"/>
        <v>45</v>
      </c>
    </row>
    <row r="35" spans="1:10">
      <c r="A35" s="3">
        <v>232.5</v>
      </c>
      <c r="B35" s="3">
        <v>232.5</v>
      </c>
      <c r="C35" s="3">
        <v>8</v>
      </c>
      <c r="D35" s="5">
        <v>44719</v>
      </c>
      <c r="E35" s="3">
        <v>1861</v>
      </c>
      <c r="F35" s="4">
        <v>238</v>
      </c>
      <c r="G35" s="4">
        <v>8</v>
      </c>
      <c r="H35" s="6">
        <v>44722</v>
      </c>
      <c r="I35" s="4">
        <v>1898</v>
      </c>
      <c r="J35" s="2">
        <f t="shared" si="7"/>
        <v>37</v>
      </c>
    </row>
    <row r="36" spans="1:10">
      <c r="A36" s="3">
        <v>232.5</v>
      </c>
      <c r="B36" s="3">
        <v>232.5</v>
      </c>
      <c r="C36" s="3">
        <v>8</v>
      </c>
      <c r="D36" s="5">
        <v>44725</v>
      </c>
      <c r="E36" s="3">
        <v>1861</v>
      </c>
      <c r="F36" s="4">
        <v>237.5</v>
      </c>
      <c r="G36" s="4">
        <v>8</v>
      </c>
      <c r="H36" s="6">
        <v>44736</v>
      </c>
      <c r="I36" s="4">
        <v>1894</v>
      </c>
      <c r="J36" s="2">
        <f t="shared" si="7"/>
        <v>33</v>
      </c>
    </row>
    <row r="37" spans="1:10">
      <c r="A37" s="3">
        <v>230</v>
      </c>
      <c r="B37" s="3">
        <v>229.5</v>
      </c>
      <c r="C37" s="3">
        <v>8</v>
      </c>
      <c r="D37" s="5">
        <v>44725</v>
      </c>
      <c r="E37" s="3">
        <v>1837</v>
      </c>
      <c r="F37" s="4">
        <v>237</v>
      </c>
      <c r="G37" s="4">
        <v>8</v>
      </c>
      <c r="H37" s="6">
        <v>44736</v>
      </c>
      <c r="I37" s="4">
        <v>1890</v>
      </c>
      <c r="J37" s="2">
        <f t="shared" si="7"/>
        <v>53</v>
      </c>
    </row>
    <row r="38" spans="1:10">
      <c r="A38" s="3">
        <v>227.5</v>
      </c>
      <c r="B38" s="3">
        <v>227.5</v>
      </c>
      <c r="C38" s="3">
        <v>8</v>
      </c>
      <c r="D38" s="5">
        <v>44725</v>
      </c>
      <c r="E38" s="3">
        <v>1821</v>
      </c>
      <c r="F38" s="4">
        <v>232.5</v>
      </c>
      <c r="G38" s="4">
        <v>8</v>
      </c>
      <c r="H38" s="6">
        <v>44735</v>
      </c>
      <c r="I38" s="4">
        <v>1854</v>
      </c>
      <c r="J38" s="2">
        <f t="shared" si="7"/>
        <v>33</v>
      </c>
    </row>
    <row r="39" spans="1:10">
      <c r="A39" s="3">
        <v>225</v>
      </c>
      <c r="B39" s="3">
        <v>225</v>
      </c>
      <c r="C39" s="3">
        <v>8</v>
      </c>
      <c r="D39" s="5">
        <v>44726</v>
      </c>
      <c r="E39" s="3">
        <v>1801</v>
      </c>
      <c r="F39" s="4">
        <v>230</v>
      </c>
      <c r="G39" s="4">
        <v>8</v>
      </c>
      <c r="H39" s="6">
        <v>44728</v>
      </c>
      <c r="I39" s="4">
        <v>1834</v>
      </c>
      <c r="J39" s="2">
        <f t="shared" ref="J39:J47" si="8">I39-E39</f>
        <v>33</v>
      </c>
    </row>
    <row r="40" spans="1:10">
      <c r="A40" s="3">
        <v>225</v>
      </c>
      <c r="B40" s="3">
        <v>223.5</v>
      </c>
      <c r="C40" s="3">
        <v>8</v>
      </c>
      <c r="D40" s="5">
        <v>44729</v>
      </c>
      <c r="E40" s="3">
        <v>1789</v>
      </c>
      <c r="F40" s="4">
        <v>231</v>
      </c>
      <c r="G40" s="4">
        <v>8</v>
      </c>
      <c r="H40" s="6">
        <v>44733</v>
      </c>
      <c r="I40" s="4">
        <v>1842</v>
      </c>
      <c r="J40" s="2">
        <f t="shared" si="8"/>
        <v>53</v>
      </c>
    </row>
    <row r="41" spans="1:10">
      <c r="A41" s="3">
        <v>222.5</v>
      </c>
      <c r="B41" s="3">
        <v>222.5</v>
      </c>
      <c r="C41" s="3">
        <v>8</v>
      </c>
      <c r="D41" s="5">
        <v>44732</v>
      </c>
      <c r="E41" s="3">
        <v>1781</v>
      </c>
      <c r="F41" s="4">
        <v>227.5</v>
      </c>
      <c r="G41" s="4">
        <v>8</v>
      </c>
      <c r="H41" s="6">
        <v>44733</v>
      </c>
      <c r="I41" s="4">
        <v>1814</v>
      </c>
      <c r="J41" s="2">
        <f t="shared" si="8"/>
        <v>33</v>
      </c>
    </row>
    <row r="42" spans="1:10">
      <c r="A42" s="3">
        <v>235</v>
      </c>
      <c r="B42" s="3">
        <v>235</v>
      </c>
      <c r="C42" s="3">
        <v>8</v>
      </c>
      <c r="D42" s="5">
        <v>44740</v>
      </c>
      <c r="E42" s="3">
        <v>1881</v>
      </c>
      <c r="F42" s="4">
        <v>240</v>
      </c>
      <c r="G42" s="4">
        <v>8</v>
      </c>
      <c r="H42" s="6">
        <v>44755</v>
      </c>
      <c r="I42" s="4">
        <v>1914</v>
      </c>
      <c r="J42" s="2">
        <f t="shared" si="8"/>
        <v>33</v>
      </c>
    </row>
    <row r="43" spans="1:10">
      <c r="A43" s="3">
        <v>232.5</v>
      </c>
      <c r="B43" s="3">
        <v>227</v>
      </c>
      <c r="C43" s="3">
        <v>8</v>
      </c>
      <c r="D43" s="5">
        <v>44741</v>
      </c>
      <c r="E43" s="3">
        <v>1817</v>
      </c>
      <c r="F43" s="4">
        <v>238</v>
      </c>
      <c r="G43" s="4">
        <v>8</v>
      </c>
      <c r="H43" s="6">
        <v>44755</v>
      </c>
      <c r="I43" s="4">
        <v>1898</v>
      </c>
      <c r="J43" s="2">
        <f t="shared" si="8"/>
        <v>81</v>
      </c>
    </row>
    <row r="44" spans="1:10">
      <c r="A44" s="3">
        <v>230</v>
      </c>
      <c r="B44" s="3">
        <v>227</v>
      </c>
      <c r="C44" s="3">
        <v>8</v>
      </c>
      <c r="D44" s="5">
        <v>44741</v>
      </c>
      <c r="E44" s="3">
        <v>1817</v>
      </c>
      <c r="F44" s="4">
        <v>238</v>
      </c>
      <c r="G44" s="4">
        <v>8</v>
      </c>
      <c r="H44" s="6">
        <v>44755</v>
      </c>
      <c r="I44" s="4">
        <v>1898</v>
      </c>
      <c r="J44" s="2">
        <f t="shared" si="8"/>
        <v>81</v>
      </c>
    </row>
    <row r="45" spans="1:10">
      <c r="A45" s="3">
        <v>227.5</v>
      </c>
      <c r="B45" s="3">
        <v>227</v>
      </c>
      <c r="C45" s="3">
        <v>8</v>
      </c>
      <c r="D45" s="5">
        <v>44741</v>
      </c>
      <c r="E45" s="3">
        <v>1817</v>
      </c>
      <c r="F45" s="4">
        <v>238</v>
      </c>
      <c r="G45" s="4">
        <v>8</v>
      </c>
      <c r="H45" s="6">
        <v>44755</v>
      </c>
      <c r="I45" s="4">
        <v>1898</v>
      </c>
      <c r="J45" s="2">
        <f t="shared" si="8"/>
        <v>81</v>
      </c>
    </row>
    <row r="46" spans="1:10">
      <c r="A46" s="3">
        <v>225</v>
      </c>
      <c r="B46" s="3">
        <v>225</v>
      </c>
      <c r="C46" s="3">
        <v>8</v>
      </c>
      <c r="D46" s="5">
        <v>44742</v>
      </c>
      <c r="E46" s="3">
        <v>1801</v>
      </c>
      <c r="F46" s="4">
        <v>231</v>
      </c>
      <c r="G46" s="4">
        <v>8</v>
      </c>
      <c r="H46" s="6">
        <v>44754</v>
      </c>
      <c r="I46" s="4">
        <v>1842</v>
      </c>
      <c r="J46" s="2">
        <f t="shared" si="8"/>
        <v>41</v>
      </c>
    </row>
    <row r="47" spans="1:10">
      <c r="A47" s="3">
        <v>222.5</v>
      </c>
      <c r="B47" s="3">
        <v>222.5</v>
      </c>
      <c r="C47" s="3">
        <v>8</v>
      </c>
      <c r="D47" s="5">
        <v>44742</v>
      </c>
      <c r="E47" s="3">
        <v>1781</v>
      </c>
      <c r="F47" s="4">
        <v>227.5</v>
      </c>
      <c r="G47" s="4">
        <v>8</v>
      </c>
      <c r="H47" s="6">
        <v>44750</v>
      </c>
      <c r="I47" s="4">
        <v>1814</v>
      </c>
      <c r="J47" s="2">
        <f t="shared" si="8"/>
        <v>33</v>
      </c>
    </row>
    <row r="48" spans="1:10">
      <c r="A48" s="3">
        <v>220</v>
      </c>
      <c r="B48" s="3">
        <v>218</v>
      </c>
      <c r="C48" s="3">
        <v>8</v>
      </c>
      <c r="D48" s="5">
        <v>44746</v>
      </c>
      <c r="E48" s="3">
        <v>1745</v>
      </c>
      <c r="F48" s="4">
        <v>225.5</v>
      </c>
      <c r="G48" s="4">
        <v>8</v>
      </c>
      <c r="H48" s="6">
        <v>44750</v>
      </c>
      <c r="I48" s="4">
        <v>1798</v>
      </c>
      <c r="J48" s="2">
        <f>I48-E48</f>
        <v>53</v>
      </c>
    </row>
    <row r="49" spans="1:10">
      <c r="A49" s="3">
        <v>217.5</v>
      </c>
      <c r="B49" s="3">
        <v>217</v>
      </c>
      <c r="C49" s="3">
        <v>8</v>
      </c>
      <c r="D49" s="5">
        <v>44746</v>
      </c>
      <c r="E49" s="3">
        <v>1737</v>
      </c>
      <c r="F49" s="4">
        <v>222.5</v>
      </c>
      <c r="G49" s="4">
        <v>8</v>
      </c>
      <c r="H49" s="6">
        <v>44747</v>
      </c>
      <c r="I49" s="4">
        <v>1774</v>
      </c>
      <c r="J49" s="2">
        <f>I49-E49</f>
        <v>37</v>
      </c>
    </row>
    <row r="50" spans="1:10">
      <c r="A50" s="3">
        <v>217.5</v>
      </c>
      <c r="B50" s="3">
        <v>217.5</v>
      </c>
      <c r="C50" s="3">
        <v>8</v>
      </c>
      <c r="D50" s="5">
        <v>44748</v>
      </c>
      <c r="E50" s="3">
        <v>1741</v>
      </c>
      <c r="F50" s="4">
        <v>222.5</v>
      </c>
      <c r="G50" s="4">
        <v>8</v>
      </c>
      <c r="H50" s="6">
        <v>44749</v>
      </c>
      <c r="I50" s="4">
        <v>1774</v>
      </c>
      <c r="J50" s="2">
        <f>I50-E50</f>
        <v>33</v>
      </c>
    </row>
    <row r="51" spans="1:10">
      <c r="A51" s="3">
        <v>215</v>
      </c>
      <c r="B51" s="3">
        <v>215</v>
      </c>
      <c r="C51" s="3">
        <v>8</v>
      </c>
      <c r="D51" s="5">
        <v>44748</v>
      </c>
      <c r="E51" s="3">
        <v>1721</v>
      </c>
      <c r="F51" s="4">
        <v>220</v>
      </c>
      <c r="G51" s="4">
        <v>8</v>
      </c>
      <c r="H51" s="6">
        <v>44749</v>
      </c>
      <c r="I51" s="4">
        <v>1754</v>
      </c>
      <c r="J51" s="2">
        <f>I51-E51</f>
        <v>33</v>
      </c>
    </row>
    <row r="52" spans="1:10">
      <c r="A52" s="3">
        <v>212.5</v>
      </c>
      <c r="B52" s="3">
        <v>212.5</v>
      </c>
      <c r="C52" s="3">
        <v>8</v>
      </c>
      <c r="D52" s="5">
        <v>44748</v>
      </c>
      <c r="E52" s="3">
        <v>1701</v>
      </c>
      <c r="F52" s="4">
        <v>217.5</v>
      </c>
      <c r="G52" s="4">
        <v>8</v>
      </c>
      <c r="H52" s="6">
        <v>44749</v>
      </c>
      <c r="I52" s="4">
        <v>1734</v>
      </c>
      <c r="J52" s="2">
        <f>I52-E52</f>
        <v>33</v>
      </c>
    </row>
  </sheetData>
  <mergeCells count="10">
    <mergeCell ref="V12:W12"/>
    <mergeCell ref="X12:Y12"/>
    <mergeCell ref="L6:M6"/>
    <mergeCell ref="R2:R23"/>
    <mergeCell ref="P1:T1"/>
    <mergeCell ref="L2:M2"/>
    <mergeCell ref="L3:M3"/>
    <mergeCell ref="L4:M4"/>
    <mergeCell ref="L5:M5"/>
    <mergeCell ref="L7:M7"/>
  </mergeCells>
  <phoneticPr fontId="3" type="noConversion"/>
  <conditionalFormatting sqref="J2:J4 J6:J1048576">
    <cfRule type="cellIs" dxfId="1" priority="3" operator="greaterThan">
      <formula>0</formula>
    </cfRule>
  </conditionalFormatting>
  <conditionalFormatting sqref="J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0"/>
  <sheetViews>
    <sheetView workbookViewId="0">
      <selection activeCell="F16" sqref="F16"/>
    </sheetView>
  </sheetViews>
  <sheetFormatPr defaultColWidth="9" defaultRowHeight="16.5"/>
  <cols>
    <col min="1" max="1" width="11.25" style="19" customWidth="1"/>
    <col min="2" max="2" width="16.125" style="18" customWidth="1"/>
    <col min="3" max="3" width="10.125" style="18" customWidth="1"/>
    <col min="4" max="8" width="10.875" style="18" customWidth="1"/>
    <col min="9" max="9" width="5.125" style="19" customWidth="1"/>
    <col min="10" max="10" width="12.25" style="18" bestFit="1" customWidth="1"/>
    <col min="11" max="11" width="10.375" style="17" customWidth="1"/>
    <col min="12" max="12" width="10.875" style="18" customWidth="1"/>
    <col min="13" max="13" width="10.375" style="17" customWidth="1"/>
    <col min="14" max="14" width="10.875" style="17" customWidth="1"/>
    <col min="15" max="15" width="10.125" style="17" customWidth="1"/>
    <col min="16" max="16" width="10.625" style="17" customWidth="1"/>
    <col min="17" max="17" width="11.125" style="17" customWidth="1"/>
    <col min="18" max="19" width="10.125" style="17" customWidth="1"/>
    <col min="20" max="20" width="10.625" style="17" customWidth="1"/>
    <col min="21" max="16384" width="9" style="19"/>
  </cols>
  <sheetData>
    <row r="1" spans="2:20" s="17" customFormat="1" ht="18.75" customHeight="1"/>
    <row r="2" spans="2:20" ht="17.25" thickBot="1"/>
    <row r="3" spans="2:20" s="17" customFormat="1">
      <c r="B3" s="20" t="s">
        <v>16</v>
      </c>
      <c r="C3" s="21" t="s">
        <v>17</v>
      </c>
      <c r="D3" s="21" t="s">
        <v>18</v>
      </c>
      <c r="E3" s="21" t="s">
        <v>19</v>
      </c>
      <c r="F3" s="21" t="s">
        <v>20</v>
      </c>
      <c r="G3" s="21" t="s">
        <v>21</v>
      </c>
      <c r="H3" s="22" t="s">
        <v>22</v>
      </c>
      <c r="I3" s="120"/>
      <c r="J3" s="23" t="s">
        <v>23</v>
      </c>
      <c r="K3" s="23" t="s">
        <v>24</v>
      </c>
      <c r="L3" s="23" t="s">
        <v>25</v>
      </c>
      <c r="M3" s="23" t="s">
        <v>26</v>
      </c>
      <c r="N3" s="23" t="s">
        <v>27</v>
      </c>
      <c r="O3" s="23" t="s">
        <v>28</v>
      </c>
      <c r="P3" s="23" t="s">
        <v>29</v>
      </c>
      <c r="Q3" s="23" t="s">
        <v>30</v>
      </c>
      <c r="R3" s="23" t="s">
        <v>31</v>
      </c>
      <c r="S3" s="23" t="s">
        <v>32</v>
      </c>
      <c r="T3" s="24" t="s">
        <v>33</v>
      </c>
    </row>
    <row r="4" spans="2:20" s="17" customFormat="1">
      <c r="B4" s="25" t="s">
        <v>34</v>
      </c>
      <c r="C4" s="26" t="s">
        <v>35</v>
      </c>
      <c r="D4" s="26" t="s">
        <v>36</v>
      </c>
      <c r="E4" s="27" t="s">
        <v>37</v>
      </c>
      <c r="F4" s="26" t="s">
        <v>38</v>
      </c>
      <c r="G4" s="26" t="s">
        <v>39</v>
      </c>
      <c r="H4" s="28" t="s">
        <v>40</v>
      </c>
      <c r="I4" s="121"/>
      <c r="J4" s="29" t="s">
        <v>41</v>
      </c>
      <c r="K4" s="29" t="s">
        <v>42</v>
      </c>
      <c r="L4" s="30" t="s">
        <v>43</v>
      </c>
      <c r="M4" s="29" t="s">
        <v>44</v>
      </c>
      <c r="N4" s="30" t="s">
        <v>45</v>
      </c>
      <c r="O4" s="30" t="s">
        <v>46</v>
      </c>
      <c r="P4" s="30" t="s">
        <v>47</v>
      </c>
      <c r="Q4" s="30" t="s">
        <v>48</v>
      </c>
      <c r="R4" s="30" t="s">
        <v>49</v>
      </c>
      <c r="S4" s="30" t="s">
        <v>50</v>
      </c>
      <c r="T4" s="31" t="s">
        <v>51</v>
      </c>
    </row>
    <row r="5" spans="2:20" s="17" customFormat="1">
      <c r="B5" s="25" t="s">
        <v>52</v>
      </c>
      <c r="C5" s="32">
        <v>50</v>
      </c>
      <c r="D5" s="33">
        <v>50</v>
      </c>
      <c r="E5" s="12">
        <v>10</v>
      </c>
      <c r="F5" s="33">
        <v>45</v>
      </c>
      <c r="G5" s="33">
        <v>45</v>
      </c>
      <c r="H5" s="34">
        <v>10</v>
      </c>
      <c r="I5" s="121"/>
      <c r="J5" s="35">
        <v>60</v>
      </c>
      <c r="K5" s="35">
        <v>50</v>
      </c>
      <c r="L5" s="35">
        <v>100</v>
      </c>
      <c r="M5" s="35">
        <v>60</v>
      </c>
      <c r="N5" s="35">
        <v>50</v>
      </c>
      <c r="O5" s="35">
        <v>60</v>
      </c>
      <c r="P5" s="35">
        <v>60</v>
      </c>
      <c r="Q5" s="35">
        <v>60</v>
      </c>
      <c r="R5" s="35">
        <v>60</v>
      </c>
      <c r="S5" s="35">
        <v>25</v>
      </c>
      <c r="T5" s="36">
        <v>60</v>
      </c>
    </row>
    <row r="6" spans="2:20" s="17" customFormat="1">
      <c r="B6" s="25" t="s">
        <v>53</v>
      </c>
      <c r="C6" s="37" t="s">
        <v>54</v>
      </c>
      <c r="D6" s="37" t="s">
        <v>55</v>
      </c>
      <c r="E6" s="38" t="s">
        <v>54</v>
      </c>
      <c r="F6" s="37" t="s">
        <v>55</v>
      </c>
      <c r="G6" s="37" t="s">
        <v>55</v>
      </c>
      <c r="H6" s="39" t="s">
        <v>55</v>
      </c>
      <c r="I6" s="121"/>
      <c r="J6" s="40" t="s">
        <v>55</v>
      </c>
      <c r="K6" s="40" t="s">
        <v>56</v>
      </c>
      <c r="L6" s="40" t="s">
        <v>55</v>
      </c>
      <c r="M6" s="40" t="s">
        <v>55</v>
      </c>
      <c r="N6" s="40" t="s">
        <v>55</v>
      </c>
      <c r="O6" s="40" t="s">
        <v>55</v>
      </c>
      <c r="P6" s="40" t="s">
        <v>55</v>
      </c>
      <c r="Q6" s="40" t="s">
        <v>55</v>
      </c>
      <c r="R6" s="40" t="s">
        <v>55</v>
      </c>
      <c r="S6" s="40" t="s">
        <v>54</v>
      </c>
      <c r="T6" s="41" t="s">
        <v>55</v>
      </c>
    </row>
    <row r="7" spans="2:20" s="18" customFormat="1">
      <c r="B7" s="25" t="s">
        <v>57</v>
      </c>
      <c r="C7" s="37">
        <v>4.8000000000000001E-2</v>
      </c>
      <c r="D7" s="37">
        <v>4.7500000000000001E-2</v>
      </c>
      <c r="E7" s="38">
        <v>4.2500000000000003E-2</v>
      </c>
      <c r="F7" s="37">
        <v>0.04</v>
      </c>
      <c r="G7" s="37">
        <v>3.7999999999999999E-2</v>
      </c>
      <c r="H7" s="39">
        <v>3.5499999999999997E-2</v>
      </c>
      <c r="I7" s="121"/>
      <c r="J7" s="40">
        <v>4.1000000000000002E-2</v>
      </c>
      <c r="K7" s="40">
        <v>0.04</v>
      </c>
      <c r="L7" s="40">
        <v>3.7999999999999999E-2</v>
      </c>
      <c r="M7" s="40">
        <v>3.7999999999999999E-2</v>
      </c>
      <c r="N7" s="40">
        <v>3.7999999999999999E-2</v>
      </c>
      <c r="O7" s="40">
        <v>3.7499999999999999E-2</v>
      </c>
      <c r="P7" s="40">
        <v>3.5999999999999997E-2</v>
      </c>
      <c r="Q7" s="40">
        <v>3.5499999999999997E-2</v>
      </c>
      <c r="R7" s="40">
        <v>3.2000000000000001E-2</v>
      </c>
      <c r="S7" s="40">
        <v>3.1E-2</v>
      </c>
      <c r="T7" s="41">
        <v>0.03</v>
      </c>
    </row>
    <row r="8" spans="2:20" s="18" customFormat="1">
      <c r="B8" s="25" t="s">
        <v>58</v>
      </c>
      <c r="C8" s="42">
        <v>2.4</v>
      </c>
      <c r="D8" s="42">
        <v>2.375</v>
      </c>
      <c r="E8" s="43">
        <v>0.42499999999999999</v>
      </c>
      <c r="F8" s="42">
        <v>1.8</v>
      </c>
      <c r="G8" s="42">
        <v>1.71</v>
      </c>
      <c r="H8" s="44">
        <v>0.35499999999999998</v>
      </c>
      <c r="I8" s="121"/>
      <c r="J8" s="45">
        <v>2.46</v>
      </c>
      <c r="K8" s="45">
        <v>2.2799999999999998</v>
      </c>
      <c r="L8" s="45">
        <v>3.8</v>
      </c>
      <c r="M8" s="45">
        <v>2.2799999999999998</v>
      </c>
      <c r="N8" s="45">
        <v>1.9</v>
      </c>
      <c r="O8" s="45">
        <v>2.25</v>
      </c>
      <c r="P8" s="45">
        <v>2.16</v>
      </c>
      <c r="Q8" s="45">
        <v>2.13</v>
      </c>
      <c r="R8" s="45">
        <v>1.92</v>
      </c>
      <c r="S8" s="45">
        <v>0.77500000000000002</v>
      </c>
      <c r="T8" s="46">
        <v>1.8</v>
      </c>
    </row>
    <row r="9" spans="2:20" s="17" customFormat="1">
      <c r="B9" s="25" t="s">
        <v>59</v>
      </c>
      <c r="C9" s="42">
        <f>C8/12</f>
        <v>0.19999999999999998</v>
      </c>
      <c r="D9" s="42">
        <f t="shared" ref="D9:T9" si="0">D8/12</f>
        <v>0.19791666666666666</v>
      </c>
      <c r="E9" s="43">
        <f>E8/12</f>
        <v>3.5416666666666666E-2</v>
      </c>
      <c r="F9" s="42">
        <f t="shared" ref="F9:H9" si="1">F8/12</f>
        <v>0.15</v>
      </c>
      <c r="G9" s="42">
        <f t="shared" si="1"/>
        <v>0.14249999999999999</v>
      </c>
      <c r="H9" s="44">
        <f t="shared" si="1"/>
        <v>2.9583333333333333E-2</v>
      </c>
      <c r="I9" s="121"/>
      <c r="J9" s="45">
        <f t="shared" ref="J9:L9" si="2">J8/12</f>
        <v>0.20499999999999999</v>
      </c>
      <c r="K9" s="45">
        <f t="shared" si="2"/>
        <v>0.18999999999999997</v>
      </c>
      <c r="L9" s="45">
        <f t="shared" si="2"/>
        <v>0.31666666666666665</v>
      </c>
      <c r="M9" s="45">
        <f t="shared" si="0"/>
        <v>0.18999999999999997</v>
      </c>
      <c r="N9" s="45">
        <f t="shared" si="0"/>
        <v>0.15833333333333333</v>
      </c>
      <c r="O9" s="45">
        <f t="shared" si="0"/>
        <v>0.1875</v>
      </c>
      <c r="P9" s="45">
        <f t="shared" si="0"/>
        <v>0.18000000000000002</v>
      </c>
      <c r="Q9" s="45">
        <f t="shared" si="0"/>
        <v>0.17749999999999999</v>
      </c>
      <c r="R9" s="45">
        <f t="shared" si="0"/>
        <v>0.16</v>
      </c>
      <c r="S9" s="45">
        <f t="shared" si="0"/>
        <v>6.458333333333334E-2</v>
      </c>
      <c r="T9" s="46">
        <f t="shared" si="0"/>
        <v>0.15</v>
      </c>
    </row>
    <row r="10" spans="2:20" s="17" customFormat="1">
      <c r="B10" s="25" t="s">
        <v>60</v>
      </c>
      <c r="C10" s="47" t="s">
        <v>60</v>
      </c>
      <c r="D10" s="48"/>
      <c r="E10" s="49"/>
      <c r="F10" s="48"/>
      <c r="G10" s="48"/>
      <c r="H10" s="50"/>
      <c r="I10" s="121"/>
      <c r="J10" s="51"/>
      <c r="K10" s="123" t="s">
        <v>60</v>
      </c>
      <c r="L10" s="123"/>
      <c r="M10" s="123"/>
      <c r="N10" s="123"/>
      <c r="O10" s="123"/>
      <c r="P10" s="123"/>
      <c r="Q10" s="123"/>
      <c r="R10" s="123"/>
      <c r="S10" s="123"/>
      <c r="T10" s="124"/>
    </row>
    <row r="11" spans="2:20" s="17" customFormat="1">
      <c r="B11" s="25" t="s">
        <v>61</v>
      </c>
      <c r="C11" s="43">
        <f t="shared" ref="C11:H11" si="3">C5+C9*8</f>
        <v>51.6</v>
      </c>
      <c r="D11" s="43">
        <f t="shared" si="3"/>
        <v>51.583333333333336</v>
      </c>
      <c r="E11" s="43">
        <f>E5+E9*8</f>
        <v>10.283333333333333</v>
      </c>
      <c r="F11" s="43">
        <f t="shared" si="3"/>
        <v>46.2</v>
      </c>
      <c r="G11" s="43">
        <f t="shared" si="3"/>
        <v>46.14</v>
      </c>
      <c r="H11" s="52">
        <f t="shared" si="3"/>
        <v>10.236666666666666</v>
      </c>
      <c r="I11" s="121"/>
      <c r="J11" s="45">
        <f t="shared" ref="J11:T11" si="4">J5+J9*8</f>
        <v>61.64</v>
      </c>
      <c r="K11" s="45">
        <f t="shared" si="4"/>
        <v>51.52</v>
      </c>
      <c r="L11" s="53">
        <f t="shared" si="4"/>
        <v>102.53333333333333</v>
      </c>
      <c r="M11" s="45">
        <f t="shared" si="4"/>
        <v>61.52</v>
      </c>
      <c r="N11" s="45">
        <f t="shared" si="4"/>
        <v>51.266666666666666</v>
      </c>
      <c r="O11" s="45">
        <f t="shared" si="4"/>
        <v>61.5</v>
      </c>
      <c r="P11" s="45">
        <f t="shared" si="4"/>
        <v>61.44</v>
      </c>
      <c r="Q11" s="45">
        <f t="shared" si="4"/>
        <v>61.42</v>
      </c>
      <c r="R11" s="45">
        <f t="shared" si="4"/>
        <v>61.28</v>
      </c>
      <c r="S11" s="45">
        <f t="shared" si="4"/>
        <v>25.516666666666666</v>
      </c>
      <c r="T11" s="46">
        <f t="shared" si="4"/>
        <v>61.2</v>
      </c>
    </row>
    <row r="12" spans="2:20" s="17" customFormat="1">
      <c r="B12" s="25" t="s">
        <v>62</v>
      </c>
      <c r="C12" s="42">
        <f t="shared" ref="C12:H12" si="5">C5+C9*9</f>
        <v>51.8</v>
      </c>
      <c r="D12" s="42">
        <f t="shared" si="5"/>
        <v>51.78125</v>
      </c>
      <c r="E12" s="43">
        <f>E5+E9*9</f>
        <v>10.31875</v>
      </c>
      <c r="F12" s="42">
        <f t="shared" si="5"/>
        <v>46.35</v>
      </c>
      <c r="G12" s="42">
        <f t="shared" si="5"/>
        <v>46.282499999999999</v>
      </c>
      <c r="H12" s="54">
        <f t="shared" si="5"/>
        <v>10.266249999999999</v>
      </c>
      <c r="I12" s="121"/>
      <c r="J12" s="45">
        <f t="shared" ref="J12:T12" si="6">J5+J9*9</f>
        <v>61.844999999999999</v>
      </c>
      <c r="K12" s="45">
        <f t="shared" si="6"/>
        <v>51.71</v>
      </c>
      <c r="L12" s="53">
        <f t="shared" si="6"/>
        <v>102.85</v>
      </c>
      <c r="M12" s="45">
        <f t="shared" si="6"/>
        <v>61.71</v>
      </c>
      <c r="N12" s="45">
        <f t="shared" si="6"/>
        <v>51.424999999999997</v>
      </c>
      <c r="O12" s="45">
        <f t="shared" si="6"/>
        <v>61.6875</v>
      </c>
      <c r="P12" s="45">
        <f t="shared" si="6"/>
        <v>61.62</v>
      </c>
      <c r="Q12" s="45">
        <f t="shared" si="6"/>
        <v>61.597499999999997</v>
      </c>
      <c r="R12" s="45">
        <f t="shared" si="6"/>
        <v>61.44</v>
      </c>
      <c r="S12" s="45">
        <f t="shared" si="6"/>
        <v>25.581250000000001</v>
      </c>
      <c r="T12" s="46">
        <f t="shared" si="6"/>
        <v>61.35</v>
      </c>
    </row>
    <row r="13" spans="2:20" s="17" customFormat="1">
      <c r="B13" s="25" t="s">
        <v>63</v>
      </c>
      <c r="C13" s="42">
        <f t="shared" ref="C13:H13" si="7">C5+C9*10</f>
        <v>52</v>
      </c>
      <c r="D13" s="42">
        <f t="shared" si="7"/>
        <v>51.979166666666664</v>
      </c>
      <c r="E13" s="43">
        <f>E5+E9*10</f>
        <v>10.354166666666666</v>
      </c>
      <c r="F13" s="42">
        <f t="shared" si="7"/>
        <v>46.5</v>
      </c>
      <c r="G13" s="42">
        <f t="shared" si="7"/>
        <v>46.424999999999997</v>
      </c>
      <c r="H13" s="54">
        <f t="shared" si="7"/>
        <v>10.295833333333333</v>
      </c>
      <c r="I13" s="121"/>
      <c r="J13" s="45">
        <f t="shared" ref="J13:T13" si="8">J5+J9*10</f>
        <v>62.05</v>
      </c>
      <c r="K13" s="45">
        <f t="shared" si="8"/>
        <v>51.9</v>
      </c>
      <c r="L13" s="53">
        <f t="shared" si="8"/>
        <v>103.16666666666667</v>
      </c>
      <c r="M13" s="45">
        <f t="shared" si="8"/>
        <v>61.9</v>
      </c>
      <c r="N13" s="45">
        <f t="shared" si="8"/>
        <v>51.583333333333336</v>
      </c>
      <c r="O13" s="45">
        <f t="shared" si="8"/>
        <v>61.875</v>
      </c>
      <c r="P13" s="45">
        <f t="shared" si="8"/>
        <v>61.8</v>
      </c>
      <c r="Q13" s="45">
        <f t="shared" si="8"/>
        <v>61.774999999999999</v>
      </c>
      <c r="R13" s="45">
        <f t="shared" si="8"/>
        <v>61.6</v>
      </c>
      <c r="S13" s="45">
        <f t="shared" si="8"/>
        <v>25.645833333333332</v>
      </c>
      <c r="T13" s="46">
        <f t="shared" si="8"/>
        <v>61.5</v>
      </c>
    </row>
    <row r="14" spans="2:20" s="17" customFormat="1">
      <c r="B14" s="25" t="s">
        <v>64</v>
      </c>
      <c r="C14" s="42">
        <f t="shared" ref="C14:H14" si="9">C5+C9*11</f>
        <v>52.2</v>
      </c>
      <c r="D14" s="42">
        <f t="shared" si="9"/>
        <v>52.177083333333336</v>
      </c>
      <c r="E14" s="43">
        <f>E5+E9*11</f>
        <v>10.389583333333333</v>
      </c>
      <c r="F14" s="42">
        <f t="shared" si="9"/>
        <v>46.65</v>
      </c>
      <c r="G14" s="42">
        <f t="shared" si="9"/>
        <v>46.567500000000003</v>
      </c>
      <c r="H14" s="54">
        <f t="shared" si="9"/>
        <v>10.325416666666667</v>
      </c>
      <c r="I14" s="121"/>
      <c r="J14" s="45">
        <f t="shared" ref="J14:T14" si="10">J5+J9*11</f>
        <v>62.255000000000003</v>
      </c>
      <c r="K14" s="45">
        <f t="shared" si="10"/>
        <v>52.09</v>
      </c>
      <c r="L14" s="53">
        <f t="shared" si="10"/>
        <v>103.48333333333333</v>
      </c>
      <c r="M14" s="45">
        <f t="shared" si="10"/>
        <v>62.09</v>
      </c>
      <c r="N14" s="45">
        <f t="shared" si="10"/>
        <v>51.741666666666667</v>
      </c>
      <c r="O14" s="45">
        <f t="shared" si="10"/>
        <v>62.0625</v>
      </c>
      <c r="P14" s="45">
        <f t="shared" si="10"/>
        <v>61.98</v>
      </c>
      <c r="Q14" s="45">
        <f t="shared" si="10"/>
        <v>61.952500000000001</v>
      </c>
      <c r="R14" s="45">
        <f t="shared" si="10"/>
        <v>61.76</v>
      </c>
      <c r="S14" s="45">
        <f t="shared" si="10"/>
        <v>25.710416666666667</v>
      </c>
      <c r="T14" s="46">
        <f t="shared" si="10"/>
        <v>61.65</v>
      </c>
    </row>
    <row r="15" spans="2:20" s="17" customFormat="1">
      <c r="B15" s="25" t="s">
        <v>65</v>
      </c>
      <c r="C15" s="42">
        <f t="shared" ref="C15:H15" si="11">C5+C9*12</f>
        <v>52.4</v>
      </c>
      <c r="D15" s="42">
        <f t="shared" si="11"/>
        <v>52.375</v>
      </c>
      <c r="E15" s="43">
        <f>E5+E9*12</f>
        <v>10.425000000000001</v>
      </c>
      <c r="F15" s="42">
        <f t="shared" si="11"/>
        <v>46.8</v>
      </c>
      <c r="G15" s="42">
        <f t="shared" si="11"/>
        <v>46.71</v>
      </c>
      <c r="H15" s="54">
        <f t="shared" si="11"/>
        <v>10.355</v>
      </c>
      <c r="I15" s="121"/>
      <c r="J15" s="45">
        <f t="shared" ref="J15:T15" si="12">J5+J9*12</f>
        <v>62.46</v>
      </c>
      <c r="K15" s="45">
        <f t="shared" si="12"/>
        <v>52.28</v>
      </c>
      <c r="L15" s="53">
        <f t="shared" si="12"/>
        <v>103.8</v>
      </c>
      <c r="M15" s="45">
        <f t="shared" si="12"/>
        <v>62.28</v>
      </c>
      <c r="N15" s="45">
        <f t="shared" si="12"/>
        <v>51.9</v>
      </c>
      <c r="O15" s="45">
        <f t="shared" si="12"/>
        <v>62.25</v>
      </c>
      <c r="P15" s="45">
        <f t="shared" si="12"/>
        <v>62.16</v>
      </c>
      <c r="Q15" s="45">
        <f t="shared" si="12"/>
        <v>62.13</v>
      </c>
      <c r="R15" s="45">
        <f t="shared" si="12"/>
        <v>61.92</v>
      </c>
      <c r="S15" s="45">
        <f t="shared" si="12"/>
        <v>25.774999999999999</v>
      </c>
      <c r="T15" s="46">
        <f t="shared" si="12"/>
        <v>61.8</v>
      </c>
    </row>
    <row r="16" spans="2:20" s="18" customFormat="1">
      <c r="B16" s="55" t="s">
        <v>66</v>
      </c>
      <c r="C16" s="56">
        <f t="shared" ref="C16:G16" si="13">C5+C9*13</f>
        <v>52.6</v>
      </c>
      <c r="D16" s="56">
        <f t="shared" si="13"/>
        <v>52.572916666666664</v>
      </c>
      <c r="E16" s="57">
        <f>E5+E9*13</f>
        <v>10.460416666666667</v>
      </c>
      <c r="F16" s="56">
        <f t="shared" si="13"/>
        <v>46.95</v>
      </c>
      <c r="G16" s="56">
        <f t="shared" si="13"/>
        <v>46.852499999999999</v>
      </c>
      <c r="H16" s="58">
        <f>H5+H9*1</f>
        <v>10.029583333333333</v>
      </c>
      <c r="I16" s="121"/>
      <c r="J16" s="59">
        <f t="shared" ref="J16:T16" si="14">J5+J9*13</f>
        <v>62.664999999999999</v>
      </c>
      <c r="K16" s="59">
        <f t="shared" si="14"/>
        <v>52.47</v>
      </c>
      <c r="L16" s="60">
        <f t="shared" si="14"/>
        <v>104.11666666666666</v>
      </c>
      <c r="M16" s="59">
        <f t="shared" si="14"/>
        <v>62.47</v>
      </c>
      <c r="N16" s="59">
        <f t="shared" si="14"/>
        <v>52.05833333333333</v>
      </c>
      <c r="O16" s="59">
        <f t="shared" si="14"/>
        <v>62.4375</v>
      </c>
      <c r="P16" s="59">
        <f t="shared" si="14"/>
        <v>62.34</v>
      </c>
      <c r="Q16" s="59">
        <f t="shared" si="14"/>
        <v>62.307499999999997</v>
      </c>
      <c r="R16" s="59">
        <f t="shared" si="14"/>
        <v>62.08</v>
      </c>
      <c r="S16" s="59">
        <f t="shared" si="14"/>
        <v>25.839583333333334</v>
      </c>
      <c r="T16" s="61">
        <f t="shared" si="14"/>
        <v>61.95</v>
      </c>
    </row>
    <row r="17" spans="2:20" s="17" customFormat="1">
      <c r="B17" s="25" t="s">
        <v>67</v>
      </c>
      <c r="C17" s="42">
        <f t="shared" ref="C17:G17" si="15">C5+C9*14</f>
        <v>52.8</v>
      </c>
      <c r="D17" s="42">
        <f t="shared" si="15"/>
        <v>52.770833333333336</v>
      </c>
      <c r="E17" s="43">
        <f>E5+E9*14</f>
        <v>10.495833333333334</v>
      </c>
      <c r="F17" s="42">
        <f t="shared" si="15"/>
        <v>47.1</v>
      </c>
      <c r="G17" s="42">
        <f t="shared" si="15"/>
        <v>46.994999999999997</v>
      </c>
      <c r="H17" s="54">
        <f>H5+H9*2</f>
        <v>10.059166666666666</v>
      </c>
      <c r="I17" s="121"/>
      <c r="J17" s="45">
        <f t="shared" ref="J17:T17" si="16">J5+J9*14</f>
        <v>62.87</v>
      </c>
      <c r="K17" s="45">
        <f t="shared" si="16"/>
        <v>52.66</v>
      </c>
      <c r="L17" s="53">
        <f t="shared" si="16"/>
        <v>104.43333333333334</v>
      </c>
      <c r="M17" s="45">
        <f t="shared" si="16"/>
        <v>62.66</v>
      </c>
      <c r="N17" s="45">
        <f t="shared" si="16"/>
        <v>52.216666666666669</v>
      </c>
      <c r="O17" s="45">
        <f t="shared" si="16"/>
        <v>62.625</v>
      </c>
      <c r="P17" s="45">
        <f t="shared" si="16"/>
        <v>62.52</v>
      </c>
      <c r="Q17" s="45">
        <f t="shared" si="16"/>
        <v>62.484999999999999</v>
      </c>
      <c r="R17" s="45">
        <f t="shared" si="16"/>
        <v>62.24</v>
      </c>
      <c r="S17" s="45">
        <f t="shared" si="16"/>
        <v>25.904166666666669</v>
      </c>
      <c r="T17" s="46">
        <f t="shared" si="16"/>
        <v>62.1</v>
      </c>
    </row>
    <row r="18" spans="2:20" s="17" customFormat="1">
      <c r="B18" s="25" t="s">
        <v>68</v>
      </c>
      <c r="C18" s="42">
        <f t="shared" ref="C18:G18" si="17">C5+C9*15</f>
        <v>53</v>
      </c>
      <c r="D18" s="42">
        <f t="shared" si="17"/>
        <v>52.96875</v>
      </c>
      <c r="E18" s="43">
        <f>E5+E9*15</f>
        <v>10.53125</v>
      </c>
      <c r="F18" s="42">
        <f t="shared" si="17"/>
        <v>47.25</v>
      </c>
      <c r="G18" s="42">
        <f t="shared" si="17"/>
        <v>47.137500000000003</v>
      </c>
      <c r="H18" s="54">
        <f>H5+H9*3</f>
        <v>10.088749999999999</v>
      </c>
      <c r="I18" s="121"/>
      <c r="J18" s="45">
        <f t="shared" ref="J18:T18" si="18">J5+J9*15</f>
        <v>63.075000000000003</v>
      </c>
      <c r="K18" s="45">
        <f t="shared" si="18"/>
        <v>52.85</v>
      </c>
      <c r="L18" s="53">
        <f t="shared" si="18"/>
        <v>104.75</v>
      </c>
      <c r="M18" s="45">
        <f t="shared" si="18"/>
        <v>62.85</v>
      </c>
      <c r="N18" s="45">
        <f t="shared" si="18"/>
        <v>52.375</v>
      </c>
      <c r="O18" s="45">
        <f t="shared" si="18"/>
        <v>62.8125</v>
      </c>
      <c r="P18" s="45">
        <f t="shared" si="18"/>
        <v>62.7</v>
      </c>
      <c r="Q18" s="45">
        <f t="shared" si="18"/>
        <v>62.662500000000001</v>
      </c>
      <c r="R18" s="45">
        <f t="shared" si="18"/>
        <v>62.4</v>
      </c>
      <c r="S18" s="45">
        <f t="shared" si="18"/>
        <v>25.96875</v>
      </c>
      <c r="T18" s="46">
        <f t="shared" si="18"/>
        <v>62.25</v>
      </c>
    </row>
    <row r="19" spans="2:20" s="17" customFormat="1">
      <c r="B19" s="25" t="s">
        <v>69</v>
      </c>
      <c r="C19" s="42">
        <f t="shared" ref="C19:G19" si="19">C5+C9*16</f>
        <v>53.2</v>
      </c>
      <c r="D19" s="42">
        <f t="shared" si="19"/>
        <v>53.166666666666664</v>
      </c>
      <c r="E19" s="43">
        <f>E5+E9*16</f>
        <v>10.566666666666666</v>
      </c>
      <c r="F19" s="42">
        <f t="shared" si="19"/>
        <v>47.4</v>
      </c>
      <c r="G19" s="42">
        <f t="shared" si="19"/>
        <v>47.28</v>
      </c>
      <c r="H19" s="54">
        <f>H5+H9*4</f>
        <v>10.118333333333334</v>
      </c>
      <c r="I19" s="121"/>
      <c r="J19" s="45">
        <f t="shared" ref="J19:T19" si="20">J5+J9*16</f>
        <v>63.28</v>
      </c>
      <c r="K19" s="45">
        <f t="shared" si="20"/>
        <v>53.04</v>
      </c>
      <c r="L19" s="53">
        <f t="shared" si="20"/>
        <v>105.06666666666666</v>
      </c>
      <c r="M19" s="45">
        <f t="shared" si="20"/>
        <v>63.04</v>
      </c>
      <c r="N19" s="45">
        <f t="shared" si="20"/>
        <v>52.533333333333331</v>
      </c>
      <c r="O19" s="45">
        <f t="shared" si="20"/>
        <v>63</v>
      </c>
      <c r="P19" s="45">
        <f t="shared" si="20"/>
        <v>62.88</v>
      </c>
      <c r="Q19" s="45">
        <f t="shared" si="20"/>
        <v>62.84</v>
      </c>
      <c r="R19" s="45">
        <f t="shared" si="20"/>
        <v>62.56</v>
      </c>
      <c r="S19" s="45">
        <f t="shared" si="20"/>
        <v>26.033333333333335</v>
      </c>
      <c r="T19" s="46">
        <f t="shared" si="20"/>
        <v>62.4</v>
      </c>
    </row>
    <row r="20" spans="2:20" s="17" customFormat="1">
      <c r="B20" s="25" t="s">
        <v>70</v>
      </c>
      <c r="C20" s="42">
        <f t="shared" ref="C20:G20" si="21">C5+C9*17</f>
        <v>53.4</v>
      </c>
      <c r="D20" s="42">
        <f t="shared" si="21"/>
        <v>53.364583333333336</v>
      </c>
      <c r="E20" s="43">
        <f>E5+E9*17</f>
        <v>10.602083333333333</v>
      </c>
      <c r="F20" s="42">
        <f t="shared" si="21"/>
        <v>47.55</v>
      </c>
      <c r="G20" s="42">
        <f t="shared" si="21"/>
        <v>47.422499999999999</v>
      </c>
      <c r="H20" s="54">
        <f>H5+H9*5</f>
        <v>10.147916666666667</v>
      </c>
      <c r="I20" s="121"/>
      <c r="J20" s="45">
        <f t="shared" ref="J20:T20" si="22">J5+J9*17</f>
        <v>63.484999999999999</v>
      </c>
      <c r="K20" s="45">
        <f t="shared" si="22"/>
        <v>53.23</v>
      </c>
      <c r="L20" s="53">
        <f t="shared" si="22"/>
        <v>105.38333333333333</v>
      </c>
      <c r="M20" s="45">
        <f t="shared" si="22"/>
        <v>63.23</v>
      </c>
      <c r="N20" s="45">
        <f t="shared" si="22"/>
        <v>52.691666666666663</v>
      </c>
      <c r="O20" s="45">
        <f t="shared" si="22"/>
        <v>63.1875</v>
      </c>
      <c r="P20" s="45">
        <f t="shared" si="22"/>
        <v>63.06</v>
      </c>
      <c r="Q20" s="45">
        <f t="shared" si="22"/>
        <v>63.017499999999998</v>
      </c>
      <c r="R20" s="45">
        <f t="shared" si="22"/>
        <v>62.72</v>
      </c>
      <c r="S20" s="45">
        <f t="shared" si="22"/>
        <v>26.097916666666666</v>
      </c>
      <c r="T20" s="46">
        <f t="shared" si="22"/>
        <v>62.55</v>
      </c>
    </row>
    <row r="21" spans="2:20" s="17" customFormat="1">
      <c r="B21" s="25" t="s">
        <v>71</v>
      </c>
      <c r="C21" s="42">
        <f t="shared" ref="C21:G21" si="23">C5+C9*18</f>
        <v>53.6</v>
      </c>
      <c r="D21" s="42">
        <f t="shared" si="23"/>
        <v>53.5625</v>
      </c>
      <c r="E21" s="43">
        <f>E5+E9*18</f>
        <v>10.637499999999999</v>
      </c>
      <c r="F21" s="42">
        <f t="shared" si="23"/>
        <v>47.7</v>
      </c>
      <c r="G21" s="42">
        <f t="shared" si="23"/>
        <v>47.564999999999998</v>
      </c>
      <c r="H21" s="54">
        <f>H5+H9*6</f>
        <v>10.1775</v>
      </c>
      <c r="I21" s="121"/>
      <c r="J21" s="45">
        <f t="shared" ref="J21:T21" si="24">J5+J9*18</f>
        <v>63.69</v>
      </c>
      <c r="K21" s="45">
        <f t="shared" si="24"/>
        <v>53.42</v>
      </c>
      <c r="L21" s="53">
        <f t="shared" si="24"/>
        <v>105.7</v>
      </c>
      <c r="M21" s="45">
        <f t="shared" si="24"/>
        <v>63.42</v>
      </c>
      <c r="N21" s="45">
        <f t="shared" si="24"/>
        <v>52.85</v>
      </c>
      <c r="O21" s="45">
        <f t="shared" si="24"/>
        <v>63.375</v>
      </c>
      <c r="P21" s="45">
        <f t="shared" si="24"/>
        <v>63.24</v>
      </c>
      <c r="Q21" s="45">
        <f t="shared" si="24"/>
        <v>63.195</v>
      </c>
      <c r="R21" s="45">
        <f t="shared" si="24"/>
        <v>62.88</v>
      </c>
      <c r="S21" s="45">
        <f t="shared" si="24"/>
        <v>26.162500000000001</v>
      </c>
      <c r="T21" s="46">
        <f t="shared" si="24"/>
        <v>62.7</v>
      </c>
    </row>
    <row r="22" spans="2:20" s="17" customFormat="1">
      <c r="B22" s="25" t="s">
        <v>72</v>
      </c>
      <c r="C22" s="42">
        <f t="shared" ref="C22:G22" si="25">C5+C9*19</f>
        <v>53.8</v>
      </c>
      <c r="D22" s="42">
        <f t="shared" si="25"/>
        <v>53.760416666666664</v>
      </c>
      <c r="E22" s="43">
        <f>E5+E9*19</f>
        <v>10.672916666666666</v>
      </c>
      <c r="F22" s="42">
        <f t="shared" si="25"/>
        <v>47.85</v>
      </c>
      <c r="G22" s="42">
        <f t="shared" si="25"/>
        <v>47.707499999999996</v>
      </c>
      <c r="H22" s="54">
        <f>H5+H9*7</f>
        <v>10.207083333333333</v>
      </c>
      <c r="I22" s="121"/>
      <c r="J22" s="45">
        <f t="shared" ref="J22:T22" si="26">J5+J9*19</f>
        <v>63.894999999999996</v>
      </c>
      <c r="K22" s="45">
        <f t="shared" si="26"/>
        <v>53.61</v>
      </c>
      <c r="L22" s="53">
        <f t="shared" si="26"/>
        <v>106.01666666666667</v>
      </c>
      <c r="M22" s="45">
        <f t="shared" si="26"/>
        <v>63.61</v>
      </c>
      <c r="N22" s="45">
        <f t="shared" si="26"/>
        <v>53.008333333333333</v>
      </c>
      <c r="O22" s="45">
        <f t="shared" si="26"/>
        <v>63.5625</v>
      </c>
      <c r="P22" s="45">
        <f t="shared" si="26"/>
        <v>63.42</v>
      </c>
      <c r="Q22" s="45">
        <f t="shared" si="26"/>
        <v>63.372500000000002</v>
      </c>
      <c r="R22" s="45">
        <f t="shared" si="26"/>
        <v>63.04</v>
      </c>
      <c r="S22" s="45">
        <f t="shared" si="26"/>
        <v>26.227083333333333</v>
      </c>
      <c r="T22" s="46">
        <f t="shared" si="26"/>
        <v>62.85</v>
      </c>
    </row>
    <row r="23" spans="2:20" s="17" customFormat="1">
      <c r="B23" s="25" t="s">
        <v>61</v>
      </c>
      <c r="C23" s="42">
        <f t="shared" ref="C23:G23" si="27">C5+C9*20</f>
        <v>54</v>
      </c>
      <c r="D23" s="42">
        <f t="shared" si="27"/>
        <v>53.958333333333336</v>
      </c>
      <c r="E23" s="43">
        <f>E5+E9*20</f>
        <v>10.708333333333334</v>
      </c>
      <c r="F23" s="42">
        <f t="shared" si="27"/>
        <v>48</v>
      </c>
      <c r="G23" s="42">
        <f t="shared" si="27"/>
        <v>47.85</v>
      </c>
      <c r="H23" s="54">
        <f>H5+H9*8</f>
        <v>10.236666666666666</v>
      </c>
      <c r="I23" s="121"/>
      <c r="J23" s="45">
        <f t="shared" ref="J23:T23" si="28">J5+J9*20</f>
        <v>64.099999999999994</v>
      </c>
      <c r="K23" s="45">
        <f t="shared" si="28"/>
        <v>53.8</v>
      </c>
      <c r="L23" s="53">
        <f t="shared" si="28"/>
        <v>106.33333333333333</v>
      </c>
      <c r="M23" s="45">
        <f t="shared" si="28"/>
        <v>63.8</v>
      </c>
      <c r="N23" s="45">
        <f t="shared" si="28"/>
        <v>53.166666666666664</v>
      </c>
      <c r="O23" s="45">
        <f t="shared" si="28"/>
        <v>63.75</v>
      </c>
      <c r="P23" s="45">
        <f t="shared" si="28"/>
        <v>63.6</v>
      </c>
      <c r="Q23" s="45">
        <f t="shared" si="28"/>
        <v>63.55</v>
      </c>
      <c r="R23" s="45">
        <f t="shared" si="28"/>
        <v>63.2</v>
      </c>
      <c r="S23" s="45">
        <f t="shared" si="28"/>
        <v>26.291666666666668</v>
      </c>
      <c r="T23" s="46">
        <f t="shared" si="28"/>
        <v>63</v>
      </c>
    </row>
    <row r="24" spans="2:20" s="70" customFormat="1" ht="15.75">
      <c r="B24" s="62" t="s">
        <v>73</v>
      </c>
      <c r="C24" s="63"/>
      <c r="D24" s="63"/>
      <c r="E24" s="64" t="s">
        <v>74</v>
      </c>
      <c r="F24" s="65"/>
      <c r="G24" s="65"/>
      <c r="H24" s="66"/>
      <c r="I24" s="121"/>
      <c r="J24" s="67"/>
      <c r="K24" s="67"/>
      <c r="L24" s="68" t="s">
        <v>75</v>
      </c>
      <c r="M24" s="67"/>
      <c r="N24" s="67"/>
      <c r="O24" s="67"/>
      <c r="P24" s="67"/>
      <c r="Q24" s="67"/>
      <c r="R24" s="67"/>
      <c r="S24" s="68"/>
      <c r="T24" s="69"/>
    </row>
    <row r="25" spans="2:20" s="77" customFormat="1">
      <c r="B25" s="71" t="s">
        <v>76</v>
      </c>
      <c r="C25" s="72">
        <v>14.8</v>
      </c>
      <c r="D25" s="72">
        <v>20.55</v>
      </c>
      <c r="E25" s="72">
        <v>9</v>
      </c>
      <c r="F25" s="72">
        <v>11.8</v>
      </c>
      <c r="G25" s="72">
        <v>11.8</v>
      </c>
      <c r="H25" s="73">
        <v>18.850000000000001</v>
      </c>
      <c r="I25" s="121"/>
      <c r="J25" s="74">
        <v>76.3</v>
      </c>
      <c r="K25" s="75"/>
      <c r="L25" s="74">
        <v>263.5</v>
      </c>
      <c r="M25" s="75"/>
      <c r="N25" s="75"/>
      <c r="O25" s="75"/>
      <c r="P25" s="75"/>
      <c r="Q25" s="75"/>
      <c r="R25" s="75"/>
      <c r="S25" s="75"/>
      <c r="T25" s="76"/>
    </row>
    <row r="26" spans="2:20" s="77" customFormat="1">
      <c r="B26" s="71" t="s">
        <v>77</v>
      </c>
      <c r="C26" s="78">
        <v>53.3</v>
      </c>
      <c r="D26" s="78">
        <v>53.3</v>
      </c>
      <c r="E26" s="78">
        <v>10.35</v>
      </c>
      <c r="F26" s="78">
        <v>42.8</v>
      </c>
      <c r="G26" s="78">
        <v>42.8</v>
      </c>
      <c r="H26" s="79">
        <v>9.0299999999999994</v>
      </c>
      <c r="I26" s="121"/>
      <c r="J26" s="80">
        <v>63.1</v>
      </c>
      <c r="K26" s="80">
        <v>51.3</v>
      </c>
      <c r="L26" s="80">
        <v>101.5</v>
      </c>
      <c r="M26" s="80">
        <v>63.1</v>
      </c>
      <c r="N26" s="80">
        <v>51.8</v>
      </c>
      <c r="O26" s="80">
        <v>64.2</v>
      </c>
      <c r="P26" s="80">
        <v>63.1</v>
      </c>
      <c r="Q26" s="80">
        <v>63</v>
      </c>
      <c r="R26" s="80">
        <v>61.3</v>
      </c>
      <c r="S26" s="80">
        <v>24.3</v>
      </c>
      <c r="T26" s="81">
        <v>60.1</v>
      </c>
    </row>
    <row r="27" spans="2:20" s="18" customFormat="1">
      <c r="B27" s="82" t="s">
        <v>78</v>
      </c>
      <c r="C27" s="83">
        <f>(C16-C26)/C26</f>
        <v>-1.3133208255159396E-2</v>
      </c>
      <c r="D27" s="83">
        <f t="shared" ref="D27:H27" si="29">(D16-D26)/D26</f>
        <v>-1.3641338336460279E-2</v>
      </c>
      <c r="E27" s="83">
        <f>(E16-E26)/E26</f>
        <v>1.0668276972624879E-2</v>
      </c>
      <c r="F27" s="83">
        <f t="shared" si="29"/>
        <v>9.6962616822430042E-2</v>
      </c>
      <c r="G27" s="83">
        <f t="shared" si="29"/>
        <v>9.4684579439252389E-2</v>
      </c>
      <c r="H27" s="84">
        <f t="shared" si="29"/>
        <v>0.11069582871908458</v>
      </c>
      <c r="I27" s="121"/>
      <c r="J27" s="85">
        <f t="shared" ref="J27" si="30">(J16-J26)/J26</f>
        <v>-6.8938193343898932E-3</v>
      </c>
      <c r="K27" s="85">
        <f>(K16-K26)/K26</f>
        <v>2.2807017543859685E-2</v>
      </c>
      <c r="L27" s="85">
        <f t="shared" ref="L27:T27" si="31">(L16-L26)/L26</f>
        <v>2.5779967159277439E-2</v>
      </c>
      <c r="M27" s="85">
        <f t="shared" si="31"/>
        <v>-9.984152139461213E-3</v>
      </c>
      <c r="N27" s="85">
        <f t="shared" si="31"/>
        <v>4.9871299871299783E-3</v>
      </c>
      <c r="O27" s="85">
        <f t="shared" si="31"/>
        <v>-2.7453271028037428E-2</v>
      </c>
      <c r="P27" s="85">
        <f t="shared" si="31"/>
        <v>-1.2044374009508684E-2</v>
      </c>
      <c r="Q27" s="85">
        <f t="shared" si="31"/>
        <v>-1.0992063492063532E-2</v>
      </c>
      <c r="R27" s="85">
        <f t="shared" si="31"/>
        <v>1.2724306688417637E-2</v>
      </c>
      <c r="S27" s="85">
        <f t="shared" si="31"/>
        <v>6.3357338820301756E-2</v>
      </c>
      <c r="T27" s="86">
        <f t="shared" si="31"/>
        <v>3.0782029950083216E-2</v>
      </c>
    </row>
    <row r="28" spans="2:20" s="18" customFormat="1">
      <c r="B28" s="82" t="s">
        <v>79</v>
      </c>
      <c r="C28" s="83">
        <f>C8/C26</f>
        <v>4.5028142589118199E-2</v>
      </c>
      <c r="D28" s="83">
        <f>D8/D26</f>
        <v>4.4559099437148218E-2</v>
      </c>
      <c r="E28" s="83">
        <f>E8/E26</f>
        <v>4.1062801932367152E-2</v>
      </c>
      <c r="F28" s="83">
        <f>F8/F26</f>
        <v>4.2056074766355145E-2</v>
      </c>
      <c r="G28" s="83">
        <f t="shared" ref="G28" si="32">G8/G26</f>
        <v>3.9953271028037383E-2</v>
      </c>
      <c r="H28" s="84">
        <f>H8/H26</f>
        <v>3.9313399778516056E-2</v>
      </c>
      <c r="I28" s="121"/>
      <c r="J28" s="85">
        <f>J8/J26</f>
        <v>3.8985736925515053E-2</v>
      </c>
      <c r="K28" s="85">
        <f t="shared" ref="K28" si="33">K8/K26</f>
        <v>4.4444444444444446E-2</v>
      </c>
      <c r="L28" s="85">
        <f>L8/L26</f>
        <v>3.7438423645320199E-2</v>
      </c>
      <c r="M28" s="85">
        <f t="shared" ref="M28:T28" si="34">M8/M26</f>
        <v>3.6133122028526143E-2</v>
      </c>
      <c r="N28" s="85">
        <f t="shared" si="34"/>
        <v>3.6679536679536683E-2</v>
      </c>
      <c r="O28" s="85">
        <f t="shared" si="34"/>
        <v>3.5046728971962614E-2</v>
      </c>
      <c r="P28" s="85">
        <f t="shared" si="34"/>
        <v>3.4231378763866879E-2</v>
      </c>
      <c r="Q28" s="85">
        <f t="shared" si="34"/>
        <v>3.380952380952381E-2</v>
      </c>
      <c r="R28" s="85">
        <f t="shared" si="34"/>
        <v>3.1321370309951059E-2</v>
      </c>
      <c r="S28" s="85">
        <f t="shared" si="34"/>
        <v>3.1893004115226338E-2</v>
      </c>
      <c r="T28" s="86">
        <f t="shared" si="34"/>
        <v>2.9950083194675542E-2</v>
      </c>
    </row>
    <row r="29" spans="2:20" ht="17.25" thickBot="1">
      <c r="B29" s="87" t="s">
        <v>80</v>
      </c>
      <c r="C29" s="88">
        <f>C27/7+C28</f>
        <v>4.3151969981238283E-2</v>
      </c>
      <c r="D29" s="88">
        <f t="shared" ref="D29:T29" si="35">D27/7+D28</f>
        <v>4.2610336817653895E-2</v>
      </c>
      <c r="E29" s="89">
        <f>E27/7+E28</f>
        <v>4.2586841499884995E-2</v>
      </c>
      <c r="F29" s="89">
        <f t="shared" si="35"/>
        <v>5.5907877169559438E-2</v>
      </c>
      <c r="G29" s="88">
        <f t="shared" si="35"/>
        <v>5.3479639519359155E-2</v>
      </c>
      <c r="H29" s="90">
        <f t="shared" si="35"/>
        <v>5.5127089595528138E-2</v>
      </c>
      <c r="I29" s="122"/>
      <c r="J29" s="91">
        <f t="shared" ref="J29" si="36">J27/7+J28</f>
        <v>3.800090559203078E-2</v>
      </c>
      <c r="K29" s="91">
        <f t="shared" si="35"/>
        <v>4.7702589807852976E-2</v>
      </c>
      <c r="L29" s="91">
        <f t="shared" si="35"/>
        <v>4.1121276096645544E-2</v>
      </c>
      <c r="M29" s="91">
        <f t="shared" si="35"/>
        <v>3.4706814580031685E-2</v>
      </c>
      <c r="N29" s="91">
        <f t="shared" si="35"/>
        <v>3.7391983820555252E-2</v>
      </c>
      <c r="O29" s="91">
        <f t="shared" si="35"/>
        <v>3.1124833110814411E-2</v>
      </c>
      <c r="P29" s="91">
        <f t="shared" si="35"/>
        <v>3.251075390536564E-2</v>
      </c>
      <c r="Q29" s="91">
        <f t="shared" si="35"/>
        <v>3.2239229024943306E-2</v>
      </c>
      <c r="R29" s="91">
        <f t="shared" si="35"/>
        <v>3.3139128408296435E-2</v>
      </c>
      <c r="S29" s="91">
        <f t="shared" si="35"/>
        <v>4.0944052518126592E-2</v>
      </c>
      <c r="T29" s="92">
        <f t="shared" si="35"/>
        <v>3.4347516044687429E-2</v>
      </c>
    </row>
    <row r="30" spans="2:20">
      <c r="E30" s="93" t="s">
        <v>81</v>
      </c>
      <c r="F30" s="93" t="s">
        <v>82</v>
      </c>
      <c r="H30" s="93" t="s">
        <v>83</v>
      </c>
    </row>
  </sheetData>
  <mergeCells count="2">
    <mergeCell ref="I3:I29"/>
    <mergeCell ref="K10:T10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台達電</vt:lpstr>
      <vt:lpstr>特別股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賴柏綸</dc:creator>
  <cp:lastModifiedBy>user</cp:lastModifiedBy>
  <dcterms:created xsi:type="dcterms:W3CDTF">2022-04-25T04:16:05Z</dcterms:created>
  <dcterms:modified xsi:type="dcterms:W3CDTF">2022-07-15T08:02:27Z</dcterms:modified>
</cp:coreProperties>
</file>