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comments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oly/Development/institute/Четвертый курс/Надежность ЭВМ/"/>
    </mc:Choice>
  </mc:AlternateContent>
  <xr:revisionPtr revIDLastSave="0" documentId="13_ncr:1_{E6E81FF5-7AEE-EB4F-886C-FD9DBB6546A6}" xr6:coauthVersionLast="47" xr6:coauthVersionMax="47" xr10:uidLastSave="{00000000-0000-0000-0000-000000000000}"/>
  <bookViews>
    <workbookView xWindow="0" yWindow="500" windowWidth="28800" windowHeight="17500" firstSheet="1" activeTab="6" xr2:uid="{00000000-000D-0000-FFFF-FFFF00000000}"/>
  </bookViews>
  <sheets>
    <sheet name="Лист1" sheetId="7" r:id="rId1"/>
    <sheet name="Пример1.1" sheetId="2" r:id="rId2"/>
    <sheet name="Пример1.2" sheetId="3" r:id="rId3"/>
    <sheet name="стат" sheetId="4" r:id="rId4"/>
    <sheet name="Модель" sheetId="6" r:id="rId5"/>
    <sheet name="Задачи" sheetId="1" r:id="rId6"/>
    <sheet name="1.4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8" l="1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14" i="8"/>
  <c r="D15" i="8"/>
  <c r="D16" i="8"/>
  <c r="D17" i="8"/>
  <c r="D18" i="8"/>
  <c r="C22" i="3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13" i="8"/>
  <c r="D21" i="3"/>
  <c r="D6" i="8"/>
  <c r="E32" i="8" s="1"/>
  <c r="D4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41" i="8"/>
  <c r="D42" i="8"/>
  <c r="D43" i="8"/>
  <c r="D44" i="8"/>
  <c r="D45" i="8"/>
  <c r="D46" i="8"/>
  <c r="D47" i="8"/>
  <c r="D72" i="8" s="1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41" i="8"/>
  <c r="G7" i="8"/>
  <c r="H7" i="8"/>
  <c r="F7" i="3"/>
  <c r="H5" i="8"/>
  <c r="F10" i="3"/>
  <c r="G5" i="8"/>
  <c r="E10" i="3"/>
  <c r="F9" i="3"/>
  <c r="H3" i="8"/>
  <c r="G3" i="8"/>
  <c r="F33" i="8"/>
  <c r="B33" i="8"/>
  <c r="F32" i="8"/>
  <c r="F85" i="8" s="1"/>
  <c r="B32" i="8"/>
  <c r="F31" i="8"/>
  <c r="B31" i="8"/>
  <c r="F30" i="8"/>
  <c r="B30" i="8"/>
  <c r="F29" i="8"/>
  <c r="B29" i="8"/>
  <c r="F28" i="8"/>
  <c r="F81" i="8" s="1"/>
  <c r="B28" i="8"/>
  <c r="F27" i="8"/>
  <c r="B27" i="8"/>
  <c r="F26" i="8"/>
  <c r="B26" i="8"/>
  <c r="F25" i="8"/>
  <c r="B25" i="8"/>
  <c r="F24" i="8"/>
  <c r="F77" i="8" s="1"/>
  <c r="B24" i="8"/>
  <c r="B77" i="8" s="1"/>
  <c r="F23" i="8"/>
  <c r="B23" i="8"/>
  <c r="F22" i="8"/>
  <c r="B22" i="8"/>
  <c r="F21" i="8"/>
  <c r="B21" i="8"/>
  <c r="F20" i="8"/>
  <c r="F73" i="8" s="1"/>
  <c r="B20" i="8"/>
  <c r="F19" i="8"/>
  <c r="B19" i="8"/>
  <c r="F18" i="8"/>
  <c r="B18" i="8"/>
  <c r="F17" i="8"/>
  <c r="B17" i="8"/>
  <c r="F16" i="8"/>
  <c r="F69" i="8" s="1"/>
  <c r="B16" i="8"/>
  <c r="F15" i="8"/>
  <c r="B15" i="8"/>
  <c r="F14" i="8"/>
  <c r="B14" i="8"/>
  <c r="F13" i="8"/>
  <c r="D13" i="8"/>
  <c r="B13" i="8"/>
  <c r="D69" i="8" l="1"/>
  <c r="D73" i="8"/>
  <c r="B74" i="8"/>
  <c r="B70" i="8"/>
  <c r="F86" i="8"/>
  <c r="F82" i="8"/>
  <c r="F78" i="8"/>
  <c r="F80" i="8"/>
  <c r="F76" i="8"/>
  <c r="F72" i="8"/>
  <c r="F68" i="8"/>
  <c r="F84" i="8"/>
  <c r="F66" i="8"/>
  <c r="F83" i="8"/>
  <c r="F79" i="8"/>
  <c r="F75" i="8"/>
  <c r="F71" i="8"/>
  <c r="F67" i="8"/>
  <c r="F74" i="8"/>
  <c r="F70" i="8"/>
  <c r="B73" i="8"/>
  <c r="B69" i="8"/>
  <c r="B76" i="8"/>
  <c r="B72" i="8"/>
  <c r="B68" i="8"/>
  <c r="B66" i="8"/>
  <c r="B75" i="8"/>
  <c r="B71" i="8"/>
  <c r="B67" i="8"/>
  <c r="D68" i="8"/>
  <c r="D66" i="8"/>
  <c r="D71" i="8"/>
  <c r="D67" i="8"/>
  <c r="D70" i="8"/>
  <c r="E59" i="8"/>
  <c r="E55" i="8"/>
  <c r="E51" i="8"/>
  <c r="E47" i="8"/>
  <c r="E43" i="8"/>
  <c r="C61" i="8"/>
  <c r="C86" i="8" s="1"/>
  <c r="C57" i="8"/>
  <c r="C53" i="8"/>
  <c r="C49" i="8"/>
  <c r="C45" i="8"/>
  <c r="E41" i="8"/>
  <c r="E58" i="8"/>
  <c r="E54" i="8"/>
  <c r="E50" i="8"/>
  <c r="E75" i="8" s="1"/>
  <c r="E46" i="8"/>
  <c r="E42" i="8"/>
  <c r="H6" i="8"/>
  <c r="H4" i="8"/>
  <c r="C41" i="8"/>
  <c r="C58" i="8"/>
  <c r="C54" i="8"/>
  <c r="C50" i="8"/>
  <c r="C46" i="8"/>
  <c r="C42" i="8"/>
  <c r="C60" i="8"/>
  <c r="C56" i="8"/>
  <c r="C52" i="8"/>
  <c r="C48" i="8"/>
  <c r="C44" i="8"/>
  <c r="E61" i="8"/>
  <c r="E57" i="8"/>
  <c r="E53" i="8"/>
  <c r="E49" i="8"/>
  <c r="E45" i="8"/>
  <c r="C59" i="8"/>
  <c r="C55" i="8"/>
  <c r="C51" i="8"/>
  <c r="C47" i="8"/>
  <c r="C43" i="8"/>
  <c r="C68" i="8" s="1"/>
  <c r="E60" i="8"/>
  <c r="E85" i="8" s="1"/>
  <c r="E56" i="8"/>
  <c r="E52" i="8"/>
  <c r="E48" i="8"/>
  <c r="E44" i="8"/>
  <c r="G6" i="8"/>
  <c r="G4" i="8"/>
  <c r="E13" i="8"/>
  <c r="E15" i="8"/>
  <c r="E17" i="8"/>
  <c r="E19" i="8"/>
  <c r="E21" i="8"/>
  <c r="E23" i="8"/>
  <c r="E25" i="8"/>
  <c r="E27" i="8"/>
  <c r="E29" i="8"/>
  <c r="E31" i="8"/>
  <c r="G32" i="8"/>
  <c r="I32" i="8" s="1"/>
  <c r="E33" i="8"/>
  <c r="G33" i="8" s="1"/>
  <c r="I33" i="8" s="1"/>
  <c r="E14" i="8"/>
  <c r="E16" i="8"/>
  <c r="G16" i="8" s="1"/>
  <c r="I16" i="8" s="1"/>
  <c r="G17" i="8"/>
  <c r="I17" i="8" s="1"/>
  <c r="E18" i="8"/>
  <c r="E20" i="8"/>
  <c r="G21" i="8"/>
  <c r="I21" i="8" s="1"/>
  <c r="E22" i="8"/>
  <c r="E24" i="8"/>
  <c r="G25" i="8"/>
  <c r="I25" i="8" s="1"/>
  <c r="E26" i="8"/>
  <c r="E28" i="8"/>
  <c r="G29" i="8"/>
  <c r="I29" i="8" s="1"/>
  <c r="E30" i="8"/>
  <c r="I11" i="1"/>
  <c r="E71" i="8" l="1"/>
  <c r="E76" i="8"/>
  <c r="E80" i="8"/>
  <c r="G13" i="8"/>
  <c r="I13" i="8" s="1"/>
  <c r="C84" i="8"/>
  <c r="C77" i="8"/>
  <c r="C71" i="8"/>
  <c r="C66" i="8"/>
  <c r="C75" i="8"/>
  <c r="G75" i="8" s="1"/>
  <c r="C79" i="8"/>
  <c r="E69" i="8"/>
  <c r="C80" i="8"/>
  <c r="G80" i="8" s="1"/>
  <c r="E78" i="8"/>
  <c r="C73" i="8"/>
  <c r="C67" i="8"/>
  <c r="C83" i="8"/>
  <c r="E67" i="8"/>
  <c r="E83" i="8"/>
  <c r="C78" i="8"/>
  <c r="E72" i="8"/>
  <c r="E73" i="8"/>
  <c r="E82" i="8"/>
  <c r="E66" i="8"/>
  <c r="C82" i="8"/>
  <c r="E77" i="8"/>
  <c r="C72" i="8"/>
  <c r="E70" i="8"/>
  <c r="E86" i="8"/>
  <c r="G86" i="8" s="1"/>
  <c r="B111" i="8" s="1"/>
  <c r="C81" i="8"/>
  <c r="C70" i="8"/>
  <c r="E81" i="8"/>
  <c r="C76" i="8"/>
  <c r="G76" i="8" s="1"/>
  <c r="E74" i="8"/>
  <c r="C69" i="8"/>
  <c r="C85" i="8"/>
  <c r="G85" i="8" s="1"/>
  <c r="B110" i="8" s="1"/>
  <c r="E79" i="8"/>
  <c r="G79" i="8" s="1"/>
  <c r="C74" i="8"/>
  <c r="G74" i="8" s="1"/>
  <c r="B99" i="8" s="1"/>
  <c r="E68" i="8"/>
  <c r="G68" i="8" s="1"/>
  <c r="E84" i="8"/>
  <c r="G27" i="8"/>
  <c r="I27" i="8" s="1"/>
  <c r="G30" i="8"/>
  <c r="I30" i="8" s="1"/>
  <c r="G26" i="8"/>
  <c r="I26" i="8" s="1"/>
  <c r="G22" i="8"/>
  <c r="I22" i="8" s="1"/>
  <c r="G18" i="8"/>
  <c r="I18" i="8" s="1"/>
  <c r="G14" i="8"/>
  <c r="I14" i="8" s="1"/>
  <c r="G31" i="8"/>
  <c r="I31" i="8" s="1"/>
  <c r="G23" i="8"/>
  <c r="I23" i="8" s="1"/>
  <c r="G19" i="8"/>
  <c r="I19" i="8" s="1"/>
  <c r="G15" i="8"/>
  <c r="I15" i="8" s="1"/>
  <c r="G28" i="8"/>
  <c r="I28" i="8" s="1"/>
  <c r="G24" i="8"/>
  <c r="I24" i="8" s="1"/>
  <c r="G20" i="8"/>
  <c r="I20" i="8" s="1"/>
  <c r="H55" i="1"/>
  <c r="G57" i="1"/>
  <c r="G56" i="1"/>
  <c r="G55" i="1"/>
  <c r="C58" i="1"/>
  <c r="E54" i="1" s="1"/>
  <c r="G66" i="8" l="1"/>
  <c r="B91" i="8" s="1"/>
  <c r="G69" i="8"/>
  <c r="B94" i="8" s="1"/>
  <c r="G77" i="8"/>
  <c r="G84" i="8"/>
  <c r="B109" i="8" s="1"/>
  <c r="G71" i="8"/>
  <c r="G82" i="8"/>
  <c r="B107" i="8" s="1"/>
  <c r="G83" i="8"/>
  <c r="B108" i="8" s="1"/>
  <c r="B104" i="8"/>
  <c r="B100" i="8"/>
  <c r="I34" i="8"/>
  <c r="F37" i="8" s="1"/>
  <c r="B102" i="8"/>
  <c r="B93" i="8"/>
  <c r="B105" i="8"/>
  <c r="G70" i="8"/>
  <c r="B95" i="8" s="1"/>
  <c r="G72" i="8"/>
  <c r="B97" i="8" s="1"/>
  <c r="G78" i="8"/>
  <c r="B103" i="8" s="1"/>
  <c r="G67" i="8"/>
  <c r="B92" i="8" s="1"/>
  <c r="B96" i="8"/>
  <c r="B101" i="8"/>
  <c r="G81" i="8"/>
  <c r="B106" i="8" s="1"/>
  <c r="G73" i="8"/>
  <c r="B98" i="8" s="1"/>
  <c r="M46" i="1"/>
  <c r="L46" i="1"/>
  <c r="L47" i="1"/>
  <c r="G47" i="1"/>
  <c r="H47" i="1" s="1"/>
  <c r="G46" i="1"/>
  <c r="H46" i="1" s="1"/>
  <c r="E47" i="1"/>
  <c r="E40" i="1"/>
  <c r="E41" i="1"/>
  <c r="E42" i="1"/>
  <c r="E43" i="1"/>
  <c r="F39" i="1" s="1"/>
  <c r="E39" i="1"/>
  <c r="E32" i="1"/>
  <c r="F32" i="1" s="1"/>
  <c r="G32" i="1" s="1"/>
  <c r="E36" i="1"/>
  <c r="E33" i="1"/>
  <c r="E35" i="1"/>
  <c r="E34" i="1"/>
  <c r="I21" i="4"/>
  <c r="B17" i="3"/>
  <c r="B33" i="3"/>
  <c r="B22" i="3"/>
  <c r="B61" i="3" s="1"/>
  <c r="B90" i="3" s="1"/>
  <c r="B32" i="3"/>
  <c r="G9" i="4"/>
  <c r="B21" i="4" s="1"/>
  <c r="W60" i="4"/>
  <c r="W63" i="4" s="1"/>
  <c r="Y42" i="4"/>
  <c r="Y41" i="4"/>
  <c r="Y43" i="4" s="1"/>
  <c r="Y44" i="4" s="1"/>
  <c r="Y45" i="4" s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B183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B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B187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B186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B185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B184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B182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B155" i="1"/>
  <c r="B154" i="1"/>
  <c r="B31" i="3"/>
  <c r="B30" i="3"/>
  <c r="B29" i="3"/>
  <c r="K36" i="2"/>
  <c r="A8" i="2"/>
  <c r="A9" i="2" s="1"/>
  <c r="A10" i="2" s="1"/>
  <c r="A11" i="2" s="1"/>
  <c r="A12" i="2" s="1"/>
  <c r="H12" i="3"/>
  <c r="B66" i="3"/>
  <c r="B67" i="3"/>
  <c r="B65" i="3"/>
  <c r="B64" i="3"/>
  <c r="BN7" i="6"/>
  <c r="BN8" i="6" s="1"/>
  <c r="BO7" i="6"/>
  <c r="BO8" i="6" s="1"/>
  <c r="BP7" i="6"/>
  <c r="BP8" i="6" s="1"/>
  <c r="BQ7" i="6"/>
  <c r="BQ8" i="6" s="1"/>
  <c r="BR7" i="6"/>
  <c r="BR8" i="6" s="1"/>
  <c r="BS7" i="6"/>
  <c r="BS8" i="6" s="1"/>
  <c r="BT7" i="6"/>
  <c r="BT8" i="6" s="1"/>
  <c r="BU7" i="6"/>
  <c r="BU8" i="6" s="1"/>
  <c r="BV7" i="6"/>
  <c r="BV8" i="6" s="1"/>
  <c r="BW7" i="6"/>
  <c r="BW8" i="6" s="1"/>
  <c r="BX7" i="6"/>
  <c r="BX8" i="6" s="1"/>
  <c r="BY7" i="6"/>
  <c r="BY8" i="6" s="1"/>
  <c r="BZ7" i="6"/>
  <c r="BZ8" i="6" s="1"/>
  <c r="CA7" i="6"/>
  <c r="CA8" i="6" s="1"/>
  <c r="CB7" i="6"/>
  <c r="CB8" i="6" s="1"/>
  <c r="CC7" i="6"/>
  <c r="CC8" i="6" s="1"/>
  <c r="CD7" i="6"/>
  <c r="CD8" i="6" s="1"/>
  <c r="CE7" i="6"/>
  <c r="CE8" i="6" s="1"/>
  <c r="CF7" i="6"/>
  <c r="CF8" i="6" s="1"/>
  <c r="CG7" i="6"/>
  <c r="CG8" i="6" s="1"/>
  <c r="CH7" i="6"/>
  <c r="CH8" i="6" s="1"/>
  <c r="CI7" i="6"/>
  <c r="CI8" i="6" s="1"/>
  <c r="CJ7" i="6"/>
  <c r="CJ8" i="6" s="1"/>
  <c r="CK7" i="6"/>
  <c r="CK8" i="6" s="1"/>
  <c r="CL7" i="6"/>
  <c r="CL8" i="6" s="1"/>
  <c r="CM7" i="6"/>
  <c r="CM8" i="6" s="1"/>
  <c r="CN7" i="6"/>
  <c r="CN8" i="6" s="1"/>
  <c r="CO7" i="6"/>
  <c r="CO8" i="6" s="1"/>
  <c r="CP7" i="6"/>
  <c r="CP8" i="6" s="1"/>
  <c r="CQ7" i="6"/>
  <c r="CQ8" i="6" s="1"/>
  <c r="CR7" i="6"/>
  <c r="CR8" i="6" s="1"/>
  <c r="CS7" i="6"/>
  <c r="CS8" i="6" s="1"/>
  <c r="CT7" i="6"/>
  <c r="CT8" i="6" s="1"/>
  <c r="CU7" i="6"/>
  <c r="CU8" i="6" s="1"/>
  <c r="CV7" i="6"/>
  <c r="CV8" i="6" s="1"/>
  <c r="CW7" i="6"/>
  <c r="CW8" i="6" s="1"/>
  <c r="CX7" i="6"/>
  <c r="CX8" i="6" s="1"/>
  <c r="CY7" i="6"/>
  <c r="CY8" i="6" s="1"/>
  <c r="CZ7" i="6"/>
  <c r="CZ8" i="6" s="1"/>
  <c r="DA7" i="6"/>
  <c r="DA8" i="6" s="1"/>
  <c r="DB7" i="6"/>
  <c r="DB8" i="6" s="1"/>
  <c r="DC7" i="6"/>
  <c r="DC8" i="6" s="1"/>
  <c r="BM7" i="6"/>
  <c r="BM8" i="6" s="1"/>
  <c r="AW7" i="6"/>
  <c r="AW8" i="6" s="1"/>
  <c r="AX7" i="6"/>
  <c r="AX8" i="6" s="1"/>
  <c r="AY7" i="6"/>
  <c r="AY8" i="6" s="1"/>
  <c r="AZ7" i="6"/>
  <c r="AZ8" i="6" s="1"/>
  <c r="BA7" i="6"/>
  <c r="BA8" i="6" s="1"/>
  <c r="BB7" i="6"/>
  <c r="BB8" i="6" s="1"/>
  <c r="BC7" i="6"/>
  <c r="BC8" i="6" s="1"/>
  <c r="BD7" i="6"/>
  <c r="BD8" i="6" s="1"/>
  <c r="BE7" i="6"/>
  <c r="BE8" i="6" s="1"/>
  <c r="BF7" i="6"/>
  <c r="BF8" i="6" s="1"/>
  <c r="BG7" i="6"/>
  <c r="BG8" i="6" s="1"/>
  <c r="BH7" i="6"/>
  <c r="BH8" i="6" s="1"/>
  <c r="BI7" i="6"/>
  <c r="BI8" i="6" s="1"/>
  <c r="BJ7" i="6"/>
  <c r="BJ8" i="6" s="1"/>
  <c r="BK7" i="6"/>
  <c r="BK8" i="6" s="1"/>
  <c r="BL7" i="6"/>
  <c r="BL8" i="6" s="1"/>
  <c r="W7" i="6"/>
  <c r="W8" i="6" s="1"/>
  <c r="X7" i="6"/>
  <c r="X8" i="6" s="1"/>
  <c r="Y7" i="6"/>
  <c r="Y8" i="6" s="1"/>
  <c r="Z7" i="6"/>
  <c r="Z8" i="6" s="1"/>
  <c r="AA7" i="6"/>
  <c r="AA8" i="6" s="1"/>
  <c r="AB7" i="6"/>
  <c r="AB8" i="6" s="1"/>
  <c r="AC7" i="6"/>
  <c r="AC8" i="6" s="1"/>
  <c r="AD7" i="6"/>
  <c r="AD8" i="6" s="1"/>
  <c r="AE7" i="6"/>
  <c r="AE8" i="6" s="1"/>
  <c r="AF7" i="6"/>
  <c r="AF8" i="6" s="1"/>
  <c r="AG7" i="6"/>
  <c r="AG8" i="6" s="1"/>
  <c r="AH7" i="6"/>
  <c r="AH8" i="6" s="1"/>
  <c r="AI7" i="6"/>
  <c r="AI8" i="6" s="1"/>
  <c r="AJ7" i="6"/>
  <c r="AJ8" i="6" s="1"/>
  <c r="AK7" i="6"/>
  <c r="AK8" i="6" s="1"/>
  <c r="AL7" i="6"/>
  <c r="AL8" i="6" s="1"/>
  <c r="AM7" i="6"/>
  <c r="AM8" i="6" s="1"/>
  <c r="AN7" i="6"/>
  <c r="AN8" i="6" s="1"/>
  <c r="AO7" i="6"/>
  <c r="AO8" i="6" s="1"/>
  <c r="AP7" i="6"/>
  <c r="AP8" i="6" s="1"/>
  <c r="AQ7" i="6"/>
  <c r="AQ8" i="6" s="1"/>
  <c r="AR7" i="6"/>
  <c r="AR8" i="6" s="1"/>
  <c r="AS7" i="6"/>
  <c r="AS8" i="6" s="1"/>
  <c r="AT7" i="6"/>
  <c r="AT8" i="6" s="1"/>
  <c r="AU7" i="6"/>
  <c r="AU8" i="6" s="1"/>
  <c r="AV7" i="6"/>
  <c r="AV8" i="6" s="1"/>
  <c r="E1" i="6"/>
  <c r="D19" i="4"/>
  <c r="E19" i="4"/>
  <c r="F19" i="4"/>
  <c r="G19" i="4"/>
  <c r="H19" i="4"/>
  <c r="C19" i="4"/>
  <c r="H10" i="2"/>
  <c r="H12" i="2" s="1"/>
  <c r="H14" i="2" s="1"/>
  <c r="H16" i="2" s="1"/>
  <c r="H18" i="2" s="1"/>
  <c r="H20" i="2" s="1"/>
  <c r="H22" i="2" s="1"/>
  <c r="H24" i="2" s="1"/>
  <c r="H26" i="2" s="1"/>
  <c r="H28" i="2" s="1"/>
  <c r="H30" i="2" s="1"/>
  <c r="H32" i="2" s="1"/>
  <c r="H34" i="2" s="1"/>
  <c r="H9" i="2"/>
  <c r="H11" i="2" s="1"/>
  <c r="H13" i="2" s="1"/>
  <c r="H15" i="2" s="1"/>
  <c r="H17" i="2" s="1"/>
  <c r="H19" i="2" s="1"/>
  <c r="H21" i="2" s="1"/>
  <c r="H23" i="2" s="1"/>
  <c r="H25" i="2" s="1"/>
  <c r="H27" i="2" s="1"/>
  <c r="H29" i="2" s="1"/>
  <c r="H31" i="2" s="1"/>
  <c r="H33" i="2" s="1"/>
  <c r="V7" i="6"/>
  <c r="V8" i="6" s="1"/>
  <c r="U7" i="6"/>
  <c r="U8" i="6" s="1"/>
  <c r="C13" i="6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C3" i="6"/>
  <c r="C4" i="6" s="1"/>
  <c r="B4" i="6"/>
  <c r="C7" i="6"/>
  <c r="C8" i="6" s="1"/>
  <c r="D7" i="6"/>
  <c r="D8" i="6" s="1"/>
  <c r="E7" i="6"/>
  <c r="E8" i="6" s="1"/>
  <c r="F7" i="6"/>
  <c r="F8" i="6" s="1"/>
  <c r="G7" i="6"/>
  <c r="G8" i="6" s="1"/>
  <c r="H7" i="6"/>
  <c r="H8" i="6" s="1"/>
  <c r="I7" i="6"/>
  <c r="I8" i="6" s="1"/>
  <c r="J7" i="6"/>
  <c r="J8" i="6" s="1"/>
  <c r="K7" i="6"/>
  <c r="K8" i="6" s="1"/>
  <c r="L7" i="6"/>
  <c r="L8" i="6" s="1"/>
  <c r="M7" i="6"/>
  <c r="M8" i="6" s="1"/>
  <c r="N7" i="6"/>
  <c r="N8" i="6" s="1"/>
  <c r="O7" i="6"/>
  <c r="O8" i="6" s="1"/>
  <c r="P7" i="6"/>
  <c r="P8" i="6" s="1"/>
  <c r="Q7" i="6"/>
  <c r="Q8" i="6" s="1"/>
  <c r="R7" i="6"/>
  <c r="R8" i="6" s="1"/>
  <c r="S7" i="6"/>
  <c r="S8" i="6" s="1"/>
  <c r="T7" i="6"/>
  <c r="T8" i="6" s="1"/>
  <c r="B7" i="6"/>
  <c r="B8" i="6" s="1"/>
  <c r="L11" i="1"/>
  <c r="K11" i="1"/>
  <c r="J11" i="1"/>
  <c r="H11" i="1"/>
  <c r="C18" i="4"/>
  <c r="C17" i="4"/>
  <c r="C15" i="4"/>
  <c r="D14" i="4"/>
  <c r="E14" i="4" s="1"/>
  <c r="D18" i="4"/>
  <c r="C86" i="1"/>
  <c r="C89" i="1" s="1"/>
  <c r="B66" i="1"/>
  <c r="B65" i="1"/>
  <c r="B64" i="1"/>
  <c r="B68" i="1" s="1"/>
  <c r="B153" i="1"/>
  <c r="B158" i="1"/>
  <c r="B157" i="1"/>
  <c r="B156" i="1"/>
  <c r="P78" i="1"/>
  <c r="C132" i="1"/>
  <c r="C131" i="1"/>
  <c r="D130" i="1"/>
  <c r="D132" i="1" s="1"/>
  <c r="D109" i="1"/>
  <c r="E109" i="1" s="1"/>
  <c r="F109" i="1" s="1"/>
  <c r="G106" i="1"/>
  <c r="G107" i="1" s="1"/>
  <c r="G108" i="1" s="1"/>
  <c r="C88" i="1"/>
  <c r="C87" i="1"/>
  <c r="D85" i="1"/>
  <c r="D88" i="1" s="1"/>
  <c r="C66" i="1"/>
  <c r="D63" i="1"/>
  <c r="D65" i="1" s="1"/>
  <c r="D66" i="1"/>
  <c r="C65" i="1"/>
  <c r="C64" i="1"/>
  <c r="C68" i="1"/>
  <c r="D64" i="1"/>
  <c r="D68" i="1" s="1"/>
  <c r="C95" i="3"/>
  <c r="D95" i="3"/>
  <c r="E95" i="3" s="1"/>
  <c r="F95" i="3"/>
  <c r="G95" i="3" s="1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C86" i="3"/>
  <c r="D86" i="3" s="1"/>
  <c r="E86" i="3" s="1"/>
  <c r="F86" i="3" s="1"/>
  <c r="G86" i="3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AE86" i="3"/>
  <c r="AF86" i="3" s="1"/>
  <c r="AG86" i="3" s="1"/>
  <c r="B60" i="3"/>
  <c r="B89" i="3" s="1"/>
  <c r="B59" i="3"/>
  <c r="B58" i="3"/>
  <c r="C57" i="3"/>
  <c r="B21" i="3"/>
  <c r="B20" i="3"/>
  <c r="B19" i="3"/>
  <c r="C16" i="3"/>
  <c r="C21" i="3" s="1"/>
  <c r="H11" i="3"/>
  <c r="J12" i="3" s="1"/>
  <c r="F11" i="3" s="1"/>
  <c r="E9" i="3"/>
  <c r="F8" i="3"/>
  <c r="E8" i="3"/>
  <c r="E7" i="3"/>
  <c r="F6" i="3"/>
  <c r="E6" i="3"/>
  <c r="F5" i="3"/>
  <c r="E5" i="3"/>
  <c r="G3" i="2"/>
  <c r="E20" i="1"/>
  <c r="E22" i="1" s="1"/>
  <c r="F23" i="1"/>
  <c r="G11" i="1"/>
  <c r="E11" i="1"/>
  <c r="F11" i="1" s="1"/>
  <c r="E5" i="1"/>
  <c r="F5" i="1" s="1"/>
  <c r="C133" i="1"/>
  <c r="F20" i="1"/>
  <c r="E23" i="1"/>
  <c r="H23" i="1"/>
  <c r="C60" i="3"/>
  <c r="C89" i="3" s="1"/>
  <c r="C58" i="3"/>
  <c r="C19" i="3"/>
  <c r="B88" i="3"/>
  <c r="C31" i="3"/>
  <c r="C30" i="3"/>
  <c r="C20" i="3"/>
  <c r="B87" i="3"/>
  <c r="C62" i="3"/>
  <c r="B23" i="3"/>
  <c r="B62" i="3"/>
  <c r="D15" i="4"/>
  <c r="D17" i="4"/>
  <c r="E18" i="4" l="1"/>
  <c r="F14" i="4"/>
  <c r="F18" i="4" s="1"/>
  <c r="E15" i="4"/>
  <c r="E17" i="4"/>
  <c r="H39" i="1"/>
  <c r="G39" i="1"/>
  <c r="D110" i="1"/>
  <c r="D113" i="1" s="1"/>
  <c r="C111" i="1"/>
  <c r="D111" i="1"/>
  <c r="E111" i="1"/>
  <c r="C110" i="1"/>
  <c r="H107" i="1"/>
  <c r="Y46" i="4"/>
  <c r="Y47" i="4"/>
  <c r="B92" i="3"/>
  <c r="B96" i="3" s="1"/>
  <c r="E11" i="3"/>
  <c r="D87" i="1"/>
  <c r="C65" i="3"/>
  <c r="C67" i="3"/>
  <c r="C66" i="3"/>
  <c r="C64" i="3"/>
  <c r="E130" i="1"/>
  <c r="B91" i="3"/>
  <c r="C23" i="3"/>
  <c r="D16" i="3"/>
  <c r="C59" i="3"/>
  <c r="C88" i="3" s="1"/>
  <c r="E85" i="1"/>
  <c r="D86" i="1"/>
  <c r="C29" i="3"/>
  <c r="D57" i="3"/>
  <c r="D66" i="3" s="1"/>
  <c r="E63" i="1"/>
  <c r="F63" i="1" s="1"/>
  <c r="D131" i="1"/>
  <c r="D133" i="1" s="1"/>
  <c r="F22" i="1"/>
  <c r="H22" i="1" s="1"/>
  <c r="I47" i="1"/>
  <c r="V10" i="6"/>
  <c r="G109" i="1"/>
  <c r="F111" i="1"/>
  <c r="D12" i="6" a="1"/>
  <c r="V9" i="6"/>
  <c r="F15" i="4"/>
  <c r="G14" i="4"/>
  <c r="D64" i="3"/>
  <c r="D62" i="3"/>
  <c r="E66" i="1"/>
  <c r="E64" i="1"/>
  <c r="E68" i="1" s="1"/>
  <c r="E65" i="1"/>
  <c r="F6" i="2"/>
  <c r="B6" i="2"/>
  <c r="B8" i="2"/>
  <c r="F8" i="2"/>
  <c r="F7" i="2"/>
  <c r="E7" i="2"/>
  <c r="B10" i="2"/>
  <c r="B11" i="2"/>
  <c r="E6" i="2"/>
  <c r="B7" i="2"/>
  <c r="H3" i="2"/>
  <c r="F9" i="2"/>
  <c r="E10" i="2"/>
  <c r="F11" i="2"/>
  <c r="F12" i="2"/>
  <c r="E9" i="2"/>
  <c r="F10" i="2"/>
  <c r="E11" i="2"/>
  <c r="B12" i="2"/>
  <c r="B9" i="2"/>
  <c r="G63" i="1"/>
  <c r="F64" i="1"/>
  <c r="F68" i="1" s="1"/>
  <c r="G22" i="1"/>
  <c r="E110" i="1"/>
  <c r="E113" i="1" s="1"/>
  <c r="F110" i="1"/>
  <c r="F113" i="1" s="1"/>
  <c r="D89" i="1"/>
  <c r="A13" i="2"/>
  <c r="E12" i="2"/>
  <c r="C91" i="3"/>
  <c r="D32" i="3"/>
  <c r="D17" i="3"/>
  <c r="C17" i="3"/>
  <c r="C33" i="3"/>
  <c r="C61" i="3"/>
  <c r="C90" i="3" s="1"/>
  <c r="C32" i="3"/>
  <c r="B24" i="3"/>
  <c r="B26" i="3" s="1"/>
  <c r="D3" i="6"/>
  <c r="E8" i="2"/>
  <c r="W65" i="4"/>
  <c r="W61" i="4"/>
  <c r="W64" i="4" s="1"/>
  <c r="E131" i="1" l="1"/>
  <c r="E132" i="1"/>
  <c r="E133" i="1" s="1"/>
  <c r="F130" i="1"/>
  <c r="D59" i="3"/>
  <c r="D58" i="3"/>
  <c r="D87" i="3" s="1"/>
  <c r="D31" i="3"/>
  <c r="D30" i="3"/>
  <c r="E16" i="3"/>
  <c r="D20" i="3"/>
  <c r="D19" i="3"/>
  <c r="D24" i="3" s="1"/>
  <c r="D26" i="3" s="1"/>
  <c r="D22" i="3"/>
  <c r="D61" i="3" s="1"/>
  <c r="D90" i="3" s="1"/>
  <c r="D60" i="3"/>
  <c r="D65" i="3"/>
  <c r="F17" i="4"/>
  <c r="Z65" i="4"/>
  <c r="D29" i="3"/>
  <c r="D33" i="3"/>
  <c r="D67" i="3"/>
  <c r="E57" i="3"/>
  <c r="F66" i="1"/>
  <c r="F65" i="1"/>
  <c r="E86" i="1"/>
  <c r="F85" i="1"/>
  <c r="E87" i="1"/>
  <c r="E88" i="1"/>
  <c r="G24" i="1"/>
  <c r="D23" i="3"/>
  <c r="D91" i="3" s="1"/>
  <c r="C87" i="3"/>
  <c r="C92" i="3" s="1"/>
  <c r="C24" i="3"/>
  <c r="C26" i="3" s="1"/>
  <c r="I12" i="2"/>
  <c r="C12" i="2"/>
  <c r="C11" i="2"/>
  <c r="I11" i="2"/>
  <c r="G15" i="4"/>
  <c r="H14" i="4"/>
  <c r="G18" i="4"/>
  <c r="G17" i="4"/>
  <c r="C7" i="2"/>
  <c r="I7" i="2"/>
  <c r="C10" i="2"/>
  <c r="I10" i="2"/>
  <c r="C8" i="2"/>
  <c r="I8" i="2"/>
  <c r="D23" i="6"/>
  <c r="D31" i="6"/>
  <c r="D29" i="6"/>
  <c r="D28" i="6"/>
  <c r="D17" i="6"/>
  <c r="D14" i="6"/>
  <c r="D21" i="6"/>
  <c r="D13" i="6"/>
  <c r="D19" i="6"/>
  <c r="D18" i="6"/>
  <c r="D26" i="6"/>
  <c r="D30" i="6"/>
  <c r="D16" i="6"/>
  <c r="D27" i="6"/>
  <c r="D25" i="6"/>
  <c r="D22" i="6"/>
  <c r="D12" i="6"/>
  <c r="D20" i="6"/>
  <c r="D24" i="6"/>
  <c r="D15" i="6"/>
  <c r="A14" i="2"/>
  <c r="E13" i="2"/>
  <c r="F13" i="2"/>
  <c r="I6" i="2"/>
  <c r="C6" i="2"/>
  <c r="D4" i="6"/>
  <c r="E3" i="6"/>
  <c r="G66" i="1"/>
  <c r="G65" i="1"/>
  <c r="H63" i="1"/>
  <c r="G64" i="1"/>
  <c r="G68" i="1" s="1"/>
  <c r="C9" i="2"/>
  <c r="I9" i="2"/>
  <c r="B13" i="2"/>
  <c r="E64" i="3"/>
  <c r="E62" i="3"/>
  <c r="E66" i="3"/>
  <c r="E65" i="3"/>
  <c r="E60" i="3"/>
  <c r="E59" i="3"/>
  <c r="F57" i="3"/>
  <c r="E67" i="3"/>
  <c r="E58" i="3"/>
  <c r="H109" i="1"/>
  <c r="G111" i="1"/>
  <c r="G110" i="1"/>
  <c r="G113" i="1" s="1"/>
  <c r="F132" i="1" l="1"/>
  <c r="F131" i="1"/>
  <c r="G130" i="1"/>
  <c r="E89" i="1"/>
  <c r="E87" i="3"/>
  <c r="D89" i="3"/>
  <c r="E31" i="3"/>
  <c r="E21" i="3"/>
  <c r="E89" i="3" s="1"/>
  <c r="E17" i="3"/>
  <c r="E29" i="3"/>
  <c r="E33" i="3"/>
  <c r="E19" i="3"/>
  <c r="E88" i="3" s="1"/>
  <c r="E22" i="3"/>
  <c r="E61" i="3" s="1"/>
  <c r="E90" i="3" s="1"/>
  <c r="E30" i="3"/>
  <c r="E32" i="3"/>
  <c r="E23" i="3"/>
  <c r="E91" i="3" s="1"/>
  <c r="F16" i="3"/>
  <c r="E20" i="3"/>
  <c r="F86" i="1"/>
  <c r="F87" i="1"/>
  <c r="F88" i="1"/>
  <c r="G85" i="1"/>
  <c r="D88" i="3"/>
  <c r="D92" i="3" s="1"/>
  <c r="D96" i="3" s="1"/>
  <c r="F67" i="3"/>
  <c r="F59" i="3"/>
  <c r="F62" i="3"/>
  <c r="F64" i="3"/>
  <c r="F60" i="3"/>
  <c r="G57" i="3"/>
  <c r="F66" i="3"/>
  <c r="F58" i="3"/>
  <c r="F65" i="3"/>
  <c r="C13" i="2"/>
  <c r="I13" i="2"/>
  <c r="H66" i="1"/>
  <c r="H64" i="1"/>
  <c r="H68" i="1" s="1"/>
  <c r="I63" i="1"/>
  <c r="H65" i="1"/>
  <c r="F3" i="6"/>
  <c r="E4" i="6"/>
  <c r="C96" i="3"/>
  <c r="A15" i="2"/>
  <c r="F14" i="2"/>
  <c r="E14" i="2"/>
  <c r="B14" i="2"/>
  <c r="D32" i="6"/>
  <c r="E12" i="6"/>
  <c r="H15" i="4"/>
  <c r="H18" i="4"/>
  <c r="H17" i="4"/>
  <c r="I109" i="1"/>
  <c r="H110" i="1"/>
  <c r="H113" i="1" s="1"/>
  <c r="H111" i="1"/>
  <c r="E92" i="3" l="1"/>
  <c r="E96" i="3" s="1"/>
  <c r="F88" i="3"/>
  <c r="G131" i="1"/>
  <c r="G132" i="1"/>
  <c r="G133" i="1" s="1"/>
  <c r="H130" i="1"/>
  <c r="F89" i="3"/>
  <c r="G88" i="1"/>
  <c r="G86" i="1"/>
  <c r="H85" i="1"/>
  <c r="G87" i="1"/>
  <c r="F133" i="1"/>
  <c r="F89" i="1"/>
  <c r="F22" i="3"/>
  <c r="F61" i="3" s="1"/>
  <c r="F90" i="3" s="1"/>
  <c r="G16" i="3"/>
  <c r="F19" i="3"/>
  <c r="F32" i="3"/>
  <c r="F29" i="3"/>
  <c r="F30" i="3"/>
  <c r="F17" i="3"/>
  <c r="F31" i="3"/>
  <c r="F20" i="3"/>
  <c r="F33" i="3"/>
  <c r="F21" i="3"/>
  <c r="F23" i="3"/>
  <c r="F91" i="3" s="1"/>
  <c r="E24" i="3"/>
  <c r="E26" i="3" s="1"/>
  <c r="C14" i="2"/>
  <c r="I14" i="2"/>
  <c r="G3" i="6"/>
  <c r="F4" i="6"/>
  <c r="E13" i="6"/>
  <c r="F12" i="6"/>
  <c r="G12" i="6" s="1"/>
  <c r="I12" i="6" s="1"/>
  <c r="I65" i="1"/>
  <c r="J63" i="1"/>
  <c r="I64" i="1"/>
  <c r="I68" i="1" s="1"/>
  <c r="I66" i="1"/>
  <c r="J109" i="1"/>
  <c r="I111" i="1"/>
  <c r="I110" i="1"/>
  <c r="I113" i="1" s="1"/>
  <c r="A16" i="2"/>
  <c r="E15" i="2"/>
  <c r="F15" i="2"/>
  <c r="B15" i="2"/>
  <c r="G64" i="3"/>
  <c r="G62" i="3"/>
  <c r="G66" i="3"/>
  <c r="G67" i="3"/>
  <c r="G58" i="3"/>
  <c r="H57" i="3"/>
  <c r="G65" i="3"/>
  <c r="G60" i="3"/>
  <c r="G59" i="3"/>
  <c r="H87" i="1" l="1"/>
  <c r="H88" i="1"/>
  <c r="H89" i="1" s="1"/>
  <c r="I85" i="1"/>
  <c r="H86" i="1"/>
  <c r="F24" i="3"/>
  <c r="F26" i="3" s="1"/>
  <c r="H131" i="1"/>
  <c r="H132" i="1"/>
  <c r="I130" i="1"/>
  <c r="G87" i="3"/>
  <c r="G22" i="3"/>
  <c r="G61" i="3" s="1"/>
  <c r="G90" i="3" s="1"/>
  <c r="G23" i="3"/>
  <c r="G91" i="3" s="1"/>
  <c r="G19" i="3"/>
  <c r="G88" i="3" s="1"/>
  <c r="G32" i="3"/>
  <c r="G20" i="3"/>
  <c r="G30" i="3"/>
  <c r="G17" i="3"/>
  <c r="G24" i="3" s="1"/>
  <c r="G26" i="3" s="1"/>
  <c r="G31" i="3"/>
  <c r="G29" i="3"/>
  <c r="G18" i="3"/>
  <c r="G33" i="3"/>
  <c r="H16" i="3"/>
  <c r="G21" i="3"/>
  <c r="G89" i="1"/>
  <c r="G89" i="3"/>
  <c r="F87" i="3"/>
  <c r="F92" i="3" s="1"/>
  <c r="F96" i="3" s="1"/>
  <c r="K109" i="1"/>
  <c r="J111" i="1"/>
  <c r="J110" i="1"/>
  <c r="J113" i="1" s="1"/>
  <c r="J66" i="1"/>
  <c r="K63" i="1"/>
  <c r="J65" i="1"/>
  <c r="J64" i="1"/>
  <c r="J68" i="1" s="1"/>
  <c r="A17" i="2"/>
  <c r="E16" i="2"/>
  <c r="F16" i="2"/>
  <c r="B16" i="2"/>
  <c r="C15" i="2"/>
  <c r="I15" i="2"/>
  <c r="G4" i="6"/>
  <c r="H3" i="6"/>
  <c r="H64" i="3"/>
  <c r="H62" i="3"/>
  <c r="H66" i="3"/>
  <c r="H60" i="3"/>
  <c r="H59" i="3"/>
  <c r="H58" i="3"/>
  <c r="H67" i="3"/>
  <c r="I57" i="3"/>
  <c r="H65" i="3"/>
  <c r="E14" i="6"/>
  <c r="F13" i="6"/>
  <c r="G13" i="6" s="1"/>
  <c r="I13" i="6" s="1"/>
  <c r="G92" i="3" l="1"/>
  <c r="G96" i="3" s="1"/>
  <c r="H33" i="3"/>
  <c r="H20" i="3"/>
  <c r="H19" i="3"/>
  <c r="H88" i="3" s="1"/>
  <c r="H23" i="3"/>
  <c r="H91" i="3" s="1"/>
  <c r="H22" i="3"/>
  <c r="H61" i="3" s="1"/>
  <c r="H90" i="3" s="1"/>
  <c r="H18" i="3"/>
  <c r="H30" i="3"/>
  <c r="H32" i="3"/>
  <c r="H21" i="3"/>
  <c r="I16" i="3"/>
  <c r="H17" i="3"/>
  <c r="H31" i="3"/>
  <c r="H29" i="3"/>
  <c r="I86" i="1"/>
  <c r="J85" i="1"/>
  <c r="I88" i="1"/>
  <c r="I89" i="1" s="1"/>
  <c r="I87" i="1"/>
  <c r="H89" i="3"/>
  <c r="I132" i="1"/>
  <c r="I133" i="1" s="1"/>
  <c r="J130" i="1"/>
  <c r="I131" i="1"/>
  <c r="H133" i="1"/>
  <c r="I65" i="3"/>
  <c r="I59" i="3"/>
  <c r="I67" i="3"/>
  <c r="I66" i="3"/>
  <c r="I62" i="3"/>
  <c r="I58" i="3"/>
  <c r="I64" i="3"/>
  <c r="I60" i="3"/>
  <c r="J57" i="3"/>
  <c r="I16" i="2"/>
  <c r="C16" i="2"/>
  <c r="E15" i="6"/>
  <c r="F14" i="6"/>
  <c r="G14" i="6" s="1"/>
  <c r="I14" i="6" s="1"/>
  <c r="H4" i="6"/>
  <c r="I3" i="6"/>
  <c r="K66" i="1"/>
  <c r="K64" i="1"/>
  <c r="K68" i="1" s="1"/>
  <c r="L63" i="1"/>
  <c r="K65" i="1"/>
  <c r="L109" i="1"/>
  <c r="K110" i="1"/>
  <c r="K113" i="1" s="1"/>
  <c r="K111" i="1"/>
  <c r="A18" i="2"/>
  <c r="E17" i="2"/>
  <c r="F17" i="2"/>
  <c r="B17" i="2"/>
  <c r="J132" i="1" l="1"/>
  <c r="J131" i="1"/>
  <c r="K130" i="1"/>
  <c r="K85" i="1"/>
  <c r="J86" i="1"/>
  <c r="J87" i="1"/>
  <c r="J88" i="1"/>
  <c r="J89" i="1" s="1"/>
  <c r="H24" i="3"/>
  <c r="H26" i="3" s="1"/>
  <c r="H87" i="3"/>
  <c r="H92" i="3" s="1"/>
  <c r="I33" i="3"/>
  <c r="I19" i="3"/>
  <c r="I88" i="3" s="1"/>
  <c r="I31" i="3"/>
  <c r="I22" i="3"/>
  <c r="I61" i="3" s="1"/>
  <c r="I90" i="3" s="1"/>
  <c r="I20" i="3"/>
  <c r="I23" i="3"/>
  <c r="I91" i="3" s="1"/>
  <c r="I32" i="3"/>
  <c r="I21" i="3"/>
  <c r="I89" i="3" s="1"/>
  <c r="I29" i="3"/>
  <c r="I17" i="3"/>
  <c r="I24" i="3" s="1"/>
  <c r="I26" i="3" s="1"/>
  <c r="I30" i="3"/>
  <c r="I18" i="3"/>
  <c r="J16" i="3"/>
  <c r="L65" i="1"/>
  <c r="L64" i="1"/>
  <c r="L68" i="1" s="1"/>
  <c r="L66" i="1"/>
  <c r="M63" i="1"/>
  <c r="C17" i="2"/>
  <c r="I17" i="2"/>
  <c r="M109" i="1"/>
  <c r="L111" i="1"/>
  <c r="L110" i="1"/>
  <c r="L113" i="1" s="1"/>
  <c r="J60" i="3"/>
  <c r="J58" i="3"/>
  <c r="J67" i="3"/>
  <c r="J66" i="3"/>
  <c r="J65" i="3"/>
  <c r="J59" i="3"/>
  <c r="K57" i="3"/>
  <c r="J62" i="3"/>
  <c r="J64" i="3"/>
  <c r="A19" i="2"/>
  <c r="E18" i="2"/>
  <c r="F18" i="2"/>
  <c r="B18" i="2"/>
  <c r="J3" i="6"/>
  <c r="I4" i="6"/>
  <c r="F15" i="6"/>
  <c r="G15" i="6" s="1"/>
  <c r="I15" i="6" s="1"/>
  <c r="E16" i="6"/>
  <c r="J32" i="3" l="1"/>
  <c r="J21" i="3"/>
  <c r="J89" i="3" s="1"/>
  <c r="J18" i="3"/>
  <c r="J17" i="3"/>
  <c r="J31" i="3"/>
  <c r="J23" i="3"/>
  <c r="J20" i="3"/>
  <c r="J33" i="3"/>
  <c r="K16" i="3"/>
  <c r="J29" i="3"/>
  <c r="J22" i="3"/>
  <c r="J61" i="3" s="1"/>
  <c r="J90" i="3" s="1"/>
  <c r="J30" i="3"/>
  <c r="J19" i="3"/>
  <c r="J88" i="3" s="1"/>
  <c r="J91" i="3"/>
  <c r="K88" i="1"/>
  <c r="L85" i="1"/>
  <c r="K86" i="1"/>
  <c r="K87" i="1"/>
  <c r="J133" i="1"/>
  <c r="H96" i="3"/>
  <c r="K131" i="1"/>
  <c r="K132" i="1"/>
  <c r="L130" i="1"/>
  <c r="I87" i="3"/>
  <c r="I92" i="3" s="1"/>
  <c r="I96" i="3" s="1"/>
  <c r="M110" i="1"/>
  <c r="M113" i="1" s="1"/>
  <c r="N113" i="1" s="1"/>
  <c r="O113" i="1" s="1"/>
  <c r="M111" i="1"/>
  <c r="M64" i="1"/>
  <c r="M68" i="1" s="1"/>
  <c r="N68" i="1" s="1"/>
  <c r="O68" i="1" s="1"/>
  <c r="M66" i="1"/>
  <c r="M65" i="1"/>
  <c r="E17" i="6"/>
  <c r="F16" i="6"/>
  <c r="G16" i="6" s="1"/>
  <c r="I16" i="6" s="1"/>
  <c r="K3" i="6"/>
  <c r="J4" i="6"/>
  <c r="A20" i="2"/>
  <c r="F19" i="2"/>
  <c r="E19" i="2"/>
  <c r="B19" i="2"/>
  <c r="C18" i="2"/>
  <c r="I18" i="2"/>
  <c r="K65" i="3"/>
  <c r="K66" i="3"/>
  <c r="K64" i="3"/>
  <c r="K58" i="3"/>
  <c r="L57" i="3"/>
  <c r="K67" i="3"/>
  <c r="K62" i="3"/>
  <c r="K60" i="3"/>
  <c r="K59" i="3"/>
  <c r="K33" i="3" l="1"/>
  <c r="K19" i="3"/>
  <c r="K88" i="3" s="1"/>
  <c r="K21" i="3"/>
  <c r="K89" i="3" s="1"/>
  <c r="K18" i="3"/>
  <c r="K17" i="3"/>
  <c r="L16" i="3"/>
  <c r="K20" i="3"/>
  <c r="K22" i="3"/>
  <c r="K61" i="3" s="1"/>
  <c r="K90" i="3" s="1"/>
  <c r="K30" i="3"/>
  <c r="K29" i="3"/>
  <c r="K32" i="3"/>
  <c r="K23" i="3"/>
  <c r="K91" i="3" s="1"/>
  <c r="K31" i="3"/>
  <c r="K87" i="3"/>
  <c r="K92" i="3" s="1"/>
  <c r="M130" i="1"/>
  <c r="L131" i="1"/>
  <c r="L132" i="1"/>
  <c r="L133" i="1" s="1"/>
  <c r="L87" i="1"/>
  <c r="L88" i="1"/>
  <c r="M85" i="1"/>
  <c r="L86" i="1"/>
  <c r="J24" i="3"/>
  <c r="J26" i="3" s="1"/>
  <c r="J87" i="3"/>
  <c r="J92" i="3" s="1"/>
  <c r="K133" i="1"/>
  <c r="K89" i="1"/>
  <c r="A21" i="2"/>
  <c r="E20" i="2"/>
  <c r="F20" i="2"/>
  <c r="B20" i="2"/>
  <c r="F17" i="6"/>
  <c r="G17" i="6" s="1"/>
  <c r="I17" i="6" s="1"/>
  <c r="E18" i="6"/>
  <c r="C19" i="2"/>
  <c r="I19" i="2"/>
  <c r="L60" i="3"/>
  <c r="L59" i="3"/>
  <c r="L67" i="3"/>
  <c r="L65" i="3"/>
  <c r="L62" i="3"/>
  <c r="L64" i="3"/>
  <c r="L66" i="3"/>
  <c r="L58" i="3"/>
  <c r="M57" i="3"/>
  <c r="L3" i="6"/>
  <c r="K4" i="6"/>
  <c r="L22" i="3" l="1"/>
  <c r="L61" i="3" s="1"/>
  <c r="L90" i="3" s="1"/>
  <c r="M16" i="3"/>
  <c r="L19" i="3"/>
  <c r="L32" i="3"/>
  <c r="L30" i="3"/>
  <c r="L18" i="3"/>
  <c r="L17" i="3"/>
  <c r="L21" i="3"/>
  <c r="L89" i="3" s="1"/>
  <c r="L92" i="3" s="1"/>
  <c r="L29" i="3"/>
  <c r="L33" i="3"/>
  <c r="L31" i="3"/>
  <c r="L23" i="3"/>
  <c r="L91" i="3" s="1"/>
  <c r="L20" i="3"/>
  <c r="M86" i="1"/>
  <c r="M88" i="1"/>
  <c r="M87" i="1"/>
  <c r="N85" i="1"/>
  <c r="K24" i="3"/>
  <c r="K26" i="3" s="1"/>
  <c r="L87" i="3"/>
  <c r="L88" i="3"/>
  <c r="J96" i="3"/>
  <c r="L89" i="1"/>
  <c r="M132" i="1"/>
  <c r="M131" i="1"/>
  <c r="A22" i="2"/>
  <c r="F21" i="2"/>
  <c r="E21" i="2"/>
  <c r="B21" i="2"/>
  <c r="E19" i="6"/>
  <c r="F18" i="6"/>
  <c r="G18" i="6" s="1"/>
  <c r="I18" i="6" s="1"/>
  <c r="L4" i="6"/>
  <c r="M3" i="6"/>
  <c r="I20" i="2"/>
  <c r="C20" i="2"/>
  <c r="M58" i="3"/>
  <c r="N57" i="3"/>
  <c r="M62" i="3"/>
  <c r="M60" i="3"/>
  <c r="M59" i="3"/>
  <c r="M88" i="3" l="1"/>
  <c r="N88" i="1"/>
  <c r="N89" i="1" s="1"/>
  <c r="O85" i="1"/>
  <c r="N86" i="1"/>
  <c r="N87" i="1"/>
  <c r="M32" i="3"/>
  <c r="M21" i="3"/>
  <c r="M20" i="3"/>
  <c r="M17" i="3"/>
  <c r="M30" i="3"/>
  <c r="M19" i="3"/>
  <c r="M33" i="3"/>
  <c r="M23" i="3"/>
  <c r="M91" i="3" s="1"/>
  <c r="M31" i="3"/>
  <c r="M22" i="3"/>
  <c r="M61" i="3" s="1"/>
  <c r="M90" i="3" s="1"/>
  <c r="M29" i="3"/>
  <c r="N16" i="3"/>
  <c r="M89" i="3"/>
  <c r="M133" i="1"/>
  <c r="M89" i="1"/>
  <c r="L24" i="3"/>
  <c r="L26" i="3" s="1"/>
  <c r="K96" i="3"/>
  <c r="E20" i="6"/>
  <c r="F19" i="6"/>
  <c r="G19" i="6" s="1"/>
  <c r="I19" i="6" s="1"/>
  <c r="A23" i="2"/>
  <c r="E22" i="2"/>
  <c r="F22" i="2"/>
  <c r="B22" i="2"/>
  <c r="N60" i="3"/>
  <c r="O57" i="3"/>
  <c r="N59" i="3"/>
  <c r="N62" i="3"/>
  <c r="N58" i="3"/>
  <c r="M4" i="6"/>
  <c r="N3" i="6"/>
  <c r="C21" i="2"/>
  <c r="I21" i="2"/>
  <c r="N33" i="3" l="1"/>
  <c r="N21" i="3"/>
  <c r="O16" i="3"/>
  <c r="N29" i="3"/>
  <c r="N20" i="3"/>
  <c r="N17" i="3"/>
  <c r="N24" i="3" s="1"/>
  <c r="N26" i="3" s="1"/>
  <c r="N30" i="3"/>
  <c r="N22" i="3"/>
  <c r="N61" i="3" s="1"/>
  <c r="N90" i="3" s="1"/>
  <c r="N32" i="3"/>
  <c r="N19" i="3"/>
  <c r="N88" i="3" s="1"/>
  <c r="N31" i="3"/>
  <c r="N23" i="3"/>
  <c r="N91" i="3" s="1"/>
  <c r="M24" i="3"/>
  <c r="M26" i="3" s="1"/>
  <c r="M87" i="3"/>
  <c r="M92" i="3" s="1"/>
  <c r="M96" i="3" s="1"/>
  <c r="N89" i="3"/>
  <c r="O87" i="1"/>
  <c r="O88" i="1"/>
  <c r="O89" i="1" s="1"/>
  <c r="O86" i="1"/>
  <c r="L96" i="3"/>
  <c r="F20" i="6"/>
  <c r="G20" i="6" s="1"/>
  <c r="I20" i="6" s="1"/>
  <c r="E21" i="6"/>
  <c r="N4" i="6"/>
  <c r="O3" i="6"/>
  <c r="I22" i="2"/>
  <c r="C22" i="2"/>
  <c r="P57" i="3"/>
  <c r="O59" i="3"/>
  <c r="O58" i="3"/>
  <c r="O62" i="3"/>
  <c r="O60" i="3"/>
  <c r="A24" i="2"/>
  <c r="F23" i="2"/>
  <c r="E23" i="2"/>
  <c r="B23" i="2"/>
  <c r="N87" i="3" l="1"/>
  <c r="N92" i="3" s="1"/>
  <c r="N96" i="3" s="1"/>
  <c r="O32" i="3"/>
  <c r="O19" i="3"/>
  <c r="O88" i="3" s="1"/>
  <c r="O92" i="3" s="1"/>
  <c r="O96" i="3" s="1"/>
  <c r="O31" i="3"/>
  <c r="O17" i="3"/>
  <c r="O24" i="3" s="1"/>
  <c r="O26" i="3" s="1"/>
  <c r="O29" i="3"/>
  <c r="O20" i="3"/>
  <c r="O33" i="3"/>
  <c r="O21" i="3"/>
  <c r="P16" i="3"/>
  <c r="O22" i="3"/>
  <c r="O61" i="3" s="1"/>
  <c r="O90" i="3" s="1"/>
  <c r="O30" i="3"/>
  <c r="O23" i="3"/>
  <c r="O91" i="3" s="1"/>
  <c r="O87" i="3"/>
  <c r="O89" i="3"/>
  <c r="O4" i="6"/>
  <c r="P3" i="6"/>
  <c r="A25" i="2"/>
  <c r="F24" i="2"/>
  <c r="E24" i="2"/>
  <c r="B24" i="2"/>
  <c r="P60" i="3"/>
  <c r="Q57" i="3"/>
  <c r="P59" i="3"/>
  <c r="P58" i="3"/>
  <c r="P62" i="3"/>
  <c r="I23" i="2"/>
  <c r="C23" i="2"/>
  <c r="E22" i="6"/>
  <c r="F21" i="6"/>
  <c r="G21" i="6" s="1"/>
  <c r="I21" i="6" s="1"/>
  <c r="P17" i="3" l="1"/>
  <c r="Q16" i="3"/>
  <c r="P21" i="3"/>
  <c r="P33" i="3"/>
  <c r="P31" i="3"/>
  <c r="P23" i="3"/>
  <c r="P91" i="3" s="1"/>
  <c r="P22" i="3"/>
  <c r="P61" i="3" s="1"/>
  <c r="P90" i="3" s="1"/>
  <c r="P19" i="3"/>
  <c r="P88" i="3" s="1"/>
  <c r="P29" i="3"/>
  <c r="P32" i="3"/>
  <c r="P30" i="3"/>
  <c r="P20" i="3"/>
  <c r="P87" i="3"/>
  <c r="P89" i="3"/>
  <c r="E23" i="6"/>
  <c r="F22" i="6"/>
  <c r="G22" i="6" s="1"/>
  <c r="I22" i="6" s="1"/>
  <c r="A26" i="2"/>
  <c r="F25" i="2"/>
  <c r="E25" i="2"/>
  <c r="B25" i="2"/>
  <c r="I24" i="2"/>
  <c r="C24" i="2"/>
  <c r="P4" i="6"/>
  <c r="Q3" i="6"/>
  <c r="Q59" i="3"/>
  <c r="R57" i="3"/>
  <c r="Q62" i="3"/>
  <c r="Q60" i="3"/>
  <c r="Q58" i="3"/>
  <c r="Q87" i="3" l="1"/>
  <c r="P24" i="3"/>
  <c r="P26" i="3" s="1"/>
  <c r="P92" i="3"/>
  <c r="Q32" i="3"/>
  <c r="Q23" i="3"/>
  <c r="Q91" i="3" s="1"/>
  <c r="Q30" i="3"/>
  <c r="Q17" i="3"/>
  <c r="Q29" i="3"/>
  <c r="Q31" i="3"/>
  <c r="Q22" i="3"/>
  <c r="Q61" i="3" s="1"/>
  <c r="Q90" i="3" s="1"/>
  <c r="Q20" i="3"/>
  <c r="Q19" i="3"/>
  <c r="Q88" i="3" s="1"/>
  <c r="Q33" i="3"/>
  <c r="R16" i="3"/>
  <c r="Q21" i="3"/>
  <c r="Q89" i="3" s="1"/>
  <c r="A27" i="2"/>
  <c r="E26" i="2"/>
  <c r="F26" i="2"/>
  <c r="B26" i="2"/>
  <c r="R3" i="6"/>
  <c r="Q4" i="6"/>
  <c r="C25" i="2"/>
  <c r="I25" i="2"/>
  <c r="R60" i="3"/>
  <c r="R58" i="3"/>
  <c r="R59" i="3"/>
  <c r="S57" i="3"/>
  <c r="R62" i="3"/>
  <c r="F23" i="6"/>
  <c r="G23" i="6" s="1"/>
  <c r="I23" i="6" s="1"/>
  <c r="E24" i="6"/>
  <c r="R88" i="3" l="1"/>
  <c r="R22" i="3"/>
  <c r="R61" i="3" s="1"/>
  <c r="R90" i="3" s="1"/>
  <c r="R21" i="3"/>
  <c r="R89" i="3" s="1"/>
  <c r="R30" i="3"/>
  <c r="R23" i="3"/>
  <c r="R91" i="3" s="1"/>
  <c r="R32" i="3"/>
  <c r="R20" i="3"/>
  <c r="R17" i="3"/>
  <c r="R24" i="3" s="1"/>
  <c r="R26" i="3" s="1"/>
  <c r="R29" i="3"/>
  <c r="R31" i="3"/>
  <c r="R33" i="3"/>
  <c r="S16" i="3"/>
  <c r="R19" i="3"/>
  <c r="Q92" i="3"/>
  <c r="Q24" i="3"/>
  <c r="P96" i="3"/>
  <c r="C26" i="2"/>
  <c r="I26" i="2"/>
  <c r="E25" i="6"/>
  <c r="F24" i="6"/>
  <c r="G24" i="6" s="1"/>
  <c r="I24" i="6" s="1"/>
  <c r="S59" i="3"/>
  <c r="T57" i="3"/>
  <c r="S62" i="3"/>
  <c r="S60" i="3"/>
  <c r="S58" i="3"/>
  <c r="R4" i="6"/>
  <c r="S3" i="6"/>
  <c r="A28" i="2"/>
  <c r="F27" i="2"/>
  <c r="E27" i="2"/>
  <c r="B27" i="2"/>
  <c r="S88" i="3" l="1"/>
  <c r="Q96" i="3"/>
  <c r="S17" i="3"/>
  <c r="S29" i="3"/>
  <c r="S31" i="3"/>
  <c r="S33" i="3"/>
  <c r="S19" i="3"/>
  <c r="T16" i="3"/>
  <c r="S22" i="3"/>
  <c r="S61" i="3" s="1"/>
  <c r="S90" i="3" s="1"/>
  <c r="S20" i="3"/>
  <c r="S30" i="3"/>
  <c r="S32" i="3"/>
  <c r="S23" i="3"/>
  <c r="S91" i="3" s="1"/>
  <c r="S21" i="3"/>
  <c r="S89" i="3" s="1"/>
  <c r="Q26" i="3"/>
  <c r="R87" i="3"/>
  <c r="R92" i="3" s="1"/>
  <c r="R96" i="3" s="1"/>
  <c r="T59" i="3"/>
  <c r="T58" i="3"/>
  <c r="T62" i="3"/>
  <c r="U57" i="3"/>
  <c r="T60" i="3"/>
  <c r="E26" i="6"/>
  <c r="F25" i="6"/>
  <c r="G25" i="6" s="1"/>
  <c r="I25" i="6" s="1"/>
  <c r="A29" i="2"/>
  <c r="F28" i="2"/>
  <c r="E28" i="2"/>
  <c r="B28" i="2"/>
  <c r="C27" i="2"/>
  <c r="I27" i="2"/>
  <c r="S4" i="6"/>
  <c r="T3" i="6"/>
  <c r="T87" i="3" l="1"/>
  <c r="T22" i="3"/>
  <c r="T61" i="3" s="1"/>
  <c r="T90" i="3" s="1"/>
  <c r="U16" i="3"/>
  <c r="T17" i="3"/>
  <c r="T29" i="3"/>
  <c r="T19" i="3"/>
  <c r="T33" i="3"/>
  <c r="T30" i="3"/>
  <c r="T20" i="3"/>
  <c r="T21" i="3"/>
  <c r="T89" i="3" s="1"/>
  <c r="T32" i="3"/>
  <c r="T23" i="3"/>
  <c r="T91" i="3" s="1"/>
  <c r="T31" i="3"/>
  <c r="T88" i="3"/>
  <c r="S24" i="3"/>
  <c r="S26" i="3" s="1"/>
  <c r="S87" i="3"/>
  <c r="S92" i="3" s="1"/>
  <c r="S96" i="3" s="1"/>
  <c r="E27" i="6"/>
  <c r="F26" i="6"/>
  <c r="G26" i="6" s="1"/>
  <c r="I26" i="6" s="1"/>
  <c r="T4" i="6"/>
  <c r="U3" i="6"/>
  <c r="A30" i="2"/>
  <c r="E29" i="2"/>
  <c r="F29" i="2"/>
  <c r="B29" i="2"/>
  <c r="U60" i="3"/>
  <c r="U58" i="3"/>
  <c r="U59" i="3"/>
  <c r="V57" i="3"/>
  <c r="U62" i="3"/>
  <c r="I28" i="2"/>
  <c r="C28" i="2"/>
  <c r="T92" i="3" l="1"/>
  <c r="U88" i="3"/>
  <c r="T24" i="3"/>
  <c r="T26" i="3" s="1"/>
  <c r="U33" i="3"/>
  <c r="U21" i="3"/>
  <c r="U89" i="3" s="1"/>
  <c r="V16" i="3"/>
  <c r="U22" i="3"/>
  <c r="U61" i="3" s="1"/>
  <c r="U90" i="3" s="1"/>
  <c r="U30" i="3"/>
  <c r="U32" i="3"/>
  <c r="U19" i="3"/>
  <c r="U23" i="3"/>
  <c r="U91" i="3" s="1"/>
  <c r="U17" i="3"/>
  <c r="U87" i="3" s="1"/>
  <c r="U31" i="3"/>
  <c r="U29" i="3"/>
  <c r="U20" i="3"/>
  <c r="A31" i="2"/>
  <c r="E30" i="2"/>
  <c r="F30" i="2"/>
  <c r="B30" i="2"/>
  <c r="E28" i="6"/>
  <c r="F27" i="6"/>
  <c r="G27" i="6" s="1"/>
  <c r="I27" i="6" s="1"/>
  <c r="V60" i="3"/>
  <c r="V58" i="3"/>
  <c r="W57" i="3"/>
  <c r="V59" i="3"/>
  <c r="V62" i="3"/>
  <c r="C29" i="2"/>
  <c r="I29" i="2"/>
  <c r="V3" i="6"/>
  <c r="V4" i="6" s="1"/>
  <c r="U4" i="6"/>
  <c r="U92" i="3" l="1"/>
  <c r="U24" i="3"/>
  <c r="U26" i="3" s="1"/>
  <c r="V87" i="3"/>
  <c r="V92" i="3" s="1"/>
  <c r="V89" i="3"/>
  <c r="V32" i="3"/>
  <c r="W16" i="3"/>
  <c r="V21" i="3"/>
  <c r="V17" i="3"/>
  <c r="V31" i="3"/>
  <c r="V23" i="3"/>
  <c r="V91" i="3" s="1"/>
  <c r="V33" i="3"/>
  <c r="V29" i="3"/>
  <c r="V30" i="3"/>
  <c r="V19" i="3"/>
  <c r="V88" i="3" s="1"/>
  <c r="V22" i="3"/>
  <c r="V61" i="3" s="1"/>
  <c r="V90" i="3" s="1"/>
  <c r="V20" i="3"/>
  <c r="T96" i="3"/>
  <c r="E29" i="6"/>
  <c r="F28" i="6"/>
  <c r="G28" i="6" s="1"/>
  <c r="I28" i="6" s="1"/>
  <c r="A32" i="2"/>
  <c r="E31" i="2"/>
  <c r="F31" i="2"/>
  <c r="B31" i="2"/>
  <c r="C30" i="2"/>
  <c r="I30" i="2"/>
  <c r="W58" i="3"/>
  <c r="X57" i="3"/>
  <c r="W60" i="3"/>
  <c r="W62" i="3"/>
  <c r="W59" i="3"/>
  <c r="W29" i="3" l="1"/>
  <c r="W17" i="3"/>
  <c r="W23" i="3"/>
  <c r="W19" i="3"/>
  <c r="W21" i="3"/>
  <c r="W22" i="3"/>
  <c r="W61" i="3" s="1"/>
  <c r="W90" i="3" s="1"/>
  <c r="W31" i="3"/>
  <c r="W20" i="3"/>
  <c r="W30" i="3"/>
  <c r="X16" i="3"/>
  <c r="W89" i="3"/>
  <c r="W88" i="3"/>
  <c r="V24" i="3"/>
  <c r="V26" i="3" s="1"/>
  <c r="W91" i="3"/>
  <c r="U96" i="3"/>
  <c r="X60" i="3"/>
  <c r="Y57" i="3"/>
  <c r="X59" i="3"/>
  <c r="X58" i="3"/>
  <c r="X62" i="3"/>
  <c r="A33" i="2"/>
  <c r="E32" i="2"/>
  <c r="F32" i="2"/>
  <c r="B32" i="2"/>
  <c r="C31" i="2"/>
  <c r="I31" i="2"/>
  <c r="E30" i="6"/>
  <c r="F29" i="6"/>
  <c r="G29" i="6" s="1"/>
  <c r="I29" i="6" s="1"/>
  <c r="X19" i="3" l="1"/>
  <c r="X88" i="3" s="1"/>
  <c r="X23" i="3"/>
  <c r="X91" i="3" s="1"/>
  <c r="X17" i="3"/>
  <c r="Y16" i="3"/>
  <c r="X29" i="3"/>
  <c r="X30" i="3"/>
  <c r="X20" i="3"/>
  <c r="X31" i="3"/>
  <c r="X22" i="3"/>
  <c r="X61" i="3" s="1"/>
  <c r="X90" i="3" s="1"/>
  <c r="X21" i="3"/>
  <c r="W24" i="3"/>
  <c r="W26" i="3" s="1"/>
  <c r="X87" i="3"/>
  <c r="X89" i="3"/>
  <c r="W87" i="3"/>
  <c r="W92" i="3" s="1"/>
  <c r="W96" i="3" s="1"/>
  <c r="V96" i="3"/>
  <c r="A34" i="2"/>
  <c r="F33" i="2"/>
  <c r="E33" i="2"/>
  <c r="B33" i="2"/>
  <c r="I32" i="2"/>
  <c r="C32" i="2"/>
  <c r="Y59" i="3"/>
  <c r="Z57" i="3"/>
  <c r="Y60" i="3"/>
  <c r="Y62" i="3"/>
  <c r="Y58" i="3"/>
  <c r="E31" i="6"/>
  <c r="F31" i="6" s="1"/>
  <c r="G31" i="6" s="1"/>
  <c r="I31" i="6" s="1"/>
  <c r="F30" i="6"/>
  <c r="G30" i="6" s="1"/>
  <c r="I30" i="6" s="1"/>
  <c r="X92" i="3" l="1"/>
  <c r="Y20" i="3"/>
  <c r="Y23" i="3"/>
  <c r="Y91" i="3" s="1"/>
  <c r="Y21" i="3"/>
  <c r="Y89" i="3" s="1"/>
  <c r="Y29" i="3"/>
  <c r="Y30" i="3"/>
  <c r="Z16" i="3"/>
  <c r="Y19" i="3"/>
  <c r="Y31" i="3"/>
  <c r="Y17" i="3"/>
  <c r="Y87" i="3" s="1"/>
  <c r="Y22" i="3"/>
  <c r="Y61" i="3" s="1"/>
  <c r="Y90" i="3" s="1"/>
  <c r="Y88" i="3"/>
  <c r="X24" i="3"/>
  <c r="X26" i="3" s="1"/>
  <c r="I32" i="6"/>
  <c r="I33" i="6" s="1"/>
  <c r="I34" i="6" s="1"/>
  <c r="AA57" i="3"/>
  <c r="Z60" i="3"/>
  <c r="Z62" i="3"/>
  <c r="Z59" i="3"/>
  <c r="Z58" i="3"/>
  <c r="A35" i="2"/>
  <c r="E34" i="2"/>
  <c r="F34" i="2"/>
  <c r="B34" i="2"/>
  <c r="C33" i="2"/>
  <c r="I33" i="2"/>
  <c r="Y92" i="3" l="1"/>
  <c r="Z89" i="3"/>
  <c r="Z87" i="3"/>
  <c r="Z21" i="3"/>
  <c r="Z20" i="3"/>
  <c r="Z29" i="3"/>
  <c r="Z31" i="3"/>
  <c r="Z17" i="3"/>
  <c r="Z23" i="3"/>
  <c r="Z91" i="3" s="1"/>
  <c r="Z30" i="3"/>
  <c r="AA16" i="3"/>
  <c r="Z19" i="3"/>
  <c r="Z88" i="3" s="1"/>
  <c r="Z22" i="3"/>
  <c r="Z61" i="3" s="1"/>
  <c r="Z90" i="3" s="1"/>
  <c r="Y24" i="3"/>
  <c r="Y26" i="3" s="1"/>
  <c r="X96" i="3"/>
  <c r="F35" i="2"/>
  <c r="A36" i="2"/>
  <c r="E35" i="2"/>
  <c r="B35" i="2"/>
  <c r="C34" i="2"/>
  <c r="I34" i="2"/>
  <c r="AA58" i="3"/>
  <c r="AB57" i="3"/>
  <c r="AA60" i="3"/>
  <c r="AA62" i="3"/>
  <c r="AA59" i="3"/>
  <c r="Z92" i="3" l="1"/>
  <c r="Z24" i="3"/>
  <c r="Z26" i="3" s="1"/>
  <c r="AA23" i="3"/>
  <c r="AA91" i="3" s="1"/>
  <c r="AA21" i="3"/>
  <c r="AA89" i="3" s="1"/>
  <c r="AA22" i="3"/>
  <c r="AA61" i="3" s="1"/>
  <c r="AA90" i="3" s="1"/>
  <c r="AA31" i="3"/>
  <c r="AA19" i="3"/>
  <c r="AA88" i="3" s="1"/>
  <c r="AB16" i="3"/>
  <c r="AA29" i="3"/>
  <c r="AA17" i="3"/>
  <c r="AA30" i="3"/>
  <c r="AA20" i="3"/>
  <c r="Y96" i="3"/>
  <c r="AB60" i="3"/>
  <c r="AB62" i="3"/>
  <c r="AB58" i="3"/>
  <c r="AC57" i="3"/>
  <c r="AB59" i="3"/>
  <c r="E36" i="2"/>
  <c r="F36" i="2"/>
  <c r="B36" i="2"/>
  <c r="C36" i="2" s="1"/>
  <c r="C35" i="2"/>
  <c r="I35" i="2"/>
  <c r="I36" i="2" s="1"/>
  <c r="AB88" i="3" l="1"/>
  <c r="AB23" i="3"/>
  <c r="AB91" i="3" s="1"/>
  <c r="AB30" i="3"/>
  <c r="AB29" i="3"/>
  <c r="AB31" i="3"/>
  <c r="AB22" i="3"/>
  <c r="AB61" i="3" s="1"/>
  <c r="AB90" i="3" s="1"/>
  <c r="AC16" i="3"/>
  <c r="AB19" i="3"/>
  <c r="AB17" i="3"/>
  <c r="AB21" i="3"/>
  <c r="AB89" i="3" s="1"/>
  <c r="AB20" i="3"/>
  <c r="AA24" i="3"/>
  <c r="AA26" i="3" s="1"/>
  <c r="AA87" i="3"/>
  <c r="AA92" i="3" s="1"/>
  <c r="AA96" i="3" s="1"/>
  <c r="Z96" i="3"/>
  <c r="AC62" i="3"/>
  <c r="AC59" i="3"/>
  <c r="AC58" i="3"/>
  <c r="AC60" i="3"/>
  <c r="AD57" i="3"/>
  <c r="AC20" i="3" l="1"/>
  <c r="AC23" i="3"/>
  <c r="AC22" i="3"/>
  <c r="AC61" i="3" s="1"/>
  <c r="AC90" i="3" s="1"/>
  <c r="AC19" i="3"/>
  <c r="AC88" i="3" s="1"/>
  <c r="AC92" i="3" s="1"/>
  <c r="AC96" i="3" s="1"/>
  <c r="AC29" i="3"/>
  <c r="AC31" i="3"/>
  <c r="AC17" i="3"/>
  <c r="AC24" i="3" s="1"/>
  <c r="AC26" i="3" s="1"/>
  <c r="AD16" i="3"/>
  <c r="AC21" i="3"/>
  <c r="AC30" i="3"/>
  <c r="AC91" i="3"/>
  <c r="AC89" i="3"/>
  <c r="AB24" i="3"/>
  <c r="AB26" i="3" s="1"/>
  <c r="AB87" i="3"/>
  <c r="AB92" i="3" s="1"/>
  <c r="AB96" i="3" s="1"/>
  <c r="AC87" i="3"/>
  <c r="AD58" i="3"/>
  <c r="AE57" i="3"/>
  <c r="AD60" i="3"/>
  <c r="AD62" i="3"/>
  <c r="AD59" i="3"/>
  <c r="AD89" i="3" l="1"/>
  <c r="AD29" i="3"/>
  <c r="AD30" i="3"/>
  <c r="AE16" i="3"/>
  <c r="AD19" i="3"/>
  <c r="AD88" i="3" s="1"/>
  <c r="AD22" i="3"/>
  <c r="AD61" i="3" s="1"/>
  <c r="AD90" i="3" s="1"/>
  <c r="AD21" i="3"/>
  <c r="AD31" i="3"/>
  <c r="AD17" i="3"/>
  <c r="AD24" i="3" s="1"/>
  <c r="AD26" i="3" s="1"/>
  <c r="AD23" i="3"/>
  <c r="AD91" i="3" s="1"/>
  <c r="AD20" i="3"/>
  <c r="AE59" i="3"/>
  <c r="AE58" i="3"/>
  <c r="AF57" i="3"/>
  <c r="AE60" i="3"/>
  <c r="AE62" i="3"/>
  <c r="AE91" i="3" l="1"/>
  <c r="AE22" i="3"/>
  <c r="AE61" i="3" s="1"/>
  <c r="AE90" i="3" s="1"/>
  <c r="AE23" i="3"/>
  <c r="AE29" i="3"/>
  <c r="AE19" i="3"/>
  <c r="AE88" i="3" s="1"/>
  <c r="AE30" i="3"/>
  <c r="AE31" i="3"/>
  <c r="AE17" i="3"/>
  <c r="AF16" i="3"/>
  <c r="AE20" i="3"/>
  <c r="AE21" i="3"/>
  <c r="AD87" i="3"/>
  <c r="AD92" i="3" s="1"/>
  <c r="AD96" i="3" s="1"/>
  <c r="AE89" i="3"/>
  <c r="AF58" i="3"/>
  <c r="AG57" i="3"/>
  <c r="AF60" i="3"/>
  <c r="AF62" i="3"/>
  <c r="AF59" i="3"/>
  <c r="AF21" i="3" l="1"/>
  <c r="AF89" i="3" s="1"/>
  <c r="AF23" i="3"/>
  <c r="AF91" i="3" s="1"/>
  <c r="AF30" i="3"/>
  <c r="AG16" i="3"/>
  <c r="AF31" i="3"/>
  <c r="AF22" i="3"/>
  <c r="AF61" i="3" s="1"/>
  <c r="AF90" i="3" s="1"/>
  <c r="AF19" i="3"/>
  <c r="AF17" i="3"/>
  <c r="AF29" i="3"/>
  <c r="AF20" i="3"/>
  <c r="AE24" i="3"/>
  <c r="AE26" i="3" s="1"/>
  <c r="AF88" i="3"/>
  <c r="AF87" i="3"/>
  <c r="AE87" i="3"/>
  <c r="AE92" i="3" s="1"/>
  <c r="AE96" i="3" s="1"/>
  <c r="AG60" i="3"/>
  <c r="AG58" i="3"/>
  <c r="AG59" i="3"/>
  <c r="AG62" i="3"/>
  <c r="AF92" i="3" l="1"/>
  <c r="AF24" i="3"/>
  <c r="AF26" i="3" s="1"/>
  <c r="AG19" i="3"/>
  <c r="AG31" i="3"/>
  <c r="AG17" i="3"/>
  <c r="AG24" i="3" s="1"/>
  <c r="F55" i="3" s="1"/>
  <c r="AG21" i="3"/>
  <c r="AG22" i="3"/>
  <c r="AG61" i="3" s="1"/>
  <c r="AG90" i="3" s="1"/>
  <c r="AG20" i="3"/>
  <c r="AG29" i="3"/>
  <c r="AG23" i="3"/>
  <c r="AG30" i="3"/>
  <c r="AG91" i="3"/>
  <c r="AG89" i="3"/>
  <c r="AG88" i="3"/>
  <c r="AG26" i="3" l="1"/>
  <c r="AH26" i="3" s="1"/>
  <c r="B55" i="3" s="1"/>
  <c r="AG87" i="3"/>
  <c r="AG92" i="3" s="1"/>
  <c r="AG96" i="3" s="1"/>
  <c r="AF9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B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По формуле Pc(t)=exp(-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>c t)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По формуле fc(t)=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c Pc(t)
</t>
        </r>
      </text>
    </comment>
    <comment ref="E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Используем ЭКСПРАСП()
Pc(t)=1-ЭКСПРАСП(t,</t>
        </r>
        <r>
          <rPr>
            <sz val="9"/>
            <color indexed="81"/>
            <rFont val="Calibri"/>
            <family val="2"/>
            <charset val="204"/>
          </rPr>
          <t>λc</t>
        </r>
        <r>
          <rPr>
            <sz val="9"/>
            <color indexed="81"/>
            <rFont val="Tahoma"/>
            <family val="2"/>
            <charset val="204"/>
          </rPr>
          <t>,1)</t>
        </r>
      </text>
    </comment>
    <comment ref="F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Используем ЭКСПРАСП()
fc(t)=ЭКСПРАСП(t,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>c,0)</t>
        </r>
      </text>
    </comment>
    <comment ref="I6" authorId="0" shapeId="0" xr:uid="{00000000-0006-0000-0100-000005000000}">
      <text>
        <r>
          <rPr>
            <b/>
            <sz val="9"/>
            <color indexed="81"/>
            <rFont val="Tahoma"/>
            <family val="2"/>
            <charset val="204"/>
          </rPr>
          <t>k*Pc(t)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I3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 xml:space="preserve">=сумма*шаг/3
шаг= </t>
        </r>
        <r>
          <rPr>
            <sz val="9"/>
            <color indexed="81"/>
            <rFont val="Tahoma"/>
            <family val="2"/>
            <charset val="204"/>
          </rPr>
          <t>∆t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E5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=1/</t>
        </r>
        <r>
          <rPr>
            <b/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5" authorId="0" shapeId="0" xr:uid="{00000000-0006-0000-0200-000002000000}">
      <text>
        <r>
          <rPr>
            <b/>
            <sz val="9"/>
            <color indexed="81"/>
            <rFont val="Tahoma"/>
            <family val="2"/>
            <charset val="204"/>
          </rPr>
          <t>=1/</t>
        </r>
        <r>
          <rPr>
            <b/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6" authorId="0" shapeId="0" xr:uid="{00000000-0006-0000-0200-000003000000}">
      <text>
        <r>
          <rPr>
            <b/>
            <sz val="9"/>
            <color rgb="FF000000"/>
            <rFont val="Tahoma"/>
            <family val="2"/>
            <charset val="204"/>
          </rPr>
          <t>=(a+b)/2</t>
        </r>
        <r>
          <rPr>
            <sz val="9"/>
            <color rgb="FF000000"/>
            <rFont val="Tahoma"/>
            <family val="2"/>
            <charset val="204"/>
          </rPr>
          <t xml:space="preserve">
</t>
        </r>
      </text>
    </comment>
    <comment ref="F6" authorId="0" shapeId="0" xr:uid="{00000000-0006-0000-0200-000004000000}">
      <text>
        <r>
          <rPr>
            <b/>
            <sz val="9"/>
            <color indexed="81"/>
            <rFont val="Tahoma"/>
            <family val="2"/>
            <charset val="204"/>
          </rPr>
          <t>=(b-a)/2√3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7" authorId="0" shapeId="0" xr:uid="{00000000-0006-0000-0200-000005000000}">
      <text>
        <r>
          <rPr>
            <b/>
            <sz val="9"/>
            <color indexed="81"/>
            <rFont val="Tahoma"/>
            <family val="2"/>
            <charset val="204"/>
          </rPr>
          <t>=</t>
        </r>
        <r>
          <rPr>
            <sz val="12"/>
            <color indexed="81"/>
            <rFont val="Calibri"/>
            <family val="2"/>
            <charset val="204"/>
          </rPr>
          <t>αβ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7" authorId="0" shapeId="0" xr:uid="{00000000-0006-0000-0200-000006000000}">
      <text>
        <r>
          <rPr>
            <sz val="9"/>
            <color indexed="81"/>
            <rFont val="Tahoma"/>
            <family val="2"/>
            <charset val="204"/>
          </rPr>
          <t>=√</t>
        </r>
        <r>
          <rPr>
            <sz val="9"/>
            <color indexed="81"/>
            <rFont val="Calibri"/>
            <family val="2"/>
            <charset val="204"/>
          </rPr>
          <t>αβ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 xr:uid="{00000000-0006-0000-0200-000007000000}">
      <text>
        <r>
          <rPr>
            <b/>
            <sz val="9"/>
            <color indexed="81"/>
            <rFont val="Tahoma"/>
            <family val="2"/>
            <charset val="204"/>
          </rPr>
          <t>=√(</t>
        </r>
        <r>
          <rPr>
            <b/>
            <sz val="9"/>
            <color indexed="81"/>
            <rFont val="Calibri"/>
            <family val="2"/>
            <charset val="204"/>
          </rPr>
          <t>π/4λ)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9" authorId="0" shapeId="0" xr:uid="{00000000-0006-0000-0200-000008000000}">
      <text>
        <r>
          <rPr>
            <sz val="9"/>
            <color indexed="81"/>
            <rFont val="Tahoma"/>
            <family val="2"/>
            <charset val="204"/>
          </rPr>
          <t>=√((4-</t>
        </r>
        <r>
          <rPr>
            <sz val="9"/>
            <color indexed="81"/>
            <rFont val="Calibri"/>
            <family val="2"/>
            <charset val="204"/>
          </rPr>
          <t>π)/4λ)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10" authorId="0" shapeId="0" xr:uid="{00000000-0006-0000-0200-000009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9"/>
            <color indexed="81"/>
            <rFont val="Calibri"/>
            <family val="2"/>
            <charset val="204"/>
          </rPr>
          <t>βΓ(1+1/α)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10" authorId="0" shapeId="0" xr:uid="{00000000-0006-0000-0200-00000A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9"/>
            <color indexed="81"/>
            <rFont val="Calibri"/>
            <family val="2"/>
            <charset val="204"/>
          </rPr>
          <t>β</t>
        </r>
        <r>
          <rPr>
            <sz val="9"/>
            <color indexed="81"/>
            <rFont val="Tahoma"/>
            <family val="2"/>
            <charset val="204"/>
          </rPr>
          <t>√(</t>
        </r>
        <r>
          <rPr>
            <sz val="9"/>
            <color indexed="81"/>
            <rFont val="Calibri"/>
            <family val="2"/>
            <charset val="204"/>
          </rPr>
          <t>Γ(1+2/α)-Γ^2(1+1/α))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11" authorId="0" shapeId="0" xr:uid="{00000000-0006-0000-0200-00000B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11"/>
            <color indexed="81"/>
            <rFont val="Tahoma"/>
            <family val="2"/>
            <charset val="204"/>
          </rPr>
          <t>m</t>
        </r>
        <r>
          <rPr>
            <sz val="8"/>
            <color indexed="81"/>
            <rFont val="Tahoma"/>
            <family val="2"/>
            <charset val="204"/>
          </rPr>
          <t>0</t>
        </r>
        <r>
          <rPr>
            <sz val="9"/>
            <color indexed="81"/>
            <rFont val="Tahoma"/>
            <family val="2"/>
            <charset val="204"/>
          </rPr>
          <t xml:space="preserve">+k </t>
        </r>
        <r>
          <rPr>
            <sz val="14"/>
            <color indexed="81"/>
            <rFont val="Calibri"/>
            <family val="2"/>
            <charset val="204"/>
          </rPr>
          <t>σ</t>
        </r>
        <r>
          <rPr>
            <sz val="8"/>
            <color indexed="81"/>
            <rFont val="Calibri"/>
            <family val="2"/>
            <charset val="204"/>
          </rPr>
          <t xml:space="preserve">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11" authorId="0" shapeId="0" xr:uid="{00000000-0006-0000-0200-00000C000000}">
      <text>
        <r>
          <rPr>
            <sz val="9"/>
            <color indexed="81"/>
            <rFont val="Tahoma"/>
            <family val="2"/>
            <charset val="204"/>
          </rPr>
          <t xml:space="preserve">=σ0√(1+k*m0/σ0-k^2)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G31" authorId="0" shapeId="0" xr:uid="{00000000-0006-0000-0500-000001000000}">
      <text>
        <r>
          <rPr>
            <b/>
            <sz val="9"/>
            <color indexed="81"/>
            <rFont val="Tahoma"/>
            <family val="2"/>
            <charset val="204"/>
          </rPr>
          <t>=-ln pc(t)/</t>
        </r>
        <r>
          <rPr>
            <b/>
            <sz val="9"/>
            <color indexed="81"/>
            <rFont val="Calibri"/>
            <family val="2"/>
            <charset val="204"/>
          </rPr>
          <t>λc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<sst xmlns="http://schemas.openxmlformats.org/spreadsheetml/2006/main" count="451" uniqueCount="329">
  <si>
    <t>n=3</t>
  </si>
  <si>
    <t>p1</t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</si>
  <si>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1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</si>
  <si>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2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</si>
  <si>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3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</si>
  <si>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c </t>
    </r>
    <r>
      <rPr>
        <sz val="11"/>
        <color theme="1"/>
        <rFont val="Calibri"/>
        <family val="2"/>
        <charset val="204"/>
        <scheme val="minor"/>
      </rPr>
      <t xml:space="preserve">=p </t>
    </r>
    <r>
      <rPr>
        <vertAlign val="subscript"/>
        <sz val="11"/>
        <color indexed="8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  <scheme val="minor"/>
      </rPr>
      <t xml:space="preserve">*p </t>
    </r>
    <r>
      <rPr>
        <vertAlign val="subscript"/>
        <sz val="11"/>
        <color indexed="8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  <scheme val="minor"/>
      </rPr>
      <t xml:space="preserve">*p </t>
    </r>
    <r>
      <rPr>
        <vertAlign val="subscript"/>
        <sz val="11"/>
        <color indexed="8"/>
        <rFont val="Calibri"/>
        <family val="2"/>
        <charset val="204"/>
      </rPr>
      <t>3</t>
    </r>
  </si>
  <si>
    <r>
      <t xml:space="preserve">q </t>
    </r>
    <r>
      <rPr>
        <vertAlign val="subscript"/>
        <sz val="11"/>
        <color indexed="8"/>
        <rFont val="Calibri"/>
        <family val="2"/>
        <charset val="204"/>
      </rPr>
      <t xml:space="preserve">c </t>
    </r>
    <r>
      <rPr>
        <sz val="11"/>
        <color theme="1"/>
        <rFont val="Calibri"/>
        <family val="2"/>
        <charset val="204"/>
        <scheme val="minor"/>
      </rPr>
      <t>=1-p</t>
    </r>
    <r>
      <rPr>
        <vertAlign val="subscript"/>
        <sz val="11"/>
        <color indexed="8"/>
        <rFont val="Calibri"/>
        <family val="2"/>
        <charset val="204"/>
      </rPr>
      <t>c</t>
    </r>
  </si>
  <si>
    <t>задача 1.1</t>
  </si>
  <si>
    <t>стр.33</t>
  </si>
  <si>
    <t>задача 1.2</t>
  </si>
  <si>
    <t>(1/ч)</t>
  </si>
  <si>
    <t>Tн (ч)</t>
  </si>
  <si>
    <t>q(t)=1-p(t)</t>
  </si>
  <si>
    <t>t1 (ч)</t>
  </si>
  <si>
    <t>t2  (ч)</t>
  </si>
  <si>
    <t>задача 1.3</t>
  </si>
  <si>
    <t>стр.34</t>
  </si>
  <si>
    <t>группа</t>
  </si>
  <si>
    <t>эл-тов</t>
  </si>
  <si>
    <t>lambda</t>
  </si>
  <si>
    <t>t2(ч)</t>
  </si>
  <si>
    <r>
      <t>p(t1,t2)=e</t>
    </r>
    <r>
      <rPr>
        <vertAlign val="superscript"/>
        <sz val="11"/>
        <color indexed="8"/>
        <rFont val="Calibri"/>
        <family val="2"/>
        <charset val="204"/>
      </rPr>
      <t>-lambda*(t2-t1)</t>
    </r>
  </si>
  <si>
    <t>задача 1.5</t>
  </si>
  <si>
    <t>стр.35</t>
  </si>
  <si>
    <t>p(100)</t>
  </si>
  <si>
    <t>T3</t>
  </si>
  <si>
    <t>T4</t>
  </si>
  <si>
    <t>t=?</t>
  </si>
  <si>
    <r>
      <t>p</t>
    </r>
    <r>
      <rPr>
        <vertAlign val="subscript"/>
        <sz val="11"/>
        <color indexed="8"/>
        <rFont val="Calibri"/>
        <family val="2"/>
        <charset val="204"/>
      </rPr>
      <t>с</t>
    </r>
    <r>
      <rPr>
        <sz val="11"/>
        <color theme="1"/>
        <rFont val="Calibri"/>
        <family val="2"/>
        <charset val="204"/>
        <scheme val="minor"/>
      </rPr>
      <t>(t)</t>
    </r>
  </si>
  <si>
    <t>p2</t>
  </si>
  <si>
    <t>p3</t>
  </si>
  <si>
    <t>p4</t>
  </si>
  <si>
    <t>p5</t>
  </si>
  <si>
    <t>t</t>
  </si>
  <si>
    <t>m (ч)</t>
  </si>
  <si>
    <t>sigma (ч)</t>
  </si>
  <si>
    <t>t (ч)</t>
  </si>
  <si>
    <t>нормрасп</t>
  </si>
  <si>
    <t>1-нормрасп(t,m,sigma,1)</t>
  </si>
  <si>
    <t>p(t)=</t>
  </si>
  <si>
    <t>t2 (ч)</t>
  </si>
  <si>
    <t>t1 (ч)=m-3*sigma</t>
  </si>
  <si>
    <t>t2 (ч)=m+3*sigma</t>
  </si>
  <si>
    <t>F(t1), F(t2)  нормрасп</t>
  </si>
  <si>
    <t>p(t1&lt;x&lt;t2)=</t>
  </si>
  <si>
    <t>F(t2)-F(t1)</t>
  </si>
  <si>
    <t>t3 (ч)</t>
  </si>
  <si>
    <t>t4 (ч)</t>
  </si>
  <si>
    <t>p(t3), p(t4)</t>
  </si>
  <si>
    <t>p(t4)/p(t3)</t>
  </si>
  <si>
    <t>задача 1.6</t>
  </si>
  <si>
    <t>задача 1.7</t>
  </si>
  <si>
    <t>задача 1.8</t>
  </si>
  <si>
    <t>t4(ч)</t>
  </si>
  <si>
    <t>q=1-p</t>
  </si>
  <si>
    <t>p=90%</t>
  </si>
  <si>
    <t>t=</t>
  </si>
  <si>
    <t>нормобр</t>
  </si>
  <si>
    <t>t1,t2,t3 (ч)</t>
  </si>
  <si>
    <t>(ч)</t>
  </si>
  <si>
    <t>p(t)=1-нормрасп</t>
  </si>
  <si>
    <t>P(t1&lt;x&lt;t2)=F(t2)-F(t1)</t>
  </si>
  <si>
    <t>Задачи</t>
  </si>
  <si>
    <t>Пример 1.1</t>
  </si>
  <si>
    <t>№</t>
  </si>
  <si>
    <t>Tc</t>
  </si>
  <si>
    <t>t(ч)</t>
  </si>
  <si>
    <t>Pc(t)</t>
  </si>
  <si>
    <t>fc(t)</t>
  </si>
  <si>
    <t>Pc(t)=</t>
  </si>
  <si>
    <t>fc(t)=</t>
  </si>
  <si>
    <t>λ(1/ч)</t>
  </si>
  <si>
    <t>λ с</t>
  </si>
  <si>
    <t>exp (-λc*t)</t>
  </si>
  <si>
    <t>λc*exp(-λc*t)</t>
  </si>
  <si>
    <t>Tc=</t>
  </si>
  <si>
    <t>1/λc</t>
  </si>
  <si>
    <t>λc=</t>
  </si>
  <si>
    <t>λ1+λ2+…+λ5</t>
  </si>
  <si>
    <t>стр.21</t>
  </si>
  <si>
    <t>Пример 1.2</t>
  </si>
  <si>
    <t>стр.22</t>
  </si>
  <si>
    <t>Распределение</t>
  </si>
  <si>
    <t>Таблица 1.4</t>
  </si>
  <si>
    <t>Экспоненциальное</t>
  </si>
  <si>
    <t>λ=</t>
  </si>
  <si>
    <t>Параметры</t>
  </si>
  <si>
    <t>m</t>
  </si>
  <si>
    <t>σ</t>
  </si>
  <si>
    <t>Равномерное</t>
  </si>
  <si>
    <t>Гамма</t>
  </si>
  <si>
    <t>Норм</t>
  </si>
  <si>
    <t>Рэлея</t>
  </si>
  <si>
    <t>Вейбулла</t>
  </si>
  <si>
    <t>Усеч.норм.</t>
  </si>
  <si>
    <t>Гамма_функция</t>
  </si>
  <si>
    <t>вспом</t>
  </si>
  <si>
    <t>k=</t>
  </si>
  <si>
    <t>Лаплас</t>
  </si>
  <si>
    <t>a,b (a&gt;=0)=</t>
  </si>
  <si>
    <t>a,b =</t>
  </si>
  <si>
    <t>m,sigma=</t>
  </si>
  <si>
    <t xml:space="preserve">a,b=   </t>
  </si>
  <si>
    <t>m0,sigma0=</t>
  </si>
  <si>
    <t>эксп</t>
  </si>
  <si>
    <t>Равн</t>
  </si>
  <si>
    <t>гамма</t>
  </si>
  <si>
    <t>Неполная гамма</t>
  </si>
  <si>
    <t>РЭЛЕЯ</t>
  </si>
  <si>
    <t>Усеч. Норм</t>
  </si>
  <si>
    <t>Общая</t>
  </si>
  <si>
    <t>Среднее время безотказной работы - формула Симпсона</t>
  </si>
  <si>
    <t>или</t>
  </si>
  <si>
    <t>h=</t>
  </si>
  <si>
    <t>a=</t>
  </si>
  <si>
    <t>b=</t>
  </si>
  <si>
    <t>T=</t>
  </si>
  <si>
    <t>ч</t>
  </si>
  <si>
    <t>Вейбулл</t>
  </si>
  <si>
    <t>Усеч.норм</t>
  </si>
  <si>
    <t>f(t)/p(t)</t>
  </si>
  <si>
    <t>Lambda=</t>
  </si>
  <si>
    <t>lambda эксп</t>
  </si>
  <si>
    <t>lambda Гамма</t>
  </si>
  <si>
    <t>lambda Рэлея</t>
  </si>
  <si>
    <t>lambda Вейбулла</t>
  </si>
  <si>
    <t>lambda Усеч.норм</t>
  </si>
  <si>
    <t>lambda Сумма</t>
  </si>
  <si>
    <t>fc=</t>
  </si>
  <si>
    <t>lambda c*Pc</t>
  </si>
  <si>
    <t>fc</t>
  </si>
  <si>
    <t>лямбда</t>
  </si>
  <si>
    <t>sigma</t>
  </si>
  <si>
    <t>q(t)</t>
  </si>
  <si>
    <t>p(t)</t>
  </si>
  <si>
    <t>f(t)</t>
  </si>
  <si>
    <t>Усеченное нормальное</t>
  </si>
  <si>
    <t>m0</t>
  </si>
  <si>
    <t>sig0</t>
  </si>
  <si>
    <t>Найти коэффициент С</t>
  </si>
  <si>
    <t>m0/sig0</t>
  </si>
  <si>
    <t>Ф0</t>
  </si>
  <si>
    <t>с</t>
  </si>
  <si>
    <t>T</t>
  </si>
  <si>
    <t>альфа</t>
  </si>
  <si>
    <t>бетта</t>
  </si>
  <si>
    <t>lam(t)</t>
  </si>
  <si>
    <t>Tcp</t>
  </si>
  <si>
    <t>Вейбулл и его параметры</t>
  </si>
  <si>
    <t>f(t)1</t>
  </si>
  <si>
    <t>f(t)2</t>
  </si>
  <si>
    <t>f(t)3</t>
  </si>
  <si>
    <t>p(t)1</t>
  </si>
  <si>
    <t>p(t)2</t>
  </si>
  <si>
    <t>p(t)3</t>
  </si>
  <si>
    <t>p(t1)=exp(-lambdas*t1)</t>
  </si>
  <si>
    <t>lambdas= sum</t>
  </si>
  <si>
    <t>Tc=1/lambdas</t>
  </si>
  <si>
    <t>p(t2)=exp(-lambdas*t2)</t>
  </si>
  <si>
    <r>
      <t>f(t2)=lambdas*p(</t>
    </r>
    <r>
      <rPr>
        <sz val="11"/>
        <color indexed="8"/>
        <rFont val="Calibri"/>
        <family val="2"/>
        <charset val="204"/>
      </rPr>
      <t>t2)</t>
    </r>
  </si>
  <si>
    <t>по формулам</t>
  </si>
  <si>
    <t>Экспоненциальное распределение</t>
  </si>
  <si>
    <t>Нормальное распределение</t>
  </si>
  <si>
    <t>Таблица 1</t>
  </si>
  <si>
    <t>(интервалы)</t>
  </si>
  <si>
    <t>(число отк.)</t>
  </si>
  <si>
    <t>0-100</t>
  </si>
  <si>
    <t>100-200</t>
  </si>
  <si>
    <t>200-400</t>
  </si>
  <si>
    <t>800-1000</t>
  </si>
  <si>
    <t>400-700</t>
  </si>
  <si>
    <t>700-800</t>
  </si>
  <si>
    <t>к-ты</t>
  </si>
  <si>
    <t>Симпсон</t>
  </si>
  <si>
    <t>сумма</t>
  </si>
  <si>
    <t>определяем интенсивности</t>
  </si>
  <si>
    <t>или с использованием функции ЭКСПРАСП()</t>
  </si>
  <si>
    <t>p(t1,t2|t1)=p(t2)/p(t1)</t>
  </si>
  <si>
    <r>
      <t>e^</t>
    </r>
    <r>
      <rPr>
        <vertAlign val="superscript"/>
        <sz val="11"/>
        <color indexed="8"/>
        <rFont val="Calibri"/>
        <family val="2"/>
        <charset val="204"/>
      </rPr>
      <t>-lambda*(t2-t1)</t>
    </r>
  </si>
  <si>
    <t>слчис</t>
  </si>
  <si>
    <t>инт.отк</t>
  </si>
  <si>
    <t>t1</t>
  </si>
  <si>
    <t>t2</t>
  </si>
  <si>
    <t>частота</t>
  </si>
  <si>
    <t>tотк</t>
  </si>
  <si>
    <t>q стат</t>
  </si>
  <si>
    <t>p стат</t>
  </si>
  <si>
    <t>Tcp стат</t>
  </si>
  <si>
    <t>инт.отк.</t>
  </si>
  <si>
    <t>1 способ</t>
  </si>
  <si>
    <t>2 способ</t>
  </si>
  <si>
    <t>&gt;=</t>
  </si>
  <si>
    <t>λc(t)*Pc(t)</t>
  </si>
  <si>
    <t>В этой задаче</t>
  </si>
  <si>
    <t>λc(t)=</t>
  </si>
  <si>
    <t>λ1(t)+…+λn(t)</t>
  </si>
  <si>
    <t>p1(t)*…*pn(t)</t>
  </si>
  <si>
    <t xml:space="preserve">  λc(t)*Pc(t)</t>
  </si>
  <si>
    <t>λ(t)=</t>
  </si>
  <si>
    <t>1.4 по вариантам</t>
  </si>
  <si>
    <t>Варианты распределить в группе</t>
  </si>
  <si>
    <t>(в 1.4. можно вместо усеченного нормального использовать нормальное)</t>
  </si>
  <si>
    <t>p(t1,t2)=p(t1)-p(t2)</t>
  </si>
  <si>
    <r>
      <t>нормобр(q,m,</t>
    </r>
    <r>
      <rPr>
        <sz val="11"/>
        <color indexed="8"/>
        <rFont val="Calibri"/>
        <family val="2"/>
        <charset val="204"/>
      </rPr>
      <t>σ)</t>
    </r>
  </si>
  <si>
    <t>По формуле (для сравнения)</t>
  </si>
  <si>
    <t>Моделирование (формула разыгрывания)</t>
  </si>
  <si>
    <t>В общем случае</t>
  </si>
  <si>
    <t>Практикум</t>
  </si>
  <si>
    <t>табл.1.4.</t>
  </si>
  <si>
    <t>стр.24</t>
  </si>
  <si>
    <t>exp(…)=</t>
  </si>
  <si>
    <t>c=</t>
  </si>
  <si>
    <t>Tcp*</t>
  </si>
  <si>
    <t>элемент</t>
  </si>
  <si>
    <t>система</t>
  </si>
  <si>
    <t>λ=const</t>
  </si>
  <si>
    <t>exp (-λ*t)</t>
  </si>
  <si>
    <t>Показатели надежности элементов известны, показатели надежости системы - определить</t>
  </si>
  <si>
    <t>сравните</t>
  </si>
  <si>
    <t>шаг</t>
  </si>
  <si>
    <t>проще гамма</t>
  </si>
  <si>
    <t>определяем ВБР элементов, как в примере (табл. 1.6, стр.26)</t>
  </si>
  <si>
    <t>Но вот так гораздо проще, сравните</t>
  </si>
  <si>
    <t>проще норм</t>
  </si>
  <si>
    <t>проще Рэлея</t>
  </si>
  <si>
    <t>Дома: 1.4- 1.8</t>
  </si>
  <si>
    <t>λ1</t>
  </si>
  <si>
    <t>λ2</t>
  </si>
  <si>
    <t>λ3</t>
  </si>
  <si>
    <t>λ4</t>
  </si>
  <si>
    <t>λ5</t>
  </si>
  <si>
    <t>p(625)</t>
  </si>
  <si>
    <t>λsum</t>
  </si>
  <si>
    <t>?</t>
  </si>
  <si>
    <t>Распределения, используемые в теории надежности</t>
  </si>
  <si>
    <t>определяем плотности (выберите как вам проще: по формулам (см. учебник) или с использованием функций Excel)</t>
  </si>
  <si>
    <t>определяем плотность системы</t>
  </si>
  <si>
    <t>проверим</t>
  </si>
  <si>
    <t>при альфа=1 должно быть эксп</t>
  </si>
  <si>
    <t>f</t>
  </si>
  <si>
    <t>p</t>
  </si>
  <si>
    <t xml:space="preserve"> система</t>
  </si>
  <si>
    <t>структурная схема</t>
  </si>
  <si>
    <t>Иображения условные, для примера</t>
  </si>
  <si>
    <t>структурная схема для расчета надежности</t>
  </si>
  <si>
    <t xml:space="preserve"> </t>
  </si>
  <si>
    <t>элементы</t>
  </si>
  <si>
    <t>невосстанавливаемые</t>
  </si>
  <si>
    <t>восстанавливаемые</t>
  </si>
  <si>
    <t>Интенсивность отказов</t>
  </si>
  <si>
    <t xml:space="preserve">Вероятность безотказной работы в интервале (0,t) </t>
  </si>
  <si>
    <r>
      <t>Вероятность безотказной работы в интервале (t,t+</t>
    </r>
    <r>
      <rPr>
        <sz val="11"/>
        <color indexed="8"/>
        <rFont val="Calibri"/>
        <family val="2"/>
        <charset val="204"/>
      </rPr>
      <t>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 xml:space="preserve">) </t>
    </r>
  </si>
  <si>
    <t xml:space="preserve">Вероятность отказа в интервале (0,t) </t>
  </si>
  <si>
    <r>
      <t>Вероятность отказа в интервале (t,t+</t>
    </r>
    <r>
      <rPr>
        <sz val="11"/>
        <color indexed="8"/>
        <rFont val="Calibri"/>
        <family val="2"/>
        <charset val="204"/>
      </rPr>
      <t>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 xml:space="preserve">) </t>
    </r>
  </si>
  <si>
    <t>q(t,t+t0)</t>
  </si>
  <si>
    <t xml:space="preserve">Плотность распределения отказов элемента </t>
  </si>
  <si>
    <t>λ(t)</t>
  </si>
  <si>
    <r>
      <t>p(t,t+t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>)</t>
    </r>
  </si>
  <si>
    <t xml:space="preserve">Среднее время работы до отказа </t>
  </si>
  <si>
    <t>Невосстанавливаемый элемент показатели</t>
  </si>
  <si>
    <t>Экспоненциальное распределение в надежности</t>
  </si>
  <si>
    <t>И.Б. Шубинский. Структурная надежность информационных систем</t>
  </si>
  <si>
    <t>Решение</t>
  </si>
  <si>
    <t>ni</t>
  </si>
  <si>
    <t>суммарная наработка</t>
  </si>
  <si>
    <t>всего отказов</t>
  </si>
  <si>
    <t>средняя наработка</t>
  </si>
  <si>
    <t>ti(ч)</t>
  </si>
  <si>
    <t>Анализ задачи</t>
  </si>
  <si>
    <t>инт. Отказов</t>
  </si>
  <si>
    <t>p(10)</t>
  </si>
  <si>
    <t>q(10)</t>
  </si>
  <si>
    <t>f(10)</t>
  </si>
  <si>
    <t>Журнал "Надежность"</t>
  </si>
  <si>
    <t>https://www.dependability.ru/jour</t>
  </si>
  <si>
    <t>определяем оценку Т на основе стат. данных</t>
  </si>
  <si>
    <t>Задача 1</t>
  </si>
  <si>
    <t>Задача 2</t>
  </si>
  <si>
    <t>N</t>
  </si>
  <si>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</t>
    </r>
  </si>
  <si>
    <t>n</t>
  </si>
  <si>
    <t>∆n</t>
  </si>
  <si>
    <r>
      <t>p(t+</t>
    </r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t)</t>
    </r>
  </si>
  <si>
    <t>λ</t>
  </si>
  <si>
    <t>испр (t)</t>
  </si>
  <si>
    <r>
      <t>испр(t+</t>
    </r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t)</t>
    </r>
  </si>
  <si>
    <t>Δt (ч)</t>
  </si>
  <si>
    <r>
      <t>n(t,t+</t>
    </r>
    <r>
      <rPr>
        <sz val="11"/>
        <color indexed="8"/>
        <rFont val="Tahoma"/>
        <family val="2"/>
        <charset val="204"/>
      </rPr>
      <t>∆t)</t>
    </r>
  </si>
  <si>
    <t>Nиспр(t)</t>
  </si>
  <si>
    <t>здесь за ti приняты середины интервалов</t>
  </si>
  <si>
    <t>испытания закончены после отказа 22 модулей из 200</t>
  </si>
  <si>
    <t>действительное значение среднего времени безотказной работы будет существенно больше</t>
  </si>
  <si>
    <t>среднее</t>
  </si>
  <si>
    <t>проще Вейбулл</t>
  </si>
  <si>
    <t>проще exp</t>
  </si>
  <si>
    <r>
      <t>ГАММАРАСП(t/</t>
    </r>
    <r>
      <rPr>
        <sz val="11"/>
        <color indexed="8"/>
        <rFont val="Calibri"/>
        <family val="2"/>
        <charset val="204"/>
      </rPr>
      <t>β</t>
    </r>
    <r>
      <rPr>
        <sz val="11"/>
        <color theme="1"/>
        <rFont val="Calibri"/>
        <family val="2"/>
        <charset val="204"/>
        <scheme val="minor"/>
      </rPr>
      <t>,</t>
    </r>
    <r>
      <rPr>
        <sz val="11"/>
        <color indexed="8"/>
        <rFont val="Calibri"/>
        <family val="2"/>
        <charset val="204"/>
      </rPr>
      <t>α</t>
    </r>
    <r>
      <rPr>
        <sz val="11"/>
        <color theme="1"/>
        <rFont val="Calibri"/>
        <family val="2"/>
        <charset val="204"/>
        <scheme val="minor"/>
      </rPr>
      <t>,1,1)</t>
    </r>
  </si>
  <si>
    <t>НОРМРАСП(t;0;1;1)-0,5</t>
  </si>
  <si>
    <r>
      <t>EXP (ГАММАНЛОГ(</t>
    </r>
    <r>
      <rPr>
        <sz val="11"/>
        <color indexed="8"/>
        <rFont val="Calibri"/>
        <family val="2"/>
        <charset val="204"/>
      </rPr>
      <t>α</t>
    </r>
    <r>
      <rPr>
        <sz val="11"/>
        <color theme="1"/>
        <rFont val="Calibri"/>
        <family val="2"/>
        <charset val="204"/>
        <scheme val="minor"/>
      </rPr>
      <t>))</t>
    </r>
  </si>
  <si>
    <r>
      <t>T</t>
    </r>
    <r>
      <rPr>
        <sz val="11"/>
        <color indexed="8"/>
        <rFont val="Calibri"/>
        <family val="2"/>
        <charset val="204"/>
      </rPr>
      <t>(ч)</t>
    </r>
  </si>
  <si>
    <t>p(t)=exp(-lambda*Tн)</t>
  </si>
  <si>
    <t>задача 1.4</t>
  </si>
  <si>
    <t>t, час</t>
  </si>
  <si>
    <t>P1</t>
  </si>
  <si>
    <t>P2</t>
  </si>
  <si>
    <t>P3</t>
  </si>
  <si>
    <t>P4</t>
  </si>
  <si>
    <t>P5</t>
  </si>
  <si>
    <t>P1(t)</t>
  </si>
  <si>
    <t>P2(t)</t>
  </si>
  <si>
    <t>P3(t)</t>
  </si>
  <si>
    <t>P4(t)</t>
  </si>
  <si>
    <t>P5(t)</t>
  </si>
  <si>
    <t>m=</t>
  </si>
  <si>
    <t>α=</t>
  </si>
  <si>
    <t>σ=</t>
  </si>
  <si>
    <t>β=</t>
  </si>
  <si>
    <t>Коэф.</t>
  </si>
  <si>
    <t>Сумма</t>
  </si>
  <si>
    <t>h</t>
  </si>
  <si>
    <t>Среднее время безотказной работы</t>
  </si>
  <si>
    <t>Определяем плотности распределения</t>
  </si>
  <si>
    <t>Определяем интенсивности отказов</t>
  </si>
  <si>
    <r>
      <rPr>
        <sz val="11"/>
        <color theme="1"/>
        <rFont val="Calibri"/>
        <family val="2"/>
        <charset val="204"/>
      </rPr>
      <t>λ</t>
    </r>
    <r>
      <rPr>
        <sz val="11"/>
        <color theme="1"/>
        <rFont val="Calibri"/>
        <family val="2"/>
        <charset val="204"/>
        <scheme val="minor"/>
      </rPr>
      <t>1</t>
    </r>
  </si>
  <si>
    <t>Определяем плотность системы</t>
  </si>
  <si>
    <t>λс</t>
  </si>
  <si>
    <t>W(4.5; 180)</t>
  </si>
  <si>
    <t>N(400; 92)</t>
  </si>
  <si>
    <t>Г(8; 77)</t>
  </si>
  <si>
    <t>Вариант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</si>
</sst>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"/>
    <numFmt numFmtId="165" formatCode="0.00000"/>
    <numFmt numFmtId="166" formatCode="0.0000"/>
    <numFmt numFmtId="167" formatCode="0.000"/>
    <numFmt numFmtId="168" formatCode="0.0"/>
    <numFmt numFmtId="169" formatCode="0.0000000"/>
    <numFmt numFmtId="170" formatCode="0.000E+00"/>
    <numFmt numFmtId="171" formatCode="0.0E+00"/>
  </numFmts>
  <fonts count="21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vertAlign val="subscript"/>
      <sz val="11"/>
      <color indexed="8"/>
      <name val="Calibri"/>
      <family val="2"/>
      <charset val="204"/>
    </font>
    <font>
      <vertAlign val="superscript"/>
      <sz val="11"/>
      <color indexed="8"/>
      <name val="Calibri"/>
      <family val="2"/>
      <charset val="204"/>
    </font>
    <font>
      <sz val="9"/>
      <color indexed="81"/>
      <name val="Tahoma"/>
      <family val="2"/>
      <charset val="204"/>
    </font>
    <font>
      <sz val="9"/>
      <color indexed="81"/>
      <name val="Calibri"/>
      <family val="2"/>
      <charset val="204"/>
    </font>
    <font>
      <b/>
      <sz val="9"/>
      <color indexed="81"/>
      <name val="Tahoma"/>
      <family val="2"/>
      <charset val="204"/>
    </font>
    <font>
      <b/>
      <sz val="9"/>
      <color indexed="81"/>
      <name val="Calibri"/>
      <family val="2"/>
      <charset val="204"/>
    </font>
    <font>
      <sz val="14"/>
      <color indexed="81"/>
      <name val="Calibri"/>
      <family val="2"/>
      <charset val="204"/>
    </font>
    <font>
      <sz val="8"/>
      <color indexed="81"/>
      <name val="Tahoma"/>
      <family val="2"/>
      <charset val="204"/>
    </font>
    <font>
      <sz val="8"/>
      <color indexed="81"/>
      <name val="Calibri"/>
      <family val="2"/>
      <charset val="204"/>
    </font>
    <font>
      <sz val="11"/>
      <color indexed="81"/>
      <name val="Tahoma"/>
      <family val="2"/>
      <charset val="204"/>
    </font>
    <font>
      <sz val="12"/>
      <color indexed="81"/>
      <name val="Calibri"/>
      <family val="2"/>
      <charset val="204"/>
    </font>
    <font>
      <sz val="11"/>
      <color indexed="8"/>
      <name val="Tahoma"/>
      <family val="2"/>
      <charset val="204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Tahoma"/>
      <family val="2"/>
      <charset val="204"/>
    </font>
    <font>
      <sz val="11"/>
      <color theme="1"/>
      <name val="Arial"/>
      <family val="2"/>
      <charset val="204"/>
    </font>
    <font>
      <b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/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/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ck">
        <color theme="9" tint="-0.24994659260841701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 style="thick">
        <color theme="9" tint="-0.24994659260841701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70C0"/>
      </left>
      <right/>
      <top/>
      <bottom/>
      <diagonal/>
    </border>
    <border>
      <left style="medium">
        <color rgb="FF0070C0"/>
      </left>
      <right style="medium">
        <color rgb="FF0070C0"/>
      </right>
      <top/>
      <bottom/>
      <diagonal/>
    </border>
    <border>
      <left style="medium">
        <color rgb="FF00B050"/>
      </left>
      <right style="medium">
        <color rgb="FF0070C0"/>
      </right>
      <top/>
      <bottom style="medium">
        <color rgb="FF0070C0"/>
      </bottom>
      <diagonal/>
    </border>
    <border>
      <left style="medium">
        <color rgb="FF00B050"/>
      </left>
      <right style="medium">
        <color rgb="FF0070C0"/>
      </right>
      <top style="medium">
        <color rgb="FF0070C0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rgb="FF0070C0"/>
      </left>
      <right style="thick">
        <color rgb="FF0070C0"/>
      </right>
      <top style="thick">
        <color theme="9" tint="-0.24994659260841701"/>
      </top>
      <bottom/>
      <diagonal/>
    </border>
    <border>
      <left style="medium">
        <color rgb="FF00B050"/>
      </left>
      <right style="thick">
        <color theme="9" tint="-0.24994659260841701"/>
      </right>
      <top style="medium">
        <color rgb="FF00B050"/>
      </top>
      <bottom style="medium">
        <color rgb="FF00B050"/>
      </bottom>
      <diagonal/>
    </border>
    <border>
      <left/>
      <right/>
      <top style="medium">
        <color rgb="FF00B050"/>
      </top>
      <bottom style="medium">
        <color rgb="FF00B050"/>
      </bottom>
      <diagonal/>
    </border>
    <border>
      <left/>
      <right/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/>
      <bottom/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theme="0" tint="-0.499984740745262"/>
      </left>
      <right style="thick">
        <color theme="9" tint="-0.24994659260841701"/>
      </right>
      <top style="thick">
        <color theme="0" tint="-0.499984740745262"/>
      </top>
      <bottom style="thick">
        <color theme="0" tint="-0.499984740745262"/>
      </bottom>
      <diagonal/>
    </border>
    <border>
      <left style="double">
        <color theme="9" tint="-0.24994659260841701"/>
      </left>
      <right/>
      <top/>
      <bottom/>
      <diagonal/>
    </border>
    <border>
      <left style="double">
        <color rgb="FF00B050"/>
      </left>
      <right style="double">
        <color rgb="FF00B050"/>
      </right>
      <top style="double">
        <color rgb="FF00B050"/>
      </top>
      <bottom style="double">
        <color rgb="FF00B050"/>
      </bottom>
      <diagonal/>
    </border>
    <border>
      <left/>
      <right style="medium">
        <color rgb="FF0070C0"/>
      </right>
      <top/>
      <bottom/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medium">
        <color theme="9" tint="-0.24994659260841701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/>
      <diagonal/>
    </border>
    <border>
      <left style="thick">
        <color rgb="FF0070C0"/>
      </left>
      <right/>
      <top style="thick">
        <color rgb="FF0070C0"/>
      </top>
      <bottom style="thick">
        <color rgb="FF0070C0"/>
      </bottom>
      <diagonal/>
    </border>
    <border>
      <left/>
      <right/>
      <top style="thick">
        <color rgb="FF0070C0"/>
      </top>
      <bottom style="thick">
        <color rgb="FF0070C0"/>
      </bottom>
      <diagonal/>
    </border>
    <border>
      <left/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rgb="FF00B050"/>
      </left>
      <right style="thick">
        <color rgb="FF00B050"/>
      </right>
      <top style="thin">
        <color indexed="64"/>
      </top>
      <bottom style="thick">
        <color rgb="FF00B050"/>
      </bottom>
      <diagonal/>
    </border>
    <border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ck">
        <color rgb="FF00B050"/>
      </left>
      <right/>
      <top style="thin">
        <color indexed="64"/>
      </top>
      <bottom style="thick">
        <color rgb="FF00B050"/>
      </bottom>
      <diagonal/>
    </border>
    <border>
      <left style="thick">
        <color rgb="FF00B050"/>
      </left>
      <right/>
      <top style="thick">
        <color rgb="FF00B050"/>
      </top>
      <bottom style="thick">
        <color rgb="FF00B050"/>
      </bottom>
      <diagonal/>
    </border>
    <border>
      <left/>
      <right style="thick">
        <color rgb="FF00B050"/>
      </right>
      <top style="thin">
        <color indexed="64"/>
      </top>
      <bottom style="thick">
        <color rgb="FF00B050"/>
      </bottom>
      <diagonal/>
    </border>
    <border>
      <left/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ck">
        <color theme="9" tint="-0.24994659260841701"/>
      </left>
      <right style="double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double">
        <color theme="9" tint="-0.24994659260841701"/>
      </right>
      <top style="double">
        <color theme="9" tint="-0.2499465926084170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0" fillId="0" borderId="16" xfId="0" applyBorder="1" applyAlignment="1">
      <alignment horizontal="right"/>
    </xf>
    <xf numFmtId="166" fontId="0" fillId="0" borderId="0" xfId="0" applyNumberFormat="1"/>
    <xf numFmtId="166" fontId="0" fillId="3" borderId="17" xfId="0" applyNumberForma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164" fontId="0" fillId="3" borderId="17" xfId="0" applyNumberFormat="1" applyFill="1" applyBorder="1"/>
    <xf numFmtId="0" fontId="0" fillId="4" borderId="21" xfId="0" applyFill="1" applyBorder="1"/>
    <xf numFmtId="0" fontId="0" fillId="4" borderId="22" xfId="0" applyFill="1" applyBorder="1"/>
    <xf numFmtId="0" fontId="0" fillId="3" borderId="23" xfId="0" applyFill="1" applyBorder="1"/>
    <xf numFmtId="0" fontId="0" fillId="4" borderId="24" xfId="0" applyFill="1" applyBorder="1"/>
    <xf numFmtId="165" fontId="0" fillId="3" borderId="17" xfId="0" applyNumberFormat="1" applyFill="1" applyBorder="1"/>
    <xf numFmtId="166" fontId="0" fillId="3" borderId="25" xfId="0" applyNumberFormat="1" applyFill="1" applyBorder="1"/>
    <xf numFmtId="0" fontId="0" fillId="4" borderId="26" xfId="0" applyFill="1" applyBorder="1"/>
    <xf numFmtId="167" fontId="0" fillId="3" borderId="17" xfId="0" applyNumberFormat="1" applyFill="1" applyBorder="1"/>
    <xf numFmtId="1" fontId="0" fillId="3" borderId="17" xfId="0" applyNumberFormat="1" applyFill="1" applyBorder="1"/>
    <xf numFmtId="0" fontId="0" fillId="4" borderId="20" xfId="0" applyFill="1" applyBorder="1" applyAlignment="1">
      <alignment horizontal="right"/>
    </xf>
    <xf numFmtId="0" fontId="0" fillId="0" borderId="27" xfId="0" applyBorder="1" applyAlignment="1">
      <alignment horizontal="center"/>
    </xf>
    <xf numFmtId="166" fontId="0" fillId="4" borderId="26" xfId="0" applyNumberFormat="1" applyFill="1" applyBorder="1"/>
    <xf numFmtId="166" fontId="0" fillId="4" borderId="28" xfId="0" applyNumberFormat="1" applyFill="1" applyBorder="1"/>
    <xf numFmtId="0" fontId="0" fillId="0" borderId="27" xfId="0" applyBorder="1" applyAlignment="1">
      <alignment horizontal="right"/>
    </xf>
    <xf numFmtId="0" fontId="0" fillId="4" borderId="26" xfId="0" applyFill="1" applyBorder="1" applyAlignment="1">
      <alignment horizontal="right"/>
    </xf>
    <xf numFmtId="0" fontId="0" fillId="4" borderId="29" xfId="0" applyFill="1" applyBorder="1"/>
    <xf numFmtId="0" fontId="0" fillId="4" borderId="30" xfId="0" applyFill="1" applyBorder="1" applyAlignment="1">
      <alignment horizontal="right"/>
    </xf>
    <xf numFmtId="0" fontId="0" fillId="4" borderId="31" xfId="0" applyFill="1" applyBorder="1"/>
    <xf numFmtId="0" fontId="14" fillId="3" borderId="17" xfId="0" applyFont="1" applyFill="1" applyBorder="1" applyAlignment="1">
      <alignment horizontal="center"/>
    </xf>
    <xf numFmtId="0" fontId="14" fillId="3" borderId="32" xfId="0" applyFont="1" applyFill="1" applyBorder="1" applyAlignment="1">
      <alignment horizontal="center"/>
    </xf>
    <xf numFmtId="166" fontId="0" fillId="3" borderId="17" xfId="0" applyNumberFormat="1" applyFill="1" applyBorder="1" applyAlignment="1">
      <alignment horizontal="center"/>
    </xf>
    <xf numFmtId="0" fontId="0" fillId="4" borderId="33" xfId="0" applyFill="1" applyBorder="1"/>
    <xf numFmtId="0" fontId="0" fillId="0" borderId="34" xfId="0" applyBorder="1"/>
    <xf numFmtId="0" fontId="0" fillId="5" borderId="0" xfId="0" applyFill="1"/>
    <xf numFmtId="166" fontId="0" fillId="5" borderId="0" xfId="0" applyNumberFormat="1" applyFill="1" applyAlignment="1">
      <alignment horizontal="center"/>
    </xf>
    <xf numFmtId="166" fontId="0" fillId="5" borderId="0" xfId="0" applyNumberFormat="1" applyFill="1"/>
    <xf numFmtId="0" fontId="14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5" fillId="0" borderId="0" xfId="0" applyFont="1"/>
    <xf numFmtId="0" fontId="15" fillId="0" borderId="16" xfId="0" applyFont="1" applyBorder="1"/>
    <xf numFmtId="0" fontId="15" fillId="3" borderId="17" xfId="0" applyFont="1" applyFill="1" applyBorder="1"/>
    <xf numFmtId="0" fontId="15" fillId="0" borderId="0" xfId="0" applyFont="1" applyAlignment="1">
      <alignment horizontal="right"/>
    </xf>
    <xf numFmtId="165" fontId="0" fillId="0" borderId="0" xfId="0" applyNumberFormat="1"/>
    <xf numFmtId="164" fontId="0" fillId="0" borderId="0" xfId="0" applyNumberFormat="1"/>
    <xf numFmtId="0" fontId="15" fillId="0" borderId="16" xfId="0" applyFont="1" applyBorder="1" applyAlignment="1">
      <alignment horizontal="right"/>
    </xf>
    <xf numFmtId="0" fontId="0" fillId="0" borderId="35" xfId="0" applyBorder="1"/>
    <xf numFmtId="168" fontId="0" fillId="0" borderId="0" xfId="0" applyNumberFormat="1"/>
    <xf numFmtId="0" fontId="0" fillId="0" borderId="0" xfId="0" applyAlignment="1">
      <alignment horizontal="left"/>
    </xf>
    <xf numFmtId="0" fontId="0" fillId="3" borderId="25" xfId="0" applyFill="1" applyBorder="1" applyAlignment="1">
      <alignment horizontal="right"/>
    </xf>
    <xf numFmtId="1" fontId="0" fillId="3" borderId="36" xfId="0" applyNumberFormat="1" applyFill="1" applyBorder="1"/>
    <xf numFmtId="0" fontId="0" fillId="3" borderId="32" xfId="0" applyFill="1" applyBorder="1"/>
    <xf numFmtId="170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 indent="1"/>
    </xf>
    <xf numFmtId="169" fontId="0" fillId="3" borderId="25" xfId="0" applyNumberFormat="1" applyFill="1" applyBorder="1"/>
    <xf numFmtId="0" fontId="0" fillId="0" borderId="1" xfId="0" applyBorder="1"/>
    <xf numFmtId="0" fontId="15" fillId="0" borderId="2" xfId="0" applyFont="1" applyBorder="1"/>
    <xf numFmtId="0" fontId="0" fillId="0" borderId="3" xfId="0" applyBorder="1"/>
    <xf numFmtId="0" fontId="0" fillId="0" borderId="37" xfId="0" applyBorder="1" applyAlignment="1">
      <alignment horizontal="right"/>
    </xf>
    <xf numFmtId="1" fontId="0" fillId="0" borderId="38" xfId="0" applyNumberFormat="1" applyBorder="1"/>
    <xf numFmtId="0" fontId="0" fillId="0" borderId="39" xfId="0" applyBorder="1"/>
    <xf numFmtId="0" fontId="0" fillId="4" borderId="28" xfId="0" applyFill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165" fontId="0" fillId="0" borderId="44" xfId="0" applyNumberFormat="1" applyBorder="1"/>
    <xf numFmtId="0" fontId="0" fillId="0" borderId="45" xfId="0" applyBorder="1"/>
    <xf numFmtId="0" fontId="0" fillId="0" borderId="46" xfId="0" applyBorder="1"/>
    <xf numFmtId="166" fontId="0" fillId="0" borderId="47" xfId="0" applyNumberFormat="1" applyBorder="1"/>
    <xf numFmtId="166" fontId="0" fillId="0" borderId="48" xfId="0" applyNumberFormat="1" applyBorder="1"/>
    <xf numFmtId="0" fontId="0" fillId="0" borderId="48" xfId="0" applyBorder="1"/>
    <xf numFmtId="166" fontId="0" fillId="0" borderId="49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center"/>
    </xf>
    <xf numFmtId="0" fontId="0" fillId="6" borderId="50" xfId="0" applyFill="1" applyBorder="1"/>
    <xf numFmtId="0" fontId="15" fillId="6" borderId="50" xfId="0" applyFont="1" applyFill="1" applyBorder="1"/>
    <xf numFmtId="167" fontId="15" fillId="6" borderId="50" xfId="0" applyNumberFormat="1" applyFont="1" applyFill="1" applyBorder="1"/>
    <xf numFmtId="165" fontId="0" fillId="6" borderId="50" xfId="0" applyNumberFormat="1" applyFill="1" applyBorder="1"/>
    <xf numFmtId="0" fontId="0" fillId="7" borderId="0" xfId="0" applyFill="1" applyAlignment="1">
      <alignment horizontal="center" vertical="center"/>
    </xf>
    <xf numFmtId="0" fontId="0" fillId="7" borderId="0" xfId="0" applyFill="1"/>
    <xf numFmtId="167" fontId="0" fillId="7" borderId="0" xfId="0" applyNumberFormat="1" applyFill="1"/>
    <xf numFmtId="1" fontId="0" fillId="7" borderId="17" xfId="0" applyNumberFormat="1" applyFill="1" applyBorder="1"/>
    <xf numFmtId="0" fontId="0" fillId="8" borderId="0" xfId="0" applyFill="1"/>
    <xf numFmtId="167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0" fontId="0" fillId="9" borderId="0" xfId="0" applyFill="1"/>
    <xf numFmtId="0" fontId="0" fillId="5" borderId="51" xfId="0" applyFill="1" applyBorder="1"/>
    <xf numFmtId="0" fontId="0" fillId="0" borderId="52" xfId="0" applyBorder="1"/>
    <xf numFmtId="0" fontId="0" fillId="0" borderId="52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/>
    <xf numFmtId="0" fontId="15" fillId="0" borderId="1" xfId="0" applyFont="1" applyBorder="1" applyAlignment="1">
      <alignment horizontal="right"/>
    </xf>
    <xf numFmtId="0" fontId="0" fillId="0" borderId="54" xfId="0" applyBorder="1"/>
    <xf numFmtId="165" fontId="0" fillId="10" borderId="0" xfId="0" applyNumberFormat="1" applyFill="1"/>
    <xf numFmtId="167" fontId="0" fillId="2" borderId="1" xfId="0" applyNumberFormat="1" applyFill="1" applyBorder="1"/>
    <xf numFmtId="171" fontId="0" fillId="0" borderId="0" xfId="0" applyNumberFormat="1"/>
    <xf numFmtId="166" fontId="0" fillId="0" borderId="0" xfId="0" applyNumberFormat="1" applyAlignment="1">
      <alignment horizontal="center"/>
    </xf>
    <xf numFmtId="0" fontId="14" fillId="0" borderId="0" xfId="0" applyFont="1" applyAlignment="1">
      <alignment horizontal="center"/>
    </xf>
    <xf numFmtId="0" fontId="0" fillId="0" borderId="26" xfId="0" applyBorder="1"/>
    <xf numFmtId="165" fontId="0" fillId="0" borderId="2" xfId="0" applyNumberFormat="1" applyBorder="1"/>
    <xf numFmtId="168" fontId="0" fillId="11" borderId="55" xfId="0" applyNumberFormat="1" applyFill="1" applyBorder="1"/>
    <xf numFmtId="0" fontId="15" fillId="12" borderId="55" xfId="0" applyFont="1" applyFill="1" applyBorder="1" applyAlignment="1">
      <alignment horizontal="left"/>
    </xf>
    <xf numFmtId="0" fontId="0" fillId="12" borderId="55" xfId="0" applyFill="1" applyBorder="1"/>
    <xf numFmtId="1" fontId="0" fillId="0" borderId="0" xfId="0" applyNumberFormat="1"/>
    <xf numFmtId="169" fontId="0" fillId="3" borderId="56" xfId="0" applyNumberFormat="1" applyFill="1" applyBorder="1"/>
    <xf numFmtId="166" fontId="0" fillId="11" borderId="57" xfId="0" applyNumberFormat="1" applyFill="1" applyBorder="1"/>
    <xf numFmtId="1" fontId="0" fillId="11" borderId="57" xfId="0" applyNumberFormat="1" applyFill="1" applyBorder="1"/>
    <xf numFmtId="0" fontId="0" fillId="0" borderId="27" xfId="0" applyBorder="1"/>
    <xf numFmtId="0" fontId="0" fillId="0" borderId="58" xfId="0" applyBorder="1"/>
    <xf numFmtId="0" fontId="15" fillId="13" borderId="55" xfId="0" applyFont="1" applyFill="1" applyBorder="1" applyAlignment="1">
      <alignment horizontal="left"/>
    </xf>
    <xf numFmtId="0" fontId="0" fillId="13" borderId="55" xfId="0" applyFill="1" applyBorder="1"/>
    <xf numFmtId="0" fontId="0" fillId="2" borderId="59" xfId="0" applyFill="1" applyBorder="1"/>
    <xf numFmtId="0" fontId="0" fillId="2" borderId="60" xfId="0" applyFill="1" applyBorder="1"/>
    <xf numFmtId="0" fontId="0" fillId="2" borderId="61" xfId="0" applyFill="1" applyBorder="1"/>
    <xf numFmtId="0" fontId="0" fillId="0" borderId="8" xfId="0" applyBorder="1"/>
    <xf numFmtId="0" fontId="0" fillId="0" borderId="62" xfId="0" applyBorder="1"/>
    <xf numFmtId="0" fontId="16" fillId="0" borderId="63" xfId="0" applyFont="1" applyBorder="1"/>
    <xf numFmtId="0" fontId="0" fillId="0" borderId="63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13" xfId="0" applyBorder="1"/>
    <xf numFmtId="0" fontId="15" fillId="0" borderId="1" xfId="0" applyFont="1" applyBorder="1"/>
    <xf numFmtId="0" fontId="17" fillId="0" borderId="1" xfId="0" applyFont="1" applyBorder="1"/>
    <xf numFmtId="0" fontId="0" fillId="0" borderId="72" xfId="0" applyBorder="1"/>
    <xf numFmtId="0" fontId="16" fillId="0" borderId="0" xfId="0" applyFont="1"/>
    <xf numFmtId="0" fontId="0" fillId="0" borderId="73" xfId="0" applyBorder="1"/>
    <xf numFmtId="0" fontId="16" fillId="0" borderId="74" xfId="0" applyFont="1" applyBorder="1"/>
    <xf numFmtId="0" fontId="0" fillId="0" borderId="75" xfId="0" applyBorder="1"/>
    <xf numFmtId="0" fontId="0" fillId="0" borderId="76" xfId="0" applyBorder="1"/>
    <xf numFmtId="0" fontId="0" fillId="0" borderId="74" xfId="0" applyBorder="1"/>
    <xf numFmtId="2" fontId="0" fillId="0" borderId="63" xfId="0" applyNumberFormat="1" applyBorder="1"/>
    <xf numFmtId="0" fontId="0" fillId="9" borderId="77" xfId="0" applyFill="1" applyBorder="1"/>
    <xf numFmtId="0" fontId="0" fillId="9" borderId="78" xfId="0" applyFill="1" applyBorder="1"/>
    <xf numFmtId="0" fontId="0" fillId="9" borderId="79" xfId="0" applyFill="1" applyBorder="1" applyAlignment="1">
      <alignment horizontal="right"/>
    </xf>
    <xf numFmtId="166" fontId="0" fillId="9" borderId="78" xfId="0" applyNumberFormat="1" applyFill="1" applyBorder="1"/>
    <xf numFmtId="165" fontId="0" fillId="11" borderId="58" xfId="0" applyNumberFormat="1" applyFill="1" applyBorder="1"/>
    <xf numFmtId="165" fontId="0" fillId="0" borderId="7" xfId="0" applyNumberFormat="1" applyBorder="1"/>
    <xf numFmtId="0" fontId="0" fillId="0" borderId="80" xfId="0" applyBorder="1"/>
    <xf numFmtId="0" fontId="0" fillId="0" borderId="81" xfId="0" applyBorder="1" applyAlignment="1">
      <alignment horizontal="right"/>
    </xf>
    <xf numFmtId="0" fontId="0" fillId="0" borderId="82" xfId="0" applyBorder="1"/>
    <xf numFmtId="0" fontId="0" fillId="0" borderId="84" xfId="0" applyBorder="1" applyAlignment="1">
      <alignment horizontal="right"/>
    </xf>
    <xf numFmtId="0" fontId="0" fillId="0" borderId="85" xfId="0" applyBorder="1"/>
    <xf numFmtId="0" fontId="0" fillId="14" borderId="83" xfId="0" applyFill="1" applyBorder="1"/>
    <xf numFmtId="0" fontId="18" fillId="14" borderId="86" xfId="0" applyFont="1" applyFill="1" applyBorder="1"/>
    <xf numFmtId="2" fontId="0" fillId="0" borderId="1" xfId="0" applyNumberFormat="1" applyBorder="1"/>
    <xf numFmtId="0" fontId="0" fillId="0" borderId="87" xfId="0" applyBorder="1"/>
    <xf numFmtId="0" fontId="0" fillId="0" borderId="89" xfId="0" applyBorder="1" applyAlignment="1">
      <alignment horizontal="right"/>
    </xf>
    <xf numFmtId="0" fontId="0" fillId="0" borderId="90" xfId="0" applyBorder="1"/>
    <xf numFmtId="0" fontId="18" fillId="14" borderId="91" xfId="0" applyFont="1" applyFill="1" applyBorder="1"/>
    <xf numFmtId="0" fontId="0" fillId="14" borderId="92" xfId="0" applyFill="1" applyBorder="1"/>
    <xf numFmtId="0" fontId="0" fillId="14" borderId="93" xfId="0" applyFill="1" applyBorder="1"/>
    <xf numFmtId="0" fontId="0" fillId="14" borderId="86" xfId="0" applyFill="1" applyBorder="1"/>
    <xf numFmtId="0" fontId="0" fillId="14" borderId="11" xfId="0" applyFill="1" applyBorder="1"/>
    <xf numFmtId="0" fontId="18" fillId="14" borderId="83" xfId="0" applyFont="1" applyFill="1" applyBorder="1"/>
    <xf numFmtId="1" fontId="0" fillId="0" borderId="85" xfId="0" applyNumberFormat="1" applyBorder="1"/>
    <xf numFmtId="1" fontId="0" fillId="0" borderId="94" xfId="0" applyNumberFormat="1" applyBorder="1"/>
    <xf numFmtId="1" fontId="0" fillId="0" borderId="82" xfId="0" applyNumberFormat="1" applyBorder="1"/>
    <xf numFmtId="1" fontId="0" fillId="0" borderId="88" xfId="0" applyNumberFormat="1" applyBorder="1"/>
    <xf numFmtId="1" fontId="0" fillId="0" borderId="90" xfId="0" applyNumberFormat="1" applyBorder="1"/>
    <xf numFmtId="1" fontId="0" fillId="0" borderId="96" xfId="0" applyNumberFormat="1" applyBorder="1"/>
    <xf numFmtId="166" fontId="0" fillId="0" borderId="1" xfId="0" applyNumberFormat="1" applyBorder="1"/>
    <xf numFmtId="0" fontId="0" fillId="0" borderId="0" xfId="0"/>
    <xf numFmtId="0" fontId="0" fillId="0" borderId="16" xfId="0" applyBorder="1"/>
    <xf numFmtId="0" fontId="0" fillId="0" borderId="14" xfId="0" applyBorder="1"/>
    <xf numFmtId="0" fontId="0" fillId="5" borderId="0" xfId="0" applyFill="1"/>
    <xf numFmtId="0" fontId="0" fillId="7" borderId="0" xfId="0" applyFill="1"/>
    <xf numFmtId="0" fontId="0" fillId="0" borderId="0" xfId="0" applyAlignment="1">
      <alignment horizontal="center"/>
    </xf>
    <xf numFmtId="0" fontId="0" fillId="14" borderId="1" xfId="0" applyFill="1" applyBorder="1" applyAlignment="1">
      <alignment horizontal="left"/>
    </xf>
    <xf numFmtId="0" fontId="0" fillId="0" borderId="0" xfId="0" applyFill="1"/>
    <xf numFmtId="168" fontId="0" fillId="14" borderId="95" xfId="0" applyNumberFormat="1" applyFill="1" applyBorder="1"/>
    <xf numFmtId="0" fontId="0" fillId="15" borderId="1" xfId="0" applyFill="1" applyBorder="1"/>
    <xf numFmtId="1" fontId="0" fillId="7" borderId="1" xfId="0" applyNumberFormat="1" applyFill="1" applyBorder="1"/>
    <xf numFmtId="2" fontId="0" fillId="16" borderId="1" xfId="0" applyNumberFormat="1" applyFont="1" applyFill="1" applyBorder="1"/>
    <xf numFmtId="0" fontId="0" fillId="17" borderId="1" xfId="0" applyFill="1" applyBorder="1"/>
    <xf numFmtId="0" fontId="0" fillId="0" borderId="0" xfId="0" applyBorder="1" applyAlignment="1"/>
    <xf numFmtId="0" fontId="0" fillId="0" borderId="7" xfId="0" applyBorder="1" applyAlignment="1"/>
    <xf numFmtId="0" fontId="0" fillId="18" borderId="1" xfId="0" applyFill="1" applyBorder="1" applyAlignment="1">
      <alignment horizontal="left"/>
    </xf>
    <xf numFmtId="0" fontId="0" fillId="18" borderId="87" xfId="0" applyFill="1" applyBorder="1" applyAlignment="1">
      <alignment horizontal="left"/>
    </xf>
    <xf numFmtId="0" fontId="0" fillId="18" borderId="2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0" borderId="0" xfId="0" applyFill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Pc</c:v>
          </c:tx>
          <c:marker>
            <c:symbol val="none"/>
          </c:marker>
          <c:cat>
            <c:numRef>
              <c:f>Пример1.1!$A$6:$A$36</c:f>
              <c:numCache>
                <c:formatCode>General</c:formatCode>
                <c:ptCount val="31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</c:numCache>
            </c:numRef>
          </c:cat>
          <c:val>
            <c:numRef>
              <c:f>Пример1.1!$B$6:$B$36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0.94932886684288953</c:v>
                </c:pt>
                <c:pt idx="2">
                  <c:v>0.90122529742120483</c:v>
                </c:pt>
                <c:pt idx="3">
                  <c:v>0.85555919037101846</c:v>
                </c:pt>
                <c:pt idx="4">
                  <c:v>0.81220703671193906</c:v>
                </c:pt>
                <c:pt idx="5">
                  <c:v>0.77105158580356636</c:v>
                </c:pt>
                <c:pt idx="6">
                  <c:v>0.73198152822831264</c:v>
                </c:pt>
                <c:pt idx="7">
                  <c:v>0.69489119474291061</c:v>
                </c:pt>
                <c:pt idx="8">
                  <c:v>0.65968027048438904</c:v>
                </c:pt>
                <c:pt idx="9">
                  <c:v>0.62625352365755593</c:v>
                </c:pt>
                <c:pt idx="10">
                  <c:v>0.59452054797019438</c:v>
                </c:pt>
                <c:pt idx="11">
                  <c:v>0.5643955181193584</c:v>
                </c:pt>
                <c:pt idx="12">
                  <c:v>0.53579695766745605</c:v>
                </c:pt>
                <c:pt idx="13">
                  <c:v>0.50864751868031377</c:v>
                </c:pt>
                <c:pt idx="14">
                  <c:v>0.48287377253122976</c:v>
                </c:pt>
                <c:pt idx="15">
                  <c:v>0.45840601130522357</c:v>
                </c:pt>
                <c:pt idx="16">
                  <c:v>0.43517805926635672</c:v>
                </c:pt>
                <c:pt idx="17">
                  <c:v>0.41312709387821828</c:v>
                </c:pt>
                <c:pt idx="18">
                  <c:v>0.39219347589350501</c:v>
                </c:pt>
                <c:pt idx="19">
                  <c:v>0.37232058805315527</c:v>
                </c:pt>
                <c:pt idx="20">
                  <c:v>0.35345468195878021</c:v>
                </c:pt>
                <c:pt idx="21">
                  <c:v>0.33554473270424273</c:v>
                </c:pt>
                <c:pt idx="22">
                  <c:v>0.318542300873219</c:v>
                </c:pt>
                <c:pt idx="23">
                  <c:v>0.30240140152949979</c:v>
                </c:pt>
                <c:pt idx="24">
                  <c:v>0.28707837984570167</c:v>
                </c:pt>
                <c:pt idx="25">
                  <c:v>0.27253179303401265</c:v>
                </c:pt>
                <c:pt idx="26">
                  <c:v>0.2587222982596401</c:v>
                </c:pt>
                <c:pt idx="27">
                  <c:v>0.24561254623381226</c:v>
                </c:pt>
                <c:pt idx="28">
                  <c:v>0.23316708019854179</c:v>
                </c:pt>
                <c:pt idx="29">
                  <c:v>0.22135224002994688</c:v>
                </c:pt>
                <c:pt idx="30">
                  <c:v>0.21013607120076477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7-47E0-B0CA-5B07D312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411081080"/>
        <c:axId val="1"/>
      </c:lineChart>
      <c:catAx>
        <c:axId val="41108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  <a:r>
                  <a:rPr lang="ru-RU"/>
                  <a:t> (ч)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81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fc</c:v>
          </c:tx>
          <c:marker>
            <c:symbol val="none"/>
          </c:marker>
          <c:cat>
            <c:numRef>
              <c:f>Пример1.1!$A$6:$A$36</c:f>
              <c:numCache>
                <c:formatCode>General</c:formatCode>
                <c:ptCount val="31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</c:numCache>
            </c:numRef>
          </c:cat>
          <c:val>
            <c:numRef>
              <c:f>Пример1.1!$C$6:$C$36</c:f>
              <c:numCache>
                <c:formatCode>0.00000</c:formatCode>
                <c:ptCount val="31"/>
                <c:pt idx="0">
                  <c:v>2.5999999999999998E-4</c:v>
                </c:pt>
                <c:pt idx="1">
                  <c:v>2.4682550537915123E-4</c:v>
                </c:pt>
                <c:pt idx="2">
                  <c:v>2.3431857732951323E-4</c:v>
                </c:pt>
                <c:pt idx="3">
                  <c:v>2.2244538949646477E-4</c:v>
                </c:pt>
                <c:pt idx="4">
                  <c:v>2.1117382954510412E-4</c:v>
                </c:pt>
                <c:pt idx="5">
                  <c:v>2.0047341230892724E-4</c:v>
                </c:pt>
                <c:pt idx="6">
                  <c:v>1.9031519733936128E-4</c:v>
                </c:pt>
                <c:pt idx="7">
                  <c:v>1.8067171063315674E-4</c:v>
                </c:pt>
                <c:pt idx="8">
                  <c:v>1.7151687032594115E-4</c:v>
                </c:pt>
                <c:pt idx="9">
                  <c:v>1.6282591615096454E-4</c:v>
                </c:pt>
                <c:pt idx="10">
                  <c:v>1.5457534247225051E-4</c:v>
                </c:pt>
                <c:pt idx="11">
                  <c:v>1.4674283471103317E-4</c:v>
                </c:pt>
                <c:pt idx="12">
                  <c:v>1.3930720899353857E-4</c:v>
                </c:pt>
                <c:pt idx="13">
                  <c:v>1.3224835485688158E-4</c:v>
                </c:pt>
                <c:pt idx="14">
                  <c:v>1.2554718085811974E-4</c:v>
                </c:pt>
                <c:pt idx="15">
                  <c:v>1.1918556293935812E-4</c:v>
                </c:pt>
                <c:pt idx="16">
                  <c:v>1.1314629540925274E-4</c:v>
                </c:pt>
                <c:pt idx="17">
                  <c:v>1.0741304440833675E-4</c:v>
                </c:pt>
                <c:pt idx="18">
                  <c:v>1.0197030373231129E-4</c:v>
                </c:pt>
                <c:pt idx="19">
                  <c:v>9.6803352893820355E-5</c:v>
                </c:pt>
                <c:pt idx="20">
                  <c:v>9.1898217309282853E-5</c:v>
                </c:pt>
                <c:pt idx="21">
                  <c:v>8.7241630503103097E-5</c:v>
                </c:pt>
                <c:pt idx="22">
                  <c:v>8.2820998227036929E-5</c:v>
                </c:pt>
                <c:pt idx="23">
                  <c:v>7.8624364397669941E-5</c:v>
                </c:pt>
                <c:pt idx="24">
                  <c:v>7.464037875988243E-5</c:v>
                </c:pt>
                <c:pt idx="25">
                  <c:v>7.0858266188843284E-5</c:v>
                </c:pt>
                <c:pt idx="26">
                  <c:v>6.7267797547506422E-5</c:v>
                </c:pt>
                <c:pt idx="27">
                  <c:v>6.3859262020791186E-5</c:v>
                </c:pt>
                <c:pt idx="28">
                  <c:v>6.062344085162086E-5</c:v>
                </c:pt>
                <c:pt idx="29">
                  <c:v>5.7551582407786188E-5</c:v>
                </c:pt>
                <c:pt idx="30">
                  <c:v>5.463537851219884E-5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F-4177-BDD8-0557A7DA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407302200"/>
        <c:axId val="1"/>
      </c:lineChart>
      <c:catAx>
        <c:axId val="40730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fc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407302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 элементов</a:t>
            </a:r>
          </a:p>
        </c:rich>
      </c:tx>
      <c:layout>
        <c:manualLayout>
          <c:xMode val="edge"/>
          <c:yMode val="edge"/>
          <c:x val="0.47241304181637489"/>
          <c:y val="1.9752962189630449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эксп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Пример1.2!$B$17:$AF$17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0.98019867330675525</c:v>
                </c:pt>
                <c:pt idx="2">
                  <c:v>0.96078943915232318</c:v>
                </c:pt>
                <c:pt idx="3">
                  <c:v>0.94176453358424872</c:v>
                </c:pt>
                <c:pt idx="4">
                  <c:v>0.92311634638663576</c:v>
                </c:pt>
                <c:pt idx="5">
                  <c:v>0.90483741803595952</c:v>
                </c:pt>
                <c:pt idx="6">
                  <c:v>0.88692043671715748</c:v>
                </c:pt>
                <c:pt idx="7">
                  <c:v>0.86935823539880586</c:v>
                </c:pt>
                <c:pt idx="8">
                  <c:v>0.85214378896621135</c:v>
                </c:pt>
                <c:pt idx="9">
                  <c:v>0.835270211411272</c:v>
                </c:pt>
                <c:pt idx="10">
                  <c:v>0.81873075307798182</c:v>
                </c:pt>
                <c:pt idx="11">
                  <c:v>0.80251879796247849</c:v>
                </c:pt>
                <c:pt idx="12">
                  <c:v>0.78662786106655336</c:v>
                </c:pt>
                <c:pt idx="13">
                  <c:v>0.77105158580356625</c:v>
                </c:pt>
                <c:pt idx="14">
                  <c:v>0.75578374145572547</c:v>
                </c:pt>
                <c:pt idx="15">
                  <c:v>0.74081822068171788</c:v>
                </c:pt>
                <c:pt idx="16">
                  <c:v>0.72614903707369094</c:v>
                </c:pt>
                <c:pt idx="17">
                  <c:v>0.71177032276260965</c:v>
                </c:pt>
                <c:pt idx="18">
                  <c:v>0.69767632607103103</c:v>
                </c:pt>
                <c:pt idx="19">
                  <c:v>0.68386140921235583</c:v>
                </c:pt>
                <c:pt idx="20">
                  <c:v>0.67032004603563933</c:v>
                </c:pt>
                <c:pt idx="21" formatCode="0.00">
                  <c:v>0.65704681981505675</c:v>
                </c:pt>
                <c:pt idx="22" formatCode="0.00">
                  <c:v>0.64403642108314141</c:v>
                </c:pt>
                <c:pt idx="23" formatCode="0.00">
                  <c:v>0.63128364550692595</c:v>
                </c:pt>
                <c:pt idx="24" formatCode="0.00">
                  <c:v>0.61878339180614084</c:v>
                </c:pt>
                <c:pt idx="25" formatCode="0.00">
                  <c:v>0.60653065971263342</c:v>
                </c:pt>
                <c:pt idx="26" formatCode="0.00">
                  <c:v>0.59452054797019427</c:v>
                </c:pt>
                <c:pt idx="27" formatCode="0.00">
                  <c:v>0.58274825237398964</c:v>
                </c:pt>
                <c:pt idx="28" formatCode="0.00">
                  <c:v>0.57120906384881487</c:v>
                </c:pt>
                <c:pt idx="29" formatCode="0.00">
                  <c:v>0.55989836656540204</c:v>
                </c:pt>
                <c:pt idx="30" formatCode="0.00">
                  <c:v>0.5488116360940265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8-4569-BF39-AF2E6413FF6E}"/>
            </c:ext>
          </c:extLst>
        </c:ser>
        <c:ser>
          <c:idx val="1"/>
          <c:order val="1"/>
          <c:tx>
            <c:v>гамма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Пример1.2!$B$19:$AF$19</c:f>
              <c:numCache>
                <c:formatCode>0.000</c:formatCode>
                <c:ptCount val="31"/>
                <c:pt idx="0">
                  <c:v>1</c:v>
                </c:pt>
                <c:pt idx="1">
                  <c:v>0.99999993218127436</c:v>
                </c:pt>
                <c:pt idx="2">
                  <c:v>0.99999350161827372</c:v>
                </c:pt>
                <c:pt idx="3">
                  <c:v>0.99991675885071196</c:v>
                </c:pt>
                <c:pt idx="4">
                  <c:v>0.99953174216215823</c:v>
                </c:pt>
                <c:pt idx="5">
                  <c:v>0.99832062439083602</c:v>
                </c:pt>
                <c:pt idx="6">
                  <c:v>0.99546619447375118</c:v>
                </c:pt>
                <c:pt idx="7">
                  <c:v>0.9899323332397777</c:v>
                </c:pt>
                <c:pt idx="8">
                  <c:v>0.98061154893992053</c:v>
                </c:pt>
                <c:pt idx="9" formatCode="0.00">
                  <c:v>0.96649146469115876</c:v>
                </c:pt>
                <c:pt idx="10" formatCode="0.00">
                  <c:v>0.94679898423264852</c:v>
                </c:pt>
                <c:pt idx="11" formatCode="0.00">
                  <c:v>0.9210970994977411</c:v>
                </c:pt>
                <c:pt idx="12" formatCode="0.00">
                  <c:v>0.88932602159742624</c:v>
                </c:pt>
                <c:pt idx="13" formatCode="0.00">
                  <c:v>0.85179302833059645</c:v>
                </c:pt>
                <c:pt idx="14" formatCode="0.00">
                  <c:v>0.80912288229056994</c:v>
                </c:pt>
                <c:pt idx="15" formatCode="0.00">
                  <c:v>0.7621834629729386</c:v>
                </c:pt>
                <c:pt idx="16" formatCode="0.00">
                  <c:v>0.71200069278180367</c:v>
                </c:pt>
                <c:pt idx="17" formatCode="0.00">
                  <c:v>0.65967431787581632</c:v>
                </c:pt>
                <c:pt idx="18" formatCode="0.00">
                  <c:v>0.60630278241259128</c:v>
                </c:pt>
                <c:pt idx="19" formatCode="0.00">
                  <c:v>0.55292211165059801</c:v>
                </c:pt>
                <c:pt idx="20" formatCode="0.00">
                  <c:v>0.50046086625066921</c:v>
                </c:pt>
                <c:pt idx="21" formatCode="0.00">
                  <c:v>0.44971105584869897</c:v>
                </c:pt>
                <c:pt idx="22" formatCode="0.00">
                  <c:v>0.40131343370434913</c:v>
                </c:pt>
                <c:pt idx="23" formatCode="0.00">
                  <c:v>0.3557547586079709</c:v>
                </c:pt>
                <c:pt idx="24" formatCode="0.00">
                  <c:v>0.31337427753639757</c:v>
                </c:pt>
                <c:pt idx="25" formatCode="0.00">
                  <c:v>0.27437671299934629</c:v>
                </c:pt>
                <c:pt idx="26" formatCode="0.00">
                  <c:v>0.23884930373314961</c:v>
                </c:pt>
                <c:pt idx="27" formatCode="0.00">
                  <c:v>0.20678083985998708</c:v>
                </c:pt>
                <c:pt idx="28" formatCode="0.00">
                  <c:v>0.1780810732907645</c:v>
                </c:pt>
                <c:pt idx="29" formatCode="0.00">
                  <c:v>0.15259931526346482</c:v>
                </c:pt>
                <c:pt idx="30" formatCode="0.00">
                  <c:v>0.13014142088248293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8-4569-BF39-AF2E6413FF6E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Пример1.2!$B$21:$AF$21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0.99920031991468372</c:v>
                </c:pt>
                <c:pt idx="2">
                  <c:v>0.99680511454303289</c:v>
                </c:pt>
                <c:pt idx="3">
                  <c:v>0.99282585790381339</c:v>
                </c:pt>
                <c:pt idx="4">
                  <c:v>0.98728157159029051</c:v>
                </c:pt>
                <c:pt idx="5">
                  <c:v>0.98019867330675525</c:v>
                </c:pt>
                <c:pt idx="6">
                  <c:v>0.97161076718912276</c:v>
                </c:pt>
                <c:pt idx="7">
                  <c:v>0.9615583782382694</c:v>
                </c:pt>
                <c:pt idx="8">
                  <c:v>0.95008863380262687</c:v>
                </c:pt>
                <c:pt idx="9">
                  <c:v>0.93725489561267772</c:v>
                </c:pt>
                <c:pt idx="10">
                  <c:v>0.92311634638663576</c:v>
                </c:pt>
                <c:pt idx="11">
                  <c:v>0.90773753548682956</c:v>
                </c:pt>
                <c:pt idx="12">
                  <c:v>0.8911878885041844</c:v>
                </c:pt>
                <c:pt idx="13">
                  <c:v>0.87354118597885011</c:v>
                </c:pt>
                <c:pt idx="14">
                  <c:v>0.85487501672466948</c:v>
                </c:pt>
                <c:pt idx="15">
                  <c:v>0.835270211411272</c:v>
                </c:pt>
                <c:pt idx="16">
                  <c:v>0.81481026216872943</c:v>
                </c:pt>
                <c:pt idx="17">
                  <c:v>0.79358073401576679</c:v>
                </c:pt>
                <c:pt idx="18">
                  <c:v>0.7716686738745262</c:v>
                </c:pt>
                <c:pt idx="19">
                  <c:v>0.74916202282499267</c:v>
                </c:pt>
                <c:pt idx="20">
                  <c:v>0.72614903707369094</c:v>
                </c:pt>
                <c:pt idx="21">
                  <c:v>0.70271772286839762</c:v>
                </c:pt>
                <c:pt idx="22">
                  <c:v>0.67895529028856794</c:v>
                </c:pt>
                <c:pt idx="23">
                  <c:v>0.65494763048588323</c:v>
                </c:pt>
                <c:pt idx="24">
                  <c:v>0.63077882054742829</c:v>
                </c:pt>
                <c:pt idx="25">
                  <c:v>0.60653065971263342</c:v>
                </c:pt>
                <c:pt idx="26">
                  <c:v>0.58228224020181329</c:v>
                </c:pt>
                <c:pt idx="27">
                  <c:v>0.55810955541668261</c:v>
                </c:pt>
                <c:pt idx="28">
                  <c:v>0.5340851477595171</c:v>
                </c:pt>
                <c:pt idx="29">
                  <c:v>0.51027779779550375</c:v>
                </c:pt>
                <c:pt idx="30">
                  <c:v>0.48675225595997168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18-4569-BF39-AF2E6413FF6E}"/>
            </c:ext>
          </c:extLst>
        </c:ser>
        <c:ser>
          <c:idx val="3"/>
          <c:order val="3"/>
          <c:tx>
            <c:v>Вейбулл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Пример1.2!$B$22:$AF$22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0.99691833834393939</c:v>
                </c:pt>
                <c:pt idx="2">
                  <c:v>0.98773021623561053</c:v>
                </c:pt>
                <c:pt idx="3">
                  <c:v>0.97260447711634834</c:v>
                </c:pt>
                <c:pt idx="4">
                  <c:v>0.95181678442308926</c:v>
                </c:pt>
                <c:pt idx="5">
                  <c:v>0.92574126592438277</c:v>
                </c:pt>
                <c:pt idx="6">
                  <c:v>0.89483931681436979</c:v>
                </c:pt>
                <c:pt idx="7">
                  <c:v>0.85964602964261327</c:v>
                </c:pt>
                <c:pt idx="8">
                  <c:v>0.82075480829826808</c:v>
                </c:pt>
                <c:pt idx="9">
                  <c:v>0.77880078307140488</c:v>
                </c:pt>
                <c:pt idx="10">
                  <c:v>0.73444367192973115</c:v>
                </c:pt>
                <c:pt idx="11">
                  <c:v>0.68835072920377149</c:v>
                </c:pt>
                <c:pt idx="12">
                  <c:v>0.64118038842995462</c:v>
                </c:pt>
                <c:pt idx="13">
                  <c:v>0.59356714447103365</c:v>
                </c:pt>
                <c:pt idx="14">
                  <c:v>0.54610813597805108</c:v>
                </c:pt>
                <c:pt idx="15">
                  <c:v>0.49935178859927615</c:v>
                </c:pt>
                <c:pt idx="16">
                  <c:v>0.45378876851922939</c:v>
                </c:pt>
                <c:pt idx="17">
                  <c:v>0.40984538152519617</c:v>
                </c:pt>
                <c:pt idx="18">
                  <c:v>0.36787944117144233</c:v>
                </c:pt>
                <c:pt idx="19">
                  <c:v>0.32817852639993389</c:v>
                </c:pt>
                <c:pt idx="20">
                  <c:v>0.29096045886431016</c:v>
                </c:pt>
                <c:pt idx="21">
                  <c:v>0.25637575668641222</c:v>
                </c:pt>
                <c:pt idx="22">
                  <c:v>0.22451176664654715</c:v>
                </c:pt>
                <c:pt idx="23">
                  <c:v>0.19539814175302639</c:v>
                </c:pt>
                <c:pt idx="24">
                  <c:v>0.16901331540606612</c:v>
                </c:pt>
                <c:pt idx="25">
                  <c:v>0.14529162554555941</c:v>
                </c:pt>
                <c:pt idx="26">
                  <c:v>0.12413075997184897</c:v>
                </c:pt>
                <c:pt idx="27">
                  <c:v>0.10539922456186435</c:v>
                </c:pt>
                <c:pt idx="28">
                  <c:v>8.894357612514936E-2</c:v>
                </c:pt>
                <c:pt idx="29">
                  <c:v>7.4595207807163222E-2</c:v>
                </c:pt>
                <c:pt idx="30">
                  <c:v>6.2176524022116264E-2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18-4569-BF39-AF2E6413FF6E}"/>
            </c:ext>
          </c:extLst>
        </c:ser>
        <c:ser>
          <c:idx val="4"/>
          <c:order val="4"/>
          <c:tx>
            <c:v>усеч.норм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Пример1.2!$B$23:$AF$23</c:f>
              <c:numCache>
                <c:formatCode>0.000</c:formatCode>
                <c:ptCount val="31"/>
                <c:pt idx="0" formatCode="General">
                  <c:v>0.99999999999999989</c:v>
                </c:pt>
                <c:pt idx="1">
                  <c:v>0.99569623814467956</c:v>
                </c:pt>
                <c:pt idx="2">
                  <c:v>0.99025603508808047</c:v>
                </c:pt>
                <c:pt idx="3">
                  <c:v>0.98346359482846124</c:v>
                </c:pt>
                <c:pt idx="4">
                  <c:v>0.97508675164407754</c:v>
                </c:pt>
                <c:pt idx="5">
                  <c:v>0.96488255578965132</c:v>
                </c:pt>
                <c:pt idx="6">
                  <c:v>0.95260474236946635</c:v>
                </c:pt>
                <c:pt idx="7">
                  <c:v>0.93801300119009667</c:v>
                </c:pt>
                <c:pt idx="8">
                  <c:v>0.9208838022980157</c:v>
                </c:pt>
                <c:pt idx="9">
                  <c:v>0.90102235768703198</c:v>
                </c:pt>
                <c:pt idx="10">
                  <c:v>0.87827513061985629</c:v>
                </c:pt>
                <c:pt idx="11">
                  <c:v>0.85254215899248798</c:v>
                </c:pt>
                <c:pt idx="12">
                  <c:v>0.82378835756133628</c:v>
                </c:pt>
                <c:pt idx="13">
                  <c:v>0.79205292312595654</c:v>
                </c:pt>
                <c:pt idx="14">
                  <c:v>0.75745599991043877</c:v>
                </c:pt>
                <c:pt idx="15">
                  <c:v>0.72020187560719962</c:v>
                </c:pt>
                <c:pt idx="16">
                  <c:v>0.68057816955112771</c:v>
                </c:pt>
                <c:pt idx="17">
                  <c:v>0.63895073181933615</c:v>
                </c:pt>
                <c:pt idx="18">
                  <c:v>0.59575427558058147</c:v>
                </c:pt>
                <c:pt idx="19">
                  <c:v>0.55147908772909671</c:v>
                </c:pt>
                <c:pt idx="20">
                  <c:v>0.5066544736722185</c:v>
                </c:pt>
                <c:pt idx="21">
                  <c:v>0.46182985961534029</c:v>
                </c:pt>
                <c:pt idx="22">
                  <c:v>0.41755467176385552</c:v>
                </c:pt>
                <c:pt idx="23">
                  <c:v>0.3743582155251009</c:v>
                </c:pt>
                <c:pt idx="24">
                  <c:v>0.33273077779330928</c:v>
                </c:pt>
                <c:pt idx="25">
                  <c:v>0.29310707173723732</c:v>
                </c:pt>
                <c:pt idx="26">
                  <c:v>0.25585294743399817</c:v>
                </c:pt>
                <c:pt idx="27">
                  <c:v>0.22125602421848048</c:v>
                </c:pt>
                <c:pt idx="28">
                  <c:v>0.18952058978310077</c:v>
                </c:pt>
                <c:pt idx="29">
                  <c:v>0.16076678835194899</c:v>
                </c:pt>
                <c:pt idx="30">
                  <c:v>0.13503381672458076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18-4569-BF39-AF2E6413FF6E}"/>
            </c:ext>
          </c:extLst>
        </c:ser>
        <c:ser>
          <c:idx val="5"/>
          <c:order val="5"/>
          <c:tx>
            <c:v>all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Пример1.2!$B$24:$AF$24</c:f>
              <c:numCache>
                <c:formatCode>0.000</c:formatCode>
                <c:ptCount val="31"/>
                <c:pt idx="0" formatCode="General">
                  <c:v>0.99999999999999989</c:v>
                </c:pt>
                <c:pt idx="1">
                  <c:v>0.97219435843949376</c:v>
                </c:pt>
                <c:pt idx="2">
                  <c:v>0.936745237485197</c:v>
                </c:pt>
                <c:pt idx="3">
                  <c:v>0.89428060236547002</c:v>
                </c:pt>
                <c:pt idx="4">
                  <c:v>0.845455351331873</c:v>
                </c:pt>
                <c:pt idx="5">
                  <c:v>0.79089491563174896</c:v>
                </c:pt>
                <c:pt idx="6">
                  <c:v>0.73124227997626401</c:v>
                </c:pt>
                <c:pt idx="7">
                  <c:v>0.66728053727208703</c:v>
                </c:pt>
                <c:pt idx="8">
                  <c:v>0.60005668573074822</c:v>
                </c:pt>
                <c:pt idx="9">
                  <c:v>0.53093906531864521</c:v>
                </c:pt>
                <c:pt idx="10">
                  <c:v>0.46157726236320046</c:v>
                </c:pt>
                <c:pt idx="11">
                  <c:v>0.39377357100869709</c:v>
                </c:pt>
                <c:pt idx="12">
                  <c:v>0.329302842935353</c:v>
                </c:pt>
                <c:pt idx="13">
                  <c:v>0.26972733201016252</c:v>
                </c:pt>
                <c:pt idx="14">
                  <c:v>0.21624730834206896</c:v>
                </c:pt>
                <c:pt idx="15">
                  <c:v>0.16961295801594772</c:v>
                </c:pt>
                <c:pt idx="16">
                  <c:v>0.1301051324658036</c:v>
                </c:pt>
                <c:pt idx="17">
                  <c:v>9.7577117807982061E-2</c:v>
                </c:pt>
                <c:pt idx="18">
                  <c:v>7.1539698257695156E-2</c:v>
                </c:pt>
                <c:pt idx="19">
                  <c:v>5.1268075776356295E-2</c:v>
                </c:pt>
                <c:pt idx="20">
                  <c:v>3.5910706633026729E-2</c:v>
                </c:pt>
                <c:pt idx="21">
                  <c:v>2.458497397637429E-2</c:v>
                </c:pt>
                <c:pt idx="22">
                  <c:v>1.6450827810179203E-2</c:v>
                </c:pt>
                <c:pt idx="23">
                  <c:v>1.0759439037660117E-2</c:v>
                </c:pt>
                <c:pt idx="24">
                  <c:v>6.8784881501546399E-3</c:v>
                </c:pt>
                <c:pt idx="25">
                  <c:v>4.2985268769168833E-3</c:v>
                </c:pt>
                <c:pt idx="26">
                  <c:v>2.6259970382714777E-3</c:v>
                </c:pt>
                <c:pt idx="27">
                  <c:v>1.5683509552785629E-3</c:v>
                </c:pt>
                <c:pt idx="28">
                  <c:v>9.1578672073076156E-4</c:v>
                </c:pt>
                <c:pt idx="29">
                  <c:v>5.2284832616609057E-4</c:v>
                </c:pt>
                <c:pt idx="30">
                  <c:v>2.9188771062734842E-4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18-4569-BF39-AF2E6413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1312"/>
        <c:axId val="1"/>
      </c:scatterChart>
      <c:valAx>
        <c:axId val="41339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Плотности распределений</a:t>
            </a:r>
          </a:p>
        </c:rich>
      </c:tx>
      <c:layout>
        <c:manualLayout>
          <c:xMode val="edge"/>
          <c:yMode val="edge"/>
          <c:x val="0.40150274115143891"/>
          <c:y val="2.2535198025619929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эксп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Пример1.2!$B$58:$AF$58</c:f>
              <c:numCache>
                <c:formatCode>General</c:formatCode>
                <c:ptCount val="31"/>
                <c:pt idx="0">
                  <c:v>2.0000000000000001E-4</c:v>
                </c:pt>
                <c:pt idx="1">
                  <c:v>1.9603973466135105E-4</c:v>
                </c:pt>
                <c:pt idx="2">
                  <c:v>1.9215788783046465E-4</c:v>
                </c:pt>
                <c:pt idx="3">
                  <c:v>1.8835290671684974E-4</c:v>
                </c:pt>
                <c:pt idx="4">
                  <c:v>1.8462326927732716E-4</c:v>
                </c:pt>
                <c:pt idx="5">
                  <c:v>1.8096748360719192E-4</c:v>
                </c:pt>
                <c:pt idx="6">
                  <c:v>1.773840873434315E-4</c:v>
                </c:pt>
                <c:pt idx="7">
                  <c:v>1.7387164707976117E-4</c:v>
                </c:pt>
                <c:pt idx="8">
                  <c:v>1.7042875779324228E-4</c:v>
                </c:pt>
                <c:pt idx="9">
                  <c:v>1.6705404228225442E-4</c:v>
                </c:pt>
                <c:pt idx="10">
                  <c:v>1.6374615061559637E-4</c:v>
                </c:pt>
                <c:pt idx="11">
                  <c:v>1.6050375959249572E-4</c:v>
                </c:pt>
                <c:pt idx="12">
                  <c:v>1.5732557221331069E-4</c:v>
                </c:pt>
                <c:pt idx="13">
                  <c:v>1.5421031716071325E-4</c:v>
                </c:pt>
                <c:pt idx="14">
                  <c:v>1.5115674829114511E-4</c:v>
                </c:pt>
                <c:pt idx="15">
                  <c:v>1.4816364413634359E-4</c:v>
                </c:pt>
                <c:pt idx="16">
                  <c:v>1.4522980741473821E-4</c:v>
                </c:pt>
                <c:pt idx="17">
                  <c:v>1.4235406455252194E-4</c:v>
                </c:pt>
                <c:pt idx="18">
                  <c:v>1.3953526521420621E-4</c:v>
                </c:pt>
                <c:pt idx="19">
                  <c:v>1.3677228184247117E-4</c:v>
                </c:pt>
                <c:pt idx="20">
                  <c:v>1.3406400920712788E-4</c:v>
                </c:pt>
                <c:pt idx="21">
                  <c:v>1.3140936396301134E-4</c:v>
                </c:pt>
                <c:pt idx="22">
                  <c:v>1.2880728421662828E-4</c:v>
                </c:pt>
                <c:pt idx="23">
                  <c:v>1.2625672910138519E-4</c:v>
                </c:pt>
                <c:pt idx="24">
                  <c:v>1.2375667836122818E-4</c:v>
                </c:pt>
                <c:pt idx="25">
                  <c:v>1.213061319425267E-4</c:v>
                </c:pt>
                <c:pt idx="26">
                  <c:v>1.1890410959403888E-4</c:v>
                </c:pt>
                <c:pt idx="27">
                  <c:v>1.1654965047479794E-4</c:v>
                </c:pt>
                <c:pt idx="28">
                  <c:v>1.1424181276976298E-4</c:v>
                </c:pt>
                <c:pt idx="29">
                  <c:v>1.1197967331308041E-4</c:v>
                </c:pt>
                <c:pt idx="30">
                  <c:v>1.0976232721880528E-4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88-4FE1-8F07-12661648A93C}"/>
            </c:ext>
          </c:extLst>
        </c:ser>
        <c:ser>
          <c:idx val="1"/>
          <c:order val="1"/>
          <c:tx>
            <c:v>гамма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Пример1.2!$B$59:$AF$59</c:f>
              <c:numCache>
                <c:formatCode>0.00E+00</c:formatCode>
                <c:ptCount val="31"/>
                <c:pt idx="0" formatCode="General">
                  <c:v>0</c:v>
                </c:pt>
                <c:pt idx="1">
                  <c:v>4.5504452482712817E-9</c:v>
                </c:pt>
                <c:pt idx="2">
                  <c:v>2.0867433583603799E-7</c:v>
                </c:pt>
                <c:pt idx="3" formatCode="0.000E+00">
                  <c:v>1.7031455609788994E-6</c:v>
                </c:pt>
                <c:pt idx="4">
                  <c:v>6.8567664845426043E-6</c:v>
                </c:pt>
                <c:pt idx="5">
                  <c:v>1.8741942884322149E-5</c:v>
                </c:pt>
                <c:pt idx="6">
                  <c:v>4.0099343181218567E-5</c:v>
                </c:pt>
                <c:pt idx="7">
                  <c:v>7.2452465625662935E-5</c:v>
                </c:pt>
                <c:pt idx="8" formatCode="0.000000">
                  <c:v>1.1567513741140885E-4</c:v>
                </c:pt>
                <c:pt idx="9" formatCode="General">
                  <c:v>1.6803135574154079E-4</c:v>
                </c:pt>
                <c:pt idx="10" formatCode="General">
                  <c:v>2.265533286799039E-4</c:v>
                </c:pt>
                <c:pt idx="11" formatCode="General">
                  <c:v>2.8758202083557799E-4</c:v>
                </c:pt>
                <c:pt idx="12" formatCode="General">
                  <c:v>3.4731878189007032E-4</c:v>
                </c:pt>
                <c:pt idx="13" formatCode="General">
                  <c:v>4.0228707502048264E-4</c:v>
                </c:pt>
                <c:pt idx="14" formatCode="General">
                  <c:v>4.4965492277431661E-4</c:v>
                </c:pt>
                <c:pt idx="15" formatCode="General">
                  <c:v>4.8740936046625191E-4</c:v>
                </c:pt>
                <c:pt idx="16" formatCode="General">
                  <c:v>5.1440049715305563E-4</c:v>
                </c:pt>
                <c:pt idx="17" formatCode="General">
                  <c:v>5.3028602827283886E-4</c:v>
                </c:pt>
                <c:pt idx="18" formatCode="General">
                  <c:v>5.3541047015993328E-4</c:v>
                </c:pt>
                <c:pt idx="19" formatCode="General">
                  <c:v>5.3065053635305618E-4</c:v>
                </c:pt>
                <c:pt idx="20" formatCode="General">
                  <c:v>5.1725196416798562E-4</c:v>
                </c:pt>
                <c:pt idx="21" formatCode="General">
                  <c:v>4.9667593224779277E-4</c:v>
                </c:pt>
                <c:pt idx="22" formatCode="General">
                  <c:v>4.7046639201172034E-4</c:v>
                </c:pt>
                <c:pt idx="23" formatCode="General">
                  <c:v>4.4014392169839056E-4</c:v>
                </c:pt>
                <c:pt idx="24" formatCode="General">
                  <c:v>4.0712738485590763E-4</c:v>
                </c:pt>
                <c:pt idx="25" formatCode="General">
                  <c:v>3.7268171902138213E-4</c:v>
                </c:pt>
                <c:pt idx="26" formatCode="General">
                  <c:v>3.3788841260455897E-4</c:v>
                </c:pt>
                <c:pt idx="27" formatCode="General">
                  <c:v>3.0363439672976422E-4</c:v>
                </c:pt>
                <c:pt idx="28" formatCode="General">
                  <c:v>2.7061492434534605E-4</c:v>
                </c:pt>
                <c:pt idx="29" formatCode="General">
                  <c:v>2.3934629888847249E-4</c:v>
                </c:pt>
                <c:pt idx="30" formatCode="General">
                  <c:v>2.1018486001150391E-4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88-4FE1-8F07-12661648A93C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Пример1.2!$B$60:$AF$60</c:f>
              <c:numCache>
                <c:formatCode>General</c:formatCode>
                <c:ptCount val="31"/>
                <c:pt idx="0">
                  <c:v>0</c:v>
                </c:pt>
                <c:pt idx="1">
                  <c:v>1.5987205118634939E-5</c:v>
                </c:pt>
                <c:pt idx="2">
                  <c:v>3.1897763665377052E-5</c:v>
                </c:pt>
                <c:pt idx="3">
                  <c:v>4.7655641179383042E-5</c:v>
                </c:pt>
                <c:pt idx="4">
                  <c:v>6.3186020581778592E-5</c:v>
                </c:pt>
                <c:pt idx="5">
                  <c:v>7.8415893864540424E-5</c:v>
                </c:pt>
                <c:pt idx="6">
                  <c:v>9.3274633650155785E-5</c:v>
                </c:pt>
                <c:pt idx="7">
                  <c:v>1.0769453836268617E-4</c:v>
                </c:pt>
                <c:pt idx="8">
                  <c:v>1.2161134512673623E-4</c:v>
                </c:pt>
                <c:pt idx="9">
                  <c:v>1.3496470496822559E-4</c:v>
                </c:pt>
                <c:pt idx="10">
                  <c:v>1.4769861542186173E-4</c:v>
                </c:pt>
                <c:pt idx="11">
                  <c:v>1.59761806245682E-4</c:v>
                </c:pt>
                <c:pt idx="12">
                  <c:v>1.711080745928034E-4</c:v>
                </c:pt>
                <c:pt idx="13">
                  <c:v>1.8169656668360083E-4</c:v>
                </c:pt>
                <c:pt idx="14">
                  <c:v>1.9149200374632595E-4</c:v>
                </c:pt>
                <c:pt idx="15">
                  <c:v>2.0046485073870528E-4</c:v>
                </c:pt>
                <c:pt idx="16">
                  <c:v>2.0859142711519472E-4</c:v>
                </c:pt>
                <c:pt idx="17">
                  <c:v>2.1585395965228855E-4</c:v>
                </c:pt>
                <c:pt idx="18">
                  <c:v>2.2224057807586356E-4</c:v>
                </c:pt>
                <c:pt idx="19">
                  <c:v>2.2774525493879778E-4</c:v>
                </c:pt>
                <c:pt idx="20">
                  <c:v>2.3236769186358111E-4</c:v>
                </c:pt>
                <c:pt idx="21">
                  <c:v>2.3611315488378159E-4</c:v>
                </c:pt>
                <c:pt idx="22">
                  <c:v>2.3899226218157592E-4</c:v>
                </c:pt>
                <c:pt idx="23">
                  <c:v>2.4102072801880504E-4</c:v>
                </c:pt>
                <c:pt idx="24">
                  <c:v>2.4221906709021246E-4</c:v>
                </c:pt>
                <c:pt idx="25">
                  <c:v>2.4261226388505339E-4</c:v>
                </c:pt>
                <c:pt idx="26">
                  <c:v>2.4222941192395434E-4</c:v>
                </c:pt>
                <c:pt idx="27">
                  <c:v>2.4110332794000688E-4</c:v>
                </c:pt>
                <c:pt idx="28">
                  <c:v>2.3927014619626365E-4</c:v>
                </c:pt>
                <c:pt idx="29">
                  <c:v>2.3676889817711373E-4</c:v>
                </c:pt>
                <c:pt idx="30">
                  <c:v>2.3364108286078641E-4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88-4FE1-8F07-12661648A93C}"/>
            </c:ext>
          </c:extLst>
        </c:ser>
        <c:ser>
          <c:idx val="3"/>
          <c:order val="3"/>
          <c:tx>
            <c:v>Вейбулл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Пример1.2!$B$61:$AF$61</c:f>
              <c:numCache>
                <c:formatCode>General</c:formatCode>
                <c:ptCount val="31"/>
                <c:pt idx="0">
                  <c:v>0</c:v>
                </c:pt>
                <c:pt idx="1">
                  <c:v>6.1538169033576503E-5</c:v>
                </c:pt>
                <c:pt idx="2">
                  <c:v>1.2194200200439637E-4</c:v>
                </c:pt>
                <c:pt idx="3">
                  <c:v>1.8011194020673115E-4</c:v>
                </c:pt>
                <c:pt idx="4">
                  <c:v>2.3501648998100971E-4</c:v>
                </c:pt>
                <c:pt idx="5">
                  <c:v>2.8572261293962432E-4</c:v>
                </c:pt>
                <c:pt idx="6">
                  <c:v>3.3142196919050729E-4</c:v>
                </c:pt>
                <c:pt idx="7">
                  <c:v>3.7145198811717859E-4</c:v>
                </c:pt>
                <c:pt idx="8">
                  <c:v>4.0531101644358916E-4</c:v>
                </c:pt>
                <c:pt idx="9">
                  <c:v>4.3266710170633603E-4</c:v>
                </c:pt>
                <c:pt idx="10">
                  <c:v>4.5336029131464887E-4</c:v>
                </c:pt>
                <c:pt idx="11">
                  <c:v>4.6739864328651152E-4</c:v>
                </c:pt>
                <c:pt idx="12">
                  <c:v>4.7494843587404041E-4</c:v>
                </c:pt>
                <c:pt idx="13">
                  <c:v>4.7631931346440971E-4</c:v>
                </c:pt>
                <c:pt idx="14">
                  <c:v>4.7194530269708119E-4</c:v>
                </c:pt>
                <c:pt idx="15">
                  <c:v>4.6236276722155198E-4</c:v>
                </c:pt>
                <c:pt idx="16">
                  <c:v>4.4818643804368335E-4</c:v>
                </c:pt>
                <c:pt idx="17">
                  <c:v>4.3008465962520587E-4</c:v>
                </c:pt>
                <c:pt idx="18">
                  <c:v>4.087549346349359E-4</c:v>
                </c:pt>
                <c:pt idx="19">
                  <c:v>3.8490074083942863E-4</c:v>
                </c:pt>
                <c:pt idx="20">
                  <c:v>3.5921044304235822E-4</c:v>
                </c:pt>
                <c:pt idx="21">
                  <c:v>3.3233894385275659E-4</c:v>
                </c:pt>
                <c:pt idx="22">
                  <c:v>3.0489252260642203E-4</c:v>
                </c:pt>
                <c:pt idx="23">
                  <c:v>2.7741711483454364E-4</c:v>
                </c:pt>
                <c:pt idx="24">
                  <c:v>2.503900968978757E-4</c:v>
                </c:pt>
                <c:pt idx="25">
                  <c:v>2.24215471520925E-4</c:v>
                </c:pt>
                <c:pt idx="26">
                  <c:v>1.9922220736222674E-4</c:v>
                </c:pt>
                <c:pt idx="27">
                  <c:v>1.7566537426977392E-4</c:v>
                </c:pt>
                <c:pt idx="28">
                  <c:v>1.5372963774717174E-4</c:v>
                </c:pt>
                <c:pt idx="29">
                  <c:v>1.3353463125973663E-4</c:v>
                </c:pt>
                <c:pt idx="30">
                  <c:v>1.1514171115206715E-4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88-4FE1-8F07-12661648A93C}"/>
            </c:ext>
          </c:extLst>
        </c:ser>
        <c:ser>
          <c:idx val="4"/>
          <c:order val="4"/>
          <c:tx>
            <c:v>Усеч.норм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Пример1.2!$B$62:$AF$62</c:f>
              <c:numCache>
                <c:formatCode>General</c:formatCode>
                <c:ptCount val="31"/>
                <c:pt idx="0">
                  <c:v>3.8025714198364934E-5</c:v>
                </c:pt>
                <c:pt idx="1">
                  <c:v>4.8375977653960707E-5</c:v>
                </c:pt>
                <c:pt idx="2">
                  <c:v>6.0788366048430379E-5</c:v>
                </c:pt>
                <c:pt idx="3">
                  <c:v>7.5448311468817656E-5</c:v>
                </c:pt>
                <c:pt idx="4">
                  <c:v>9.2494715133553408E-5</c:v>
                </c:pt>
                <c:pt idx="5">
                  <c:v>1.1200119421657403E-4</c:v>
                </c:pt>
                <c:pt idx="6">
                  <c:v>1.3395740543951885E-4</c:v>
                </c:pt>
                <c:pt idx="7">
                  <c:v>1.5825197579644071E-4</c:v>
                </c:pt>
                <c:pt idx="8">
                  <c:v>1.8465875124868179E-4</c:v>
                </c:pt>
                <c:pt idx="9">
                  <c:v>2.1282810955730607E-4</c:v>
                </c:pt>
                <c:pt idx="10">
                  <c:v>2.4228494015048912E-4</c:v>
                </c:pt>
                <c:pt idx="11">
                  <c:v>2.7243455572295989E-4</c:v>
                </c:pt>
                <c:pt idx="12">
                  <c:v>3.0257727348307869E-4</c:v>
                </c:pt>
                <c:pt idx="13">
                  <c:v>3.3193172061680488E-4</c:v>
                </c:pt>
                <c:pt idx="14">
                  <c:v>3.5966613578570513E-4</c:v>
                </c:pt>
                <c:pt idx="15">
                  <c:v>3.8493613411850558E-4</c:v>
                </c:pt>
                <c:pt idx="16">
                  <c:v>4.069266673374197E-4</c:v>
                </c:pt>
                <c:pt idx="17">
                  <c:v>4.2489533466559212E-4</c:v>
                </c:pt>
                <c:pt idx="18">
                  <c:v>4.3821386381083494E-4</c:v>
                </c:pt>
                <c:pt idx="19">
                  <c:v>4.4640454089399953E-4</c:v>
                </c:pt>
                <c:pt idx="20">
                  <c:v>4.491686468941833E-4</c:v>
                </c:pt>
                <c:pt idx="21">
                  <c:v>4.4640454089399953E-4</c:v>
                </c:pt>
                <c:pt idx="22">
                  <c:v>4.3821386381083494E-4</c:v>
                </c:pt>
                <c:pt idx="23">
                  <c:v>4.2489533466559212E-4</c:v>
                </c:pt>
                <c:pt idx="24">
                  <c:v>4.069266673374197E-4</c:v>
                </c:pt>
                <c:pt idx="25">
                  <c:v>3.8493613411850558E-4</c:v>
                </c:pt>
                <c:pt idx="26">
                  <c:v>3.5966613578570513E-4</c:v>
                </c:pt>
                <c:pt idx="27">
                  <c:v>3.3193172061680488E-4</c:v>
                </c:pt>
                <c:pt idx="28">
                  <c:v>3.0257727348307869E-4</c:v>
                </c:pt>
                <c:pt idx="29">
                  <c:v>2.7243455572295989E-4</c:v>
                </c:pt>
                <c:pt idx="30">
                  <c:v>2.4228494015048912E-4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88-4FE1-8F07-12661648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7872"/>
        <c:axId val="1"/>
      </c:scatterChart>
      <c:valAx>
        <c:axId val="41339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7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Интенсивности отказов элементов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Усеч.норм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Пример1.2!$B$87:$AF$87</c:f>
              <c:numCache>
                <c:formatCode>General</c:formatCode>
                <c:ptCount val="31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2.0000000000000001E-4</c:v>
                </c:pt>
                <c:pt idx="11">
                  <c:v>2.0000000000000004E-4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2.0000000000000004E-4</c:v>
                </c:pt>
                <c:pt idx="15">
                  <c:v>2.0000000000000001E-4</c:v>
                </c:pt>
                <c:pt idx="16">
                  <c:v>2.0000000000000004E-4</c:v>
                </c:pt>
                <c:pt idx="17">
                  <c:v>2.0000000000000001E-4</c:v>
                </c:pt>
                <c:pt idx="18">
                  <c:v>2.0000000000000001E-4</c:v>
                </c:pt>
                <c:pt idx="19">
                  <c:v>2.0000000000000001E-4</c:v>
                </c:pt>
                <c:pt idx="20">
                  <c:v>2.0000000000000001E-4</c:v>
                </c:pt>
                <c:pt idx="21">
                  <c:v>1.9999999999999998E-4</c:v>
                </c:pt>
                <c:pt idx="22">
                  <c:v>1.9999999999999998E-4</c:v>
                </c:pt>
                <c:pt idx="23">
                  <c:v>2.0000000000000001E-4</c:v>
                </c:pt>
                <c:pt idx="24">
                  <c:v>2.0000000000000001E-4</c:v>
                </c:pt>
                <c:pt idx="25">
                  <c:v>2.0000000000000001E-4</c:v>
                </c:pt>
                <c:pt idx="26">
                  <c:v>2.0000000000000004E-4</c:v>
                </c:pt>
                <c:pt idx="27">
                  <c:v>2.0000000000000001E-4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1.9999999999999998E-4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22-40E3-B238-1D2795E73C60}"/>
            </c:ext>
          </c:extLst>
        </c:ser>
        <c:ser>
          <c:idx val="1"/>
          <c:order val="1"/>
          <c:tx>
            <c:v>Вейбулла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Пример1.2!$B$88:$AF$88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4.5504455568767006E-9</c:v>
                </c:pt>
                <c:pt idx="2">
                  <c:v>2.0867569189034089E-7</c:v>
                </c:pt>
                <c:pt idx="3">
                  <c:v>1.7032873445750296E-6</c:v>
                </c:pt>
                <c:pt idx="4">
                  <c:v>6.8599787233472399E-6</c:v>
                </c:pt>
                <c:pt idx="5">
                  <c:v>1.8773470592935281E-5</c:v>
                </c:pt>
                <c:pt idx="6">
                  <c:v>4.0281973816717012E-5</c:v>
                </c:pt>
                <c:pt idx="7">
                  <c:v>7.3189311221450704E-5</c:v>
                </c:pt>
                <c:pt idx="8">
                  <c:v>1.1796224257858089E-4</c:v>
                </c:pt>
                <c:pt idx="9">
                  <c:v>1.7385705086928524E-4</c:v>
                </c:pt>
                <c:pt idx="10">
                  <c:v>2.3928345134793149E-4</c:v>
                </c:pt>
                <c:pt idx="11">
                  <c:v>3.12216834677247E-4</c:v>
                </c:pt>
                <c:pt idx="12">
                  <c:v>3.9054157131960333E-4</c:v>
                </c:pt>
                <c:pt idx="13">
                  <c:v>4.7228265745366923E-4</c:v>
                </c:pt>
                <c:pt idx="14">
                  <c:v>5.5573131426140754E-4</c:v>
                </c:pt>
                <c:pt idx="15">
                  <c:v>6.3949086295455009E-4</c:v>
                </c:pt>
                <c:pt idx="16">
                  <c:v>7.2247190538998025E-4</c:v>
                </c:pt>
                <c:pt idx="17">
                  <c:v>8.0386035033224563E-4</c:v>
                </c:pt>
                <c:pt idx="18">
                  <c:v>8.830744071954209E-4</c:v>
                </c:pt>
                <c:pt idx="19">
                  <c:v>9.5972023033939421E-4</c:v>
                </c:pt>
                <c:pt idx="20">
                  <c:v>1.0335512705381166E-3</c:v>
                </c:pt>
                <c:pt idx="21">
                  <c:v>1.1044334485183186E-3</c:v>
                </c:pt>
                <c:pt idx="22">
                  <c:v>1.1723165797592431E-3</c:v>
                </c:pt>
                <c:pt idx="23">
                  <c:v>1.2372116213445047E-3</c:v>
                </c:pt>
                <c:pt idx="24">
                  <c:v>1.2991729508131723E-3</c:v>
                </c:pt>
                <c:pt idx="25">
                  <c:v>1.3582848010219805E-3</c:v>
                </c:pt>
                <c:pt idx="26">
                  <c:v>1.4146510260798547E-3</c:v>
                </c:pt>
                <c:pt idx="27">
                  <c:v>1.4683874818158078E-3</c:v>
                </c:pt>
                <c:pt idx="28">
                  <c:v>1.5196164271960308E-3</c:v>
                </c:pt>
                <c:pt idx="29">
                  <c:v>1.5684624696725396E-3</c:v>
                </c:pt>
                <c:pt idx="30">
                  <c:v>1.6150496789281241E-3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22-40E3-B238-1D2795E73C60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Пример1.2!$B$89:$AF$89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1.5999999999999999E-5</c:v>
                </c:pt>
                <c:pt idx="2">
                  <c:v>3.1999999999999999E-5</c:v>
                </c:pt>
                <c:pt idx="3">
                  <c:v>4.8000000000000001E-5</c:v>
                </c:pt>
                <c:pt idx="4">
                  <c:v>6.3999999999999997E-5</c:v>
                </c:pt>
                <c:pt idx="5">
                  <c:v>8.0000000000000007E-5</c:v>
                </c:pt>
                <c:pt idx="6">
                  <c:v>9.6000000000000002E-5</c:v>
                </c:pt>
                <c:pt idx="7">
                  <c:v>1.12E-4</c:v>
                </c:pt>
                <c:pt idx="8">
                  <c:v>1.2799999999999999E-4</c:v>
                </c:pt>
                <c:pt idx="9">
                  <c:v>1.44E-4</c:v>
                </c:pt>
                <c:pt idx="10">
                  <c:v>1.6000000000000001E-4</c:v>
                </c:pt>
                <c:pt idx="11">
                  <c:v>1.76E-4</c:v>
                </c:pt>
                <c:pt idx="12">
                  <c:v>1.92E-4</c:v>
                </c:pt>
                <c:pt idx="13">
                  <c:v>2.0800000000000001E-4</c:v>
                </c:pt>
                <c:pt idx="14">
                  <c:v>2.24E-4</c:v>
                </c:pt>
                <c:pt idx="15">
                  <c:v>2.4000000000000001E-4</c:v>
                </c:pt>
                <c:pt idx="16">
                  <c:v>2.5599999999999999E-4</c:v>
                </c:pt>
                <c:pt idx="17">
                  <c:v>2.72E-4</c:v>
                </c:pt>
                <c:pt idx="18">
                  <c:v>2.8800000000000001E-4</c:v>
                </c:pt>
                <c:pt idx="19">
                  <c:v>3.0400000000000002E-4</c:v>
                </c:pt>
                <c:pt idx="20">
                  <c:v>3.2000000000000003E-4</c:v>
                </c:pt>
                <c:pt idx="21">
                  <c:v>3.3599999999999998E-4</c:v>
                </c:pt>
                <c:pt idx="22">
                  <c:v>3.5199999999999999E-4</c:v>
                </c:pt>
                <c:pt idx="23">
                  <c:v>3.68E-4</c:v>
                </c:pt>
                <c:pt idx="24">
                  <c:v>3.8400000000000001E-4</c:v>
                </c:pt>
                <c:pt idx="25">
                  <c:v>4.0000000000000002E-4</c:v>
                </c:pt>
                <c:pt idx="26">
                  <c:v>4.1600000000000003E-4</c:v>
                </c:pt>
                <c:pt idx="27">
                  <c:v>4.3199999999999998E-4</c:v>
                </c:pt>
                <c:pt idx="28">
                  <c:v>4.4799999999999999E-4</c:v>
                </c:pt>
                <c:pt idx="29">
                  <c:v>4.64E-4</c:v>
                </c:pt>
                <c:pt idx="30">
                  <c:v>4.8000000000000001E-4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22-40E3-B238-1D2795E73C60}"/>
            </c:ext>
          </c:extLst>
        </c:ser>
        <c:ser>
          <c:idx val="3"/>
          <c:order val="3"/>
          <c:tx>
            <c:v>Гамма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Пример1.2!$B$90:$AF$90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6.1728395061728397E-5</c:v>
                </c:pt>
                <c:pt idx="2">
                  <c:v>1.2345679012345679E-4</c:v>
                </c:pt>
                <c:pt idx="3">
                  <c:v>1.8518518518518518E-4</c:v>
                </c:pt>
                <c:pt idx="4">
                  <c:v>2.4691358024691359E-4</c:v>
                </c:pt>
                <c:pt idx="5">
                  <c:v>3.0864197530864197E-4</c:v>
                </c:pt>
                <c:pt idx="6">
                  <c:v>3.7037037037037035E-4</c:v>
                </c:pt>
                <c:pt idx="7">
                  <c:v>4.3209876543209879E-4</c:v>
                </c:pt>
                <c:pt idx="8">
                  <c:v>4.9382716049382717E-4</c:v>
                </c:pt>
                <c:pt idx="9">
                  <c:v>5.5555555555555556E-4</c:v>
                </c:pt>
                <c:pt idx="10">
                  <c:v>6.1728395061728394E-4</c:v>
                </c:pt>
                <c:pt idx="11">
                  <c:v>6.7901234567901232E-4</c:v>
                </c:pt>
                <c:pt idx="12">
                  <c:v>7.407407407407407E-4</c:v>
                </c:pt>
                <c:pt idx="13">
                  <c:v>8.0246913580246909E-4</c:v>
                </c:pt>
                <c:pt idx="14">
                  <c:v>8.6419753086419758E-4</c:v>
                </c:pt>
                <c:pt idx="15">
                  <c:v>9.2592592592592596E-4</c:v>
                </c:pt>
                <c:pt idx="16">
                  <c:v>9.8765432098765434E-4</c:v>
                </c:pt>
                <c:pt idx="17">
                  <c:v>1.0493827160493827E-3</c:v>
                </c:pt>
                <c:pt idx="18">
                  <c:v>1.1111111111111111E-3</c:v>
                </c:pt>
                <c:pt idx="19">
                  <c:v>1.1728395061728395E-3</c:v>
                </c:pt>
                <c:pt idx="20">
                  <c:v>1.2345679012345679E-3</c:v>
                </c:pt>
                <c:pt idx="21">
                  <c:v>1.2962962962962963E-3</c:v>
                </c:pt>
                <c:pt idx="22">
                  <c:v>1.3580246913580246E-3</c:v>
                </c:pt>
                <c:pt idx="23">
                  <c:v>1.419753086419753E-3</c:v>
                </c:pt>
                <c:pt idx="24">
                  <c:v>1.4814814814814812E-3</c:v>
                </c:pt>
                <c:pt idx="25">
                  <c:v>1.5432098765432098E-3</c:v>
                </c:pt>
                <c:pt idx="26">
                  <c:v>1.6049382716049382E-3</c:v>
                </c:pt>
                <c:pt idx="27">
                  <c:v>1.6666666666666668E-3</c:v>
                </c:pt>
                <c:pt idx="28">
                  <c:v>1.7283950617283952E-3</c:v>
                </c:pt>
                <c:pt idx="29">
                  <c:v>1.7901234567901235E-3</c:v>
                </c:pt>
                <c:pt idx="30">
                  <c:v>1.8518518518518519E-3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22-40E3-B238-1D2795E73C60}"/>
            </c:ext>
          </c:extLst>
        </c:ser>
        <c:ser>
          <c:idx val="4"/>
          <c:order val="4"/>
          <c:tx>
            <c:v>Эксп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Пример1.2!$B$91:$AF$91</c:f>
              <c:numCache>
                <c:formatCode>0.0E+00</c:formatCode>
                <c:ptCount val="31"/>
                <c:pt idx="0">
                  <c:v>3.8025714198364941E-5</c:v>
                </c:pt>
                <c:pt idx="1">
                  <c:v>4.8585076251871343E-5</c:v>
                </c:pt>
                <c:pt idx="2">
                  <c:v>6.1386514087766631E-5</c:v>
                </c:pt>
                <c:pt idx="3">
                  <c:v>7.6716933769142292E-5</c:v>
                </c:pt>
                <c:pt idx="4">
                  <c:v>9.4857934412091651E-5</c:v>
                </c:pt>
                <c:pt idx="5">
                  <c:v>1.160775407789534E-4</c:v>
                </c:pt>
                <c:pt idx="6">
                  <c:v>1.4062223237133923E-4</c:v>
                </c:pt>
                <c:pt idx="7">
                  <c:v>1.687097893053292E-4</c:v>
                </c:pt>
                <c:pt idx="8">
                  <c:v>2.0052340022473614E-4</c:v>
                </c:pt>
                <c:pt idx="9">
                  <c:v>2.3620735683368185E-4</c:v>
                </c:pt>
                <c:pt idx="10">
                  <c:v>2.7586451181817336E-4</c:v>
                </c:pt>
                <c:pt idx="11">
                  <c:v>3.1955552326575371E-4</c:v>
                </c:pt>
                <c:pt idx="12">
                  <c:v>3.672997690557309E-4</c:v>
                </c:pt>
                <c:pt idx="13">
                  <c:v>4.1907770418520289E-4</c:v>
                </c:pt>
                <c:pt idx="14">
                  <c:v>4.7483436110907021E-4</c:v>
                </c:pt>
                <c:pt idx="15">
                  <c:v>5.3448365959053821E-4</c:v>
                </c:pt>
                <c:pt idx="16">
                  <c:v>5.9791319431507243E-4</c:v>
                </c:pt>
                <c:pt idx="17">
                  <c:v>6.6498919792415487E-4</c:v>
                </c:pt>
                <c:pt idx="18">
                  <c:v>7.3556142485722256E-4</c:v>
                </c:pt>
                <c:pt idx="19">
                  <c:v>8.0946775830108536E-4</c:v>
                </c:pt>
                <c:pt idx="20">
                  <c:v>8.8653840089207266E-4</c:v>
                </c:pt>
                <c:pt idx="21">
                  <c:v>9.6659956388660414E-4</c:v>
                </c:pt>
                <c:pt idx="22">
                  <c:v>1.0494766157440169E-3</c:v>
                </c:pt>
                <c:pt idx="23">
                  <c:v>1.1349966877836628E-3</c:v>
                </c:pt>
                <c:pt idx="24">
                  <c:v>1.2229907615886396E-3</c:v>
                </c:pt>
                <c:pt idx="25">
                  <c:v>1.3132952809258404E-3</c:v>
                </c:pt>
                <c:pt idx="26">
                  <c:v>1.4057533414911605E-3</c:v>
                </c:pt>
                <c:pt idx="27">
                  <c:v>1.500215516342448E-3</c:v>
                </c:pt>
                <c:pt idx="28">
                  <c:v>1.5965403750028799E-3</c:v>
                </c:pt>
                <c:pt idx="29">
                  <c:v>1.6945947512899803E-3</c:v>
                </c:pt>
                <c:pt idx="30">
                  <c:v>1.7942538101004813E-3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22-40E3-B238-1D2795E73C60}"/>
            </c:ext>
          </c:extLst>
        </c:ser>
        <c:ser>
          <c:idx val="5"/>
          <c:order val="5"/>
          <c:tx>
            <c:v>qqq</c:v>
          </c:tx>
          <c:marker>
            <c:symbol val="none"/>
          </c:marker>
          <c:xVal>
            <c:numRef>
              <c:f>Пример1.2!$B$86:$AG$86</c:f>
              <c:numCache>
                <c:formatCode>General</c:formatCode>
                <c:ptCount val="32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</c:numCache>
            </c:numRef>
          </c:xVal>
          <c:yVal>
            <c:numRef>
              <c:f>Пример1.2!$B$92:$AG$92</c:f>
              <c:numCache>
                <c:formatCode>0.0E+00</c:formatCode>
                <c:ptCount val="32"/>
                <c:pt idx="0">
                  <c:v>2.3802571419836494E-4</c:v>
                </c:pt>
                <c:pt idx="1">
                  <c:v>3.2631802175915663E-4</c:v>
                </c:pt>
                <c:pt idx="2">
                  <c:v>4.1705197990311377E-4</c:v>
                </c:pt>
                <c:pt idx="3">
                  <c:v>5.1160540629890255E-4</c:v>
                </c:pt>
                <c:pt idx="4">
                  <c:v>6.1263149338235253E-4</c:v>
                </c:pt>
                <c:pt idx="5">
                  <c:v>7.2349298668053063E-4</c:v>
                </c:pt>
                <c:pt idx="6">
                  <c:v>8.4727457655842662E-4</c:v>
                </c:pt>
                <c:pt idx="7">
                  <c:v>9.8599786595887878E-4</c:v>
                </c:pt>
                <c:pt idx="8">
                  <c:v>1.1403128032971442E-3</c:v>
                </c:pt>
                <c:pt idx="9">
                  <c:v>1.3096199632585226E-3</c:v>
                </c:pt>
                <c:pt idx="10">
                  <c:v>1.4924319137833888E-3</c:v>
                </c:pt>
                <c:pt idx="11">
                  <c:v>1.6867847036220129E-3</c:v>
                </c:pt>
                <c:pt idx="12">
                  <c:v>1.890582081116075E-3</c:v>
                </c:pt>
                <c:pt idx="13">
                  <c:v>2.1018294974413411E-3</c:v>
                </c:pt>
                <c:pt idx="14">
                  <c:v>2.3187632062346753E-3</c:v>
                </c:pt>
                <c:pt idx="15">
                  <c:v>2.5399004484710141E-3</c:v>
                </c:pt>
                <c:pt idx="16">
                  <c:v>2.7640394206927071E-3</c:v>
                </c:pt>
                <c:pt idx="17">
                  <c:v>2.9902322643057832E-3</c:v>
                </c:pt>
                <c:pt idx="18">
                  <c:v>3.2177469431637542E-3</c:v>
                </c:pt>
                <c:pt idx="19">
                  <c:v>3.4460274948133192E-3</c:v>
                </c:pt>
                <c:pt idx="20">
                  <c:v>3.6746575726647572E-3</c:v>
                </c:pt>
                <c:pt idx="21">
                  <c:v>3.9033293087012188E-3</c:v>
                </c:pt>
                <c:pt idx="22">
                  <c:v>4.1318178868612844E-3</c:v>
                </c:pt>
                <c:pt idx="23">
                  <c:v>4.3599613955479207E-3</c:v>
                </c:pt>
                <c:pt idx="24">
                  <c:v>4.5876451938832927E-3</c:v>
                </c:pt>
                <c:pt idx="25">
                  <c:v>4.8147899584910312E-3</c:v>
                </c:pt>
                <c:pt idx="26">
                  <c:v>5.0413426391759542E-3</c:v>
                </c:pt>
                <c:pt idx="27">
                  <c:v>5.2672696648249223E-3</c:v>
                </c:pt>
                <c:pt idx="28">
                  <c:v>5.4925518639273065E-3</c:v>
                </c:pt>
                <c:pt idx="29">
                  <c:v>5.7171806777526436E-3</c:v>
                </c:pt>
                <c:pt idx="30">
                  <c:v>5.9411553408804576E-3</c:v>
                </c:pt>
                <c:pt idx="31">
                  <c:v>6.1644807820967571E-3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22-40E3-B238-1D2795E7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2952"/>
        <c:axId val="1"/>
      </c:scatterChart>
      <c:valAx>
        <c:axId val="4133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2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Плотность распределения</c:v>
          </c:tx>
          <c:marker>
            <c:symbol val="none"/>
          </c:marker>
          <c:xVal>
            <c:numRef>
              <c:f>Пример1.2!$B$95:$AF$95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Пример1.2!$B$96:$AF$96</c:f>
              <c:numCache>
                <c:formatCode>General</c:formatCode>
                <c:ptCount val="31"/>
                <c:pt idx="0" formatCode="0.0E+00">
                  <c:v>2.3802571419836492E-4</c:v>
                </c:pt>
                <c:pt idx="1">
                  <c:v>3.1724453981138803E-4</c:v>
                </c:pt>
                <c:pt idx="2">
                  <c:v>3.906714559580139E-4</c:v>
                </c:pt>
                <c:pt idx="3">
                  <c:v>4.5751879091841363E-4</c:v>
                </c:pt>
                <c:pt idx="4">
                  <c:v>5.1795257447454683E-4</c:v>
                </c:pt>
                <c:pt idx="5">
                  <c:v>5.7220692466086037E-4</c:v>
                </c:pt>
                <c:pt idx="6">
                  <c:v>6.1956299312850753E-4</c:v>
                </c:pt>
                <c:pt idx="7">
                  <c:v>6.5793718574617185E-4</c:v>
                </c:pt>
                <c:pt idx="8">
                  <c:v>6.8425232144282298E-4</c:v>
                </c:pt>
                <c:pt idx="9">
                  <c:v>6.9532839921511848E-4</c:v>
                </c:pt>
                <c:pt idx="10">
                  <c:v>6.888726370276086E-4</c:v>
                </c:pt>
                <c:pt idx="11">
                  <c:v>6.6421123626808675E-4</c:v>
                </c:pt>
                <c:pt idx="12">
                  <c:v>6.2257405411415964E-4</c:v>
                </c:pt>
                <c:pt idx="13">
                  <c:v>5.6692086268511361E-4</c:v>
                </c:pt>
                <c:pt idx="14">
                  <c:v>5.0142630203087429E-4</c:v>
                </c:pt>
                <c:pt idx="15">
                  <c:v>4.3080002813120094E-4</c:v>
                </c:pt>
                <c:pt idx="16">
                  <c:v>3.596157149699277E-4</c:v>
                </c:pt>
                <c:pt idx="17">
                  <c:v>2.9177824592739436E-4</c:v>
                </c:pt>
                <c:pt idx="18">
                  <c:v>2.3019664538355593E-4</c:v>
                </c:pt>
                <c:pt idx="19">
                  <c:v>1.766711987314965E-4</c:v>
                </c:pt>
                <c:pt idx="20">
                  <c:v>1.3195955006879419E-4</c:v>
                </c:pt>
                <c:pt idx="21">
                  <c:v>9.5963249475638514E-5</c:v>
                </c:pt>
                <c:pt idx="22">
                  <c:v>6.7971824599773477E-5</c:v>
                </c:pt>
                <c:pt idx="23">
                  <c:v>4.6910738841949383E-5</c:v>
                </c:pt>
                <c:pt idx="24">
                  <c:v>3.1556063103240116E-5</c:v>
                </c:pt>
                <c:pt idx="25">
                  <c:v>2.0696504043283223E-5</c:v>
                </c:pt>
                <c:pt idx="26">
                  <c:v>1.3238550839387771E-5</c:v>
                </c:pt>
                <c:pt idx="27">
                  <c:v>8.2609274105379634E-6</c:v>
                </c:pt>
                <c:pt idx="28">
                  <c:v>5.0300060599096204E-6</c:v>
                </c:pt>
                <c:pt idx="29">
                  <c:v>2.9892183477520851E-6</c:v>
                </c:pt>
                <c:pt idx="30">
                  <c:v>1.7341502309310406E-6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6A-4FBE-9D02-E4F156510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7216"/>
        <c:axId val="1"/>
      </c:scatterChart>
      <c:valAx>
        <c:axId val="41339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0.0E+00" sourceLinked="1"/>
        <c:majorTickMark val="out"/>
        <c:minorTickMark val="none"/>
        <c:tickLblPos val="nextTo"/>
        <c:crossAx val="41339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стат!$A$15</c:f>
              <c:strCache>
                <c:ptCount val="1"/>
                <c:pt idx="0">
                  <c:v>λ(t)</c:v>
                </c:pt>
              </c:strCache>
            </c:strRef>
          </c:tx>
          <c:invertIfNegative val="0"/>
          <c:cat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cat>
          <c:val>
            <c:numRef>
              <c:f>стат!$C$15:$H$15</c:f>
              <c:numCache>
                <c:formatCode>General</c:formatCode>
                <c:ptCount val="6"/>
                <c:pt idx="0">
                  <c:v>2.5000000000000001E-4</c:v>
                </c:pt>
                <c:pt idx="1">
                  <c:v>3.58974358974359E-4</c:v>
                </c:pt>
                <c:pt idx="2">
                  <c:v>1.3297872340425532E-4</c:v>
                </c:pt>
                <c:pt idx="3">
                  <c:v>3.6429872495446266E-5</c:v>
                </c:pt>
                <c:pt idx="4">
                  <c:v>5.5248618784530387E-5</c:v>
                </c:pt>
                <c:pt idx="5">
                  <c:v>5.5555555555555558E-5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1-4B3A-8294-3247D6F0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404432"/>
        <c:axId val="1"/>
      </c:barChart>
      <c:catAx>
        <c:axId val="41340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40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стат!$A$17</c:f>
              <c:strCache>
                <c:ptCount val="1"/>
                <c:pt idx="0">
                  <c:v>p(t)</c:v>
                </c:pt>
              </c:strCache>
            </c:strRef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стат!$C$17:$H$17</c:f>
              <c:numCache>
                <c:formatCode>General</c:formatCode>
                <c:ptCount val="6"/>
                <c:pt idx="0">
                  <c:v>1</c:v>
                </c:pt>
                <c:pt idx="1">
                  <c:v>0.97499999999999998</c:v>
                </c:pt>
                <c:pt idx="2">
                  <c:v>0.94</c:v>
                </c:pt>
                <c:pt idx="3">
                  <c:v>0.91500000000000004</c:v>
                </c:pt>
                <c:pt idx="4">
                  <c:v>0.90500000000000003</c:v>
                </c:pt>
                <c:pt idx="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F1-42E6-8613-4302A97A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5088"/>
        <c:axId val="1"/>
      </c:scatterChart>
      <c:valAx>
        <c:axId val="41340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4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стат!$A$18</c:f>
              <c:strCache>
                <c:ptCount val="1"/>
                <c:pt idx="0">
                  <c:v>q(t)</c:v>
                </c:pt>
              </c:strCache>
            </c:strRef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стат!$C$18:$H$18</c:f>
              <c:numCache>
                <c:formatCode>General</c:formatCode>
                <c:ptCount val="6"/>
                <c:pt idx="0">
                  <c:v>0</c:v>
                </c:pt>
                <c:pt idx="1">
                  <c:v>2.5000000000000001E-2</c:v>
                </c:pt>
                <c:pt idx="2">
                  <c:v>0.06</c:v>
                </c:pt>
                <c:pt idx="3">
                  <c:v>8.5000000000000006E-2</c:v>
                </c:pt>
                <c:pt idx="4">
                  <c:v>9.5000000000000001E-2</c:v>
                </c:pt>
                <c:pt idx="5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2F-4D57-9D33-14E7CC256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08432"/>
        <c:axId val="1"/>
      </c:scatterChart>
      <c:valAx>
        <c:axId val="40730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7308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f*(t)</c:v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стат!$C$19:$H$19</c:f>
              <c:numCache>
                <c:formatCode>General</c:formatCode>
                <c:ptCount val="6"/>
                <c:pt idx="0">
                  <c:v>2.5000000000000001E-4</c:v>
                </c:pt>
                <c:pt idx="1">
                  <c:v>3.5E-4</c:v>
                </c:pt>
                <c:pt idx="2">
                  <c:v>1.25E-4</c:v>
                </c:pt>
                <c:pt idx="3">
                  <c:v>3.3333333333333335E-5</c:v>
                </c:pt>
                <c:pt idx="4">
                  <c:v>5.0000000000000002E-5</c:v>
                </c:pt>
                <c:pt idx="5">
                  <c:v>5.0000000000000002E-5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9F-49FB-9E16-03B636E1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58680"/>
        <c:axId val="1"/>
      </c:scatterChart>
      <c:valAx>
        <c:axId val="41395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958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</c:v>
          </c:tx>
          <c:marker>
            <c:symbol val="none"/>
          </c:marker>
          <c:xVal>
            <c:numRef>
              <c:f>Модель!$B$3:$T$3</c:f>
              <c:numCache>
                <c:formatCode>General</c:formatCode>
                <c:ptCount val="1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</c:numCache>
            </c:numRef>
          </c:xVal>
          <c:yVal>
            <c:numRef>
              <c:f>Модель!$B$4:$T$4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0.18126924692201815</c:v>
                </c:pt>
                <c:pt idx="2">
                  <c:v>0.32967995396436073</c:v>
                </c:pt>
                <c:pt idx="3">
                  <c:v>0.4511883639059735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0.79810348200534464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416-9565-511AE5B15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5992"/>
        <c:axId val="1"/>
      </c:scatterChart>
      <c:scatterChart>
        <c:scatterStyle val="smoothMarker"/>
        <c:varyColors val="0"/>
        <c:ser>
          <c:idx val="1"/>
          <c:order val="1"/>
          <c:tx>
            <c:v>2</c:v>
          </c:tx>
          <c:marker>
            <c:symbol val="none"/>
          </c:marker>
          <c:xVal>
            <c:numRef>
              <c:f>Модель!$C$12:$C$29</c:f>
              <c:numCache>
                <c:formatCode>General</c:formatCode>
                <c:ptCount val="1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</c:numCache>
            </c:numRef>
          </c:xVal>
          <c:yVal>
            <c:numRef>
              <c:f>Модель!$F$12:$F$29</c:f>
              <c:numCache>
                <c:formatCode>General</c:formatCode>
                <c:ptCount val="18"/>
                <c:pt idx="0">
                  <c:v>0.42857142857142855</c:v>
                </c:pt>
                <c:pt idx="1">
                  <c:v>0.52380952380952384</c:v>
                </c:pt>
                <c:pt idx="2">
                  <c:v>0.61904761904761907</c:v>
                </c:pt>
                <c:pt idx="3">
                  <c:v>0.7142857142857143</c:v>
                </c:pt>
                <c:pt idx="4">
                  <c:v>0.80952380952380953</c:v>
                </c:pt>
                <c:pt idx="5">
                  <c:v>0.95238095238095233</c:v>
                </c:pt>
                <c:pt idx="6">
                  <c:v>0.95238095238095233</c:v>
                </c:pt>
                <c:pt idx="7">
                  <c:v>0.95238095238095233</c:v>
                </c:pt>
                <c:pt idx="8">
                  <c:v>0.95238095238095233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B5-4416-9565-511AE5B15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41248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5992"/>
        <c:crosses val="autoZero"/>
        <c:crossBetween val="midCat"/>
      </c:valAx>
      <c:valAx>
        <c:axId val="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"/>
        <c:crosses val="max"/>
        <c:crossBetween val="midCat"/>
      </c:val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q(t) </a:t>
            </a:r>
            <a:r>
              <a:rPr lang="ru-RU"/>
              <a:t>и статистика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стат</c:v>
          </c:tx>
          <c:invertIfNegative val="0"/>
          <c:cat>
            <c:numRef>
              <c:f>Модель!$C$12:$C$29</c:f>
              <c:numCache>
                <c:formatCode>General</c:formatCode>
                <c:ptCount val="1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</c:numCache>
            </c:numRef>
          </c:cat>
          <c:val>
            <c:numRef>
              <c:f>Модель!$F$12:$F$31</c:f>
              <c:numCache>
                <c:formatCode>General</c:formatCode>
                <c:ptCount val="20"/>
                <c:pt idx="0">
                  <c:v>0.42857142857142855</c:v>
                </c:pt>
                <c:pt idx="1">
                  <c:v>0.52380952380952384</c:v>
                </c:pt>
                <c:pt idx="2">
                  <c:v>0.61904761904761907</c:v>
                </c:pt>
                <c:pt idx="3">
                  <c:v>0.7142857142857143</c:v>
                </c:pt>
                <c:pt idx="4">
                  <c:v>0.80952380952380953</c:v>
                </c:pt>
                <c:pt idx="5">
                  <c:v>0.95238095238095233</c:v>
                </c:pt>
                <c:pt idx="6">
                  <c:v>0.95238095238095233</c:v>
                </c:pt>
                <c:pt idx="7">
                  <c:v>0.95238095238095233</c:v>
                </c:pt>
                <c:pt idx="8">
                  <c:v>0.95238095238095233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6-4D75-AF9D-18A896E5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079112"/>
        <c:axId val="1"/>
      </c:barChart>
      <c:scatterChart>
        <c:scatterStyle val="smoothMarker"/>
        <c:varyColors val="0"/>
        <c:ser>
          <c:idx val="1"/>
          <c:order val="1"/>
          <c:tx>
            <c:v>формула</c:v>
          </c:tx>
          <c:marker>
            <c:symbol val="none"/>
          </c:marker>
          <c:xVal>
            <c:numRef>
              <c:f>Модель!$B$3:$V$3</c:f>
              <c:numCache>
                <c:formatCode>General</c:formatCode>
                <c:ptCount val="2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</c:numCache>
            </c:numRef>
          </c:xVal>
          <c:yVal>
            <c:numRef>
              <c:f>Модель!$B$4:$V$4</c:f>
              <c:numCache>
                <c:formatCode>0.00</c:formatCode>
                <c:ptCount val="21"/>
                <c:pt idx="0" formatCode="General">
                  <c:v>0</c:v>
                </c:pt>
                <c:pt idx="1">
                  <c:v>0.18126924692201815</c:v>
                </c:pt>
                <c:pt idx="2">
                  <c:v>0.32967995396436073</c:v>
                </c:pt>
                <c:pt idx="3">
                  <c:v>0.4511883639059735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0.79810348200534464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  <c:pt idx="19">
                  <c:v>0.97762922814383446</c:v>
                </c:pt>
                <c:pt idx="20">
                  <c:v>0.98168436111126578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66-4D75-AF9D-18A896E5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catAx>
        <c:axId val="41107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411079112"/>
        <c:crosses val="autoZero"/>
        <c:crossBetween val="between"/>
      </c:valAx>
      <c:valAx>
        <c:axId val="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"/>
        <c:crosses val="max"/>
        <c:crossBetween val="midCat"/>
      </c:valAx>
      <c:valAx>
        <c:axId val="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ВБР, вер. отказа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800943121103578E-2"/>
          <c:y val="0.20934108982645827"/>
          <c:w val="0.72696478977863621"/>
          <c:h val="0.66602381791828258"/>
        </c:manualLayout>
      </c:layout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Задачи!$B$64:$N$64</c:f>
              <c:numCache>
                <c:formatCode>General</c:formatCode>
                <c:ptCount val="13"/>
                <c:pt idx="0">
                  <c:v>1</c:v>
                </c:pt>
                <c:pt idx="1">
                  <c:v>0.60653065971263342</c:v>
                </c:pt>
                <c:pt idx="2">
                  <c:v>0.36787944117144233</c:v>
                </c:pt>
                <c:pt idx="3">
                  <c:v>0.22313016014842979</c:v>
                </c:pt>
                <c:pt idx="4">
                  <c:v>0.1353352832366127</c:v>
                </c:pt>
                <c:pt idx="5">
                  <c:v>8.2084998623898842E-2</c:v>
                </c:pt>
                <c:pt idx="6">
                  <c:v>4.9787068367863951E-2</c:v>
                </c:pt>
                <c:pt idx="7">
                  <c:v>3.019738342231848E-2</c:v>
                </c:pt>
                <c:pt idx="8">
                  <c:v>1.831563888873422E-2</c:v>
                </c:pt>
                <c:pt idx="9">
                  <c:v>1.1108996538242266E-2</c:v>
                </c:pt>
                <c:pt idx="10">
                  <c:v>6.7379469990854757E-3</c:v>
                </c:pt>
                <c:pt idx="11">
                  <c:v>4.0867714384640319E-3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0-4418-A014-A5120D957806}"/>
            </c:ext>
          </c:extLst>
        </c:ser>
        <c:ser>
          <c:idx val="1"/>
          <c:order val="1"/>
          <c:tx>
            <c:v>q(t)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Задачи!$B$65:$N$65</c:f>
              <c:numCache>
                <c:formatCode>General</c:formatCode>
                <c:ptCount val="13"/>
                <c:pt idx="0">
                  <c:v>0</c:v>
                </c:pt>
                <c:pt idx="1">
                  <c:v>0.39346934028736658</c:v>
                </c:pt>
                <c:pt idx="2">
                  <c:v>0.63212055882855767</c:v>
                </c:pt>
                <c:pt idx="3">
                  <c:v>0.77686983985157021</c:v>
                </c:pt>
                <c:pt idx="4">
                  <c:v>0.8646647167633873</c:v>
                </c:pt>
                <c:pt idx="5">
                  <c:v>0.91791500137610116</c:v>
                </c:pt>
                <c:pt idx="6">
                  <c:v>0.95021293163213605</c:v>
                </c:pt>
                <c:pt idx="7">
                  <c:v>0.96980261657768152</c:v>
                </c:pt>
                <c:pt idx="8">
                  <c:v>0.98168436111126578</c:v>
                </c:pt>
                <c:pt idx="9">
                  <c:v>0.98889100346175773</c:v>
                </c:pt>
                <c:pt idx="10">
                  <c:v>0.99326205300091452</c:v>
                </c:pt>
                <c:pt idx="11">
                  <c:v>0.99591322856153597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90-4418-A014-A5120D95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78072"/>
        <c:axId val="1"/>
      </c:scatterChart>
      <c:valAx>
        <c:axId val="41167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678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Задачи!$B$66:$N$66</c:f>
              <c:numCache>
                <c:formatCode>General</c:formatCode>
                <c:ptCount val="13"/>
                <c:pt idx="0">
                  <c:v>0.01</c:v>
                </c:pt>
                <c:pt idx="1">
                  <c:v>6.065306597126334E-3</c:v>
                </c:pt>
                <c:pt idx="2">
                  <c:v>3.6787944117144234E-3</c:v>
                </c:pt>
                <c:pt idx="3">
                  <c:v>2.2313016014842983E-3</c:v>
                </c:pt>
                <c:pt idx="4">
                  <c:v>1.3533528323661271E-3</c:v>
                </c:pt>
                <c:pt idx="5">
                  <c:v>8.2084998623898806E-4</c:v>
                </c:pt>
                <c:pt idx="6">
                  <c:v>4.978706836786395E-4</c:v>
                </c:pt>
                <c:pt idx="7">
                  <c:v>3.0197383422318503E-4</c:v>
                </c:pt>
                <c:pt idx="8">
                  <c:v>1.8315638888734178E-4</c:v>
                </c:pt>
                <c:pt idx="9">
                  <c:v>1.1108996538242307E-4</c:v>
                </c:pt>
                <c:pt idx="10">
                  <c:v>6.7379469990854672E-5</c:v>
                </c:pt>
                <c:pt idx="11">
                  <c:v>4.086771438464067E-5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E-420D-BC5F-B19F42A0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4848"/>
        <c:axId val="1"/>
      </c:scatterChart>
      <c:valAx>
        <c:axId val="41210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Нормальное </a:t>
            </a:r>
          </a:p>
        </c:rich>
      </c:tx>
      <c:layout>
        <c:manualLayout>
          <c:xMode val="edge"/>
          <c:yMode val="edge"/>
          <c:x val="0.34814588801399826"/>
          <c:y val="2.7777777777777776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Задачи!$C$86:$O$86</c:f>
              <c:numCache>
                <c:formatCode>General</c:formatCode>
                <c:ptCount val="13"/>
                <c:pt idx="0">
                  <c:v>0.9986501019683699</c:v>
                </c:pt>
                <c:pt idx="1">
                  <c:v>0.99379033467422384</c:v>
                </c:pt>
                <c:pt idx="2">
                  <c:v>0.97724986805182079</c:v>
                </c:pt>
                <c:pt idx="3">
                  <c:v>0.93319279873114191</c:v>
                </c:pt>
                <c:pt idx="4">
                  <c:v>0.84134474606854304</c:v>
                </c:pt>
                <c:pt idx="5">
                  <c:v>0.69146246127401312</c:v>
                </c:pt>
                <c:pt idx="6">
                  <c:v>0.5</c:v>
                </c:pt>
                <c:pt idx="7">
                  <c:v>0.30853753872598688</c:v>
                </c:pt>
                <c:pt idx="8">
                  <c:v>0.15865525393145696</c:v>
                </c:pt>
                <c:pt idx="9">
                  <c:v>6.6807201268858085E-2</c:v>
                </c:pt>
                <c:pt idx="10">
                  <c:v>2.2750131948179209E-2</c:v>
                </c:pt>
                <c:pt idx="11">
                  <c:v>6.2096653257761592E-3</c:v>
                </c:pt>
                <c:pt idx="12">
                  <c:v>1.3498980316301035E-3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85-4D19-B008-9A108EECC292}"/>
            </c:ext>
          </c:extLst>
        </c:ser>
        <c:ser>
          <c:idx val="1"/>
          <c:order val="1"/>
          <c:tx>
            <c:strRef>
              <c:f>Задачи!$B$87</c:f>
              <c:strCache>
                <c:ptCount val="1"/>
                <c:pt idx="0">
                  <c:v>q(t)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Задачи!$C$87:$O$87</c:f>
              <c:numCache>
                <c:formatCode>General</c:formatCode>
                <c:ptCount val="13"/>
                <c:pt idx="0">
                  <c:v>1.3498980316300933E-3</c:v>
                </c:pt>
                <c:pt idx="1">
                  <c:v>6.2096653257761331E-3</c:v>
                </c:pt>
                <c:pt idx="2">
                  <c:v>2.2750131948179191E-2</c:v>
                </c:pt>
                <c:pt idx="3">
                  <c:v>6.6807201268858057E-2</c:v>
                </c:pt>
                <c:pt idx="4">
                  <c:v>0.15865525393145699</c:v>
                </c:pt>
                <c:pt idx="5">
                  <c:v>0.30853753872598688</c:v>
                </c:pt>
                <c:pt idx="6">
                  <c:v>0.5</c:v>
                </c:pt>
                <c:pt idx="7">
                  <c:v>0.69146246127401312</c:v>
                </c:pt>
                <c:pt idx="8">
                  <c:v>0.84134474606854304</c:v>
                </c:pt>
                <c:pt idx="9">
                  <c:v>0.93319279873114191</c:v>
                </c:pt>
                <c:pt idx="10">
                  <c:v>0.97724986805182079</c:v>
                </c:pt>
                <c:pt idx="11">
                  <c:v>0.99379033467422384</c:v>
                </c:pt>
                <c:pt idx="12">
                  <c:v>0.9986501019683699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85-4D19-B008-9A108EECC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8784"/>
        <c:axId val="1"/>
      </c:scatterChart>
      <c:valAx>
        <c:axId val="41210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8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Задачи!$B$88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Задачи!$C$88:$O$88</c:f>
              <c:numCache>
                <c:formatCode>General</c:formatCode>
                <c:ptCount val="13"/>
                <c:pt idx="0">
                  <c:v>2.2159242059690038E-4</c:v>
                </c:pt>
                <c:pt idx="1">
                  <c:v>8.7641502467842702E-4</c:v>
                </c:pt>
                <c:pt idx="2">
                  <c:v>2.6995483256594031E-3</c:v>
                </c:pt>
                <c:pt idx="3">
                  <c:v>6.4758797832945867E-3</c:v>
                </c:pt>
                <c:pt idx="4">
                  <c:v>1.2098536225957168E-2</c:v>
                </c:pt>
                <c:pt idx="5">
                  <c:v>1.7603266338214976E-2</c:v>
                </c:pt>
                <c:pt idx="6">
                  <c:v>1.9947114020071637E-2</c:v>
                </c:pt>
                <c:pt idx="7">
                  <c:v>1.7603266338214976E-2</c:v>
                </c:pt>
                <c:pt idx="8">
                  <c:v>1.2098536225957168E-2</c:v>
                </c:pt>
                <c:pt idx="9">
                  <c:v>6.4758797832945867E-3</c:v>
                </c:pt>
                <c:pt idx="10">
                  <c:v>2.6995483256594031E-3</c:v>
                </c:pt>
                <c:pt idx="11">
                  <c:v>8.7641502467842702E-4</c:v>
                </c:pt>
                <c:pt idx="12">
                  <c:v>2.2159242059690038E-4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4-4096-A1AB-3BC7F0F8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7472"/>
        <c:axId val="1"/>
      </c:scatterChart>
      <c:valAx>
        <c:axId val="41210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Задачи!$B$89</c:f>
              <c:strCache>
                <c:ptCount val="1"/>
                <c:pt idx="0">
                  <c:v>лямбда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Задачи!$C$89:$O$89</c:f>
              <c:numCache>
                <c:formatCode>General</c:formatCode>
                <c:ptCount val="13"/>
                <c:pt idx="0">
                  <c:v>2.2189195210628321E-4</c:v>
                </c:pt>
                <c:pt idx="1">
                  <c:v>8.8189127434583695E-4</c:v>
                </c:pt>
                <c:pt idx="2">
                  <c:v>2.7623931339494983E-3</c:v>
                </c:pt>
                <c:pt idx="3">
                  <c:v>6.9394875229425385E-3</c:v>
                </c:pt>
                <c:pt idx="4">
                  <c:v>1.4379998546958917E-2</c:v>
                </c:pt>
                <c:pt idx="5">
                  <c:v>2.5458021691851677E-2</c:v>
                </c:pt>
                <c:pt idx="6">
                  <c:v>3.9894228040143274E-2</c:v>
                </c:pt>
                <c:pt idx="7">
                  <c:v>5.7053888518403234E-2</c:v>
                </c:pt>
                <c:pt idx="8">
                  <c:v>7.6256763808049105E-2</c:v>
                </c:pt>
                <c:pt idx="9">
                  <c:v>9.6933858331127137E-2</c:v>
                </c:pt>
                <c:pt idx="10">
                  <c:v>0.11866077664114205</c:v>
                </c:pt>
                <c:pt idx="11">
                  <c:v>0.14113723988319485</c:v>
                </c:pt>
                <c:pt idx="12">
                  <c:v>0.16415493274652077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CC-4BB0-93A6-FB3A8BE1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3864"/>
        <c:axId val="1"/>
      </c:scatterChart>
      <c:valAx>
        <c:axId val="41210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3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Задачи!$B$111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Задачи!$C$109:$M$109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Задачи!$C$111:$M$111</c:f>
              <c:numCache>
                <c:formatCode>General</c:formatCode>
                <c:ptCount val="11"/>
                <c:pt idx="0">
                  <c:v>3.8025714198364934E-5</c:v>
                </c:pt>
                <c:pt idx="1">
                  <c:v>1.1200119421657403E-4</c:v>
                </c:pt>
                <c:pt idx="2">
                  <c:v>2.4228494015048912E-4</c:v>
                </c:pt>
                <c:pt idx="3">
                  <c:v>3.8493613411850558E-4</c:v>
                </c:pt>
                <c:pt idx="4">
                  <c:v>4.491686468941833E-4</c:v>
                </c:pt>
                <c:pt idx="5">
                  <c:v>3.8493613411850558E-4</c:v>
                </c:pt>
                <c:pt idx="6">
                  <c:v>2.4228494015048912E-4</c:v>
                </c:pt>
                <c:pt idx="7">
                  <c:v>1.1200119421657403E-4</c:v>
                </c:pt>
                <c:pt idx="8">
                  <c:v>3.8025714198364934E-5</c:v>
                </c:pt>
                <c:pt idx="9">
                  <c:v>9.4817958256964932E-6</c:v>
                </c:pt>
                <c:pt idx="10">
                  <c:v>1.736450118047972E-6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4F-454C-85DD-2E85803A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3288"/>
        <c:axId val="1"/>
      </c:scatterChart>
      <c:valAx>
        <c:axId val="41214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3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Задачи!$B$131</c:f>
              <c:strCache>
                <c:ptCount val="1"/>
                <c:pt idx="0">
                  <c:v>p(t)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Задачи!$C$131:$M$131</c:f>
              <c:numCache>
                <c:formatCode>General</c:formatCode>
                <c:ptCount val="11"/>
                <c:pt idx="0">
                  <c:v>1</c:v>
                </c:pt>
                <c:pt idx="1">
                  <c:v>0.92574126592438288</c:v>
                </c:pt>
                <c:pt idx="2">
                  <c:v>0.73444367192973115</c:v>
                </c:pt>
                <c:pt idx="3">
                  <c:v>0.4993517885992762</c:v>
                </c:pt>
                <c:pt idx="4">
                  <c:v>0.29096045886431021</c:v>
                </c:pt>
                <c:pt idx="5">
                  <c:v>0.14529162554555941</c:v>
                </c:pt>
                <c:pt idx="6">
                  <c:v>6.2176524022116264E-2</c:v>
                </c:pt>
                <c:pt idx="7">
                  <c:v>2.2802976631480676E-2</c:v>
                </c:pt>
                <c:pt idx="8">
                  <c:v>7.166975037612433E-3</c:v>
                </c:pt>
                <c:pt idx="9">
                  <c:v>1.9304541362277217E-3</c:v>
                </c:pt>
                <c:pt idx="10">
                  <c:v>4.456175955920294E-4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9-4B65-A97D-A76B7D859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3944"/>
        <c:axId val="1"/>
      </c:scatterChart>
      <c:valAx>
        <c:axId val="41214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3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Задачи!$B$132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Задачи!$C$132:$M$132</c:f>
              <c:numCache>
                <c:formatCode>General</c:formatCode>
                <c:ptCount val="11"/>
                <c:pt idx="0">
                  <c:v>0</c:v>
                </c:pt>
                <c:pt idx="1">
                  <c:v>2.8572261293962405E-4</c:v>
                </c:pt>
                <c:pt idx="2">
                  <c:v>4.5336029131464855E-4</c:v>
                </c:pt>
                <c:pt idx="3">
                  <c:v>4.6236276722155171E-4</c:v>
                </c:pt>
                <c:pt idx="4">
                  <c:v>3.5921044304235801E-4</c:v>
                </c:pt>
                <c:pt idx="5">
                  <c:v>2.2421547152092492E-4</c:v>
                </c:pt>
                <c:pt idx="6">
                  <c:v>1.1514171115206706E-4</c:v>
                </c:pt>
                <c:pt idx="7">
                  <c:v>4.9265690253198996E-5</c:v>
                </c:pt>
                <c:pt idx="8">
                  <c:v>1.7696234660771386E-5</c:v>
                </c:pt>
                <c:pt idx="9">
                  <c:v>5.3623726006325196E-6</c:v>
                </c:pt>
                <c:pt idx="10">
                  <c:v>1.3753629493580778E-6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B0-4EBE-9C51-4622F1322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6568"/>
        <c:axId val="1"/>
      </c:scatterChart>
      <c:valAx>
        <c:axId val="41214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6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Задачи!$B$133</c:f>
              <c:strCache>
                <c:ptCount val="1"/>
                <c:pt idx="0">
                  <c:v>lam(t)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Задачи!$C$133:$M$133</c:f>
              <c:numCache>
                <c:formatCode>General</c:formatCode>
                <c:ptCount val="11"/>
                <c:pt idx="0">
                  <c:v>0</c:v>
                </c:pt>
                <c:pt idx="1">
                  <c:v>3.0864197530864164E-4</c:v>
                </c:pt>
                <c:pt idx="2">
                  <c:v>6.172839506172835E-4</c:v>
                </c:pt>
                <c:pt idx="3">
                  <c:v>9.2592592592592531E-4</c:v>
                </c:pt>
                <c:pt idx="4">
                  <c:v>1.234567901234567E-3</c:v>
                </c:pt>
                <c:pt idx="5">
                  <c:v>1.5432098765432091E-3</c:v>
                </c:pt>
                <c:pt idx="6">
                  <c:v>1.8518518518518502E-3</c:v>
                </c:pt>
                <c:pt idx="7">
                  <c:v>2.1604938271604941E-3</c:v>
                </c:pt>
                <c:pt idx="8">
                  <c:v>2.4691358024691284E-3</c:v>
                </c:pt>
                <c:pt idx="9">
                  <c:v>2.7777777777777566E-3</c:v>
                </c:pt>
                <c:pt idx="10">
                  <c:v>3.0864197530863354E-3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E-4B67-B143-2F3E3570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0744"/>
        <c:axId val="1"/>
      </c:scatterChart>
      <c:valAx>
        <c:axId val="41248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0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</a:t>
            </a:r>
            <a:r>
              <a:rPr lang="ru-RU" baseline="0"/>
              <a:t> для различных значений </a:t>
            </a:r>
            <a:r>
              <a:rPr lang="el-GR" baseline="0"/>
              <a:t>β</a:t>
            </a:r>
            <a:endParaRPr lang="ru-RU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бетта=30</c:v>
          </c:tx>
          <c:marker>
            <c:symbol val="none"/>
          </c:marker>
          <c:xVal>
            <c:numRef>
              <c:f>Задачи!$B$152:$M$152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Задачи!$B$153:$M$153</c:f>
              <c:numCache>
                <c:formatCode>General</c:formatCode>
                <c:ptCount val="12"/>
                <c:pt idx="0">
                  <c:v>1</c:v>
                </c:pt>
                <c:pt idx="1">
                  <c:v>0.89483931681436979</c:v>
                </c:pt>
                <c:pt idx="2">
                  <c:v>0.64118038842995451</c:v>
                </c:pt>
                <c:pt idx="3">
                  <c:v>0.36787944117144233</c:v>
                </c:pt>
                <c:pt idx="4">
                  <c:v>0.16901331540606612</c:v>
                </c:pt>
                <c:pt idx="5">
                  <c:v>6.2176524022116264E-2</c:v>
                </c:pt>
                <c:pt idx="6">
                  <c:v>1.831563888873422E-2</c:v>
                </c:pt>
                <c:pt idx="7">
                  <c:v>4.3202394740941008E-3</c:v>
                </c:pt>
                <c:pt idx="8">
                  <c:v>8.1598783507219608E-4</c:v>
                </c:pt>
                <c:pt idx="9">
                  <c:v>1.2340980408664937E-4</c:v>
                </c:pt>
                <c:pt idx="10">
                  <c:v>1.4945338524752216E-5</c:v>
                </c:pt>
                <c:pt idx="11">
                  <c:v>1.4492788871223183E-6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FC-45CC-9A3D-F152AEE02DEB}"/>
            </c:ext>
          </c:extLst>
        </c:ser>
        <c:ser>
          <c:idx val="1"/>
          <c:order val="1"/>
          <c:tx>
            <c:v>бетта=50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Задачи!$B$154:$Q$154</c:f>
              <c:numCache>
                <c:formatCode>General</c:formatCode>
                <c:ptCount val="16"/>
                <c:pt idx="0">
                  <c:v>1</c:v>
                </c:pt>
                <c:pt idx="1">
                  <c:v>0.96078943915232318</c:v>
                </c:pt>
                <c:pt idx="2">
                  <c:v>0.85214378896621135</c:v>
                </c:pt>
                <c:pt idx="3">
                  <c:v>0.69767632607103103</c:v>
                </c:pt>
                <c:pt idx="4">
                  <c:v>0.52729242404304855</c:v>
                </c:pt>
                <c:pt idx="5">
                  <c:v>0.36787944117144233</c:v>
                </c:pt>
                <c:pt idx="6">
                  <c:v>0.23692775868212179</c:v>
                </c:pt>
                <c:pt idx="7">
                  <c:v>0.14085842092104506</c:v>
                </c:pt>
                <c:pt idx="8">
                  <c:v>7.7304740443299713E-2</c:v>
                </c:pt>
                <c:pt idx="9">
                  <c:v>3.91638950989871E-2</c:v>
                </c:pt>
                <c:pt idx="10">
                  <c:v>1.831563888873422E-2</c:v>
                </c:pt>
                <c:pt idx="11">
                  <c:v>7.9070540515934207E-3</c:v>
                </c:pt>
                <c:pt idx="12">
                  <c:v>3.1511115984443894E-3</c:v>
                </c:pt>
                <c:pt idx="13">
                  <c:v>1.1592291739045413E-3</c:v>
                </c:pt>
                <c:pt idx="14">
                  <c:v>3.936690406550758E-4</c:v>
                </c:pt>
                <c:pt idx="15">
                  <c:v>1.2340980408664937E-4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FC-45CC-9A3D-F152AEE02DEB}"/>
            </c:ext>
          </c:extLst>
        </c:ser>
        <c:ser>
          <c:idx val="2"/>
          <c:order val="2"/>
          <c:tx>
            <c:v>бетта=70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Задачи!$B$155:$Q$155</c:f>
              <c:numCache>
                <c:formatCode>General</c:formatCode>
                <c:ptCount val="16"/>
                <c:pt idx="0">
                  <c:v>1</c:v>
                </c:pt>
                <c:pt idx="1">
                  <c:v>0.97979867385370434</c:v>
                </c:pt>
                <c:pt idx="2">
                  <c:v>0.9216104472977249</c:v>
                </c:pt>
                <c:pt idx="3">
                  <c:v>0.83220750069030125</c:v>
                </c:pt>
                <c:pt idx="4">
                  <c:v>0.72142229035475625</c:v>
                </c:pt>
                <c:pt idx="5">
                  <c:v>0.60037304119840451</c:v>
                </c:pt>
                <c:pt idx="6">
                  <c:v>0.4796522688300443</c:v>
                </c:pt>
                <c:pt idx="7">
                  <c:v>0.36787944117144233</c:v>
                </c:pt>
                <c:pt idx="8">
                  <c:v>0.27086832847046349</c:v>
                </c:pt>
                <c:pt idx="9">
                  <c:v>0.19146289967870533</c:v>
                </c:pt>
                <c:pt idx="10">
                  <c:v>0.12992260830505953</c:v>
                </c:pt>
                <c:pt idx="11">
                  <c:v>8.4636661506224398E-2</c:v>
                </c:pt>
                <c:pt idx="12">
                  <c:v>5.2930501932708762E-2</c:v>
                </c:pt>
                <c:pt idx="13">
                  <c:v>3.1778046417498373E-2</c:v>
                </c:pt>
                <c:pt idx="14">
                  <c:v>1.831563888873422E-2</c:v>
                </c:pt>
                <c:pt idx="15">
                  <c:v>1.0134227381485728E-2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FC-45CC-9A3D-F152AEE0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9760"/>
        <c:axId val="1"/>
      </c:scatterChart>
      <c:valAx>
        <c:axId val="4124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p(t)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12479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Плотность распределения для различных значений </a:t>
            </a:r>
            <a:r>
              <a:rPr lang="el-GR"/>
              <a:t>β</a:t>
            </a:r>
            <a:endParaRPr lang="ru-RU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бетта=30</c:v>
          </c:tx>
          <c:marker>
            <c:symbol val="none"/>
          </c:marker>
          <c:xVal>
            <c:numRef>
              <c:f>Задачи!$B$152:$M$152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Задачи!$B$156:$M$156</c:f>
              <c:numCache>
                <c:formatCode>General</c:formatCode>
                <c:ptCount val="12"/>
                <c:pt idx="0">
                  <c:v>0</c:v>
                </c:pt>
                <c:pt idx="1">
                  <c:v>1.988531815143044E-2</c:v>
                </c:pt>
                <c:pt idx="2">
                  <c:v>2.8496906152442415E-2</c:v>
                </c:pt>
                <c:pt idx="3">
                  <c:v>2.4525296078096157E-2</c:v>
                </c:pt>
                <c:pt idx="4">
                  <c:v>1.5023405813872542E-2</c:v>
                </c:pt>
                <c:pt idx="5">
                  <c:v>6.90850266912403E-3</c:v>
                </c:pt>
                <c:pt idx="6">
                  <c:v>2.4420851851645561E-3</c:v>
                </c:pt>
                <c:pt idx="7">
                  <c:v>6.720372515257437E-4</c:v>
                </c:pt>
                <c:pt idx="8">
                  <c:v>1.4506450401282627E-4</c:v>
                </c:pt>
                <c:pt idx="9">
                  <c:v>2.4681960817335859E-5</c:v>
                </c:pt>
                <c:pt idx="10">
                  <c:v>3.3211863388403116E-6</c:v>
                </c:pt>
                <c:pt idx="11">
                  <c:v>3.5426817241389724E-7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3C-4A11-9719-8C4D899BA390}"/>
            </c:ext>
          </c:extLst>
        </c:ser>
        <c:ser>
          <c:idx val="1"/>
          <c:order val="1"/>
          <c:tx>
            <c:v>бетта=50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Задачи!$B$157:$Q$157</c:f>
              <c:numCache>
                <c:formatCode>General</c:formatCode>
                <c:ptCount val="16"/>
                <c:pt idx="0">
                  <c:v>0</c:v>
                </c:pt>
                <c:pt idx="1">
                  <c:v>7.6863155132185891E-3</c:v>
                </c:pt>
                <c:pt idx="2">
                  <c:v>1.3634300623459382E-2</c:v>
                </c:pt>
                <c:pt idx="3">
                  <c:v>1.6744231825704749E-2</c:v>
                </c:pt>
                <c:pt idx="4">
                  <c:v>1.6873357569377558E-2</c:v>
                </c:pt>
                <c:pt idx="5">
                  <c:v>1.4715177646857694E-2</c:v>
                </c:pt>
                <c:pt idx="6">
                  <c:v>1.1372532416741844E-2</c:v>
                </c:pt>
                <c:pt idx="7">
                  <c:v>7.8880715715785258E-3</c:v>
                </c:pt>
                <c:pt idx="8">
                  <c:v>4.9475033883711805E-3</c:v>
                </c:pt>
                <c:pt idx="9">
                  <c:v>2.8198004471270692E-3</c:v>
                </c:pt>
                <c:pt idx="10">
                  <c:v>1.4652511110987351E-3</c:v>
                </c:pt>
                <c:pt idx="11">
                  <c:v>6.958207565402226E-4</c:v>
                </c:pt>
                <c:pt idx="12">
                  <c:v>3.0250671345066657E-4</c:v>
                </c:pt>
                <c:pt idx="13">
                  <c:v>1.2055983408607749E-4</c:v>
                </c:pt>
                <c:pt idx="14">
                  <c:v>4.4090932553368829E-5</c:v>
                </c:pt>
                <c:pt idx="15">
                  <c:v>1.4809176490401517E-5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3C-4A11-9719-8C4D899BA390}"/>
            </c:ext>
          </c:extLst>
        </c:ser>
        <c:ser>
          <c:idx val="2"/>
          <c:order val="2"/>
          <c:tx>
            <c:v>бетта=70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Задачи!$B$158:$Q$158</c:f>
              <c:numCache>
                <c:formatCode>General</c:formatCode>
                <c:ptCount val="16"/>
                <c:pt idx="0">
                  <c:v>0</c:v>
                </c:pt>
                <c:pt idx="1">
                  <c:v>3.9991782606273625E-3</c:v>
                </c:pt>
                <c:pt idx="2">
                  <c:v>7.523350590185501E-3</c:v>
                </c:pt>
                <c:pt idx="3">
                  <c:v>1.0190295926820008E-2</c:v>
                </c:pt>
                <c:pt idx="4">
                  <c:v>1.1778323107832746E-2</c:v>
                </c:pt>
                <c:pt idx="5">
                  <c:v>1.2252511044865385E-2</c:v>
                </c:pt>
                <c:pt idx="6">
                  <c:v>1.1746586175429645E-2</c:v>
                </c:pt>
                <c:pt idx="7">
                  <c:v>1.051084117632692E-2</c:v>
                </c:pt>
                <c:pt idx="8">
                  <c:v>8.8446801133212471E-3</c:v>
                </c:pt>
                <c:pt idx="9">
                  <c:v>7.0333310086054968E-3</c:v>
                </c:pt>
                <c:pt idx="10">
                  <c:v>5.3029636042881403E-3</c:v>
                </c:pt>
                <c:pt idx="11">
                  <c:v>3.8000133737488514E-3</c:v>
                </c:pt>
                <c:pt idx="12">
                  <c:v>2.5925143803775712E-3</c:v>
                </c:pt>
                <c:pt idx="13">
                  <c:v>1.6861820548060341E-3</c:v>
                </c:pt>
                <c:pt idx="14">
                  <c:v>1.0466079364990948E-3</c:v>
                </c:pt>
                <c:pt idx="15">
                  <c:v>6.2046290090728997E-4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3C-4A11-9719-8C4D899B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2544"/>
        <c:axId val="1"/>
      </c:scatterChart>
      <c:valAx>
        <c:axId val="4124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f(t)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1247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Задачи!$C$109:$M$109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Задачи!$C$110:$M$110</c:f>
              <c:numCache>
                <c:formatCode>General</c:formatCode>
                <c:ptCount val="11"/>
                <c:pt idx="0">
                  <c:v>0.99999999999999989</c:v>
                </c:pt>
                <c:pt idx="1">
                  <c:v>0.96488255578965132</c:v>
                </c:pt>
                <c:pt idx="2">
                  <c:v>0.87827513061985629</c:v>
                </c:pt>
                <c:pt idx="3">
                  <c:v>0.72020187560719962</c:v>
                </c:pt>
                <c:pt idx="4">
                  <c:v>0.5066544736722185</c:v>
                </c:pt>
                <c:pt idx="5">
                  <c:v>0.29310707173723732</c:v>
                </c:pt>
                <c:pt idx="6">
                  <c:v>0.13503381672458076</c:v>
                </c:pt>
                <c:pt idx="7">
                  <c:v>4.8426391554785682E-2</c:v>
                </c:pt>
                <c:pt idx="8">
                  <c:v>1.3308947344437079E-2</c:v>
                </c:pt>
                <c:pt idx="9">
                  <c:v>2.7730230753199459E-3</c:v>
                </c:pt>
                <c:pt idx="10">
                  <c:v>4.3477067457888723E-4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E-43DC-89B7-9A86BDA3F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2872"/>
        <c:axId val="1"/>
      </c:scatterChart>
      <c:valAx>
        <c:axId val="4124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7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alpha&lt;1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Задачи!$B$182:$Q$182</c:f>
              <c:numCache>
                <c:formatCode>General</c:formatCode>
                <c:ptCount val="16"/>
                <c:pt idx="0">
                  <c:v>1</c:v>
                </c:pt>
                <c:pt idx="1">
                  <c:v>0.59137463580186067</c:v>
                </c:pt>
                <c:pt idx="2">
                  <c:v>0.50000116870376532</c:v>
                </c:pt>
                <c:pt idx="3">
                  <c:v>0.44255385770804967</c:v>
                </c:pt>
                <c:pt idx="4">
                  <c:v>0.40067281642650543</c:v>
                </c:pt>
                <c:pt idx="5">
                  <c:v>0.36787944117144233</c:v>
                </c:pt>
                <c:pt idx="6">
                  <c:v>0.34107470244651439</c:v>
                </c:pt>
                <c:pt idx="7">
                  <c:v>0.31852116442657619</c:v>
                </c:pt>
                <c:pt idx="8">
                  <c:v>0.29914248898735185</c:v>
                </c:pt>
                <c:pt idx="9">
                  <c:v>0.28222410670461517</c:v>
                </c:pt>
                <c:pt idx="10">
                  <c:v>0.26726678871908149</c:v>
                </c:pt>
                <c:pt idx="11">
                  <c:v>0.2539077811510142</c:v>
                </c:pt>
                <c:pt idx="12">
                  <c:v>0.24187513875719202</c:v>
                </c:pt>
                <c:pt idx="13">
                  <c:v>0.23095974078385861</c:v>
                </c:pt>
                <c:pt idx="14">
                  <c:v>0.2209973414875801</c:v>
                </c:pt>
                <c:pt idx="15">
                  <c:v>0.21185661575387105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07-49DA-BF05-44AB866732CB}"/>
            </c:ext>
          </c:extLst>
        </c:ser>
        <c:ser>
          <c:idx val="1"/>
          <c:order val="1"/>
          <c:tx>
            <c:v>alpha=1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Задачи!$B$183:$Q$183</c:f>
              <c:numCache>
                <c:formatCode>General</c:formatCode>
                <c:ptCount val="16"/>
                <c:pt idx="0">
                  <c:v>1</c:v>
                </c:pt>
                <c:pt idx="1">
                  <c:v>0.81873075307798182</c:v>
                </c:pt>
                <c:pt idx="2">
                  <c:v>0.67032004603563933</c:v>
                </c:pt>
                <c:pt idx="3">
                  <c:v>0.5488116360940265</c:v>
                </c:pt>
                <c:pt idx="4">
                  <c:v>0.44932896411722156</c:v>
                </c:pt>
                <c:pt idx="5">
                  <c:v>0.36787944117144233</c:v>
                </c:pt>
                <c:pt idx="6">
                  <c:v>0.30119421191220219</c:v>
                </c:pt>
                <c:pt idx="7">
                  <c:v>0.24659696394160646</c:v>
                </c:pt>
                <c:pt idx="8">
                  <c:v>0.20189651799465536</c:v>
                </c:pt>
                <c:pt idx="9">
                  <c:v>0.16529888822158656</c:v>
                </c:pt>
                <c:pt idx="10">
                  <c:v>0.1353352832366127</c:v>
                </c:pt>
                <c:pt idx="11">
                  <c:v>0.1108031583623339</c:v>
                </c:pt>
                <c:pt idx="12">
                  <c:v>9.0717953289412456E-2</c:v>
                </c:pt>
                <c:pt idx="13">
                  <c:v>7.4273578214333891E-2</c:v>
                </c:pt>
                <c:pt idx="14">
                  <c:v>6.0810062625217931E-2</c:v>
                </c:pt>
                <c:pt idx="15">
                  <c:v>4.9787068367863951E-2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07-49DA-BF05-44AB866732CB}"/>
            </c:ext>
          </c:extLst>
        </c:ser>
        <c:ser>
          <c:idx val="2"/>
          <c:order val="2"/>
          <c:tx>
            <c:v>alpha&gt;1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Задачи!$B$184:$Q$184</c:f>
              <c:numCache>
                <c:formatCode>General</c:formatCode>
                <c:ptCount val="16"/>
                <c:pt idx="0">
                  <c:v>1</c:v>
                </c:pt>
                <c:pt idx="1">
                  <c:v>0.99203191483706066</c:v>
                </c:pt>
                <c:pt idx="2">
                  <c:v>0.93800499953072947</c:v>
                </c:pt>
                <c:pt idx="3">
                  <c:v>0.80573530187347964</c:v>
                </c:pt>
                <c:pt idx="4">
                  <c:v>0.59929578784553839</c:v>
                </c:pt>
                <c:pt idx="5">
                  <c:v>0.36787944117144233</c:v>
                </c:pt>
                <c:pt idx="6">
                  <c:v>0.17763933359513495</c:v>
                </c:pt>
                <c:pt idx="7">
                  <c:v>6.431258138030882E-2</c:v>
                </c:pt>
                <c:pt idx="8">
                  <c:v>1.6639098861723656E-2</c:v>
                </c:pt>
                <c:pt idx="9">
                  <c:v>2.9322066985015827E-3</c:v>
                </c:pt>
                <c:pt idx="10">
                  <c:v>3.3546262790251635E-4</c:v>
                </c:pt>
                <c:pt idx="11">
                  <c:v>2.3748290714276088E-5</c:v>
                </c:pt>
                <c:pt idx="12">
                  <c:v>9.9154649146893092E-7</c:v>
                </c:pt>
                <c:pt idx="13">
                  <c:v>2.3272347160485651E-8</c:v>
                </c:pt>
                <c:pt idx="14">
                  <c:v>2.9266278289696857E-10</c:v>
                </c:pt>
                <c:pt idx="15">
                  <c:v>1.8794965583879275E-12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07-49DA-BF05-44AB866732CB}"/>
            </c:ext>
          </c:extLst>
        </c:ser>
        <c:ser>
          <c:idx val="3"/>
          <c:order val="3"/>
          <c:tx>
            <c:v>exp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Задачи!$B$207:$Q$207</c:f>
              <c:numCache>
                <c:formatCode>General</c:formatCode>
                <c:ptCount val="16"/>
                <c:pt idx="0">
                  <c:v>1</c:v>
                </c:pt>
                <c:pt idx="1">
                  <c:v>0.81873075307798182</c:v>
                </c:pt>
                <c:pt idx="2">
                  <c:v>0.67032004603563933</c:v>
                </c:pt>
                <c:pt idx="3">
                  <c:v>0.5488116360940265</c:v>
                </c:pt>
                <c:pt idx="4">
                  <c:v>0.44932896411722156</c:v>
                </c:pt>
                <c:pt idx="5">
                  <c:v>0.36787944117144233</c:v>
                </c:pt>
                <c:pt idx="6">
                  <c:v>0.30119421191220219</c:v>
                </c:pt>
                <c:pt idx="7">
                  <c:v>0.24659696394160646</c:v>
                </c:pt>
                <c:pt idx="8">
                  <c:v>0.20189651799465536</c:v>
                </c:pt>
                <c:pt idx="9">
                  <c:v>0.16529888822158656</c:v>
                </c:pt>
                <c:pt idx="10">
                  <c:v>0.1353352832366127</c:v>
                </c:pt>
                <c:pt idx="11">
                  <c:v>0.1108031583623339</c:v>
                </c:pt>
                <c:pt idx="12">
                  <c:v>9.0717953289412456E-2</c:v>
                </c:pt>
                <c:pt idx="13">
                  <c:v>7.4273578214333891E-2</c:v>
                </c:pt>
                <c:pt idx="14">
                  <c:v>6.0810062625217931E-2</c:v>
                </c:pt>
                <c:pt idx="15">
                  <c:v>4.9787068367863951E-2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07-49DA-BF05-44AB86673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4840"/>
        <c:axId val="1"/>
      </c:scatterChart>
      <c:valAx>
        <c:axId val="41247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74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alpha&lt;1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Задачи!$B$185:$Q$185</c:f>
              <c:numCache>
                <c:formatCode>General</c:formatCode>
                <c:ptCount val="16"/>
                <c:pt idx="0">
                  <c:v>0</c:v>
                </c:pt>
                <c:pt idx="1">
                  <c:v>1.2426095390021909E-2</c:v>
                </c:pt>
                <c:pt idx="2">
                  <c:v>6.9314646331712264E-3</c:v>
                </c:pt>
                <c:pt idx="3">
                  <c:v>4.8102247391082938E-3</c:v>
                </c:pt>
                <c:pt idx="4">
                  <c:v>3.6645940624358236E-3</c:v>
                </c:pt>
                <c:pt idx="5">
                  <c:v>2.943035529371538E-3</c:v>
                </c:pt>
                <c:pt idx="6">
                  <c:v>2.4458552338750116E-3</c:v>
                </c:pt>
                <c:pt idx="7">
                  <c:v>2.0823391305679431E-3</c:v>
                </c:pt>
                <c:pt idx="8">
                  <c:v>1.805078528302701E-3</c:v>
                </c:pt>
                <c:pt idx="9">
                  <c:v>1.5867941511489316E-3</c:v>
                </c:pt>
                <c:pt idx="10">
                  <c:v>1.4106425680067828E-3</c:v>
                </c:pt>
                <c:pt idx="11">
                  <c:v>1.2656464018057634E-3</c:v>
                </c:pt>
                <c:pt idx="12">
                  <c:v>1.1443384049554556E-3</c:v>
                </c:pt>
                <c:pt idx="13">
                  <c:v>1.04145920209278E-3</c:v>
                </c:pt>
                <c:pt idx="14">
                  <c:v>9.5319601384412096E-4</c:v>
                </c:pt>
                <c:pt idx="15">
                  <c:v>8.7671667056621826E-4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3-4823-B514-D46A632B0E31}"/>
            </c:ext>
          </c:extLst>
        </c:ser>
        <c:ser>
          <c:idx val="1"/>
          <c:order val="1"/>
          <c:tx>
            <c:v>alpha=1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Задачи!$B$186:$Q$186</c:f>
              <c:numCache>
                <c:formatCode>General</c:formatCode>
                <c:ptCount val="16"/>
                <c:pt idx="0">
                  <c:v>0</c:v>
                </c:pt>
                <c:pt idx="1">
                  <c:v>1.6374615061559638E-2</c:v>
                </c:pt>
                <c:pt idx="2">
                  <c:v>1.340640092071279E-2</c:v>
                </c:pt>
                <c:pt idx="3">
                  <c:v>1.097623272188053E-2</c:v>
                </c:pt>
                <c:pt idx="4">
                  <c:v>8.9865792823444323E-3</c:v>
                </c:pt>
                <c:pt idx="5">
                  <c:v>7.3575888234288485E-3</c:v>
                </c:pt>
                <c:pt idx="6">
                  <c:v>6.0238842382440436E-3</c:v>
                </c:pt>
                <c:pt idx="7">
                  <c:v>4.9319392788321308E-3</c:v>
                </c:pt>
                <c:pt idx="8">
                  <c:v>4.0379303598931087E-3</c:v>
                </c:pt>
                <c:pt idx="9">
                  <c:v>3.3059777644317313E-3</c:v>
                </c:pt>
                <c:pt idx="10">
                  <c:v>2.7067056647322547E-3</c:v>
                </c:pt>
                <c:pt idx="11">
                  <c:v>2.2160631672466778E-3</c:v>
                </c:pt>
                <c:pt idx="12">
                  <c:v>1.8143590657882507E-3</c:v>
                </c:pt>
                <c:pt idx="13">
                  <c:v>1.4854715642866779E-3</c:v>
                </c:pt>
                <c:pt idx="14">
                  <c:v>1.2162012525043597E-3</c:v>
                </c:pt>
                <c:pt idx="15">
                  <c:v>9.9574136735727857E-4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53-4823-B514-D46A632B0E31}"/>
            </c:ext>
          </c:extLst>
        </c:ser>
        <c:ser>
          <c:idx val="2"/>
          <c:order val="2"/>
          <c:tx>
            <c:v>alpha&gt;1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Задачи!$B$187:$Q$187</c:f>
              <c:numCache>
                <c:formatCode>General</c:formatCode>
                <c:ptCount val="16"/>
                <c:pt idx="0">
                  <c:v>0</c:v>
                </c:pt>
                <c:pt idx="1">
                  <c:v>3.9991782606273625E-3</c:v>
                </c:pt>
                <c:pt idx="2">
                  <c:v>7.523350590185501E-3</c:v>
                </c:pt>
                <c:pt idx="3">
                  <c:v>1.0190295926820008E-2</c:v>
                </c:pt>
                <c:pt idx="4">
                  <c:v>1.1778323107832746E-2</c:v>
                </c:pt>
                <c:pt idx="5">
                  <c:v>1.2252511044865385E-2</c:v>
                </c:pt>
                <c:pt idx="6">
                  <c:v>1.1746586175429645E-2</c:v>
                </c:pt>
                <c:pt idx="7">
                  <c:v>1.051084117632692E-2</c:v>
                </c:pt>
                <c:pt idx="8">
                  <c:v>8.8446801133212471E-3</c:v>
                </c:pt>
                <c:pt idx="9">
                  <c:v>7.0333310086054968E-3</c:v>
                </c:pt>
                <c:pt idx="10">
                  <c:v>5.3029636042881403E-3</c:v>
                </c:pt>
                <c:pt idx="11">
                  <c:v>3.8000133737488514E-3</c:v>
                </c:pt>
                <c:pt idx="12">
                  <c:v>2.5925143803775712E-3</c:v>
                </c:pt>
                <c:pt idx="13">
                  <c:v>1.6861820548060341E-3</c:v>
                </c:pt>
                <c:pt idx="14">
                  <c:v>1.0466079364990948E-3</c:v>
                </c:pt>
                <c:pt idx="15">
                  <c:v>6.2046290090728997E-4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53-4823-B514-D46A632B0E31}"/>
            </c:ext>
          </c:extLst>
        </c:ser>
        <c:ser>
          <c:idx val="3"/>
          <c:order val="3"/>
          <c:tx>
            <c:v>exp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Задачи!$B$208:$Q$208</c:f>
              <c:numCache>
                <c:formatCode>General</c:formatCode>
                <c:ptCount val="16"/>
                <c:pt idx="0">
                  <c:v>0.02</c:v>
                </c:pt>
                <c:pt idx="1">
                  <c:v>1.6374615061559638E-2</c:v>
                </c:pt>
                <c:pt idx="2">
                  <c:v>1.3406400920712786E-2</c:v>
                </c:pt>
                <c:pt idx="3">
                  <c:v>1.0976232721880528E-2</c:v>
                </c:pt>
                <c:pt idx="4">
                  <c:v>8.9865792823444323E-3</c:v>
                </c:pt>
                <c:pt idx="5">
                  <c:v>7.3575888234288468E-3</c:v>
                </c:pt>
                <c:pt idx="6">
                  <c:v>6.0238842382440427E-3</c:v>
                </c:pt>
                <c:pt idx="7">
                  <c:v>4.931939278832129E-3</c:v>
                </c:pt>
                <c:pt idx="8">
                  <c:v>4.0379303598931078E-3</c:v>
                </c:pt>
                <c:pt idx="9">
                  <c:v>3.3059777644317309E-3</c:v>
                </c:pt>
                <c:pt idx="10">
                  <c:v>2.7067056647322543E-3</c:v>
                </c:pt>
                <c:pt idx="11">
                  <c:v>2.2160631672466773E-3</c:v>
                </c:pt>
                <c:pt idx="12">
                  <c:v>1.8143590657882503E-3</c:v>
                </c:pt>
                <c:pt idx="13">
                  <c:v>1.4854715642866776E-3</c:v>
                </c:pt>
                <c:pt idx="14">
                  <c:v>1.2162012525043591E-3</c:v>
                </c:pt>
                <c:pt idx="15">
                  <c:v>9.95741367357279E-4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53-4823-B514-D46A632B0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7304"/>
        <c:axId val="1"/>
      </c:scatterChart>
      <c:valAx>
        <c:axId val="41248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7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Вероятности</a:t>
            </a:r>
            <a:r>
              <a:rPr lang="ru-RU" baseline="0"/>
              <a:t> безотказной работы элементов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'1.4'!$B$13:$B$33</c:f>
              <c:numCache>
                <c:formatCode>0.00</c:formatCode>
                <c:ptCount val="21"/>
                <c:pt idx="0">
                  <c:v>0.99999312532205709</c:v>
                </c:pt>
                <c:pt idx="1">
                  <c:v>0.99944464439566871</c:v>
                </c:pt>
                <c:pt idx="2">
                  <c:v>0.98514416685602335</c:v>
                </c:pt>
                <c:pt idx="3">
                  <c:v>0.86147198748368981</c:v>
                </c:pt>
                <c:pt idx="4">
                  <c:v>0.5</c:v>
                </c:pt>
                <c:pt idx="5">
                  <c:v>0.13852801251631019</c:v>
                </c:pt>
                <c:pt idx="6">
                  <c:v>1.4855833143976649E-2</c:v>
                </c:pt>
                <c:pt idx="7">
                  <c:v>5.5535560433128683E-4</c:v>
                </c:pt>
                <c:pt idx="8">
                  <c:v>6.8746779429140759E-6</c:v>
                </c:pt>
                <c:pt idx="9">
                  <c:v>2.7431639404440489E-8</c:v>
                </c:pt>
                <c:pt idx="10">
                  <c:v>3.4748426358532924E-11</c:v>
                </c:pt>
                <c:pt idx="11">
                  <c:v>1.3877787807814457E-14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A-4CCF-9154-E2A8B4165FBD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'1.4'!$C$13:$C$33</c:f>
              <c:numCache>
                <c:formatCode>0.00</c:formatCode>
                <c:ptCount val="21"/>
                <c:pt idx="0">
                  <c:v>1</c:v>
                </c:pt>
                <c:pt idx="1">
                  <c:v>0.90483741803595952</c:v>
                </c:pt>
                <c:pt idx="2">
                  <c:v>0.67032004603563933</c:v>
                </c:pt>
                <c:pt idx="3">
                  <c:v>0.40656965974059911</c:v>
                </c:pt>
                <c:pt idx="4">
                  <c:v>0.20189651799465538</c:v>
                </c:pt>
                <c:pt idx="5">
                  <c:v>8.20849986238988E-2</c:v>
                </c:pt>
                <c:pt idx="6">
                  <c:v>2.7323722447292559E-2</c:v>
                </c:pt>
                <c:pt idx="7">
                  <c:v>7.4465830709243381E-3</c:v>
                </c:pt>
                <c:pt idx="8">
                  <c:v>1.6615572731739339E-3</c:v>
                </c:pt>
                <c:pt idx="9">
                  <c:v>3.0353913807886623E-4</c:v>
                </c:pt>
                <c:pt idx="10">
                  <c:v>4.5399929762484854E-5</c:v>
                </c:pt>
                <c:pt idx="11">
                  <c:v>5.5595132416501367E-6</c:v>
                </c:pt>
                <c:pt idx="12">
                  <c:v>5.5739036926945956E-7</c:v>
                </c:pt>
                <c:pt idx="13">
                  <c:v>4.5753387694457955E-8</c:v>
                </c:pt>
                <c:pt idx="14">
                  <c:v>3.0748798795866061E-9</c:v>
                </c:pt>
                <c:pt idx="15">
                  <c:v>1.6918979226151242E-10</c:v>
                </c:pt>
                <c:pt idx="16">
                  <c:v>7.6218651945128903E-12</c:v>
                </c:pt>
                <c:pt idx="17">
                  <c:v>2.8111852987890343E-13</c:v>
                </c:pt>
                <c:pt idx="18">
                  <c:v>8.4890440338717171E-15</c:v>
                </c:pt>
                <c:pt idx="19">
                  <c:v>2.0987910487930498E-16</c:v>
                </c:pt>
                <c:pt idx="20">
                  <c:v>4.2483542552915889E-18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A-4CCF-9154-E2A8B4165FBD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'1.4'!$D$13:$D$33</c:f>
              <c:numCache>
                <c:formatCode>0.00</c:formatCode>
                <c:ptCount val="21"/>
                <c:pt idx="0">
                  <c:v>1</c:v>
                </c:pt>
                <c:pt idx="1">
                  <c:v>0.93145955029926752</c:v>
                </c:pt>
                <c:pt idx="2">
                  <c:v>0.20056768754081619</c:v>
                </c:pt>
                <c:pt idx="3">
                  <c:v>4.7187717614966779E-5</c:v>
                </c:pt>
                <c:pt idx="4">
                  <c:v>1.6291758038188356E-16</c:v>
                </c:pt>
                <c:pt idx="5">
                  <c:v>8.0422907697319079E-44</c:v>
                </c:pt>
                <c:pt idx="6">
                  <c:v>1.2880245491789832E-98</c:v>
                </c:pt>
                <c:pt idx="7">
                  <c:v>1.305825612278925E-196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A-4CCF-9154-E2A8B4165FBD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'1.4'!$E$13:$E$33</c:f>
              <c:numCache>
                <c:formatCode>0.00</c:formatCode>
                <c:ptCount val="21"/>
                <c:pt idx="0">
                  <c:v>1</c:v>
                </c:pt>
                <c:pt idx="1">
                  <c:v>0.99004983374916811</c:v>
                </c:pt>
                <c:pt idx="2">
                  <c:v>0.98019867330675525</c:v>
                </c:pt>
                <c:pt idx="3">
                  <c:v>0.97044553354850815</c:v>
                </c:pt>
                <c:pt idx="4">
                  <c:v>0.96078943915232318</c:v>
                </c:pt>
                <c:pt idx="5">
                  <c:v>0.95122942450071402</c:v>
                </c:pt>
                <c:pt idx="6">
                  <c:v>0.94176453358424872</c:v>
                </c:pt>
                <c:pt idx="7">
                  <c:v>0.93239381990594827</c:v>
                </c:pt>
                <c:pt idx="8">
                  <c:v>0.92311634638663576</c:v>
                </c:pt>
                <c:pt idx="9">
                  <c:v>0.91393118527122819</c:v>
                </c:pt>
                <c:pt idx="10">
                  <c:v>0.90483741803595952</c:v>
                </c:pt>
                <c:pt idx="11">
                  <c:v>0.89583413529652822</c:v>
                </c:pt>
                <c:pt idx="12">
                  <c:v>0.88692043671715748</c:v>
                </c:pt>
                <c:pt idx="13">
                  <c:v>0.8780954309205613</c:v>
                </c:pt>
                <c:pt idx="14">
                  <c:v>0.86935823539880586</c:v>
                </c:pt>
                <c:pt idx="15">
                  <c:v>0.86070797642505781</c:v>
                </c:pt>
                <c:pt idx="16">
                  <c:v>0.85214378896621135</c:v>
                </c:pt>
                <c:pt idx="17">
                  <c:v>0.8436648165963837</c:v>
                </c:pt>
                <c:pt idx="18">
                  <c:v>0.835270211411272</c:v>
                </c:pt>
                <c:pt idx="19">
                  <c:v>0.82695913394336229</c:v>
                </c:pt>
                <c:pt idx="20">
                  <c:v>0.81873075307798182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5A-4CCF-9154-E2A8B4165FBD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'1.4'!$F$13:$F$33</c:f>
              <c:numCache>
                <c:formatCode>0.00</c:formatCode>
                <c:ptCount val="21"/>
                <c:pt idx="0">
                  <c:v>1</c:v>
                </c:pt>
                <c:pt idx="1">
                  <c:v>0.99993616569407384</c:v>
                </c:pt>
                <c:pt idx="2">
                  <c:v>0.99469691480688549</c:v>
                </c:pt>
                <c:pt idx="3">
                  <c:v>0.95481287236010115</c:v>
                </c:pt>
                <c:pt idx="4">
                  <c:v>0.84550562635405468</c:v>
                </c:pt>
                <c:pt idx="5">
                  <c:v>0.67370711436036201</c:v>
                </c:pt>
                <c:pt idx="6">
                  <c:v>0.48232220453455787</c:v>
                </c:pt>
                <c:pt idx="7">
                  <c:v>0.31335810991582602</c:v>
                </c:pt>
                <c:pt idx="8">
                  <c:v>0.18715405552486786</c:v>
                </c:pt>
                <c:pt idx="9">
                  <c:v>0.10403141450827069</c:v>
                </c:pt>
                <c:pt idx="10">
                  <c:v>5.4394817332111267E-2</c:v>
                </c:pt>
                <c:pt idx="11">
                  <c:v>2.6991353840025711E-2</c:v>
                </c:pt>
                <c:pt idx="12">
                  <c:v>1.2803537699461076E-2</c:v>
                </c:pt>
                <c:pt idx="13">
                  <c:v>5.8408203781128432E-3</c:v>
                </c:pt>
                <c:pt idx="14">
                  <c:v>2.5751483122982144E-3</c:v>
                </c:pt>
                <c:pt idx="15">
                  <c:v>1.1017867848022167E-3</c:v>
                </c:pt>
                <c:pt idx="16">
                  <c:v>4.5904058839818518E-4</c:v>
                </c:pt>
                <c:pt idx="17">
                  <c:v>1.8677556500035219E-4</c:v>
                </c:pt>
                <c:pt idx="18">
                  <c:v>7.4399887060261349E-5</c:v>
                </c:pt>
                <c:pt idx="19">
                  <c:v>2.9075095630437531E-5</c:v>
                </c:pt>
                <c:pt idx="20">
                  <c:v>1.1167432079961515E-5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5A-4CCF-9154-E2A8B416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48576"/>
        <c:axId val="553848904"/>
      </c:lineChart>
      <c:catAx>
        <c:axId val="5538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848904"/>
        <c:crosses val="autoZero"/>
        <c:auto val="1"/>
        <c:lblAlgn val="ctr"/>
        <c:lblOffset val="100"/>
        <c:noMultiLvlLbl val="0"/>
      </c:catAx>
      <c:valAx>
        <c:axId val="553848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8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Вероятность безотказной работы системы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'1.4'!$G$13:$G$33</c:f>
              <c:numCache>
                <c:formatCode>0.00</c:formatCode>
                <c:ptCount val="21"/>
                <c:pt idx="0">
                  <c:v>0.99999312532205709</c:v>
                </c:pt>
                <c:pt idx="1">
                  <c:v>0.83391661773143921</c:v>
                </c:pt>
                <c:pt idx="2">
                  <c:v>0.12913615344239512</c:v>
                </c:pt>
                <c:pt idx="3">
                  <c:v>1.5314207561535152E-5</c:v>
                </c:pt>
                <c:pt idx="4">
                  <c:v>1.3360155327381283E-17</c:v>
                </c:pt>
                <c:pt idx="5">
                  <c:v>5.8605392520806763E-46</c:v>
                </c:pt>
                <c:pt idx="6">
                  <c:v>2.3748741787690623E-102</c:v>
                </c:pt>
                <c:pt idx="7">
                  <c:v>1.5778063710461083E-202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2-439D-9340-915B470FA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36240"/>
        <c:axId val="490874576"/>
      </c:lineChart>
      <c:catAx>
        <c:axId val="49093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74576"/>
        <c:crosses val="autoZero"/>
        <c:auto val="1"/>
        <c:lblAlgn val="ctr"/>
        <c:lblOffset val="100"/>
        <c:noMultiLvlLbl val="0"/>
      </c:catAx>
      <c:valAx>
        <c:axId val="490874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93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Плотности</a:t>
            </a:r>
            <a:r>
              <a:rPr lang="ru-RU" baseline="0"/>
              <a:t> распределений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'1.4'!$B$41:$B$61</c:f>
              <c:numCache>
                <c:formatCode>0.0000</c:formatCode>
                <c:ptCount val="21"/>
                <c:pt idx="0">
                  <c:v>3.4061162053503729E-7</c:v>
                </c:pt>
                <c:pt idx="1">
                  <c:v>2.1288101189654156E-5</c:v>
                </c:pt>
                <c:pt idx="2">
                  <c:v>4.0823152937421103E-4</c:v>
                </c:pt>
                <c:pt idx="3">
                  <c:v>2.4019740705379876E-3</c:v>
                </c:pt>
                <c:pt idx="4">
                  <c:v>4.3363291347981812E-3</c:v>
                </c:pt>
                <c:pt idx="5">
                  <c:v>2.4019740705379876E-3</c:v>
                </c:pt>
                <c:pt idx="6">
                  <c:v>4.0823152937421103E-4</c:v>
                </c:pt>
                <c:pt idx="7">
                  <c:v>2.1288101189654156E-5</c:v>
                </c:pt>
                <c:pt idx="8">
                  <c:v>3.4061162053503729E-7</c:v>
                </c:pt>
                <c:pt idx="9">
                  <c:v>1.6721458217122672E-9</c:v>
                </c:pt>
                <c:pt idx="10">
                  <c:v>2.5187263647650483E-12</c:v>
                </c:pt>
                <c:pt idx="11">
                  <c:v>1.1640723700416713E-15</c:v>
                </c:pt>
                <c:pt idx="12">
                  <c:v>1.6507113096818292E-19</c:v>
                </c:pt>
                <c:pt idx="13">
                  <c:v>7.1821492411744692E-24</c:v>
                </c:pt>
                <c:pt idx="14">
                  <c:v>9.5880408683621622E-29</c:v>
                </c:pt>
                <c:pt idx="15">
                  <c:v>3.9273307725679722E-34</c:v>
                </c:pt>
                <c:pt idx="16">
                  <c:v>4.9357964041527383E-40</c:v>
                </c:pt>
                <c:pt idx="17">
                  <c:v>1.9033083231147599E-46</c:v>
                </c:pt>
                <c:pt idx="18">
                  <c:v>2.2519213014807096E-53</c:v>
                </c:pt>
                <c:pt idx="19">
                  <c:v>8.1750312987545796E-61</c:v>
                </c:pt>
                <c:pt idx="20">
                  <c:v>9.1057933878011569E-69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3-44A0-A234-0A25DD0A15EF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'1.4'!$C$41:$C$61</c:f>
              <c:numCache>
                <c:formatCode>0.0000</c:formatCode>
                <c:ptCount val="21"/>
                <c:pt idx="0">
                  <c:v>0</c:v>
                </c:pt>
                <c:pt idx="1">
                  <c:v>1.8096748360719194E-3</c:v>
                </c:pt>
                <c:pt idx="2">
                  <c:v>2.6812801841425561E-3</c:v>
                </c:pt>
                <c:pt idx="3">
                  <c:v>2.4394179584435937E-3</c:v>
                </c:pt>
                <c:pt idx="4">
                  <c:v>1.6151721439572424E-3</c:v>
                </c:pt>
                <c:pt idx="5">
                  <c:v>8.2084998623898719E-4</c:v>
                </c:pt>
                <c:pt idx="6">
                  <c:v>3.278846693675105E-4</c:v>
                </c:pt>
                <c:pt idx="7">
                  <c:v>1.042521629929407E-4</c:v>
                </c:pt>
                <c:pt idx="8">
                  <c:v>2.6584916370782937E-5</c:v>
                </c:pt>
                <c:pt idx="9">
                  <c:v>5.463704485419593E-6</c:v>
                </c:pt>
                <c:pt idx="10">
                  <c:v>9.0799859524969516E-7</c:v>
                </c:pt>
                <c:pt idx="11">
                  <c:v>1.2230929131630316E-7</c:v>
                </c:pt>
                <c:pt idx="12">
                  <c:v>1.3377368862466982E-8</c:v>
                </c:pt>
                <c:pt idx="13">
                  <c:v>1.1895880800559153E-9</c:v>
                </c:pt>
                <c:pt idx="14">
                  <c:v>8.6096636628425269E-11</c:v>
                </c:pt>
                <c:pt idx="15">
                  <c:v>5.0756937678453723E-12</c:v>
                </c:pt>
                <c:pt idx="16">
                  <c:v>2.4389968622441244E-13</c:v>
                </c:pt>
                <c:pt idx="17">
                  <c:v>9.558030015882746E-15</c:v>
                </c:pt>
                <c:pt idx="18">
                  <c:v>3.05605585219384E-16</c:v>
                </c:pt>
                <c:pt idx="19">
                  <c:v>7.9754059854135336E-18</c:v>
                </c:pt>
                <c:pt idx="20">
                  <c:v>1.6993417021166353E-19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3-44A0-A234-0A25DD0A15EF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'1.4'!$D$41:$D$61</c:f>
              <c:numCache>
                <c:formatCode>0.0000</c:formatCode>
                <c:ptCount val="21"/>
                <c:pt idx="0">
                  <c:v>0</c:v>
                </c:pt>
                <c:pt idx="1">
                  <c:v>2.9761186453482881E-3</c:v>
                </c:pt>
                <c:pt idx="2">
                  <c:v>7.2502368274114572E-3</c:v>
                </c:pt>
                <c:pt idx="3">
                  <c:v>7.050819616832732E-6</c:v>
                </c:pt>
                <c:pt idx="4">
                  <c:v>6.6629132960892027E-17</c:v>
                </c:pt>
                <c:pt idx="5">
                  <c:v>7.1822584177561101E-44</c:v>
                </c:pt>
                <c:pt idx="6">
                  <c:v>2.1774077166844129E-98</c:v>
                </c:pt>
                <c:pt idx="7">
                  <c:v>3.786296006565154E-196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3-44A0-A234-0A25DD0A15EF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'1.4'!$E$41:$E$61</c:f>
              <c:numCache>
                <c:formatCode>0.0000</c:formatCode>
                <c:ptCount val="21"/>
                <c:pt idx="0">
                  <c:v>1E-4</c:v>
                </c:pt>
                <c:pt idx="1">
                  <c:v>9.9004983374916818E-5</c:v>
                </c:pt>
                <c:pt idx="2">
                  <c:v>9.8019867330675526E-5</c:v>
                </c:pt>
                <c:pt idx="3">
                  <c:v>9.704455335485082E-5</c:v>
                </c:pt>
                <c:pt idx="4">
                  <c:v>9.6078943915232324E-5</c:v>
                </c:pt>
                <c:pt idx="5">
                  <c:v>9.5122942450071409E-5</c:v>
                </c:pt>
                <c:pt idx="6">
                  <c:v>9.4176453358424872E-5</c:v>
                </c:pt>
                <c:pt idx="7">
                  <c:v>9.3239381990594829E-5</c:v>
                </c:pt>
                <c:pt idx="8">
                  <c:v>9.2311634638663579E-5</c:v>
                </c:pt>
                <c:pt idx="9">
                  <c:v>9.139311852712282E-5</c:v>
                </c:pt>
                <c:pt idx="10">
                  <c:v>9.0483741803595961E-5</c:v>
                </c:pt>
                <c:pt idx="11">
                  <c:v>8.9583413529652821E-5</c:v>
                </c:pt>
                <c:pt idx="12">
                  <c:v>8.869204367171575E-5</c:v>
                </c:pt>
                <c:pt idx="13">
                  <c:v>8.7809543092056135E-5</c:v>
                </c:pt>
                <c:pt idx="14">
                  <c:v>8.6935823539880584E-5</c:v>
                </c:pt>
                <c:pt idx="15">
                  <c:v>8.6070797642505791E-5</c:v>
                </c:pt>
                <c:pt idx="16">
                  <c:v>8.5214378896621138E-5</c:v>
                </c:pt>
                <c:pt idx="17">
                  <c:v>8.4366481659638374E-5</c:v>
                </c:pt>
                <c:pt idx="18">
                  <c:v>8.3527021141127208E-5</c:v>
                </c:pt>
                <c:pt idx="19">
                  <c:v>8.2695913394336234E-5</c:v>
                </c:pt>
                <c:pt idx="20">
                  <c:v>8.1873075307798185E-5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43-44A0-A234-0A25DD0A15EF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'1.4'!$F$41:$F$61</c:f>
              <c:numCache>
                <c:formatCode>0.0000</c:formatCode>
                <c:ptCount val="21"/>
                <c:pt idx="0">
                  <c:v>0</c:v>
                </c:pt>
                <c:pt idx="1">
                  <c:v>4.3815205658057319E-6</c:v>
                </c:pt>
                <c:pt idx="2">
                  <c:v>1.5304389727000816E-4</c:v>
                </c:pt>
                <c:pt idx="3">
                  <c:v>7.1356907845031932E-4</c:v>
                </c:pt>
                <c:pt idx="4">
                  <c:v>1.4587751978180328E-3</c:v>
                </c:pt>
                <c:pt idx="5">
                  <c:v>1.8981898822827926E-3</c:v>
                </c:pt>
                <c:pt idx="6">
                  <c:v>1.8560495614825688E-3</c:v>
                </c:pt>
                <c:pt idx="7">
                  <c:v>1.4900412400824016E-3</c:v>
                </c:pt>
                <c:pt idx="8">
                  <c:v>1.035435640807095E-3</c:v>
                </c:pt>
                <c:pt idx="9">
                  <c:v>6.4442437535823125E-4</c:v>
                </c:pt>
                <c:pt idx="10">
                  <c:v>3.676677907525862E-4</c:v>
                </c:pt>
                <c:pt idx="11">
                  <c:v>1.9551747230975105E-4</c:v>
                </c:pt>
                <c:pt idx="12">
                  <c:v>9.8103994861972106E-5</c:v>
                </c:pt>
                <c:pt idx="13">
                  <c:v>4.6881621974382365E-5</c:v>
                </c:pt>
                <c:pt idx="14">
                  <c:v>2.1491988751263839E-5</c:v>
                </c:pt>
                <c:pt idx="15">
                  <c:v>9.5060558288088036E-6</c:v>
                </c:pt>
                <c:pt idx="16">
                  <c:v>4.0755161467201568E-6</c:v>
                </c:pt>
                <c:pt idx="17">
                  <c:v>1.7000683471458812E-6</c:v>
                </c:pt>
                <c:pt idx="18">
                  <c:v>6.9216982102633724E-7</c:v>
                </c:pt>
                <c:pt idx="19">
                  <c:v>2.7577921000035887E-7</c:v>
                </c:pt>
                <c:pt idx="20">
                  <c:v>1.0776493678381428E-7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43-44A0-A234-0A25DD0A1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57440"/>
        <c:axId val="411154488"/>
      </c:lineChart>
      <c:catAx>
        <c:axId val="4111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1154488"/>
        <c:crosses val="autoZero"/>
        <c:auto val="1"/>
        <c:lblAlgn val="ctr"/>
        <c:lblOffset val="100"/>
        <c:noMultiLvlLbl val="0"/>
      </c:catAx>
      <c:valAx>
        <c:axId val="41115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115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Интенсивности</a:t>
            </a:r>
            <a:r>
              <a:rPr lang="ru-RU" baseline="0"/>
              <a:t> отказов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'1.4'!$B$66:$B$86</c:f>
              <c:numCache>
                <c:formatCode>0.0000</c:formatCode>
                <c:ptCount val="21"/>
                <c:pt idx="0">
                  <c:v>3.4061396214632992E-7</c:v>
                </c:pt>
                <c:pt idx="1">
                  <c:v>2.129993022527663E-5</c:v>
                </c:pt>
                <c:pt idx="2">
                  <c:v>4.1438760245318814E-4</c:v>
                </c:pt>
                <c:pt idx="3">
                  <c:v>2.788220749410571E-3</c:v>
                </c:pt>
                <c:pt idx="4">
                  <c:v>8.6726582695963624E-3</c:v>
                </c:pt>
                <c:pt idx="5">
                  <c:v>1.7339266094322844E-2</c:v>
                </c:pt>
                <c:pt idx="6">
                  <c:v>2.7479544594894025E-2</c:v>
                </c:pt>
                <c:pt idx="7">
                  <c:v>3.8332378432171445E-2</c:v>
                </c:pt>
                <c:pt idx="8">
                  <c:v>4.9545829399341573E-2</c:v>
                </c:pt>
                <c:pt idx="9">
                  <c:v>6.0956831527961435E-2</c:v>
                </c:pt>
                <c:pt idx="10">
                  <c:v>7.2484616678088573E-2</c:v>
                </c:pt>
                <c:pt idx="11">
                  <c:v>8.3880254271231386E-2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6-43DB-8F1A-817259106B4B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'1.4'!$C$66:$C$86</c:f>
              <c:numCache>
                <c:formatCode>0.0000</c:formatCode>
                <c:ptCount val="21"/>
                <c:pt idx="0">
                  <c:v>0</c:v>
                </c:pt>
                <c:pt idx="1">
                  <c:v>2.0000000000000005E-3</c:v>
                </c:pt>
                <c:pt idx="2">
                  <c:v>3.9999999999999983E-3</c:v>
                </c:pt>
                <c:pt idx="3">
                  <c:v>5.9999999999999975E-3</c:v>
                </c:pt>
                <c:pt idx="4">
                  <c:v>7.9999999999999967E-3</c:v>
                </c:pt>
                <c:pt idx="5">
                  <c:v>9.9999999999999898E-3</c:v>
                </c:pt>
                <c:pt idx="6">
                  <c:v>1.1999999999999992E-2</c:v>
                </c:pt>
                <c:pt idx="7">
                  <c:v>1.3999999999999995E-2</c:v>
                </c:pt>
                <c:pt idx="8">
                  <c:v>1.5999999999999997E-2</c:v>
                </c:pt>
                <c:pt idx="9">
                  <c:v>1.8000000000000002E-2</c:v>
                </c:pt>
                <c:pt idx="10">
                  <c:v>1.9999999999999959E-2</c:v>
                </c:pt>
                <c:pt idx="11">
                  <c:v>2.2000000000000026E-2</c:v>
                </c:pt>
                <c:pt idx="12">
                  <c:v>2.3999999999999914E-2</c:v>
                </c:pt>
                <c:pt idx="13">
                  <c:v>2.6000000000000186E-2</c:v>
                </c:pt>
                <c:pt idx="14">
                  <c:v>2.8000000000000098E-2</c:v>
                </c:pt>
                <c:pt idx="15">
                  <c:v>0.03</c:v>
                </c:pt>
                <c:pt idx="16">
                  <c:v>3.1999999999999994E-2</c:v>
                </c:pt>
                <c:pt idx="17">
                  <c:v>3.4000000000000107E-2</c:v>
                </c:pt>
                <c:pt idx="18">
                  <c:v>3.6000000000000254E-2</c:v>
                </c:pt>
                <c:pt idx="19">
                  <c:v>3.7999999999999735E-2</c:v>
                </c:pt>
                <c:pt idx="20">
                  <c:v>3.9999999999999994E-2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6-43DB-8F1A-817259106B4B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'1.4'!$D$66:$D$86</c:f>
              <c:numCache>
                <c:formatCode>0.0000</c:formatCode>
                <c:ptCount val="21"/>
                <c:pt idx="0">
                  <c:v>0</c:v>
                </c:pt>
                <c:pt idx="1">
                  <c:v>3.1951131365737721E-3</c:v>
                </c:pt>
                <c:pt idx="2">
                  <c:v>3.6148578648472526E-2</c:v>
                </c:pt>
                <c:pt idx="3">
                  <c:v>0.14942065378886615</c:v>
                </c:pt>
                <c:pt idx="4">
                  <c:v>0.40897448148144233</c:v>
                </c:pt>
                <c:pt idx="5">
                  <c:v>0.89306127114768974</c:v>
                </c:pt>
                <c:pt idx="6">
                  <c:v>1.6905017206949535</c:v>
                </c:pt>
                <c:pt idx="7">
                  <c:v>2.8995418461407843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6-43DB-8F1A-817259106B4B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'1.4'!$E$66:$E$86</c:f>
              <c:numCache>
                <c:formatCode>0.0000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1.0000000000000002E-4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6-43DB-8F1A-817259106B4B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'1.4'!$F$66:$F$86</c:f>
              <c:numCache>
                <c:formatCode>0.0000</c:formatCode>
                <c:ptCount val="21"/>
                <c:pt idx="0">
                  <c:v>0</c:v>
                </c:pt>
                <c:pt idx="1">
                  <c:v>4.3818002749849927E-6</c:v>
                </c:pt>
                <c:pt idx="2">
                  <c:v>1.5385982905126506E-4</c:v>
                </c:pt>
                <c:pt idx="3">
                  <c:v>7.4733918981058898E-4</c:v>
                </c:pt>
                <c:pt idx="4">
                  <c:v>1.7253287882997151E-3</c:v>
                </c:pt>
                <c:pt idx="5">
                  <c:v>2.8175298164766923E-3</c:v>
                </c:pt>
                <c:pt idx="6">
                  <c:v>3.8481528406382644E-3</c:v>
                </c:pt>
                <c:pt idx="7">
                  <c:v>4.7550747624902868E-3</c:v>
                </c:pt>
                <c:pt idx="8">
                  <c:v>5.5325311434114921E-3</c:v>
                </c:pt>
                <c:pt idx="9">
                  <c:v>6.1945170927864132E-3</c:v>
                </c:pt>
                <c:pt idx="10">
                  <c:v>6.7592430453027432E-3</c:v>
                </c:pt>
                <c:pt idx="11">
                  <c:v>7.2437075023564215E-3</c:v>
                </c:pt>
                <c:pt idx="12">
                  <c:v>7.6622568828068104E-3</c:v>
                </c:pt>
                <c:pt idx="13">
                  <c:v>8.0265474607061488E-3</c:v>
                </c:pt>
                <c:pt idx="14">
                  <c:v>8.3459226983641655E-3</c:v>
                </c:pt>
                <c:pt idx="15">
                  <c:v>8.6278542817295172E-3</c:v>
                </c:pt>
                <c:pt idx="16">
                  <c:v>8.8783350529886805E-3</c:v>
                </c:pt>
                <c:pt idx="17">
                  <c:v>9.1021989259819688E-3</c:v>
                </c:pt>
                <c:pt idx="18">
                  <c:v>9.3033719320797289E-3</c:v>
                </c:pt>
                <c:pt idx="19">
                  <c:v>9.4850663091768771E-3</c:v>
                </c:pt>
                <c:pt idx="20">
                  <c:v>9.6499299044033818E-3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6-43DB-8F1A-817259106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80152"/>
        <c:axId val="490880480"/>
      </c:lineChart>
      <c:catAx>
        <c:axId val="49088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80480"/>
        <c:crosses val="autoZero"/>
        <c:auto val="1"/>
        <c:lblAlgn val="ctr"/>
        <c:lblOffset val="100"/>
        <c:noMultiLvlLbl val="0"/>
      </c:catAx>
      <c:valAx>
        <c:axId val="4908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8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Плотность распределения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'1.4'!$B$90</c:f>
              <c:strCache>
                <c:ptCount val="1"/>
                <c:pt idx="0">
                  <c:v>fc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'1.4'!$A$91:$A$111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'1.4'!$B$91:$B$111</c:f>
              <c:numCache>
                <c:formatCode>General</c:formatCode>
                <c:ptCount val="21"/>
                <c:pt idx="0">
                  <c:v>1.0033992415274075E-4</c:v>
                </c:pt>
                <c:pt idx="1">
                  <c:v>4.4370992591931816E-3</c:v>
                </c:pt>
                <c:pt idx="2">
                  <c:v>5.2709279156954629E-3</c:v>
                </c:pt>
                <c:pt idx="3">
                  <c:v>2.4358198709838261E-6</c:v>
                </c:pt>
                <c:pt idx="4">
                  <c:v>5.7110985778646701E-18</c:v>
                </c:pt>
                <c:pt idx="5">
                  <c:v>5.4111417741515339E-46</c:v>
                </c:pt>
                <c:pt idx="6">
                  <c:v>4.1178642029261559E-102</c:v>
                </c:pt>
                <c:pt idx="7">
                  <c:v>4.6651463259501634E-202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3-4D5B-9469-AB05A51E7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75968"/>
        <c:axId val="498274656"/>
      </c:lineChart>
      <c:catAx>
        <c:axId val="4982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74656"/>
        <c:crosses val="autoZero"/>
        <c:auto val="1"/>
        <c:lblAlgn val="ctr"/>
        <c:lblOffset val="100"/>
        <c:noMultiLvlLbl val="0"/>
      </c:catAx>
      <c:valAx>
        <c:axId val="4982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chart" Target="../charts/chart15.xml"/><Relationship Id="rId21" Type="http://schemas.openxmlformats.org/officeDocument/2006/relationships/chart" Target="../charts/chart26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image" Target="../media/image38.png"/><Relationship Id="rId2" Type="http://schemas.openxmlformats.org/officeDocument/2006/relationships/chart" Target="../charts/chart14.xml"/><Relationship Id="rId16" Type="http://schemas.openxmlformats.org/officeDocument/2006/relationships/image" Target="../media/image37.png"/><Relationship Id="rId20" Type="http://schemas.openxmlformats.org/officeDocument/2006/relationships/chart" Target="../charts/chart25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image" Target="../media/image36.png"/><Relationship Id="rId10" Type="http://schemas.openxmlformats.org/officeDocument/2006/relationships/chart" Target="../charts/chart22.xml"/><Relationship Id="rId19" Type="http://schemas.openxmlformats.org/officeDocument/2006/relationships/image" Target="../media/image40.png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13" Type="http://schemas.openxmlformats.org/officeDocument/2006/relationships/image" Target="../media/image22.emf"/><Relationship Id="rId3" Type="http://schemas.openxmlformats.org/officeDocument/2006/relationships/image" Target="../media/image12.emf"/><Relationship Id="rId7" Type="http://schemas.openxmlformats.org/officeDocument/2006/relationships/image" Target="../media/image16.emf"/><Relationship Id="rId12" Type="http://schemas.openxmlformats.org/officeDocument/2006/relationships/image" Target="../media/image21.emf"/><Relationship Id="rId17" Type="http://schemas.openxmlformats.org/officeDocument/2006/relationships/image" Target="../media/image26.emf"/><Relationship Id="rId2" Type="http://schemas.openxmlformats.org/officeDocument/2006/relationships/image" Target="../media/image11.emf"/><Relationship Id="rId16" Type="http://schemas.openxmlformats.org/officeDocument/2006/relationships/image" Target="../media/image25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11" Type="http://schemas.openxmlformats.org/officeDocument/2006/relationships/image" Target="../media/image20.emf"/><Relationship Id="rId5" Type="http://schemas.openxmlformats.org/officeDocument/2006/relationships/image" Target="../media/image14.emf"/><Relationship Id="rId15" Type="http://schemas.openxmlformats.org/officeDocument/2006/relationships/image" Target="../media/image24.emf"/><Relationship Id="rId10" Type="http://schemas.openxmlformats.org/officeDocument/2006/relationships/image" Target="../media/image19.emf"/><Relationship Id="rId4" Type="http://schemas.openxmlformats.org/officeDocument/2006/relationships/image" Target="../media/image13.emf"/><Relationship Id="rId9" Type="http://schemas.openxmlformats.org/officeDocument/2006/relationships/image" Target="../media/image18.emf"/><Relationship Id="rId14" Type="http://schemas.openxmlformats.org/officeDocument/2006/relationships/image" Target="../media/image2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0.emf"/><Relationship Id="rId1" Type="http://schemas.openxmlformats.org/officeDocument/2006/relationships/image" Target="../media/image29.emf"/><Relationship Id="rId5" Type="http://schemas.openxmlformats.org/officeDocument/2006/relationships/image" Target="../media/image33.emf"/><Relationship Id="rId4" Type="http://schemas.openxmlformats.org/officeDocument/2006/relationships/image" Target="../media/image3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38100</xdr:rowOff>
    </xdr:from>
    <xdr:to>
      <xdr:col>3</xdr:col>
      <xdr:colOff>590550</xdr:colOff>
      <xdr:row>15</xdr:row>
      <xdr:rowOff>9525</xdr:rowOff>
    </xdr:to>
    <xdr:pic>
      <xdr:nvPicPr>
        <xdr:cNvPr id="2781412" name="Рисунок 2">
          <a:extLst>
            <a:ext uri="{FF2B5EF4-FFF2-40B4-BE49-F238E27FC236}">
              <a16:creationId xmlns:a16="http://schemas.microsoft.com/office/drawing/2014/main" id="{00000000-0008-0000-0000-0000E4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5" t="34825" r="64594" b="32967"/>
        <a:stretch>
          <a:fillRect/>
        </a:stretch>
      </xdr:blipFill>
      <xdr:spPr bwMode="auto">
        <a:xfrm>
          <a:off x="590550" y="228600"/>
          <a:ext cx="1828800" cy="2638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1</xdr:row>
      <xdr:rowOff>19050</xdr:rowOff>
    </xdr:from>
    <xdr:to>
      <xdr:col>9</xdr:col>
      <xdr:colOff>28575</xdr:colOff>
      <xdr:row>15</xdr:row>
      <xdr:rowOff>28575</xdr:rowOff>
    </xdr:to>
    <xdr:pic>
      <xdr:nvPicPr>
        <xdr:cNvPr id="2781413" name="Рисунок 3">
          <a:extLst>
            <a:ext uri="{FF2B5EF4-FFF2-40B4-BE49-F238E27FC236}">
              <a16:creationId xmlns:a16="http://schemas.microsoft.com/office/drawing/2014/main" id="{00000000-0008-0000-0000-0000E5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01" t="37302" r="69257" b="31178"/>
        <a:stretch>
          <a:fillRect/>
        </a:stretch>
      </xdr:blipFill>
      <xdr:spPr bwMode="auto">
        <a:xfrm>
          <a:off x="3648075" y="209550"/>
          <a:ext cx="186690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571500</xdr:colOff>
      <xdr:row>1</xdr:row>
      <xdr:rowOff>9525</xdr:rowOff>
    </xdr:from>
    <xdr:to>
      <xdr:col>14</xdr:col>
      <xdr:colOff>19050</xdr:colOff>
      <xdr:row>15</xdr:row>
      <xdr:rowOff>38100</xdr:rowOff>
    </xdr:to>
    <xdr:pic>
      <xdr:nvPicPr>
        <xdr:cNvPr id="2781414" name="Рисунок 4">
          <a:extLst>
            <a:ext uri="{FF2B5EF4-FFF2-40B4-BE49-F238E27FC236}">
              <a16:creationId xmlns:a16="http://schemas.microsoft.com/office/drawing/2014/main" id="{00000000-0008-0000-0000-0000E6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53" t="31937" r="77466" b="42458"/>
        <a:stretch>
          <a:fillRect/>
        </a:stretch>
      </xdr:blipFill>
      <xdr:spPr bwMode="auto">
        <a:xfrm>
          <a:off x="6667500" y="200025"/>
          <a:ext cx="1885950" cy="2695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19</xdr:row>
      <xdr:rowOff>161925</xdr:rowOff>
    </xdr:from>
    <xdr:to>
      <xdr:col>6</xdr:col>
      <xdr:colOff>352425</xdr:colOff>
      <xdr:row>31</xdr:row>
      <xdr:rowOff>180975</xdr:rowOff>
    </xdr:to>
    <xdr:pic>
      <xdr:nvPicPr>
        <xdr:cNvPr id="2781415" name="Рисунок 5">
          <a:extLst>
            <a:ext uri="{FF2B5EF4-FFF2-40B4-BE49-F238E27FC236}">
              <a16:creationId xmlns:a16="http://schemas.microsoft.com/office/drawing/2014/main" id="{00000000-0008-0000-0000-0000E7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1" t="4955" r="11887" b="20313"/>
        <a:stretch>
          <a:fillRect/>
        </a:stretch>
      </xdr:blipFill>
      <xdr:spPr bwMode="auto">
        <a:xfrm>
          <a:off x="504825" y="3781425"/>
          <a:ext cx="350520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476250</xdr:colOff>
      <xdr:row>19</xdr:row>
      <xdr:rowOff>161925</xdr:rowOff>
    </xdr:from>
    <xdr:to>
      <xdr:col>13</xdr:col>
      <xdr:colOff>542925</xdr:colOff>
      <xdr:row>31</xdr:row>
      <xdr:rowOff>152400</xdr:rowOff>
    </xdr:to>
    <xdr:pic>
      <xdr:nvPicPr>
        <xdr:cNvPr id="2781416" name="Рисунок 6">
          <a:extLst>
            <a:ext uri="{FF2B5EF4-FFF2-40B4-BE49-F238E27FC236}">
              <a16:creationId xmlns:a16="http://schemas.microsoft.com/office/drawing/2014/main" id="{00000000-0008-0000-0000-0000E8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18" t="8455" r="28807" b="35760"/>
        <a:stretch>
          <a:fillRect/>
        </a:stretch>
      </xdr:blipFill>
      <xdr:spPr bwMode="auto">
        <a:xfrm>
          <a:off x="4743450" y="3781425"/>
          <a:ext cx="37242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400050</xdr:colOff>
      <xdr:row>20</xdr:row>
      <xdr:rowOff>28575</xdr:rowOff>
    </xdr:from>
    <xdr:to>
      <xdr:col>21</xdr:col>
      <xdr:colOff>419100</xdr:colOff>
      <xdr:row>32</xdr:row>
      <xdr:rowOff>85725</xdr:rowOff>
    </xdr:to>
    <xdr:pic>
      <xdr:nvPicPr>
        <xdr:cNvPr id="2781417" name="Рисунок 7">
          <a:extLst>
            <a:ext uri="{FF2B5EF4-FFF2-40B4-BE49-F238E27FC236}">
              <a16:creationId xmlns:a16="http://schemas.microsoft.com/office/drawing/2014/main" id="{00000000-0008-0000-0000-0000E9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66" t="33333" r="20695" b="17680"/>
        <a:stretch>
          <a:fillRect/>
        </a:stretch>
      </xdr:blipFill>
      <xdr:spPr bwMode="auto">
        <a:xfrm>
          <a:off x="9544050" y="3838575"/>
          <a:ext cx="3676650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142875</xdr:colOff>
      <xdr:row>20</xdr:row>
      <xdr:rowOff>114300</xdr:rowOff>
    </xdr:from>
    <xdr:to>
      <xdr:col>23</xdr:col>
      <xdr:colOff>552450</xdr:colOff>
      <xdr:row>20</xdr:row>
      <xdr:rowOff>123825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14163675" y="3924300"/>
          <a:ext cx="40957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152400</xdr:colOff>
      <xdr:row>20</xdr:row>
      <xdr:rowOff>114300</xdr:rowOff>
    </xdr:from>
    <xdr:to>
      <xdr:col>23</xdr:col>
      <xdr:colOff>581025</xdr:colOff>
      <xdr:row>21</xdr:row>
      <xdr:rowOff>95250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14173200" y="3924300"/>
          <a:ext cx="428625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228600</xdr:colOff>
          <xdr:row>35</xdr:row>
          <xdr:rowOff>76200</xdr:rowOff>
        </xdr:from>
        <xdr:to>
          <xdr:col>16</xdr:col>
          <xdr:colOff>457200</xdr:colOff>
          <xdr:row>50</xdr:row>
          <xdr:rowOff>63500</xdr:rowOff>
        </xdr:to>
        <xdr:sp macro="" textlink="">
          <xdr:nvSpPr>
            <xdr:cNvPr id="2781239" name="Object 4" hidden="1">
              <a:extLst>
                <a:ext uri="{63B3BB69-23CF-44E3-9099-C40C66FF867C}">
                  <a14:compatExt spid="_x0000_s2781239"/>
                </a:ext>
                <a:ext uri="{FF2B5EF4-FFF2-40B4-BE49-F238E27FC236}">
                  <a16:creationId xmlns:a16="http://schemas.microsoft.com/office/drawing/2014/main" id="{00000000-0008-0000-0000-000037702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541882</xdr:colOff>
      <xdr:row>4</xdr:row>
      <xdr:rowOff>62369</xdr:rowOff>
    </xdr:from>
    <xdr:to>
      <xdr:col>15</xdr:col>
      <xdr:colOff>314325</xdr:colOff>
      <xdr:row>9</xdr:row>
      <xdr:rowOff>142875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485607" y="881519"/>
          <a:ext cx="3763418" cy="1128256"/>
        </a:xfrm>
        <a:prstGeom prst="foldedCorner">
          <a:avLst/>
        </a:prstGeom>
        <a:solidFill>
          <a:schemeClr val="bg1">
            <a:lumMod val="65000"/>
            <a:alpha val="23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12</xdr:col>
      <xdr:colOff>57150</xdr:colOff>
      <xdr:row>10</xdr:row>
      <xdr:rowOff>123825</xdr:rowOff>
    </xdr:from>
    <xdr:to>
      <xdr:col>18</xdr:col>
      <xdr:colOff>400050</xdr:colOff>
      <xdr:row>23</xdr:row>
      <xdr:rowOff>57150</xdr:rowOff>
    </xdr:to>
    <xdr:graphicFrame macro="">
      <xdr:nvGraphicFramePr>
        <xdr:cNvPr id="2971151" name="Диаграмма 3">
          <a:extLst>
            <a:ext uri="{FF2B5EF4-FFF2-40B4-BE49-F238E27FC236}">
              <a16:creationId xmlns:a16="http://schemas.microsoft.com/office/drawing/2014/main" id="{00000000-0008-0000-0100-00000F562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66675</xdr:colOff>
      <xdr:row>23</xdr:row>
      <xdr:rowOff>142875</xdr:rowOff>
    </xdr:from>
    <xdr:to>
      <xdr:col>18</xdr:col>
      <xdr:colOff>428625</xdr:colOff>
      <xdr:row>36</xdr:row>
      <xdr:rowOff>19050</xdr:rowOff>
    </xdr:to>
    <xdr:graphicFrame macro="">
      <xdr:nvGraphicFramePr>
        <xdr:cNvPr id="2971152" name="Диаграмма 4">
          <a:extLst>
            <a:ext uri="{FF2B5EF4-FFF2-40B4-BE49-F238E27FC236}">
              <a16:creationId xmlns:a16="http://schemas.microsoft.com/office/drawing/2014/main" id="{00000000-0008-0000-0100-000010562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495300</xdr:colOff>
      <xdr:row>1</xdr:row>
      <xdr:rowOff>142875</xdr:rowOff>
    </xdr:from>
    <xdr:to>
      <xdr:col>12</xdr:col>
      <xdr:colOff>66675</xdr:colOff>
      <xdr:row>2</xdr:row>
      <xdr:rowOff>85725</xdr:rowOff>
    </xdr:to>
    <xdr:grpSp>
      <xdr:nvGrpSpPr>
        <xdr:cNvPr id="2971153" name="Group 151">
          <a:extLst>
            <a:ext uri="{FF2B5EF4-FFF2-40B4-BE49-F238E27FC236}">
              <a16:creationId xmlns:a16="http://schemas.microsoft.com/office/drawing/2014/main" id="{00000000-0008-0000-0100-000011562D00}"/>
            </a:ext>
          </a:extLst>
        </xdr:cNvPr>
        <xdr:cNvGrpSpPr>
          <a:grpSpLocks/>
        </xdr:cNvGrpSpPr>
      </xdr:nvGrpSpPr>
      <xdr:grpSpPr bwMode="auto">
        <a:xfrm>
          <a:off x="9055100" y="346075"/>
          <a:ext cx="1044575" cy="158750"/>
          <a:chOff x="1935" y="1170"/>
          <a:chExt cx="1245" cy="240"/>
        </a:xfrm>
      </xdr:grpSpPr>
      <xdr:sp macro="" textlink="">
        <xdr:nvSpPr>
          <xdr:cNvPr id="2971172" name="Rectangle 152">
            <a:extLst>
              <a:ext uri="{FF2B5EF4-FFF2-40B4-BE49-F238E27FC236}">
                <a16:creationId xmlns:a16="http://schemas.microsoft.com/office/drawing/2014/main" id="{00000000-0008-0000-0100-000024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73" name="AutoShape 153">
            <a:extLst>
              <a:ext uri="{FF2B5EF4-FFF2-40B4-BE49-F238E27FC236}">
                <a16:creationId xmlns:a16="http://schemas.microsoft.com/office/drawing/2014/main" id="{00000000-0008-0000-0100-000025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74" name="AutoShape 154">
            <a:extLst>
              <a:ext uri="{FF2B5EF4-FFF2-40B4-BE49-F238E27FC236}">
                <a16:creationId xmlns:a16="http://schemas.microsoft.com/office/drawing/2014/main" id="{00000000-0008-0000-0100-000026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11</xdr:col>
      <xdr:colOff>514350</xdr:colOff>
      <xdr:row>1</xdr:row>
      <xdr:rowOff>133350</xdr:rowOff>
    </xdr:from>
    <xdr:to>
      <xdr:col>13</xdr:col>
      <xdr:colOff>161925</xdr:colOff>
      <xdr:row>2</xdr:row>
      <xdr:rowOff>85725</xdr:rowOff>
    </xdr:to>
    <xdr:grpSp>
      <xdr:nvGrpSpPr>
        <xdr:cNvPr id="2971154" name="Group 155">
          <a:extLst>
            <a:ext uri="{FF2B5EF4-FFF2-40B4-BE49-F238E27FC236}">
              <a16:creationId xmlns:a16="http://schemas.microsoft.com/office/drawing/2014/main" id="{00000000-0008-0000-0100-000012562D00}"/>
            </a:ext>
          </a:extLst>
        </xdr:cNvPr>
        <xdr:cNvGrpSpPr>
          <a:grpSpLocks/>
        </xdr:cNvGrpSpPr>
      </xdr:nvGrpSpPr>
      <xdr:grpSpPr bwMode="auto">
        <a:xfrm>
          <a:off x="9747250" y="336550"/>
          <a:ext cx="1235075" cy="168275"/>
          <a:chOff x="1935" y="1170"/>
          <a:chExt cx="1245" cy="240"/>
        </a:xfrm>
      </xdr:grpSpPr>
      <xdr:sp macro="" textlink="">
        <xdr:nvSpPr>
          <xdr:cNvPr id="2971169" name="Rectangle 156">
            <a:extLst>
              <a:ext uri="{FF2B5EF4-FFF2-40B4-BE49-F238E27FC236}">
                <a16:creationId xmlns:a16="http://schemas.microsoft.com/office/drawing/2014/main" id="{00000000-0008-0000-0100-000021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70" name="AutoShape 157">
            <a:extLst>
              <a:ext uri="{FF2B5EF4-FFF2-40B4-BE49-F238E27FC236}">
                <a16:creationId xmlns:a16="http://schemas.microsoft.com/office/drawing/2014/main" id="{00000000-0008-0000-0100-000022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71" name="AutoShape 158">
            <a:extLst>
              <a:ext uri="{FF2B5EF4-FFF2-40B4-BE49-F238E27FC236}">
                <a16:creationId xmlns:a16="http://schemas.microsoft.com/office/drawing/2014/main" id="{00000000-0008-0000-0100-000023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12</xdr:col>
      <xdr:colOff>571500</xdr:colOff>
      <xdr:row>1</xdr:row>
      <xdr:rowOff>142875</xdr:rowOff>
    </xdr:from>
    <xdr:to>
      <xdr:col>14</xdr:col>
      <xdr:colOff>85725</xdr:colOff>
      <xdr:row>2</xdr:row>
      <xdr:rowOff>85725</xdr:rowOff>
    </xdr:to>
    <xdr:grpSp>
      <xdr:nvGrpSpPr>
        <xdr:cNvPr id="2971155" name="Group 159">
          <a:extLst>
            <a:ext uri="{FF2B5EF4-FFF2-40B4-BE49-F238E27FC236}">
              <a16:creationId xmlns:a16="http://schemas.microsoft.com/office/drawing/2014/main" id="{00000000-0008-0000-0100-000013562D00}"/>
            </a:ext>
          </a:extLst>
        </xdr:cNvPr>
        <xdr:cNvGrpSpPr>
          <a:grpSpLocks/>
        </xdr:cNvGrpSpPr>
      </xdr:nvGrpSpPr>
      <xdr:grpSpPr bwMode="auto">
        <a:xfrm>
          <a:off x="10604500" y="346075"/>
          <a:ext cx="1190625" cy="158750"/>
          <a:chOff x="1935" y="1170"/>
          <a:chExt cx="1245" cy="240"/>
        </a:xfrm>
      </xdr:grpSpPr>
      <xdr:sp macro="" textlink="">
        <xdr:nvSpPr>
          <xdr:cNvPr id="2971166" name="Rectangle 160">
            <a:extLst>
              <a:ext uri="{FF2B5EF4-FFF2-40B4-BE49-F238E27FC236}">
                <a16:creationId xmlns:a16="http://schemas.microsoft.com/office/drawing/2014/main" id="{00000000-0008-0000-0100-00001E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7" name="AutoShape 161">
            <a:extLst>
              <a:ext uri="{FF2B5EF4-FFF2-40B4-BE49-F238E27FC236}">
                <a16:creationId xmlns:a16="http://schemas.microsoft.com/office/drawing/2014/main" id="{00000000-0008-0000-0100-00001F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8" name="AutoShape 162">
            <a:extLst>
              <a:ext uri="{FF2B5EF4-FFF2-40B4-BE49-F238E27FC236}">
                <a16:creationId xmlns:a16="http://schemas.microsoft.com/office/drawing/2014/main" id="{00000000-0008-0000-0100-000020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590550</xdr:colOff>
      <xdr:row>1</xdr:row>
      <xdr:rowOff>142875</xdr:rowOff>
    </xdr:from>
    <xdr:to>
      <xdr:col>15</xdr:col>
      <xdr:colOff>152400</xdr:colOff>
      <xdr:row>2</xdr:row>
      <xdr:rowOff>85725</xdr:rowOff>
    </xdr:to>
    <xdr:grpSp>
      <xdr:nvGrpSpPr>
        <xdr:cNvPr id="2971156" name="Group 163">
          <a:extLst>
            <a:ext uri="{FF2B5EF4-FFF2-40B4-BE49-F238E27FC236}">
              <a16:creationId xmlns:a16="http://schemas.microsoft.com/office/drawing/2014/main" id="{00000000-0008-0000-0100-000014562D00}"/>
            </a:ext>
          </a:extLst>
        </xdr:cNvPr>
        <xdr:cNvGrpSpPr>
          <a:grpSpLocks/>
        </xdr:cNvGrpSpPr>
      </xdr:nvGrpSpPr>
      <xdr:grpSpPr bwMode="auto">
        <a:xfrm>
          <a:off x="11410950" y="346075"/>
          <a:ext cx="1123950" cy="158750"/>
          <a:chOff x="1935" y="1170"/>
          <a:chExt cx="1245" cy="240"/>
        </a:xfrm>
      </xdr:grpSpPr>
      <xdr:sp macro="" textlink="">
        <xdr:nvSpPr>
          <xdr:cNvPr id="2971163" name="Rectangle 164">
            <a:extLst>
              <a:ext uri="{FF2B5EF4-FFF2-40B4-BE49-F238E27FC236}">
                <a16:creationId xmlns:a16="http://schemas.microsoft.com/office/drawing/2014/main" id="{00000000-0008-0000-0100-00001B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4" name="AutoShape 165">
            <a:extLst>
              <a:ext uri="{FF2B5EF4-FFF2-40B4-BE49-F238E27FC236}">
                <a16:creationId xmlns:a16="http://schemas.microsoft.com/office/drawing/2014/main" id="{00000000-0008-0000-0100-00001C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5" name="AutoShape 166">
            <a:extLst>
              <a:ext uri="{FF2B5EF4-FFF2-40B4-BE49-F238E27FC236}">
                <a16:creationId xmlns:a16="http://schemas.microsoft.com/office/drawing/2014/main" id="{00000000-0008-0000-0100-00001D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14</xdr:col>
      <xdr:colOff>590550</xdr:colOff>
      <xdr:row>1</xdr:row>
      <xdr:rowOff>133350</xdr:rowOff>
    </xdr:from>
    <xdr:to>
      <xdr:col>16</xdr:col>
      <xdr:colOff>285750</xdr:colOff>
      <xdr:row>2</xdr:row>
      <xdr:rowOff>95250</xdr:rowOff>
    </xdr:to>
    <xdr:grpSp>
      <xdr:nvGrpSpPr>
        <xdr:cNvPr id="2971157" name="Group 167">
          <a:extLst>
            <a:ext uri="{FF2B5EF4-FFF2-40B4-BE49-F238E27FC236}">
              <a16:creationId xmlns:a16="http://schemas.microsoft.com/office/drawing/2014/main" id="{00000000-0008-0000-0100-000015562D00}"/>
            </a:ext>
          </a:extLst>
        </xdr:cNvPr>
        <xdr:cNvGrpSpPr>
          <a:grpSpLocks/>
        </xdr:cNvGrpSpPr>
      </xdr:nvGrpSpPr>
      <xdr:grpSpPr bwMode="auto">
        <a:xfrm>
          <a:off x="12299950" y="336550"/>
          <a:ext cx="1041400" cy="177800"/>
          <a:chOff x="1935" y="1170"/>
          <a:chExt cx="1245" cy="240"/>
        </a:xfrm>
      </xdr:grpSpPr>
      <xdr:sp macro="" textlink="">
        <xdr:nvSpPr>
          <xdr:cNvPr id="2971160" name="Rectangle 168">
            <a:extLst>
              <a:ext uri="{FF2B5EF4-FFF2-40B4-BE49-F238E27FC236}">
                <a16:creationId xmlns:a16="http://schemas.microsoft.com/office/drawing/2014/main" id="{00000000-0008-0000-0100-000018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1" name="AutoShape 169">
            <a:extLst>
              <a:ext uri="{FF2B5EF4-FFF2-40B4-BE49-F238E27FC236}">
                <a16:creationId xmlns:a16="http://schemas.microsoft.com/office/drawing/2014/main" id="{00000000-0008-0000-0100-000019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2" name="AutoShape 170">
            <a:extLst>
              <a:ext uri="{FF2B5EF4-FFF2-40B4-BE49-F238E27FC236}">
                <a16:creationId xmlns:a16="http://schemas.microsoft.com/office/drawing/2014/main" id="{00000000-0008-0000-0100-00001A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16</xdr:col>
      <xdr:colOff>1565</xdr:colOff>
      <xdr:row>3</xdr:row>
      <xdr:rowOff>113516</xdr:rowOff>
    </xdr:from>
    <xdr:to>
      <xdr:col>21</xdr:col>
      <xdr:colOff>180975</xdr:colOff>
      <xdr:row>9</xdr:row>
      <xdr:rowOff>94467</xdr:rowOff>
    </xdr:to>
    <xdr:sp macro="" textlink="">
      <xdr:nvSpPr>
        <xdr:cNvPr id="25" name="Загнутый угол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545865" y="732641"/>
          <a:ext cx="3532210" cy="1228726"/>
        </a:xfrm>
        <a:prstGeom prst="foldedCorner">
          <a:avLst/>
        </a:prstGeom>
        <a:solidFill>
          <a:schemeClr val="accent5">
            <a:lumMod val="40000"/>
            <a:lumOff val="60000"/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7</xdr:col>
      <xdr:colOff>581703</xdr:colOff>
      <xdr:row>2</xdr:row>
      <xdr:rowOff>138229</xdr:rowOff>
    </xdr:from>
    <xdr:to>
      <xdr:col>9</xdr:col>
      <xdr:colOff>457681</xdr:colOff>
      <xdr:row>35</xdr:row>
      <xdr:rowOff>104775</xdr:rowOff>
    </xdr:to>
    <xdr:sp macro="" textlink="">
      <xdr:nvSpPr>
        <xdr:cNvPr id="31" name="Полилиния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6306228" y="547804"/>
          <a:ext cx="1095178" cy="6872171"/>
        </a:xfrm>
        <a:custGeom>
          <a:avLst/>
          <a:gdLst>
            <a:gd name="connsiteX0" fmla="*/ 615640 w 1082818"/>
            <a:gd name="connsiteY0" fmla="*/ 6783658 h 6783658"/>
            <a:gd name="connsiteX1" fmla="*/ 708567 w 1082818"/>
            <a:gd name="connsiteY1" fmla="*/ 6760426 h 6783658"/>
            <a:gd name="connsiteX2" fmla="*/ 778262 w 1082818"/>
            <a:gd name="connsiteY2" fmla="*/ 6713963 h 6783658"/>
            <a:gd name="connsiteX3" fmla="*/ 801494 w 1082818"/>
            <a:gd name="connsiteY3" fmla="*/ 6679115 h 6783658"/>
            <a:gd name="connsiteX4" fmla="*/ 882805 w 1082818"/>
            <a:gd name="connsiteY4" fmla="*/ 6632652 h 6783658"/>
            <a:gd name="connsiteX5" fmla="*/ 917653 w 1082818"/>
            <a:gd name="connsiteY5" fmla="*/ 6574573 h 6783658"/>
            <a:gd name="connsiteX6" fmla="*/ 952500 w 1082818"/>
            <a:gd name="connsiteY6" fmla="*/ 6528109 h 6783658"/>
            <a:gd name="connsiteX7" fmla="*/ 975732 w 1082818"/>
            <a:gd name="connsiteY7" fmla="*/ 6493262 h 6783658"/>
            <a:gd name="connsiteX8" fmla="*/ 987348 w 1082818"/>
            <a:gd name="connsiteY8" fmla="*/ 6446798 h 6783658"/>
            <a:gd name="connsiteX9" fmla="*/ 1010579 w 1082818"/>
            <a:gd name="connsiteY9" fmla="*/ 6411951 h 6783658"/>
            <a:gd name="connsiteX10" fmla="*/ 1022195 w 1082818"/>
            <a:gd name="connsiteY10" fmla="*/ 6353871 h 6783658"/>
            <a:gd name="connsiteX11" fmla="*/ 1045427 w 1082818"/>
            <a:gd name="connsiteY11" fmla="*/ 5471067 h 6783658"/>
            <a:gd name="connsiteX12" fmla="*/ 1033811 w 1082818"/>
            <a:gd name="connsiteY12" fmla="*/ 5006432 h 6783658"/>
            <a:gd name="connsiteX13" fmla="*/ 998963 w 1082818"/>
            <a:gd name="connsiteY13" fmla="*/ 4263018 h 6783658"/>
            <a:gd name="connsiteX14" fmla="*/ 987348 w 1082818"/>
            <a:gd name="connsiteY14" fmla="*/ 4228170 h 6783658"/>
            <a:gd name="connsiteX15" fmla="*/ 975732 w 1082818"/>
            <a:gd name="connsiteY15" fmla="*/ 4019085 h 6783658"/>
            <a:gd name="connsiteX16" fmla="*/ 940884 w 1082818"/>
            <a:gd name="connsiteY16" fmla="*/ 3786768 h 6783658"/>
            <a:gd name="connsiteX17" fmla="*/ 929268 w 1082818"/>
            <a:gd name="connsiteY17" fmla="*/ 3705457 h 6783658"/>
            <a:gd name="connsiteX18" fmla="*/ 906037 w 1082818"/>
            <a:gd name="connsiteY18" fmla="*/ 3496371 h 6783658"/>
            <a:gd name="connsiteX19" fmla="*/ 894421 w 1082818"/>
            <a:gd name="connsiteY19" fmla="*/ 3380213 h 6783658"/>
            <a:gd name="connsiteX20" fmla="*/ 871189 w 1082818"/>
            <a:gd name="connsiteY20" fmla="*/ 3264054 h 6783658"/>
            <a:gd name="connsiteX21" fmla="*/ 859573 w 1082818"/>
            <a:gd name="connsiteY21" fmla="*/ 2509024 h 6783658"/>
            <a:gd name="connsiteX22" fmla="*/ 847957 w 1082818"/>
            <a:gd name="connsiteY22" fmla="*/ 453018 h 6783658"/>
            <a:gd name="connsiteX23" fmla="*/ 836342 w 1082818"/>
            <a:gd name="connsiteY23" fmla="*/ 418170 h 6783658"/>
            <a:gd name="connsiteX24" fmla="*/ 778262 w 1082818"/>
            <a:gd name="connsiteY24" fmla="*/ 325243 h 6783658"/>
            <a:gd name="connsiteX25" fmla="*/ 743415 w 1082818"/>
            <a:gd name="connsiteY25" fmla="*/ 302012 h 6783658"/>
            <a:gd name="connsiteX26" fmla="*/ 708567 w 1082818"/>
            <a:gd name="connsiteY26" fmla="*/ 290396 h 6783658"/>
            <a:gd name="connsiteX27" fmla="*/ 627256 w 1082818"/>
            <a:gd name="connsiteY27" fmla="*/ 243932 h 6783658"/>
            <a:gd name="connsiteX28" fmla="*/ 580793 w 1082818"/>
            <a:gd name="connsiteY28" fmla="*/ 232317 h 6783658"/>
            <a:gd name="connsiteX29" fmla="*/ 487866 w 1082818"/>
            <a:gd name="connsiteY29" fmla="*/ 185853 h 6783658"/>
            <a:gd name="connsiteX30" fmla="*/ 441403 w 1082818"/>
            <a:gd name="connsiteY30" fmla="*/ 162621 h 6783658"/>
            <a:gd name="connsiteX31" fmla="*/ 394939 w 1082818"/>
            <a:gd name="connsiteY31" fmla="*/ 151006 h 6783658"/>
            <a:gd name="connsiteX32" fmla="*/ 325244 w 1082818"/>
            <a:gd name="connsiteY32" fmla="*/ 127774 h 6783658"/>
            <a:gd name="connsiteX33" fmla="*/ 290396 w 1082818"/>
            <a:gd name="connsiteY33" fmla="*/ 116158 h 6783658"/>
            <a:gd name="connsiteX34" fmla="*/ 185854 w 1082818"/>
            <a:gd name="connsiteY34" fmla="*/ 81311 h 6783658"/>
            <a:gd name="connsiteX35" fmla="*/ 151006 w 1082818"/>
            <a:gd name="connsiteY35" fmla="*/ 69695 h 6783658"/>
            <a:gd name="connsiteX36" fmla="*/ 11616 w 1082818"/>
            <a:gd name="connsiteY36" fmla="*/ 0 h 6783658"/>
            <a:gd name="connsiteX37" fmla="*/ 0 w 1082818"/>
            <a:gd name="connsiteY37" fmla="*/ 0 h 67836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</a:cxnLst>
          <a:rect l="l" t="t" r="r" b="b"/>
          <a:pathLst>
            <a:path w="1082818" h="6783658">
              <a:moveTo>
                <a:pt x="615640" y="6783658"/>
              </a:moveTo>
              <a:cubicBezTo>
                <a:pt x="631733" y="6780439"/>
                <a:pt x="688474" y="6771589"/>
                <a:pt x="708567" y="6760426"/>
              </a:cubicBezTo>
              <a:cubicBezTo>
                <a:pt x="732974" y="6746866"/>
                <a:pt x="778262" y="6713963"/>
                <a:pt x="778262" y="6713963"/>
              </a:cubicBezTo>
              <a:cubicBezTo>
                <a:pt x="786006" y="6702347"/>
                <a:pt x="791622" y="6688987"/>
                <a:pt x="801494" y="6679115"/>
              </a:cubicBezTo>
              <a:cubicBezTo>
                <a:pt x="836655" y="6643954"/>
                <a:pt x="842934" y="6645942"/>
                <a:pt x="882805" y="6632652"/>
              </a:cubicBezTo>
              <a:cubicBezTo>
                <a:pt x="894421" y="6613292"/>
                <a:pt x="905129" y="6593358"/>
                <a:pt x="917653" y="6574573"/>
              </a:cubicBezTo>
              <a:cubicBezTo>
                <a:pt x="928392" y="6558465"/>
                <a:pt x="941247" y="6543863"/>
                <a:pt x="952500" y="6528109"/>
              </a:cubicBezTo>
              <a:cubicBezTo>
                <a:pt x="960614" y="6516749"/>
                <a:pt x="967988" y="6504878"/>
                <a:pt x="975732" y="6493262"/>
              </a:cubicBezTo>
              <a:cubicBezTo>
                <a:pt x="979604" y="6477774"/>
                <a:pt x="981059" y="6461472"/>
                <a:pt x="987348" y="6446798"/>
              </a:cubicBezTo>
              <a:cubicBezTo>
                <a:pt x="992847" y="6433966"/>
                <a:pt x="1005677" y="6425022"/>
                <a:pt x="1010579" y="6411951"/>
              </a:cubicBezTo>
              <a:cubicBezTo>
                <a:pt x="1017511" y="6393465"/>
                <a:pt x="1018323" y="6373231"/>
                <a:pt x="1022195" y="6353871"/>
              </a:cubicBezTo>
              <a:cubicBezTo>
                <a:pt x="1048090" y="5991355"/>
                <a:pt x="1045427" y="6070697"/>
                <a:pt x="1045427" y="5471067"/>
              </a:cubicBezTo>
              <a:cubicBezTo>
                <a:pt x="1045427" y="5316140"/>
                <a:pt x="1037005" y="5161326"/>
                <a:pt x="1033811" y="5006432"/>
              </a:cubicBezTo>
              <a:cubicBezTo>
                <a:pt x="1021843" y="4426014"/>
                <a:pt x="1082818" y="4542540"/>
                <a:pt x="998963" y="4263018"/>
              </a:cubicBezTo>
              <a:cubicBezTo>
                <a:pt x="995445" y="4251290"/>
                <a:pt x="991220" y="4239786"/>
                <a:pt x="987348" y="4228170"/>
              </a:cubicBezTo>
              <a:cubicBezTo>
                <a:pt x="983476" y="4158475"/>
                <a:pt x="983039" y="4088504"/>
                <a:pt x="975732" y="4019085"/>
              </a:cubicBezTo>
              <a:cubicBezTo>
                <a:pt x="967535" y="3941210"/>
                <a:pt x="952360" y="3864228"/>
                <a:pt x="940884" y="3786768"/>
              </a:cubicBezTo>
              <a:cubicBezTo>
                <a:pt x="936872" y="3759685"/>
                <a:pt x="931542" y="3732741"/>
                <a:pt x="929268" y="3705457"/>
              </a:cubicBezTo>
              <a:cubicBezTo>
                <a:pt x="896618" y="3313632"/>
                <a:pt x="934956" y="3727719"/>
                <a:pt x="906037" y="3496371"/>
              </a:cubicBezTo>
              <a:cubicBezTo>
                <a:pt x="901210" y="3457759"/>
                <a:pt x="899248" y="3418825"/>
                <a:pt x="894421" y="3380213"/>
              </a:cubicBezTo>
              <a:cubicBezTo>
                <a:pt x="887301" y="3323252"/>
                <a:pt x="883691" y="3314061"/>
                <a:pt x="871189" y="3264054"/>
              </a:cubicBezTo>
              <a:cubicBezTo>
                <a:pt x="867317" y="3012377"/>
                <a:pt x="861653" y="2760722"/>
                <a:pt x="859573" y="2509024"/>
              </a:cubicBezTo>
              <a:cubicBezTo>
                <a:pt x="853909" y="1823701"/>
                <a:pt x="855571" y="1138322"/>
                <a:pt x="847957" y="453018"/>
              </a:cubicBezTo>
              <a:cubicBezTo>
                <a:pt x="847821" y="440775"/>
                <a:pt x="841165" y="429424"/>
                <a:pt x="836342" y="418170"/>
              </a:cubicBezTo>
              <a:cubicBezTo>
                <a:pt x="822541" y="385967"/>
                <a:pt x="803275" y="350256"/>
                <a:pt x="778262" y="325243"/>
              </a:cubicBezTo>
              <a:cubicBezTo>
                <a:pt x="768391" y="315372"/>
                <a:pt x="755901" y="308255"/>
                <a:pt x="743415" y="302012"/>
              </a:cubicBezTo>
              <a:cubicBezTo>
                <a:pt x="732463" y="296536"/>
                <a:pt x="720183" y="294268"/>
                <a:pt x="708567" y="290396"/>
              </a:cubicBezTo>
              <a:cubicBezTo>
                <a:pt x="679680" y="271137"/>
                <a:pt x="660943" y="256564"/>
                <a:pt x="627256" y="243932"/>
              </a:cubicBezTo>
              <a:cubicBezTo>
                <a:pt x="612308" y="238327"/>
                <a:pt x="596281" y="236189"/>
                <a:pt x="580793" y="232317"/>
              </a:cubicBezTo>
              <a:lnTo>
                <a:pt x="487866" y="185853"/>
              </a:lnTo>
              <a:cubicBezTo>
                <a:pt x="472378" y="178109"/>
                <a:pt x="458202" y="166820"/>
                <a:pt x="441403" y="162621"/>
              </a:cubicBezTo>
              <a:cubicBezTo>
                <a:pt x="425915" y="158749"/>
                <a:pt x="410230" y="155593"/>
                <a:pt x="394939" y="151006"/>
              </a:cubicBezTo>
              <a:cubicBezTo>
                <a:pt x="371483" y="143969"/>
                <a:pt x="348476" y="135518"/>
                <a:pt x="325244" y="127774"/>
              </a:cubicBezTo>
              <a:lnTo>
                <a:pt x="290396" y="116158"/>
              </a:lnTo>
              <a:lnTo>
                <a:pt x="185854" y="81311"/>
              </a:lnTo>
              <a:lnTo>
                <a:pt x="151006" y="69695"/>
              </a:lnTo>
              <a:cubicBezTo>
                <a:pt x="115767" y="46202"/>
                <a:pt x="59710" y="0"/>
                <a:pt x="11616" y="0"/>
              </a:cubicBezTo>
              <a:lnTo>
                <a:pt x="0" y="0"/>
              </a:lnTo>
            </a:path>
          </a:pathLst>
        </a:cu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628649</xdr:colOff>
      <xdr:row>1</xdr:row>
      <xdr:rowOff>19049</xdr:rowOff>
    </xdr:from>
    <xdr:to>
      <xdr:col>11</xdr:col>
      <xdr:colOff>714375</xdr:colOff>
      <xdr:row>8</xdr:row>
      <xdr:rowOff>76199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7924799" y="209549"/>
          <a:ext cx="2305051" cy="1495425"/>
        </a:xfrm>
        <a:prstGeom prst="foldedCorner">
          <a:avLst/>
        </a:prstGeom>
        <a:solidFill>
          <a:schemeClr val="accent5">
            <a:lumMod val="40000"/>
            <a:lumOff val="60000"/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0</xdr:col>
      <xdr:colOff>142875</xdr:colOff>
      <xdr:row>34</xdr:row>
      <xdr:rowOff>0</xdr:rowOff>
    </xdr:from>
    <xdr:to>
      <xdr:col>8</xdr:col>
      <xdr:colOff>695325</xdr:colOff>
      <xdr:row>49</xdr:row>
      <xdr:rowOff>123825</xdr:rowOff>
    </xdr:to>
    <xdr:graphicFrame macro="">
      <xdr:nvGraphicFramePr>
        <xdr:cNvPr id="3215762" name="Диаграмма 2">
          <a:extLst>
            <a:ext uri="{FF2B5EF4-FFF2-40B4-BE49-F238E27FC236}">
              <a16:creationId xmlns:a16="http://schemas.microsoft.com/office/drawing/2014/main" id="{00000000-0008-0000-0200-000092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419100</xdr:colOff>
      <xdr:row>63</xdr:row>
      <xdr:rowOff>104775</xdr:rowOff>
    </xdr:from>
    <xdr:to>
      <xdr:col>21</xdr:col>
      <xdr:colOff>352425</xdr:colOff>
      <xdr:row>80</xdr:row>
      <xdr:rowOff>57150</xdr:rowOff>
    </xdr:to>
    <xdr:graphicFrame macro="">
      <xdr:nvGraphicFramePr>
        <xdr:cNvPr id="3215763" name="Диаграмма 5">
          <a:extLst>
            <a:ext uri="{FF2B5EF4-FFF2-40B4-BE49-F238E27FC236}">
              <a16:creationId xmlns:a16="http://schemas.microsoft.com/office/drawing/2014/main" id="{00000000-0008-0000-0200-000093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457200</xdr:colOff>
      <xdr:row>98</xdr:row>
      <xdr:rowOff>76200</xdr:rowOff>
    </xdr:from>
    <xdr:to>
      <xdr:col>7</xdr:col>
      <xdr:colOff>609600</xdr:colOff>
      <xdr:row>124</xdr:row>
      <xdr:rowOff>0</xdr:rowOff>
    </xdr:to>
    <xdr:graphicFrame macro="">
      <xdr:nvGraphicFramePr>
        <xdr:cNvPr id="3215764" name="Диаграмма 8">
          <a:extLst>
            <a:ext uri="{FF2B5EF4-FFF2-40B4-BE49-F238E27FC236}">
              <a16:creationId xmlns:a16="http://schemas.microsoft.com/office/drawing/2014/main" id="{00000000-0008-0000-0200-000094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85725</xdr:colOff>
      <xdr:row>98</xdr:row>
      <xdr:rowOff>104775</xdr:rowOff>
    </xdr:from>
    <xdr:to>
      <xdr:col>19</xdr:col>
      <xdr:colOff>257175</xdr:colOff>
      <xdr:row>122</xdr:row>
      <xdr:rowOff>161925</xdr:rowOff>
    </xdr:to>
    <xdr:graphicFrame macro="">
      <xdr:nvGraphicFramePr>
        <xdr:cNvPr id="3215765" name="Диаграмма 11">
          <a:extLst>
            <a:ext uri="{FF2B5EF4-FFF2-40B4-BE49-F238E27FC236}">
              <a16:creationId xmlns:a16="http://schemas.microsoft.com/office/drawing/2014/main" id="{00000000-0008-0000-0200-000095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457200</xdr:colOff>
      <xdr:row>1</xdr:row>
      <xdr:rowOff>0</xdr:rowOff>
    </xdr:from>
    <xdr:to>
      <xdr:col>14</xdr:col>
      <xdr:colOff>28575</xdr:colOff>
      <xdr:row>1</xdr:row>
      <xdr:rowOff>152400</xdr:rowOff>
    </xdr:to>
    <xdr:grpSp>
      <xdr:nvGrpSpPr>
        <xdr:cNvPr id="3215766" name="Group 151">
          <a:extLst>
            <a:ext uri="{FF2B5EF4-FFF2-40B4-BE49-F238E27FC236}">
              <a16:creationId xmlns:a16="http://schemas.microsoft.com/office/drawing/2014/main" id="{00000000-0008-0000-0200-000096113100}"/>
            </a:ext>
          </a:extLst>
        </xdr:cNvPr>
        <xdr:cNvGrpSpPr>
          <a:grpSpLocks/>
        </xdr:cNvGrpSpPr>
      </xdr:nvGrpSpPr>
      <xdr:grpSpPr bwMode="auto">
        <a:xfrm>
          <a:off x="12190136" y="186422"/>
          <a:ext cx="1202567" cy="152400"/>
          <a:chOff x="1935" y="1170"/>
          <a:chExt cx="1245" cy="240"/>
        </a:xfrm>
      </xdr:grpSpPr>
      <xdr:sp macro="" textlink="">
        <xdr:nvSpPr>
          <xdr:cNvPr id="3215791" name="Rectangle 152">
            <a:extLst>
              <a:ext uri="{FF2B5EF4-FFF2-40B4-BE49-F238E27FC236}">
                <a16:creationId xmlns:a16="http://schemas.microsoft.com/office/drawing/2014/main" id="{00000000-0008-0000-0200-0000AF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92" name="AutoShape 153">
            <a:extLst>
              <a:ext uri="{FF2B5EF4-FFF2-40B4-BE49-F238E27FC236}">
                <a16:creationId xmlns:a16="http://schemas.microsoft.com/office/drawing/2014/main" id="{00000000-0008-0000-0200-0000B0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93" name="AutoShape 154">
            <a:extLst>
              <a:ext uri="{FF2B5EF4-FFF2-40B4-BE49-F238E27FC236}">
                <a16:creationId xmlns:a16="http://schemas.microsoft.com/office/drawing/2014/main" id="{00000000-0008-0000-0200-0000B1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15</xdr:col>
      <xdr:colOff>514350</xdr:colOff>
      <xdr:row>1</xdr:row>
      <xdr:rowOff>0</xdr:rowOff>
    </xdr:from>
    <xdr:to>
      <xdr:col>17</xdr:col>
      <xdr:colOff>85725</xdr:colOff>
      <xdr:row>1</xdr:row>
      <xdr:rowOff>152400</xdr:rowOff>
    </xdr:to>
    <xdr:grpSp>
      <xdr:nvGrpSpPr>
        <xdr:cNvPr id="3215767" name="Group 151">
          <a:extLst>
            <a:ext uri="{FF2B5EF4-FFF2-40B4-BE49-F238E27FC236}">
              <a16:creationId xmlns:a16="http://schemas.microsoft.com/office/drawing/2014/main" id="{00000000-0008-0000-0200-000097113100}"/>
            </a:ext>
          </a:extLst>
        </xdr:cNvPr>
        <xdr:cNvGrpSpPr>
          <a:grpSpLocks/>
        </xdr:cNvGrpSpPr>
      </xdr:nvGrpSpPr>
      <xdr:grpSpPr bwMode="auto">
        <a:xfrm>
          <a:off x="14810589" y="186422"/>
          <a:ext cx="1202567" cy="152400"/>
          <a:chOff x="1935" y="1170"/>
          <a:chExt cx="1245" cy="240"/>
        </a:xfrm>
      </xdr:grpSpPr>
      <xdr:sp macro="" textlink="">
        <xdr:nvSpPr>
          <xdr:cNvPr id="3215788" name="Rectangle 152">
            <a:extLst>
              <a:ext uri="{FF2B5EF4-FFF2-40B4-BE49-F238E27FC236}">
                <a16:creationId xmlns:a16="http://schemas.microsoft.com/office/drawing/2014/main" id="{00000000-0008-0000-0200-0000AC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9" name="AutoShape 153">
            <a:extLst>
              <a:ext uri="{FF2B5EF4-FFF2-40B4-BE49-F238E27FC236}">
                <a16:creationId xmlns:a16="http://schemas.microsoft.com/office/drawing/2014/main" id="{00000000-0008-0000-0200-0000AD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90" name="AutoShape 154">
            <a:extLst>
              <a:ext uri="{FF2B5EF4-FFF2-40B4-BE49-F238E27FC236}">
                <a16:creationId xmlns:a16="http://schemas.microsoft.com/office/drawing/2014/main" id="{00000000-0008-0000-0200-0000AE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16</xdr:col>
      <xdr:colOff>514350</xdr:colOff>
      <xdr:row>1</xdr:row>
      <xdr:rowOff>0</xdr:rowOff>
    </xdr:from>
    <xdr:to>
      <xdr:col>18</xdr:col>
      <xdr:colOff>85725</xdr:colOff>
      <xdr:row>1</xdr:row>
      <xdr:rowOff>152400</xdr:rowOff>
    </xdr:to>
    <xdr:grpSp>
      <xdr:nvGrpSpPr>
        <xdr:cNvPr id="3215768" name="Group 151">
          <a:extLst>
            <a:ext uri="{FF2B5EF4-FFF2-40B4-BE49-F238E27FC236}">
              <a16:creationId xmlns:a16="http://schemas.microsoft.com/office/drawing/2014/main" id="{00000000-0008-0000-0200-000098113100}"/>
            </a:ext>
          </a:extLst>
        </xdr:cNvPr>
        <xdr:cNvGrpSpPr>
          <a:grpSpLocks/>
        </xdr:cNvGrpSpPr>
      </xdr:nvGrpSpPr>
      <xdr:grpSpPr bwMode="auto">
        <a:xfrm>
          <a:off x="15626185" y="186422"/>
          <a:ext cx="1202568" cy="152400"/>
          <a:chOff x="1935" y="1170"/>
          <a:chExt cx="1245" cy="240"/>
        </a:xfrm>
      </xdr:grpSpPr>
      <xdr:sp macro="" textlink="">
        <xdr:nvSpPr>
          <xdr:cNvPr id="3215785" name="Rectangle 152">
            <a:extLst>
              <a:ext uri="{FF2B5EF4-FFF2-40B4-BE49-F238E27FC236}">
                <a16:creationId xmlns:a16="http://schemas.microsoft.com/office/drawing/2014/main" id="{00000000-0008-0000-0200-0000A9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6" name="AutoShape 153">
            <a:extLst>
              <a:ext uri="{FF2B5EF4-FFF2-40B4-BE49-F238E27FC236}">
                <a16:creationId xmlns:a16="http://schemas.microsoft.com/office/drawing/2014/main" id="{00000000-0008-0000-0200-0000AA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7" name="AutoShape 154">
            <a:extLst>
              <a:ext uri="{FF2B5EF4-FFF2-40B4-BE49-F238E27FC236}">
                <a16:creationId xmlns:a16="http://schemas.microsoft.com/office/drawing/2014/main" id="{00000000-0008-0000-0200-0000AB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14</xdr:col>
      <xdr:colOff>571500</xdr:colOff>
      <xdr:row>0</xdr:row>
      <xdr:rowOff>190500</xdr:rowOff>
    </xdr:from>
    <xdr:to>
      <xdr:col>16</xdr:col>
      <xdr:colOff>123825</xdr:colOff>
      <xdr:row>1</xdr:row>
      <xdr:rowOff>152400</xdr:rowOff>
    </xdr:to>
    <xdr:grpSp>
      <xdr:nvGrpSpPr>
        <xdr:cNvPr id="3215769" name="Group 151">
          <a:extLst>
            <a:ext uri="{FF2B5EF4-FFF2-40B4-BE49-F238E27FC236}">
              <a16:creationId xmlns:a16="http://schemas.microsoft.com/office/drawing/2014/main" id="{00000000-0008-0000-0200-000099113100}"/>
            </a:ext>
          </a:extLst>
        </xdr:cNvPr>
        <xdr:cNvGrpSpPr>
          <a:grpSpLocks/>
        </xdr:cNvGrpSpPr>
      </xdr:nvGrpSpPr>
      <xdr:grpSpPr bwMode="auto">
        <a:xfrm>
          <a:off x="13935628" y="190500"/>
          <a:ext cx="1300032" cy="148322"/>
          <a:chOff x="1935" y="1170"/>
          <a:chExt cx="1245" cy="240"/>
        </a:xfrm>
      </xdr:grpSpPr>
      <xdr:sp macro="" textlink="">
        <xdr:nvSpPr>
          <xdr:cNvPr id="3215782" name="Rectangle 152">
            <a:extLst>
              <a:ext uri="{FF2B5EF4-FFF2-40B4-BE49-F238E27FC236}">
                <a16:creationId xmlns:a16="http://schemas.microsoft.com/office/drawing/2014/main" id="{00000000-0008-0000-0200-0000A6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3" name="AutoShape 153">
            <a:extLst>
              <a:ext uri="{FF2B5EF4-FFF2-40B4-BE49-F238E27FC236}">
                <a16:creationId xmlns:a16="http://schemas.microsoft.com/office/drawing/2014/main" id="{00000000-0008-0000-0200-0000A7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4" name="AutoShape 154">
            <a:extLst>
              <a:ext uri="{FF2B5EF4-FFF2-40B4-BE49-F238E27FC236}">
                <a16:creationId xmlns:a16="http://schemas.microsoft.com/office/drawing/2014/main" id="{00000000-0008-0000-0200-0000A8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485775</xdr:colOff>
      <xdr:row>1</xdr:row>
      <xdr:rowOff>0</xdr:rowOff>
    </xdr:from>
    <xdr:to>
      <xdr:col>15</xdr:col>
      <xdr:colOff>57150</xdr:colOff>
      <xdr:row>1</xdr:row>
      <xdr:rowOff>152400</xdr:rowOff>
    </xdr:to>
    <xdr:grpSp>
      <xdr:nvGrpSpPr>
        <xdr:cNvPr id="3215770" name="Group 151">
          <a:extLst>
            <a:ext uri="{FF2B5EF4-FFF2-40B4-BE49-F238E27FC236}">
              <a16:creationId xmlns:a16="http://schemas.microsoft.com/office/drawing/2014/main" id="{00000000-0008-0000-0200-00009A113100}"/>
            </a:ext>
          </a:extLst>
        </xdr:cNvPr>
        <xdr:cNvGrpSpPr>
          <a:grpSpLocks/>
        </xdr:cNvGrpSpPr>
      </xdr:nvGrpSpPr>
      <xdr:grpSpPr bwMode="auto">
        <a:xfrm>
          <a:off x="13034307" y="186422"/>
          <a:ext cx="1319082" cy="152400"/>
          <a:chOff x="1935" y="1170"/>
          <a:chExt cx="1245" cy="240"/>
        </a:xfrm>
      </xdr:grpSpPr>
      <xdr:sp macro="" textlink="">
        <xdr:nvSpPr>
          <xdr:cNvPr id="3215779" name="Rectangle 152">
            <a:extLst>
              <a:ext uri="{FF2B5EF4-FFF2-40B4-BE49-F238E27FC236}">
                <a16:creationId xmlns:a16="http://schemas.microsoft.com/office/drawing/2014/main" id="{00000000-0008-0000-0200-0000A3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0" name="AutoShape 153">
            <a:extLst>
              <a:ext uri="{FF2B5EF4-FFF2-40B4-BE49-F238E27FC236}">
                <a16:creationId xmlns:a16="http://schemas.microsoft.com/office/drawing/2014/main" id="{00000000-0008-0000-0200-0000A4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1" name="AutoShape 154">
            <a:extLst>
              <a:ext uri="{FF2B5EF4-FFF2-40B4-BE49-F238E27FC236}">
                <a16:creationId xmlns:a16="http://schemas.microsoft.com/office/drawing/2014/main" id="{00000000-0008-0000-0200-0000A5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38100</xdr:colOff>
      <xdr:row>3</xdr:row>
      <xdr:rowOff>200025</xdr:rowOff>
    </xdr:from>
    <xdr:to>
      <xdr:col>15</xdr:col>
      <xdr:colOff>190500</xdr:colOff>
      <xdr:row>8</xdr:row>
      <xdr:rowOff>66675</xdr:rowOff>
    </xdr:to>
    <xdr:sp macro="" textlink="">
      <xdr:nvSpPr>
        <xdr:cNvPr id="29" name="Загнутый угол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10544175" y="781050"/>
          <a:ext cx="1571625" cy="914400"/>
        </a:xfrm>
        <a:prstGeom prst="foldedCorner">
          <a:avLst/>
        </a:prstGeom>
        <a:solidFill>
          <a:schemeClr val="bg1">
            <a:lumMod val="65000"/>
            <a:alpha val="23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0</xdr:col>
      <xdr:colOff>361950</xdr:colOff>
      <xdr:row>57</xdr:row>
      <xdr:rowOff>123825</xdr:rowOff>
    </xdr:from>
    <xdr:to>
      <xdr:col>1</xdr:col>
      <xdr:colOff>314325</xdr:colOff>
      <xdr:row>63</xdr:row>
      <xdr:rowOff>57150</xdr:rowOff>
    </xdr:to>
    <xdr:cxnSp macro="">
      <xdr:nvCxnSpPr>
        <xdr:cNvPr id="31" name="Прямая со стрелкой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361950" y="11229975"/>
          <a:ext cx="1200150" cy="1076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58</xdr:row>
      <xdr:rowOff>123825</xdr:rowOff>
    </xdr:from>
    <xdr:to>
      <xdr:col>1</xdr:col>
      <xdr:colOff>495300</xdr:colOff>
      <xdr:row>64</xdr:row>
      <xdr:rowOff>104775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400050" y="11420475"/>
          <a:ext cx="134302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59</xdr:row>
      <xdr:rowOff>114300</xdr:rowOff>
    </xdr:from>
    <xdr:to>
      <xdr:col>1</xdr:col>
      <xdr:colOff>552450</xdr:colOff>
      <xdr:row>65</xdr:row>
      <xdr:rowOff>85725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438150" y="11601450"/>
          <a:ext cx="1362075" cy="1114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60</xdr:row>
      <xdr:rowOff>133350</xdr:rowOff>
    </xdr:from>
    <xdr:to>
      <xdr:col>1</xdr:col>
      <xdr:colOff>561975</xdr:colOff>
      <xdr:row>66</xdr:row>
      <xdr:rowOff>95250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504825" y="11811000"/>
          <a:ext cx="130492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0</xdr:row>
      <xdr:rowOff>-25457</xdr:rowOff>
    </xdr:from>
    <xdr:to>
      <xdr:col>5</xdr:col>
      <xdr:colOff>696863</xdr:colOff>
      <xdr:row>3</xdr:row>
      <xdr:rowOff>75323</xdr:rowOff>
    </xdr:to>
    <xdr:sp macro="" textlink="">
      <xdr:nvSpPr>
        <xdr:cNvPr id="36" name="Полилиния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3543300" y="-25457"/>
          <a:ext cx="1649363" cy="681805"/>
        </a:xfrm>
        <a:custGeom>
          <a:avLst/>
          <a:gdLst>
            <a:gd name="connsiteX0" fmla="*/ 866775 w 1649363"/>
            <a:gd name="connsiteY0" fmla="*/ 120707 h 681805"/>
            <a:gd name="connsiteX1" fmla="*/ 390525 w 1649363"/>
            <a:gd name="connsiteY1" fmla="*/ 111182 h 681805"/>
            <a:gd name="connsiteX2" fmla="*/ 219075 w 1649363"/>
            <a:gd name="connsiteY2" fmla="*/ 120707 h 681805"/>
            <a:gd name="connsiteX3" fmla="*/ 161925 w 1649363"/>
            <a:gd name="connsiteY3" fmla="*/ 158807 h 681805"/>
            <a:gd name="connsiteX4" fmla="*/ 123825 w 1649363"/>
            <a:gd name="connsiteY4" fmla="*/ 168332 h 681805"/>
            <a:gd name="connsiteX5" fmla="*/ 95250 w 1649363"/>
            <a:gd name="connsiteY5" fmla="*/ 196907 h 681805"/>
            <a:gd name="connsiteX6" fmla="*/ 66675 w 1649363"/>
            <a:gd name="connsiteY6" fmla="*/ 215957 h 681805"/>
            <a:gd name="connsiteX7" fmla="*/ 19050 w 1649363"/>
            <a:gd name="connsiteY7" fmla="*/ 273107 h 681805"/>
            <a:gd name="connsiteX8" fmla="*/ 0 w 1649363"/>
            <a:gd name="connsiteY8" fmla="*/ 339782 h 681805"/>
            <a:gd name="connsiteX9" fmla="*/ 9525 w 1649363"/>
            <a:gd name="connsiteY9" fmla="*/ 425507 h 681805"/>
            <a:gd name="connsiteX10" fmla="*/ 38100 w 1649363"/>
            <a:gd name="connsiteY10" fmla="*/ 492182 h 681805"/>
            <a:gd name="connsiteX11" fmla="*/ 66675 w 1649363"/>
            <a:gd name="connsiteY11" fmla="*/ 520757 h 681805"/>
            <a:gd name="connsiteX12" fmla="*/ 133350 w 1649363"/>
            <a:gd name="connsiteY12" fmla="*/ 558857 h 681805"/>
            <a:gd name="connsiteX13" fmla="*/ 200025 w 1649363"/>
            <a:gd name="connsiteY13" fmla="*/ 568382 h 681805"/>
            <a:gd name="connsiteX14" fmla="*/ 295275 w 1649363"/>
            <a:gd name="connsiteY14" fmla="*/ 587432 h 681805"/>
            <a:gd name="connsiteX15" fmla="*/ 409575 w 1649363"/>
            <a:gd name="connsiteY15" fmla="*/ 596957 h 681805"/>
            <a:gd name="connsiteX16" fmla="*/ 533400 w 1649363"/>
            <a:gd name="connsiteY16" fmla="*/ 616007 h 681805"/>
            <a:gd name="connsiteX17" fmla="*/ 571500 w 1649363"/>
            <a:gd name="connsiteY17" fmla="*/ 625532 h 681805"/>
            <a:gd name="connsiteX18" fmla="*/ 638175 w 1649363"/>
            <a:gd name="connsiteY18" fmla="*/ 635057 h 681805"/>
            <a:gd name="connsiteX19" fmla="*/ 1028700 w 1649363"/>
            <a:gd name="connsiteY19" fmla="*/ 635057 h 681805"/>
            <a:gd name="connsiteX20" fmla="*/ 1123950 w 1649363"/>
            <a:gd name="connsiteY20" fmla="*/ 616007 h 681805"/>
            <a:gd name="connsiteX21" fmla="*/ 1228725 w 1649363"/>
            <a:gd name="connsiteY21" fmla="*/ 587432 h 681805"/>
            <a:gd name="connsiteX22" fmla="*/ 1314450 w 1649363"/>
            <a:gd name="connsiteY22" fmla="*/ 568382 h 681805"/>
            <a:gd name="connsiteX23" fmla="*/ 1352550 w 1649363"/>
            <a:gd name="connsiteY23" fmla="*/ 549332 h 681805"/>
            <a:gd name="connsiteX24" fmla="*/ 1400175 w 1649363"/>
            <a:gd name="connsiteY24" fmla="*/ 539807 h 681805"/>
            <a:gd name="connsiteX25" fmla="*/ 1457325 w 1649363"/>
            <a:gd name="connsiteY25" fmla="*/ 501707 h 681805"/>
            <a:gd name="connsiteX26" fmla="*/ 1485900 w 1649363"/>
            <a:gd name="connsiteY26" fmla="*/ 482657 h 681805"/>
            <a:gd name="connsiteX27" fmla="*/ 1514475 w 1649363"/>
            <a:gd name="connsiteY27" fmla="*/ 473132 h 681805"/>
            <a:gd name="connsiteX28" fmla="*/ 1600200 w 1649363"/>
            <a:gd name="connsiteY28" fmla="*/ 406457 h 681805"/>
            <a:gd name="connsiteX29" fmla="*/ 1619250 w 1649363"/>
            <a:gd name="connsiteY29" fmla="*/ 377882 h 681805"/>
            <a:gd name="connsiteX30" fmla="*/ 1628775 w 1649363"/>
            <a:gd name="connsiteY30" fmla="*/ 196907 h 681805"/>
            <a:gd name="connsiteX31" fmla="*/ 1609725 w 1649363"/>
            <a:gd name="connsiteY31" fmla="*/ 168332 h 681805"/>
            <a:gd name="connsiteX32" fmla="*/ 1524000 w 1649363"/>
            <a:gd name="connsiteY32" fmla="*/ 120707 h 681805"/>
            <a:gd name="connsiteX33" fmla="*/ 1447800 w 1649363"/>
            <a:gd name="connsiteY33" fmla="*/ 82607 h 681805"/>
            <a:gd name="connsiteX34" fmla="*/ 1419225 w 1649363"/>
            <a:gd name="connsiteY34" fmla="*/ 73082 h 681805"/>
            <a:gd name="connsiteX35" fmla="*/ 1381125 w 1649363"/>
            <a:gd name="connsiteY35" fmla="*/ 54032 h 681805"/>
            <a:gd name="connsiteX36" fmla="*/ 1295400 w 1649363"/>
            <a:gd name="connsiteY36" fmla="*/ 44507 h 681805"/>
            <a:gd name="connsiteX37" fmla="*/ 1266825 w 1649363"/>
            <a:gd name="connsiteY37" fmla="*/ 34982 h 681805"/>
            <a:gd name="connsiteX38" fmla="*/ 809625 w 1649363"/>
            <a:gd name="connsiteY38" fmla="*/ 54032 h 681805"/>
            <a:gd name="connsiteX39" fmla="*/ 781050 w 1649363"/>
            <a:gd name="connsiteY39" fmla="*/ 73082 h 681805"/>
            <a:gd name="connsiteX40" fmla="*/ 733425 w 1649363"/>
            <a:gd name="connsiteY40" fmla="*/ 82607 h 68180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</a:cxnLst>
          <a:rect l="l" t="t" r="r" b="b"/>
          <a:pathLst>
            <a:path w="1649363" h="681805">
              <a:moveTo>
                <a:pt x="866775" y="120707"/>
              </a:moveTo>
              <a:cubicBezTo>
                <a:pt x="708025" y="117532"/>
                <a:pt x="549307" y="111182"/>
                <a:pt x="390525" y="111182"/>
              </a:cubicBezTo>
              <a:cubicBezTo>
                <a:pt x="333287" y="111182"/>
                <a:pt x="275110" y="109033"/>
                <a:pt x="219075" y="120707"/>
              </a:cubicBezTo>
              <a:cubicBezTo>
                <a:pt x="196661" y="125377"/>
                <a:pt x="180975" y="146107"/>
                <a:pt x="161925" y="158807"/>
              </a:cubicBezTo>
              <a:cubicBezTo>
                <a:pt x="151033" y="166069"/>
                <a:pt x="136525" y="165157"/>
                <a:pt x="123825" y="168332"/>
              </a:cubicBezTo>
              <a:cubicBezTo>
                <a:pt x="114300" y="177857"/>
                <a:pt x="105598" y="188283"/>
                <a:pt x="95250" y="196907"/>
              </a:cubicBezTo>
              <a:cubicBezTo>
                <a:pt x="86456" y="204236"/>
                <a:pt x="75469" y="208628"/>
                <a:pt x="66675" y="215957"/>
              </a:cubicBezTo>
              <a:cubicBezTo>
                <a:pt x="48619" y="231004"/>
                <a:pt x="29754" y="251700"/>
                <a:pt x="19050" y="273107"/>
              </a:cubicBezTo>
              <a:cubicBezTo>
                <a:pt x="12218" y="286772"/>
                <a:pt x="3052" y="327575"/>
                <a:pt x="0" y="339782"/>
              </a:cubicBezTo>
              <a:cubicBezTo>
                <a:pt x="3175" y="368357"/>
                <a:pt x="4798" y="397147"/>
                <a:pt x="9525" y="425507"/>
              </a:cubicBezTo>
              <a:cubicBezTo>
                <a:pt x="12229" y="441729"/>
                <a:pt x="30557" y="481621"/>
                <a:pt x="38100" y="492182"/>
              </a:cubicBezTo>
              <a:cubicBezTo>
                <a:pt x="45930" y="503143"/>
                <a:pt x="56448" y="511991"/>
                <a:pt x="66675" y="520757"/>
              </a:cubicBezTo>
              <a:cubicBezTo>
                <a:pt x="91287" y="541853"/>
                <a:pt x="103325" y="552852"/>
                <a:pt x="133350" y="558857"/>
              </a:cubicBezTo>
              <a:cubicBezTo>
                <a:pt x="155365" y="563260"/>
                <a:pt x="177936" y="564366"/>
                <a:pt x="200025" y="568382"/>
              </a:cubicBezTo>
              <a:cubicBezTo>
                <a:pt x="274353" y="581896"/>
                <a:pt x="199407" y="576780"/>
                <a:pt x="295275" y="587432"/>
              </a:cubicBezTo>
              <a:cubicBezTo>
                <a:pt x="333273" y="591654"/>
                <a:pt x="371475" y="593782"/>
                <a:pt x="409575" y="596957"/>
              </a:cubicBezTo>
              <a:cubicBezTo>
                <a:pt x="495548" y="618450"/>
                <a:pt x="390782" y="594066"/>
                <a:pt x="533400" y="616007"/>
              </a:cubicBezTo>
              <a:cubicBezTo>
                <a:pt x="546339" y="617998"/>
                <a:pt x="558620" y="623190"/>
                <a:pt x="571500" y="625532"/>
              </a:cubicBezTo>
              <a:cubicBezTo>
                <a:pt x="593589" y="629548"/>
                <a:pt x="615950" y="631882"/>
                <a:pt x="638175" y="635057"/>
              </a:cubicBezTo>
              <a:cubicBezTo>
                <a:pt x="778419" y="681805"/>
                <a:pt x="690718" y="656181"/>
                <a:pt x="1028700" y="635057"/>
              </a:cubicBezTo>
              <a:cubicBezTo>
                <a:pt x="1061016" y="633037"/>
                <a:pt x="1093233" y="626246"/>
                <a:pt x="1123950" y="616007"/>
              </a:cubicBezTo>
              <a:cubicBezTo>
                <a:pt x="1246555" y="575139"/>
                <a:pt x="1121020" y="614358"/>
                <a:pt x="1228725" y="587432"/>
              </a:cubicBezTo>
              <a:cubicBezTo>
                <a:pt x="1322518" y="563984"/>
                <a:pt x="1157189" y="594592"/>
                <a:pt x="1314450" y="568382"/>
              </a:cubicBezTo>
              <a:cubicBezTo>
                <a:pt x="1327150" y="562032"/>
                <a:pt x="1339080" y="553822"/>
                <a:pt x="1352550" y="549332"/>
              </a:cubicBezTo>
              <a:cubicBezTo>
                <a:pt x="1367909" y="544212"/>
                <a:pt x="1385437" y="546506"/>
                <a:pt x="1400175" y="539807"/>
              </a:cubicBezTo>
              <a:cubicBezTo>
                <a:pt x="1421018" y="530333"/>
                <a:pt x="1438275" y="514407"/>
                <a:pt x="1457325" y="501707"/>
              </a:cubicBezTo>
              <a:lnTo>
                <a:pt x="1485900" y="482657"/>
              </a:lnTo>
              <a:cubicBezTo>
                <a:pt x="1494254" y="477088"/>
                <a:pt x="1504950" y="476307"/>
                <a:pt x="1514475" y="473132"/>
              </a:cubicBezTo>
              <a:cubicBezTo>
                <a:pt x="1554301" y="446581"/>
                <a:pt x="1572222" y="440030"/>
                <a:pt x="1600200" y="406457"/>
              </a:cubicBezTo>
              <a:cubicBezTo>
                <a:pt x="1607529" y="397663"/>
                <a:pt x="1612900" y="387407"/>
                <a:pt x="1619250" y="377882"/>
              </a:cubicBezTo>
              <a:cubicBezTo>
                <a:pt x="1640316" y="293619"/>
                <a:pt x="1649363" y="292985"/>
                <a:pt x="1628775" y="196907"/>
              </a:cubicBezTo>
              <a:cubicBezTo>
                <a:pt x="1626376" y="185713"/>
                <a:pt x="1618340" y="175870"/>
                <a:pt x="1609725" y="168332"/>
              </a:cubicBezTo>
              <a:cubicBezTo>
                <a:pt x="1543614" y="110485"/>
                <a:pt x="1574562" y="143690"/>
                <a:pt x="1524000" y="120707"/>
              </a:cubicBezTo>
              <a:cubicBezTo>
                <a:pt x="1498147" y="108956"/>
                <a:pt x="1474741" y="91587"/>
                <a:pt x="1447800" y="82607"/>
              </a:cubicBezTo>
              <a:cubicBezTo>
                <a:pt x="1438275" y="79432"/>
                <a:pt x="1428453" y="77037"/>
                <a:pt x="1419225" y="73082"/>
              </a:cubicBezTo>
              <a:cubicBezTo>
                <a:pt x="1406174" y="67489"/>
                <a:pt x="1394960" y="57225"/>
                <a:pt x="1381125" y="54032"/>
              </a:cubicBezTo>
              <a:cubicBezTo>
                <a:pt x="1353110" y="47567"/>
                <a:pt x="1323975" y="47682"/>
                <a:pt x="1295400" y="44507"/>
              </a:cubicBezTo>
              <a:cubicBezTo>
                <a:pt x="1285875" y="41332"/>
                <a:pt x="1276865" y="34982"/>
                <a:pt x="1266825" y="34982"/>
              </a:cubicBezTo>
              <a:cubicBezTo>
                <a:pt x="857406" y="34982"/>
                <a:pt x="971722" y="0"/>
                <a:pt x="809625" y="54032"/>
              </a:cubicBezTo>
              <a:cubicBezTo>
                <a:pt x="800100" y="60382"/>
                <a:pt x="791572" y="68573"/>
                <a:pt x="781050" y="73082"/>
              </a:cubicBezTo>
              <a:cubicBezTo>
                <a:pt x="757028" y="83377"/>
                <a:pt x="751879" y="82607"/>
                <a:pt x="733425" y="82607"/>
              </a:cubicBezTo>
            </a:path>
          </a:pathLst>
        </a:cu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5</xdr:col>
      <xdr:colOff>676275</xdr:colOff>
      <xdr:row>11</xdr:row>
      <xdr:rowOff>9525</xdr:rowOff>
    </xdr:from>
    <xdr:to>
      <xdr:col>8</xdr:col>
      <xdr:colOff>95250</xdr:colOff>
      <xdr:row>13</xdr:row>
      <xdr:rowOff>144518</xdr:rowOff>
    </xdr:to>
    <xdr:sp macro="" textlink="">
      <xdr:nvSpPr>
        <xdr:cNvPr id="39" name="Поли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172075" y="2266950"/>
          <a:ext cx="2143125" cy="544568"/>
        </a:xfrm>
        <a:custGeom>
          <a:avLst/>
          <a:gdLst>
            <a:gd name="connsiteX0" fmla="*/ 2143125 w 2143125"/>
            <a:gd name="connsiteY0" fmla="*/ 228600 h 544568"/>
            <a:gd name="connsiteX1" fmla="*/ 2028825 w 2143125"/>
            <a:gd name="connsiteY1" fmla="*/ 257175 h 544568"/>
            <a:gd name="connsiteX2" fmla="*/ 1971675 w 2143125"/>
            <a:gd name="connsiteY2" fmla="*/ 295275 h 544568"/>
            <a:gd name="connsiteX3" fmla="*/ 1885950 w 2143125"/>
            <a:gd name="connsiteY3" fmla="*/ 323850 h 544568"/>
            <a:gd name="connsiteX4" fmla="*/ 1733550 w 2143125"/>
            <a:gd name="connsiteY4" fmla="*/ 361950 h 544568"/>
            <a:gd name="connsiteX5" fmla="*/ 1695450 w 2143125"/>
            <a:gd name="connsiteY5" fmla="*/ 381000 h 544568"/>
            <a:gd name="connsiteX6" fmla="*/ 1628775 w 2143125"/>
            <a:gd name="connsiteY6" fmla="*/ 400050 h 544568"/>
            <a:gd name="connsiteX7" fmla="*/ 1600200 w 2143125"/>
            <a:gd name="connsiteY7" fmla="*/ 409575 h 544568"/>
            <a:gd name="connsiteX8" fmla="*/ 1552575 w 2143125"/>
            <a:gd name="connsiteY8" fmla="*/ 419100 h 544568"/>
            <a:gd name="connsiteX9" fmla="*/ 1504950 w 2143125"/>
            <a:gd name="connsiteY9" fmla="*/ 438150 h 544568"/>
            <a:gd name="connsiteX10" fmla="*/ 1409700 w 2143125"/>
            <a:gd name="connsiteY10" fmla="*/ 466725 h 544568"/>
            <a:gd name="connsiteX11" fmla="*/ 1323975 w 2143125"/>
            <a:gd name="connsiteY11" fmla="*/ 476250 h 544568"/>
            <a:gd name="connsiteX12" fmla="*/ 1228725 w 2143125"/>
            <a:gd name="connsiteY12" fmla="*/ 495300 h 544568"/>
            <a:gd name="connsiteX13" fmla="*/ 1000125 w 2143125"/>
            <a:gd name="connsiteY13" fmla="*/ 514350 h 544568"/>
            <a:gd name="connsiteX14" fmla="*/ 695325 w 2143125"/>
            <a:gd name="connsiteY14" fmla="*/ 514350 h 544568"/>
            <a:gd name="connsiteX15" fmla="*/ 657225 w 2143125"/>
            <a:gd name="connsiteY15" fmla="*/ 504825 h 544568"/>
            <a:gd name="connsiteX16" fmla="*/ 561975 w 2143125"/>
            <a:gd name="connsiteY16" fmla="*/ 485775 h 544568"/>
            <a:gd name="connsiteX17" fmla="*/ 504825 w 2143125"/>
            <a:gd name="connsiteY17" fmla="*/ 466725 h 544568"/>
            <a:gd name="connsiteX18" fmla="*/ 447675 w 2143125"/>
            <a:gd name="connsiteY18" fmla="*/ 428625 h 544568"/>
            <a:gd name="connsiteX19" fmla="*/ 419100 w 2143125"/>
            <a:gd name="connsiteY19" fmla="*/ 419100 h 544568"/>
            <a:gd name="connsiteX20" fmla="*/ 314325 w 2143125"/>
            <a:gd name="connsiteY20" fmla="*/ 371475 h 544568"/>
            <a:gd name="connsiteX21" fmla="*/ 257175 w 2143125"/>
            <a:gd name="connsiteY21" fmla="*/ 323850 h 544568"/>
            <a:gd name="connsiteX22" fmla="*/ 228600 w 2143125"/>
            <a:gd name="connsiteY22" fmla="*/ 304800 h 544568"/>
            <a:gd name="connsiteX23" fmla="*/ 171450 w 2143125"/>
            <a:gd name="connsiteY23" fmla="*/ 247650 h 544568"/>
            <a:gd name="connsiteX24" fmla="*/ 114300 w 2143125"/>
            <a:gd name="connsiteY24" fmla="*/ 200025 h 544568"/>
            <a:gd name="connsiteX25" fmla="*/ 76200 w 2143125"/>
            <a:gd name="connsiteY25" fmla="*/ 142875 h 544568"/>
            <a:gd name="connsiteX26" fmla="*/ 57150 w 2143125"/>
            <a:gd name="connsiteY26" fmla="*/ 114300 h 544568"/>
            <a:gd name="connsiteX27" fmla="*/ 38100 w 2143125"/>
            <a:gd name="connsiteY27" fmla="*/ 85725 h 544568"/>
            <a:gd name="connsiteX28" fmla="*/ 19050 w 2143125"/>
            <a:gd name="connsiteY28" fmla="*/ 57150 h 544568"/>
            <a:gd name="connsiteX29" fmla="*/ 0 w 2143125"/>
            <a:gd name="connsiteY29" fmla="*/ 0 h 5445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2143125" h="544568">
              <a:moveTo>
                <a:pt x="2143125" y="228600"/>
              </a:moveTo>
              <a:lnTo>
                <a:pt x="2028825" y="257175"/>
              </a:lnTo>
              <a:cubicBezTo>
                <a:pt x="2006613" y="262728"/>
                <a:pt x="1990725" y="282575"/>
                <a:pt x="1971675" y="295275"/>
              </a:cubicBezTo>
              <a:cubicBezTo>
                <a:pt x="1946613" y="311983"/>
                <a:pt x="1914525" y="314325"/>
                <a:pt x="1885950" y="323850"/>
              </a:cubicBezTo>
              <a:cubicBezTo>
                <a:pt x="1765749" y="363917"/>
                <a:pt x="1855572" y="346697"/>
                <a:pt x="1733550" y="361950"/>
              </a:cubicBezTo>
              <a:cubicBezTo>
                <a:pt x="1720850" y="368300"/>
                <a:pt x="1708501" y="375407"/>
                <a:pt x="1695450" y="381000"/>
              </a:cubicBezTo>
              <a:cubicBezTo>
                <a:pt x="1672612" y="390788"/>
                <a:pt x="1652942" y="393145"/>
                <a:pt x="1628775" y="400050"/>
              </a:cubicBezTo>
              <a:cubicBezTo>
                <a:pt x="1619121" y="402808"/>
                <a:pt x="1609940" y="407140"/>
                <a:pt x="1600200" y="409575"/>
              </a:cubicBezTo>
              <a:cubicBezTo>
                <a:pt x="1584494" y="413502"/>
                <a:pt x="1568082" y="414448"/>
                <a:pt x="1552575" y="419100"/>
              </a:cubicBezTo>
              <a:cubicBezTo>
                <a:pt x="1536198" y="424013"/>
                <a:pt x="1521018" y="432307"/>
                <a:pt x="1504950" y="438150"/>
              </a:cubicBezTo>
              <a:cubicBezTo>
                <a:pt x="1485912" y="445073"/>
                <a:pt x="1434339" y="462934"/>
                <a:pt x="1409700" y="466725"/>
              </a:cubicBezTo>
              <a:cubicBezTo>
                <a:pt x="1381283" y="471097"/>
                <a:pt x="1352550" y="473075"/>
                <a:pt x="1323975" y="476250"/>
              </a:cubicBezTo>
              <a:cubicBezTo>
                <a:pt x="1280776" y="490650"/>
                <a:pt x="1290414" y="489330"/>
                <a:pt x="1228725" y="495300"/>
              </a:cubicBezTo>
              <a:cubicBezTo>
                <a:pt x="1152616" y="502665"/>
                <a:pt x="1000125" y="514350"/>
                <a:pt x="1000125" y="514350"/>
              </a:cubicBezTo>
              <a:cubicBezTo>
                <a:pt x="879253" y="544568"/>
                <a:pt x="951126" y="530338"/>
                <a:pt x="695325" y="514350"/>
              </a:cubicBezTo>
              <a:cubicBezTo>
                <a:pt x="682260" y="513533"/>
                <a:pt x="670062" y="507392"/>
                <a:pt x="657225" y="504825"/>
              </a:cubicBezTo>
              <a:cubicBezTo>
                <a:pt x="605733" y="494527"/>
                <a:pt x="606223" y="499050"/>
                <a:pt x="561975" y="485775"/>
              </a:cubicBezTo>
              <a:cubicBezTo>
                <a:pt x="542741" y="480005"/>
                <a:pt x="504825" y="466725"/>
                <a:pt x="504825" y="466725"/>
              </a:cubicBezTo>
              <a:cubicBezTo>
                <a:pt x="485775" y="454025"/>
                <a:pt x="469395" y="435865"/>
                <a:pt x="447675" y="428625"/>
              </a:cubicBezTo>
              <a:cubicBezTo>
                <a:pt x="438150" y="425450"/>
                <a:pt x="428080" y="423590"/>
                <a:pt x="419100" y="419100"/>
              </a:cubicBezTo>
              <a:cubicBezTo>
                <a:pt x="315350" y="367225"/>
                <a:pt x="431238" y="410446"/>
                <a:pt x="314325" y="371475"/>
              </a:cubicBezTo>
              <a:cubicBezTo>
                <a:pt x="243379" y="324177"/>
                <a:pt x="330514" y="384966"/>
                <a:pt x="257175" y="323850"/>
              </a:cubicBezTo>
              <a:cubicBezTo>
                <a:pt x="248381" y="316521"/>
                <a:pt x="237156" y="312405"/>
                <a:pt x="228600" y="304800"/>
              </a:cubicBezTo>
              <a:cubicBezTo>
                <a:pt x="208464" y="286902"/>
                <a:pt x="190500" y="266700"/>
                <a:pt x="171450" y="247650"/>
              </a:cubicBezTo>
              <a:cubicBezTo>
                <a:pt x="116417" y="192617"/>
                <a:pt x="168915" y="270244"/>
                <a:pt x="114300" y="200025"/>
              </a:cubicBezTo>
              <a:cubicBezTo>
                <a:pt x="100244" y="181953"/>
                <a:pt x="88900" y="161925"/>
                <a:pt x="76200" y="142875"/>
              </a:cubicBezTo>
              <a:lnTo>
                <a:pt x="57150" y="114300"/>
              </a:lnTo>
              <a:lnTo>
                <a:pt x="38100" y="85725"/>
              </a:lnTo>
              <a:lnTo>
                <a:pt x="19050" y="57150"/>
              </a:lnTo>
              <a:cubicBezTo>
                <a:pt x="7803" y="12162"/>
                <a:pt x="15379" y="30759"/>
                <a:pt x="0" y="0"/>
              </a:cubicBezTo>
            </a:path>
          </a:pathLst>
        </a:cu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4</xdr:col>
      <xdr:colOff>752475</xdr:colOff>
      <xdr:row>11</xdr:row>
      <xdr:rowOff>9525</xdr:rowOff>
    </xdr:from>
    <xdr:to>
      <xdr:col>8</xdr:col>
      <xdr:colOff>57150</xdr:colOff>
      <xdr:row>14</xdr:row>
      <xdr:rowOff>57150</xdr:rowOff>
    </xdr:to>
    <xdr:sp macro="" textlink="">
      <xdr:nvSpPr>
        <xdr:cNvPr id="40" name="Поли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419600" y="2266950"/>
          <a:ext cx="2857500" cy="647700"/>
        </a:xfrm>
        <a:custGeom>
          <a:avLst/>
          <a:gdLst>
            <a:gd name="connsiteX0" fmla="*/ 2857500 w 2857500"/>
            <a:gd name="connsiteY0" fmla="*/ 228600 h 647700"/>
            <a:gd name="connsiteX1" fmla="*/ 2800350 w 2857500"/>
            <a:gd name="connsiteY1" fmla="*/ 257175 h 647700"/>
            <a:gd name="connsiteX2" fmla="*/ 2743200 w 2857500"/>
            <a:gd name="connsiteY2" fmla="*/ 314325 h 647700"/>
            <a:gd name="connsiteX3" fmla="*/ 2686050 w 2857500"/>
            <a:gd name="connsiteY3" fmla="*/ 361950 h 647700"/>
            <a:gd name="connsiteX4" fmla="*/ 2600325 w 2857500"/>
            <a:gd name="connsiteY4" fmla="*/ 419100 h 647700"/>
            <a:gd name="connsiteX5" fmla="*/ 2562225 w 2857500"/>
            <a:gd name="connsiteY5" fmla="*/ 447675 h 647700"/>
            <a:gd name="connsiteX6" fmla="*/ 2505075 w 2857500"/>
            <a:gd name="connsiteY6" fmla="*/ 485775 h 647700"/>
            <a:gd name="connsiteX7" fmla="*/ 2381250 w 2857500"/>
            <a:gd name="connsiteY7" fmla="*/ 533400 h 647700"/>
            <a:gd name="connsiteX8" fmla="*/ 2305050 w 2857500"/>
            <a:gd name="connsiteY8" fmla="*/ 552450 h 647700"/>
            <a:gd name="connsiteX9" fmla="*/ 2257425 w 2857500"/>
            <a:gd name="connsiteY9" fmla="*/ 561975 h 647700"/>
            <a:gd name="connsiteX10" fmla="*/ 2228850 w 2857500"/>
            <a:gd name="connsiteY10" fmla="*/ 571500 h 647700"/>
            <a:gd name="connsiteX11" fmla="*/ 2181225 w 2857500"/>
            <a:gd name="connsiteY11" fmla="*/ 590550 h 647700"/>
            <a:gd name="connsiteX12" fmla="*/ 2105025 w 2857500"/>
            <a:gd name="connsiteY12" fmla="*/ 600075 h 647700"/>
            <a:gd name="connsiteX13" fmla="*/ 2019300 w 2857500"/>
            <a:gd name="connsiteY13" fmla="*/ 619125 h 647700"/>
            <a:gd name="connsiteX14" fmla="*/ 1952625 w 2857500"/>
            <a:gd name="connsiteY14" fmla="*/ 628650 h 647700"/>
            <a:gd name="connsiteX15" fmla="*/ 1809750 w 2857500"/>
            <a:gd name="connsiteY15" fmla="*/ 647700 h 647700"/>
            <a:gd name="connsiteX16" fmla="*/ 1171575 w 2857500"/>
            <a:gd name="connsiteY16" fmla="*/ 638175 h 647700"/>
            <a:gd name="connsiteX17" fmla="*/ 1085850 w 2857500"/>
            <a:gd name="connsiteY17" fmla="*/ 609600 h 647700"/>
            <a:gd name="connsiteX18" fmla="*/ 990600 w 2857500"/>
            <a:gd name="connsiteY18" fmla="*/ 590550 h 647700"/>
            <a:gd name="connsiteX19" fmla="*/ 962025 w 2857500"/>
            <a:gd name="connsiteY19" fmla="*/ 581025 h 647700"/>
            <a:gd name="connsiteX20" fmla="*/ 866775 w 2857500"/>
            <a:gd name="connsiteY20" fmla="*/ 561975 h 647700"/>
            <a:gd name="connsiteX21" fmla="*/ 828675 w 2857500"/>
            <a:gd name="connsiteY21" fmla="*/ 542925 h 647700"/>
            <a:gd name="connsiteX22" fmla="*/ 723900 w 2857500"/>
            <a:gd name="connsiteY22" fmla="*/ 514350 h 647700"/>
            <a:gd name="connsiteX23" fmla="*/ 676275 w 2857500"/>
            <a:gd name="connsiteY23" fmla="*/ 485775 h 647700"/>
            <a:gd name="connsiteX24" fmla="*/ 647700 w 2857500"/>
            <a:gd name="connsiteY24" fmla="*/ 476250 h 647700"/>
            <a:gd name="connsiteX25" fmla="*/ 600075 w 2857500"/>
            <a:gd name="connsiteY25" fmla="*/ 457200 h 647700"/>
            <a:gd name="connsiteX26" fmla="*/ 533400 w 2857500"/>
            <a:gd name="connsiteY26" fmla="*/ 438150 h 647700"/>
            <a:gd name="connsiteX27" fmla="*/ 504825 w 2857500"/>
            <a:gd name="connsiteY27" fmla="*/ 419100 h 647700"/>
            <a:gd name="connsiteX28" fmla="*/ 466725 w 2857500"/>
            <a:gd name="connsiteY28" fmla="*/ 390525 h 647700"/>
            <a:gd name="connsiteX29" fmla="*/ 438150 w 2857500"/>
            <a:gd name="connsiteY29" fmla="*/ 381000 h 647700"/>
            <a:gd name="connsiteX30" fmla="*/ 381000 w 2857500"/>
            <a:gd name="connsiteY30" fmla="*/ 333375 h 647700"/>
            <a:gd name="connsiteX31" fmla="*/ 352425 w 2857500"/>
            <a:gd name="connsiteY31" fmla="*/ 314325 h 647700"/>
            <a:gd name="connsiteX32" fmla="*/ 323850 w 2857500"/>
            <a:gd name="connsiteY32" fmla="*/ 285750 h 647700"/>
            <a:gd name="connsiteX33" fmla="*/ 295275 w 2857500"/>
            <a:gd name="connsiteY33" fmla="*/ 266700 h 647700"/>
            <a:gd name="connsiteX34" fmla="*/ 266700 w 2857500"/>
            <a:gd name="connsiteY34" fmla="*/ 238125 h 647700"/>
            <a:gd name="connsiteX35" fmla="*/ 209550 w 2857500"/>
            <a:gd name="connsiteY35" fmla="*/ 200025 h 647700"/>
            <a:gd name="connsiteX36" fmla="*/ 190500 w 2857500"/>
            <a:gd name="connsiteY36" fmla="*/ 171450 h 647700"/>
            <a:gd name="connsiteX37" fmla="*/ 104775 w 2857500"/>
            <a:gd name="connsiteY37" fmla="*/ 114300 h 647700"/>
            <a:gd name="connsiteX38" fmla="*/ 76200 w 2857500"/>
            <a:gd name="connsiteY38" fmla="*/ 85725 h 647700"/>
            <a:gd name="connsiteX39" fmla="*/ 19050 w 2857500"/>
            <a:gd name="connsiteY39" fmla="*/ 47625 h 647700"/>
            <a:gd name="connsiteX40" fmla="*/ 0 w 2857500"/>
            <a:gd name="connsiteY40" fmla="*/ 0 h 647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</a:cxnLst>
          <a:rect l="l" t="t" r="r" b="b"/>
          <a:pathLst>
            <a:path w="2857500" h="647700">
              <a:moveTo>
                <a:pt x="2857500" y="228600"/>
              </a:moveTo>
              <a:cubicBezTo>
                <a:pt x="2831020" y="237427"/>
                <a:pt x="2822507" y="237480"/>
                <a:pt x="2800350" y="257175"/>
              </a:cubicBezTo>
              <a:cubicBezTo>
                <a:pt x="2780214" y="275073"/>
                <a:pt x="2765616" y="299381"/>
                <a:pt x="2743200" y="314325"/>
              </a:cubicBezTo>
              <a:cubicBezTo>
                <a:pt x="2641090" y="382398"/>
                <a:pt x="2796059" y="276387"/>
                <a:pt x="2686050" y="361950"/>
              </a:cubicBezTo>
              <a:lnTo>
                <a:pt x="2600325" y="419100"/>
              </a:lnTo>
              <a:cubicBezTo>
                <a:pt x="2587116" y="427906"/>
                <a:pt x="2575230" y="438571"/>
                <a:pt x="2562225" y="447675"/>
              </a:cubicBezTo>
              <a:cubicBezTo>
                <a:pt x="2543468" y="460805"/>
                <a:pt x="2524125" y="473075"/>
                <a:pt x="2505075" y="485775"/>
              </a:cubicBezTo>
              <a:cubicBezTo>
                <a:pt x="2439722" y="529344"/>
                <a:pt x="2442283" y="519315"/>
                <a:pt x="2381250" y="533400"/>
              </a:cubicBezTo>
              <a:cubicBezTo>
                <a:pt x="2355739" y="539287"/>
                <a:pt x="2330450" y="546100"/>
                <a:pt x="2305050" y="552450"/>
              </a:cubicBezTo>
              <a:cubicBezTo>
                <a:pt x="2289344" y="556377"/>
                <a:pt x="2273131" y="558048"/>
                <a:pt x="2257425" y="561975"/>
              </a:cubicBezTo>
              <a:cubicBezTo>
                <a:pt x="2247685" y="564410"/>
                <a:pt x="2238251" y="567975"/>
                <a:pt x="2228850" y="571500"/>
              </a:cubicBezTo>
              <a:cubicBezTo>
                <a:pt x="2212841" y="577503"/>
                <a:pt x="2197885" y="586705"/>
                <a:pt x="2181225" y="590550"/>
              </a:cubicBezTo>
              <a:cubicBezTo>
                <a:pt x="2156283" y="596306"/>
                <a:pt x="2130325" y="596183"/>
                <a:pt x="2105025" y="600075"/>
              </a:cubicBezTo>
              <a:cubicBezTo>
                <a:pt x="1982130" y="618982"/>
                <a:pt x="2123590" y="600163"/>
                <a:pt x="2019300" y="619125"/>
              </a:cubicBezTo>
              <a:cubicBezTo>
                <a:pt x="1997211" y="623141"/>
                <a:pt x="1974815" y="625236"/>
                <a:pt x="1952625" y="628650"/>
              </a:cubicBezTo>
              <a:cubicBezTo>
                <a:pt x="1841462" y="645752"/>
                <a:pt x="1952859" y="631799"/>
                <a:pt x="1809750" y="647700"/>
              </a:cubicBezTo>
              <a:lnTo>
                <a:pt x="1171575" y="638175"/>
              </a:lnTo>
              <a:cubicBezTo>
                <a:pt x="1040681" y="634589"/>
                <a:pt x="1167513" y="634727"/>
                <a:pt x="1085850" y="609600"/>
              </a:cubicBezTo>
              <a:cubicBezTo>
                <a:pt x="1054903" y="600078"/>
                <a:pt x="1022350" y="596900"/>
                <a:pt x="990600" y="590550"/>
              </a:cubicBezTo>
              <a:cubicBezTo>
                <a:pt x="980755" y="588581"/>
                <a:pt x="971826" y="583203"/>
                <a:pt x="962025" y="581025"/>
              </a:cubicBezTo>
              <a:cubicBezTo>
                <a:pt x="935089" y="575039"/>
                <a:pt x="894378" y="572326"/>
                <a:pt x="866775" y="561975"/>
              </a:cubicBezTo>
              <a:cubicBezTo>
                <a:pt x="853480" y="556989"/>
                <a:pt x="841858" y="548198"/>
                <a:pt x="828675" y="542925"/>
              </a:cubicBezTo>
              <a:cubicBezTo>
                <a:pt x="780336" y="523589"/>
                <a:pt x="771729" y="523916"/>
                <a:pt x="723900" y="514350"/>
              </a:cubicBezTo>
              <a:cubicBezTo>
                <a:pt x="708025" y="504825"/>
                <a:pt x="692834" y="494054"/>
                <a:pt x="676275" y="485775"/>
              </a:cubicBezTo>
              <a:cubicBezTo>
                <a:pt x="667295" y="481285"/>
                <a:pt x="657101" y="479775"/>
                <a:pt x="647700" y="476250"/>
              </a:cubicBezTo>
              <a:cubicBezTo>
                <a:pt x="631691" y="470247"/>
                <a:pt x="616084" y="463203"/>
                <a:pt x="600075" y="457200"/>
              </a:cubicBezTo>
              <a:cubicBezTo>
                <a:pt x="572746" y="446951"/>
                <a:pt x="563424" y="445656"/>
                <a:pt x="533400" y="438150"/>
              </a:cubicBezTo>
              <a:cubicBezTo>
                <a:pt x="523875" y="431800"/>
                <a:pt x="514140" y="425754"/>
                <a:pt x="504825" y="419100"/>
              </a:cubicBezTo>
              <a:cubicBezTo>
                <a:pt x="491907" y="409873"/>
                <a:pt x="480508" y="398401"/>
                <a:pt x="466725" y="390525"/>
              </a:cubicBezTo>
              <a:cubicBezTo>
                <a:pt x="458008" y="385544"/>
                <a:pt x="447675" y="384175"/>
                <a:pt x="438150" y="381000"/>
              </a:cubicBezTo>
              <a:cubicBezTo>
                <a:pt x="367204" y="333702"/>
                <a:pt x="454339" y="394491"/>
                <a:pt x="381000" y="333375"/>
              </a:cubicBezTo>
              <a:cubicBezTo>
                <a:pt x="372206" y="326046"/>
                <a:pt x="361219" y="321654"/>
                <a:pt x="352425" y="314325"/>
              </a:cubicBezTo>
              <a:cubicBezTo>
                <a:pt x="342077" y="305701"/>
                <a:pt x="334198" y="294374"/>
                <a:pt x="323850" y="285750"/>
              </a:cubicBezTo>
              <a:cubicBezTo>
                <a:pt x="315056" y="278421"/>
                <a:pt x="304069" y="274029"/>
                <a:pt x="295275" y="266700"/>
              </a:cubicBezTo>
              <a:cubicBezTo>
                <a:pt x="284927" y="258076"/>
                <a:pt x="277333" y="246395"/>
                <a:pt x="266700" y="238125"/>
              </a:cubicBezTo>
              <a:cubicBezTo>
                <a:pt x="248628" y="224069"/>
                <a:pt x="209550" y="200025"/>
                <a:pt x="209550" y="200025"/>
              </a:cubicBezTo>
              <a:cubicBezTo>
                <a:pt x="203200" y="190500"/>
                <a:pt x="199115" y="178988"/>
                <a:pt x="190500" y="171450"/>
              </a:cubicBezTo>
              <a:lnTo>
                <a:pt x="104775" y="114300"/>
              </a:lnTo>
              <a:cubicBezTo>
                <a:pt x="93567" y="106828"/>
                <a:pt x="86833" y="93995"/>
                <a:pt x="76200" y="85725"/>
              </a:cubicBezTo>
              <a:cubicBezTo>
                <a:pt x="58128" y="71669"/>
                <a:pt x="19050" y="47625"/>
                <a:pt x="19050" y="47625"/>
              </a:cubicBezTo>
              <a:cubicBezTo>
                <a:pt x="7280" y="12315"/>
                <a:pt x="14015" y="28030"/>
                <a:pt x="0" y="0"/>
              </a:cubicBezTo>
            </a:path>
          </a:pathLst>
        </a:cu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292100</xdr:colOff>
          <xdr:row>50</xdr:row>
          <xdr:rowOff>38100</xdr:rowOff>
        </xdr:from>
        <xdr:to>
          <xdr:col>12</xdr:col>
          <xdr:colOff>139700</xdr:colOff>
          <xdr:row>52</xdr:row>
          <xdr:rowOff>114300</xdr:rowOff>
        </xdr:to>
        <xdr:sp macro="" textlink="">
          <xdr:nvSpPr>
            <xdr:cNvPr id="2304" name="Object 2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2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127000</xdr:colOff>
          <xdr:row>50</xdr:row>
          <xdr:rowOff>88900</xdr:rowOff>
        </xdr:from>
        <xdr:to>
          <xdr:col>20</xdr:col>
          <xdr:colOff>101600</xdr:colOff>
          <xdr:row>53</xdr:row>
          <xdr:rowOff>25400</xdr:rowOff>
        </xdr:to>
        <xdr:sp macro="" textlink="">
          <xdr:nvSpPr>
            <xdr:cNvPr id="2305" name="Object 2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2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0</xdr:row>
      <xdr:rowOff>161925</xdr:rowOff>
    </xdr:from>
    <xdr:to>
      <xdr:col>5</xdr:col>
      <xdr:colOff>304800</xdr:colOff>
      <xdr:row>7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447675" y="161925"/>
          <a:ext cx="305752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ru-RU" sz="1100"/>
            <a:t>В результате испытаний 200 модулей памяти, проводившихся без </a:t>
          </a:r>
          <a:r>
            <a:rPr lang="en-US" sz="1100"/>
            <a:t> </a:t>
          </a:r>
          <a:r>
            <a:rPr lang="ru-RU" sz="1100"/>
            <a:t>замены отказавших в течение 1000ч получены данные о наработках до отказа (см. таблицу 1). Вычислить значения статистических оценок интенсивности отказов </a:t>
          </a:r>
          <a:r>
            <a:rPr lang="el-GR" sz="1100"/>
            <a:t>λ</a:t>
          </a:r>
          <a:r>
            <a:rPr lang="ru-RU" sz="1100"/>
            <a:t>*(</a:t>
          </a:r>
          <a:r>
            <a:rPr lang="en-US" sz="1100"/>
            <a:t>t)</a:t>
          </a:r>
          <a:r>
            <a:rPr lang="ru-RU" sz="1100"/>
            <a:t>,</a:t>
          </a:r>
          <a:r>
            <a:rPr lang="ru-RU" sz="1100" baseline="0"/>
            <a:t> вероятности  безотказной работы, </a:t>
          </a:r>
          <a:r>
            <a:rPr lang="en-US" sz="1100" baseline="0"/>
            <a:t>p*(t), </a:t>
          </a:r>
          <a:r>
            <a:rPr lang="ru-RU" sz="1100" baseline="0"/>
            <a:t> 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вероятности  отказа </a:t>
          </a:r>
          <a:r>
            <a:rPr lang="en-US" sz="1100" baseline="0"/>
            <a:t>q*(t)</a:t>
          </a:r>
          <a:endParaRPr lang="ru-RU" sz="1100"/>
        </a:p>
      </xdr:txBody>
    </xdr:sp>
    <xdr:clientData/>
  </xdr:twoCellAnchor>
  <xdr:twoCellAnchor>
    <xdr:from>
      <xdr:col>8</xdr:col>
      <xdr:colOff>266700</xdr:colOff>
      <xdr:row>0</xdr:row>
      <xdr:rowOff>152400</xdr:rowOff>
    </xdr:from>
    <xdr:to>
      <xdr:col>10</xdr:col>
      <xdr:colOff>361950</xdr:colOff>
      <xdr:row>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295900" y="152400"/>
          <a:ext cx="13144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l-GR" sz="1100">
              <a:solidFill>
                <a:schemeClr val="dk1"/>
              </a:solidFill>
              <a:latin typeface="+mn-lt"/>
              <a:ea typeface="+mn-ea"/>
              <a:cs typeface="+mn-cs"/>
            </a:rPr>
            <a:t>λ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t)-?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     (1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Ч) 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66675</xdr:colOff>
      <xdr:row>22</xdr:row>
      <xdr:rowOff>152400</xdr:rowOff>
    </xdr:from>
    <xdr:to>
      <xdr:col>5</xdr:col>
      <xdr:colOff>361950</xdr:colOff>
      <xdr:row>35</xdr:row>
      <xdr:rowOff>161925</xdr:rowOff>
    </xdr:to>
    <xdr:graphicFrame macro="">
      <xdr:nvGraphicFramePr>
        <xdr:cNvPr id="3487784" name="Диаграмма 3">
          <a:extLst>
            <a:ext uri="{FF2B5EF4-FFF2-40B4-BE49-F238E27FC236}">
              <a16:creationId xmlns:a16="http://schemas.microsoft.com/office/drawing/2014/main" id="{00000000-0008-0000-0300-000028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5</xdr:row>
      <xdr:rowOff>19049</xdr:rowOff>
    </xdr:from>
    <xdr:to>
      <xdr:col>11</xdr:col>
      <xdr:colOff>9525</xdr:colOff>
      <xdr:row>7</xdr:row>
      <xdr:rowOff>123824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5553075" y="971549"/>
          <a:ext cx="13144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отказов в единицу времени?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523874</xdr:colOff>
      <xdr:row>8</xdr:row>
      <xdr:rowOff>57150</xdr:rowOff>
    </xdr:from>
    <xdr:to>
      <xdr:col>11</xdr:col>
      <xdr:colOff>47625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5553074" y="1581150"/>
          <a:ext cx="1352551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отношение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отказавших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в единицу времени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к  числу исправных </a:t>
          </a:r>
          <a:endParaRPr lang="ru-RU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542925</xdr:colOff>
      <xdr:row>22</xdr:row>
      <xdr:rowOff>161925</xdr:rowOff>
    </xdr:from>
    <xdr:to>
      <xdr:col>12</xdr:col>
      <xdr:colOff>161925</xdr:colOff>
      <xdr:row>35</xdr:row>
      <xdr:rowOff>180975</xdr:rowOff>
    </xdr:to>
    <xdr:graphicFrame macro="">
      <xdr:nvGraphicFramePr>
        <xdr:cNvPr id="3487787" name="Диаграмма 6">
          <a:extLst>
            <a:ext uri="{FF2B5EF4-FFF2-40B4-BE49-F238E27FC236}">
              <a16:creationId xmlns:a16="http://schemas.microsoft.com/office/drawing/2014/main" id="{00000000-0008-0000-0300-00002B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400050</xdr:colOff>
      <xdr:row>22</xdr:row>
      <xdr:rowOff>171450</xdr:rowOff>
    </xdr:from>
    <xdr:to>
      <xdr:col>18</xdr:col>
      <xdr:colOff>219075</xdr:colOff>
      <xdr:row>35</xdr:row>
      <xdr:rowOff>123825</xdr:rowOff>
    </xdr:to>
    <xdr:graphicFrame macro="">
      <xdr:nvGraphicFramePr>
        <xdr:cNvPr id="3487788" name="Диаграмма 7">
          <a:extLst>
            <a:ext uri="{FF2B5EF4-FFF2-40B4-BE49-F238E27FC236}">
              <a16:creationId xmlns:a16="http://schemas.microsoft.com/office/drawing/2014/main" id="{00000000-0008-0000-0300-00002C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352425</xdr:colOff>
      <xdr:row>22</xdr:row>
      <xdr:rowOff>171450</xdr:rowOff>
    </xdr:from>
    <xdr:to>
      <xdr:col>24</xdr:col>
      <xdr:colOff>504825</xdr:colOff>
      <xdr:row>35</xdr:row>
      <xdr:rowOff>95250</xdr:rowOff>
    </xdr:to>
    <xdr:graphicFrame macro="">
      <xdr:nvGraphicFramePr>
        <xdr:cNvPr id="3487789" name="Диаграмма 8">
          <a:extLst>
            <a:ext uri="{FF2B5EF4-FFF2-40B4-BE49-F238E27FC236}">
              <a16:creationId xmlns:a16="http://schemas.microsoft.com/office/drawing/2014/main" id="{00000000-0008-0000-0300-00002D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419100</xdr:colOff>
      <xdr:row>41</xdr:row>
      <xdr:rowOff>0</xdr:rowOff>
    </xdr:from>
    <xdr:to>
      <xdr:col>9</xdr:col>
      <xdr:colOff>133350</xdr:colOff>
      <xdr:row>49</xdr:row>
      <xdr:rowOff>104775</xdr:rowOff>
    </xdr:to>
    <xdr:pic>
      <xdr:nvPicPr>
        <xdr:cNvPr id="3487790" name="Picture 56">
          <a:extLst>
            <a:ext uri="{FF2B5EF4-FFF2-40B4-BE49-F238E27FC236}">
              <a16:creationId xmlns:a16="http://schemas.microsoft.com/office/drawing/2014/main" id="{00000000-0008-0000-0300-00002E38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25" t="30698" r="37646" b="44551"/>
        <a:stretch>
          <a:fillRect/>
        </a:stretch>
      </xdr:blipFill>
      <xdr:spPr bwMode="auto">
        <a:xfrm>
          <a:off x="419100" y="8010525"/>
          <a:ext cx="5353050" cy="1628775"/>
        </a:xfrm>
        <a:prstGeom prst="rect">
          <a:avLst/>
        </a:prstGeom>
        <a:solidFill>
          <a:srgbClr val="D9D9D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571500</xdr:colOff>
      <xdr:row>58</xdr:row>
      <xdr:rowOff>104775</xdr:rowOff>
    </xdr:from>
    <xdr:to>
      <xdr:col>9</xdr:col>
      <xdr:colOff>266700</xdr:colOff>
      <xdr:row>66</xdr:row>
      <xdr:rowOff>19050</xdr:rowOff>
    </xdr:to>
    <xdr:pic>
      <xdr:nvPicPr>
        <xdr:cNvPr id="3487791" name="Picture 801">
          <a:extLst>
            <a:ext uri="{FF2B5EF4-FFF2-40B4-BE49-F238E27FC236}">
              <a16:creationId xmlns:a16="http://schemas.microsoft.com/office/drawing/2014/main" id="{00000000-0008-0000-0300-00002F38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63" t="14723" r="37709" b="65202"/>
        <a:stretch>
          <a:fillRect/>
        </a:stretch>
      </xdr:blipFill>
      <xdr:spPr bwMode="auto">
        <a:xfrm>
          <a:off x="571500" y="11353800"/>
          <a:ext cx="533400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9525</xdr:colOff>
      <xdr:row>6</xdr:row>
      <xdr:rowOff>71437</xdr:rowOff>
    </xdr:from>
    <xdr:to>
      <xdr:col>11</xdr:col>
      <xdr:colOff>571500</xdr:colOff>
      <xdr:row>8</xdr:row>
      <xdr:rowOff>180975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>
          <a:stCxn id="5" idx="3"/>
        </xdr:cNvCxnSpPr>
      </xdr:nvCxnSpPr>
      <xdr:spPr>
        <a:xfrm>
          <a:off x="6867525" y="1214437"/>
          <a:ext cx="561975" cy="4905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9</xdr:row>
      <xdr:rowOff>19050</xdr:rowOff>
    </xdr:from>
    <xdr:to>
      <xdr:col>11</xdr:col>
      <xdr:colOff>571500</xdr:colOff>
      <xdr:row>10</xdr:row>
      <xdr:rowOff>95250</xdr:rowOff>
    </xdr:to>
    <xdr:cxnSp macro="">
      <xdr:nvCxnSpPr>
        <xdr:cNvPr id="14" name="Прямая со стрелко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stCxn id="6" idx="3"/>
        </xdr:cNvCxnSpPr>
      </xdr:nvCxnSpPr>
      <xdr:spPr>
        <a:xfrm flipV="1">
          <a:off x="6905625" y="1733550"/>
          <a:ext cx="523875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5</xdr:row>
      <xdr:rowOff>123825</xdr:rowOff>
    </xdr:from>
    <xdr:to>
      <xdr:col>18</xdr:col>
      <xdr:colOff>228602</xdr:colOff>
      <xdr:row>11</xdr:row>
      <xdr:rowOff>180975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9553576" y="1076325"/>
          <a:ext cx="1800226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или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отношение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отказавших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в единицу времени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к среднему числу исправных на (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t+</a:t>
          </a:r>
          <a:r>
            <a:rPr lang="en-US" sz="1100" baseline="0">
              <a:solidFill>
                <a:schemeClr val="dk1"/>
              </a:solidFill>
              <a:latin typeface="Tahoma"/>
              <a:ea typeface="Tahoma"/>
              <a:cs typeface="Tahoma"/>
            </a:rPr>
            <a:t>∆t)</a:t>
          </a:r>
          <a:endParaRPr lang="ru-RU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219075</xdr:colOff>
      <xdr:row>8</xdr:row>
      <xdr:rowOff>123825</xdr:rowOff>
    </xdr:from>
    <xdr:to>
      <xdr:col>19</xdr:col>
      <xdr:colOff>19050</xdr:colOff>
      <xdr:row>8</xdr:row>
      <xdr:rowOff>142875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1344275" y="1647825"/>
          <a:ext cx="4095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19050</xdr:rowOff>
    </xdr:from>
    <xdr:to>
      <xdr:col>11</xdr:col>
      <xdr:colOff>476250</xdr:colOff>
      <xdr:row>14</xdr:row>
      <xdr:rowOff>19050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6886575" y="2695575"/>
          <a:ext cx="44767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51</xdr:row>
          <xdr:rowOff>177800</xdr:rowOff>
        </xdr:from>
        <xdr:to>
          <xdr:col>19</xdr:col>
          <xdr:colOff>127000</xdr:colOff>
          <xdr:row>54</xdr:row>
          <xdr:rowOff>25400</xdr:rowOff>
        </xdr:to>
        <xdr:sp macro="" textlink="">
          <xdr:nvSpPr>
            <xdr:cNvPr id="499468" name="Object 10" hidden="1">
              <a:extLst>
                <a:ext uri="{63B3BB69-23CF-44E3-9099-C40C66FF867C}">
                  <a14:compatExt spid="_x0000_s499468"/>
                </a:ext>
                <a:ext uri="{FF2B5EF4-FFF2-40B4-BE49-F238E27FC236}">
                  <a16:creationId xmlns:a16="http://schemas.microsoft.com/office/drawing/2014/main" id="{00000000-0008-0000-0300-00000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54</xdr:row>
          <xdr:rowOff>139700</xdr:rowOff>
        </xdr:from>
        <xdr:to>
          <xdr:col>19</xdr:col>
          <xdr:colOff>165100</xdr:colOff>
          <xdr:row>57</xdr:row>
          <xdr:rowOff>38100</xdr:rowOff>
        </xdr:to>
        <xdr:sp macro="" textlink="">
          <xdr:nvSpPr>
            <xdr:cNvPr id="499469" name="Object 10" hidden="1">
              <a:extLst>
                <a:ext uri="{63B3BB69-23CF-44E3-9099-C40C66FF867C}">
                  <a14:compatExt spid="_x0000_s499469"/>
                </a:ext>
                <a:ext uri="{FF2B5EF4-FFF2-40B4-BE49-F238E27FC236}">
                  <a16:creationId xmlns:a16="http://schemas.microsoft.com/office/drawing/2014/main" id="{00000000-0008-0000-0300-00000D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41</xdr:row>
          <xdr:rowOff>0</xdr:rowOff>
        </xdr:from>
        <xdr:to>
          <xdr:col>18</xdr:col>
          <xdr:colOff>127000</xdr:colOff>
          <xdr:row>45</xdr:row>
          <xdr:rowOff>50800</xdr:rowOff>
        </xdr:to>
        <xdr:sp macro="" textlink="">
          <xdr:nvSpPr>
            <xdr:cNvPr id="499479" name="Object 10" hidden="1">
              <a:extLst>
                <a:ext uri="{63B3BB69-23CF-44E3-9099-C40C66FF867C}">
                  <a14:compatExt spid="_x0000_s499479"/>
                </a:ext>
                <a:ext uri="{FF2B5EF4-FFF2-40B4-BE49-F238E27FC236}">
                  <a16:creationId xmlns:a16="http://schemas.microsoft.com/office/drawing/2014/main" id="{00000000-0008-0000-0300-000017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0</xdr:row>
          <xdr:rowOff>63500</xdr:rowOff>
        </xdr:from>
        <xdr:to>
          <xdr:col>15</xdr:col>
          <xdr:colOff>88900</xdr:colOff>
          <xdr:row>3</xdr:row>
          <xdr:rowOff>101600</xdr:rowOff>
        </xdr:to>
        <xdr:sp macro="" textlink="">
          <xdr:nvSpPr>
            <xdr:cNvPr id="499513" name="Object 10" hidden="1">
              <a:extLst>
                <a:ext uri="{63B3BB69-23CF-44E3-9099-C40C66FF867C}">
                  <a14:compatExt spid="_x0000_s499513"/>
                </a:ext>
                <a:ext uri="{FF2B5EF4-FFF2-40B4-BE49-F238E27FC236}">
                  <a16:creationId xmlns:a16="http://schemas.microsoft.com/office/drawing/2014/main" id="{00000000-0008-0000-0300-000039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444500</xdr:colOff>
          <xdr:row>3</xdr:row>
          <xdr:rowOff>152400</xdr:rowOff>
        </xdr:from>
        <xdr:to>
          <xdr:col>14</xdr:col>
          <xdr:colOff>508000</xdr:colOff>
          <xdr:row>6</xdr:row>
          <xdr:rowOff>177800</xdr:rowOff>
        </xdr:to>
        <xdr:sp macro="" textlink="">
          <xdr:nvSpPr>
            <xdr:cNvPr id="499514" name="Object 10" hidden="1">
              <a:extLst>
                <a:ext uri="{63B3BB69-23CF-44E3-9099-C40C66FF867C}">
                  <a14:compatExt spid="_x0000_s499514"/>
                </a:ext>
                <a:ext uri="{FF2B5EF4-FFF2-40B4-BE49-F238E27FC236}">
                  <a16:creationId xmlns:a16="http://schemas.microsoft.com/office/drawing/2014/main" id="{00000000-0008-0000-0300-00003A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165100</xdr:colOff>
          <xdr:row>7</xdr:row>
          <xdr:rowOff>0</xdr:rowOff>
        </xdr:from>
        <xdr:to>
          <xdr:col>22</xdr:col>
          <xdr:colOff>228600</xdr:colOff>
          <xdr:row>10</xdr:row>
          <xdr:rowOff>152400</xdr:rowOff>
        </xdr:to>
        <xdr:sp macro="" textlink="">
          <xdr:nvSpPr>
            <xdr:cNvPr id="499515" name="Object 10" hidden="1">
              <a:extLst>
                <a:ext uri="{63B3BB69-23CF-44E3-9099-C40C66FF867C}">
                  <a14:compatExt spid="_x0000_s499515"/>
                </a:ext>
                <a:ext uri="{FF2B5EF4-FFF2-40B4-BE49-F238E27FC236}">
                  <a16:creationId xmlns:a16="http://schemas.microsoft.com/office/drawing/2014/main" id="{00000000-0008-0000-0300-00003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622300</xdr:colOff>
          <xdr:row>7</xdr:row>
          <xdr:rowOff>12700</xdr:rowOff>
        </xdr:from>
        <xdr:to>
          <xdr:col>25</xdr:col>
          <xdr:colOff>520700</xdr:colOff>
          <xdr:row>10</xdr:row>
          <xdr:rowOff>12700</xdr:rowOff>
        </xdr:to>
        <xdr:sp macro="" textlink="">
          <xdr:nvSpPr>
            <xdr:cNvPr id="499516" name="Object 10" hidden="1">
              <a:extLst>
                <a:ext uri="{63B3BB69-23CF-44E3-9099-C40C66FF867C}">
                  <a14:compatExt spid="_x0000_s499516"/>
                </a:ext>
                <a:ext uri="{FF2B5EF4-FFF2-40B4-BE49-F238E27FC236}">
                  <a16:creationId xmlns:a16="http://schemas.microsoft.com/office/drawing/2014/main" id="{00000000-0008-0000-0300-00003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596900</xdr:colOff>
          <xdr:row>7</xdr:row>
          <xdr:rowOff>127000</xdr:rowOff>
        </xdr:from>
        <xdr:to>
          <xdr:col>15</xdr:col>
          <xdr:colOff>88900</xdr:colOff>
          <xdr:row>11</xdr:row>
          <xdr:rowOff>38100</xdr:rowOff>
        </xdr:to>
        <xdr:sp macro="" textlink="">
          <xdr:nvSpPr>
            <xdr:cNvPr id="499529" name="Object 10" hidden="1">
              <a:extLst>
                <a:ext uri="{63B3BB69-23CF-44E3-9099-C40C66FF867C}">
                  <a14:compatExt spid="_x0000_s499529"/>
                </a:ext>
                <a:ext uri="{FF2B5EF4-FFF2-40B4-BE49-F238E27FC236}">
                  <a16:creationId xmlns:a16="http://schemas.microsoft.com/office/drawing/2014/main" id="{00000000-0008-0000-0300-000049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25400</xdr:colOff>
          <xdr:row>12</xdr:row>
          <xdr:rowOff>177800</xdr:rowOff>
        </xdr:from>
        <xdr:to>
          <xdr:col>10</xdr:col>
          <xdr:colOff>596900</xdr:colOff>
          <xdr:row>16</xdr:row>
          <xdr:rowOff>0</xdr:rowOff>
        </xdr:to>
        <xdr:sp macro="" textlink="">
          <xdr:nvSpPr>
            <xdr:cNvPr id="499531" name="Object 10" hidden="1">
              <a:extLst>
                <a:ext uri="{63B3BB69-23CF-44E3-9099-C40C66FF867C}">
                  <a14:compatExt spid="_x0000_s499531"/>
                </a:ext>
                <a:ext uri="{FF2B5EF4-FFF2-40B4-BE49-F238E27FC236}">
                  <a16:creationId xmlns:a16="http://schemas.microsoft.com/office/drawing/2014/main" id="{00000000-0008-0000-0300-00004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25400</xdr:colOff>
          <xdr:row>12</xdr:row>
          <xdr:rowOff>63500</xdr:rowOff>
        </xdr:from>
        <xdr:to>
          <xdr:col>15</xdr:col>
          <xdr:colOff>152400</xdr:colOff>
          <xdr:row>15</xdr:row>
          <xdr:rowOff>101600</xdr:rowOff>
        </xdr:to>
        <xdr:sp macro="" textlink="">
          <xdr:nvSpPr>
            <xdr:cNvPr id="499532" name="Object 10" hidden="1">
              <a:extLst>
                <a:ext uri="{63B3BB69-23CF-44E3-9099-C40C66FF867C}">
                  <a14:compatExt spid="_x0000_s499532"/>
                </a:ext>
                <a:ext uri="{FF2B5EF4-FFF2-40B4-BE49-F238E27FC236}">
                  <a16:creationId xmlns:a16="http://schemas.microsoft.com/office/drawing/2014/main" id="{00000000-0008-0000-0300-00004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12700</xdr:colOff>
          <xdr:row>15</xdr:row>
          <xdr:rowOff>139700</xdr:rowOff>
        </xdr:from>
        <xdr:to>
          <xdr:col>14</xdr:col>
          <xdr:colOff>368300</xdr:colOff>
          <xdr:row>18</xdr:row>
          <xdr:rowOff>177800</xdr:rowOff>
        </xdr:to>
        <xdr:sp macro="" textlink="">
          <xdr:nvSpPr>
            <xdr:cNvPr id="499563" name="Object 10" hidden="1">
              <a:extLst>
                <a:ext uri="{63B3BB69-23CF-44E3-9099-C40C66FF867C}">
                  <a14:compatExt spid="_x0000_s499563"/>
                </a:ext>
                <a:ext uri="{FF2B5EF4-FFF2-40B4-BE49-F238E27FC236}">
                  <a16:creationId xmlns:a16="http://schemas.microsoft.com/office/drawing/2014/main" id="{00000000-0008-0000-0300-00006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88900</xdr:colOff>
          <xdr:row>16</xdr:row>
          <xdr:rowOff>25400</xdr:rowOff>
        </xdr:from>
        <xdr:to>
          <xdr:col>22</xdr:col>
          <xdr:colOff>787400</xdr:colOff>
          <xdr:row>18</xdr:row>
          <xdr:rowOff>88900</xdr:rowOff>
        </xdr:to>
        <xdr:sp macro="" textlink="">
          <xdr:nvSpPr>
            <xdr:cNvPr id="499564" name="Object 10" hidden="1">
              <a:extLst>
                <a:ext uri="{63B3BB69-23CF-44E3-9099-C40C66FF867C}">
                  <a14:compatExt spid="_x0000_s499564"/>
                </a:ext>
                <a:ext uri="{FF2B5EF4-FFF2-40B4-BE49-F238E27FC236}">
                  <a16:creationId xmlns:a16="http://schemas.microsoft.com/office/drawing/2014/main" id="{00000000-0008-0000-0300-00006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546100</xdr:colOff>
          <xdr:row>59</xdr:row>
          <xdr:rowOff>114300</xdr:rowOff>
        </xdr:from>
        <xdr:to>
          <xdr:col>19</xdr:col>
          <xdr:colOff>228600</xdr:colOff>
          <xdr:row>63</xdr:row>
          <xdr:rowOff>50800</xdr:rowOff>
        </xdr:to>
        <xdr:sp macro="" textlink="">
          <xdr:nvSpPr>
            <xdr:cNvPr id="499610" name="Object 10" hidden="1">
              <a:extLst>
                <a:ext uri="{63B3BB69-23CF-44E3-9099-C40C66FF867C}">
                  <a14:compatExt spid="_x0000_s499610"/>
                </a:ext>
                <a:ext uri="{FF2B5EF4-FFF2-40B4-BE49-F238E27FC236}">
                  <a16:creationId xmlns:a16="http://schemas.microsoft.com/office/drawing/2014/main" id="{00000000-0008-0000-0300-00009A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38100</xdr:colOff>
          <xdr:row>63</xdr:row>
          <xdr:rowOff>139700</xdr:rowOff>
        </xdr:from>
        <xdr:to>
          <xdr:col>19</xdr:col>
          <xdr:colOff>558800</xdr:colOff>
          <xdr:row>67</xdr:row>
          <xdr:rowOff>63500</xdr:rowOff>
        </xdr:to>
        <xdr:sp macro="" textlink="">
          <xdr:nvSpPr>
            <xdr:cNvPr id="499611" name="Object 10" hidden="1">
              <a:extLst>
                <a:ext uri="{63B3BB69-23CF-44E3-9099-C40C66FF867C}">
                  <a14:compatExt spid="_x0000_s499611"/>
                </a:ext>
                <a:ext uri="{FF2B5EF4-FFF2-40B4-BE49-F238E27FC236}">
                  <a16:creationId xmlns:a16="http://schemas.microsoft.com/office/drawing/2014/main" id="{00000000-0008-0000-0300-00009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25400</xdr:colOff>
          <xdr:row>19</xdr:row>
          <xdr:rowOff>25400</xdr:rowOff>
        </xdr:from>
        <xdr:to>
          <xdr:col>15</xdr:col>
          <xdr:colOff>520700</xdr:colOff>
          <xdr:row>21</xdr:row>
          <xdr:rowOff>177800</xdr:rowOff>
        </xdr:to>
        <xdr:sp macro="" textlink="">
          <xdr:nvSpPr>
            <xdr:cNvPr id="499702" name="Object 3" hidden="1">
              <a:extLst>
                <a:ext uri="{63B3BB69-23CF-44E3-9099-C40C66FF867C}">
                  <a14:compatExt spid="_x0000_s499702"/>
                </a:ext>
                <a:ext uri="{FF2B5EF4-FFF2-40B4-BE49-F238E27FC236}">
                  <a16:creationId xmlns:a16="http://schemas.microsoft.com/office/drawing/2014/main" id="{00000000-0008-0000-0300-0000F6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63500</xdr:colOff>
          <xdr:row>45</xdr:row>
          <xdr:rowOff>0</xdr:rowOff>
        </xdr:from>
        <xdr:to>
          <xdr:col>17</xdr:col>
          <xdr:colOff>482600</xdr:colOff>
          <xdr:row>48</xdr:row>
          <xdr:rowOff>76200</xdr:rowOff>
        </xdr:to>
        <xdr:sp macro="" textlink="">
          <xdr:nvSpPr>
            <xdr:cNvPr id="3487750" name="Object 10" hidden="1">
              <a:extLst>
                <a:ext uri="{63B3BB69-23CF-44E3-9099-C40C66FF867C}">
                  <a14:compatExt spid="_x0000_s3487750"/>
                </a:ext>
                <a:ext uri="{FF2B5EF4-FFF2-40B4-BE49-F238E27FC236}">
                  <a16:creationId xmlns:a16="http://schemas.microsoft.com/office/drawing/2014/main" id="{00000000-0008-0000-0300-000006383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25400</xdr:colOff>
          <xdr:row>48</xdr:row>
          <xdr:rowOff>152400</xdr:rowOff>
        </xdr:from>
        <xdr:to>
          <xdr:col>18</xdr:col>
          <xdr:colOff>76200</xdr:colOff>
          <xdr:row>50</xdr:row>
          <xdr:rowOff>177800</xdr:rowOff>
        </xdr:to>
        <xdr:sp macro="" textlink="">
          <xdr:nvSpPr>
            <xdr:cNvPr id="3487751" name="Object 10" hidden="1">
              <a:extLst>
                <a:ext uri="{63B3BB69-23CF-44E3-9099-C40C66FF867C}">
                  <a14:compatExt spid="_x0000_s3487751"/>
                </a:ext>
                <a:ext uri="{FF2B5EF4-FFF2-40B4-BE49-F238E27FC236}">
                  <a16:creationId xmlns:a16="http://schemas.microsoft.com/office/drawing/2014/main" id="{00000000-0008-0000-0300-000007383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14</xdr:row>
      <xdr:rowOff>19050</xdr:rowOff>
    </xdr:from>
    <xdr:to>
      <xdr:col>18</xdr:col>
      <xdr:colOff>247650</xdr:colOff>
      <xdr:row>28</xdr:row>
      <xdr:rowOff>95250</xdr:rowOff>
    </xdr:to>
    <xdr:graphicFrame macro="">
      <xdr:nvGraphicFramePr>
        <xdr:cNvPr id="872655" name="Диаграмма 1">
          <a:extLst>
            <a:ext uri="{FF2B5EF4-FFF2-40B4-BE49-F238E27FC236}">
              <a16:creationId xmlns:a16="http://schemas.microsoft.com/office/drawing/2014/main" id="{00000000-0008-0000-0400-0000CF500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552450</xdr:colOff>
      <xdr:row>14</xdr:row>
      <xdr:rowOff>19050</xdr:rowOff>
    </xdr:from>
    <xdr:to>
      <xdr:col>18</xdr:col>
      <xdr:colOff>247650</xdr:colOff>
      <xdr:row>28</xdr:row>
      <xdr:rowOff>95250</xdr:rowOff>
    </xdr:to>
    <xdr:graphicFrame macro="">
      <xdr:nvGraphicFramePr>
        <xdr:cNvPr id="872656" name="Диаграмма 3">
          <a:extLst>
            <a:ext uri="{FF2B5EF4-FFF2-40B4-BE49-F238E27FC236}">
              <a16:creationId xmlns:a16="http://schemas.microsoft.com/office/drawing/2014/main" id="{00000000-0008-0000-0400-0000D0500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68</xdr:row>
      <xdr:rowOff>171450</xdr:rowOff>
    </xdr:from>
    <xdr:to>
      <xdr:col>5</xdr:col>
      <xdr:colOff>1181100</xdr:colOff>
      <xdr:row>81</xdr:row>
      <xdr:rowOff>57150</xdr:rowOff>
    </xdr:to>
    <xdr:graphicFrame macro="">
      <xdr:nvGraphicFramePr>
        <xdr:cNvPr id="3410051" name="Диаграмма 1">
          <a:extLst>
            <a:ext uri="{FF2B5EF4-FFF2-40B4-BE49-F238E27FC236}">
              <a16:creationId xmlns:a16="http://schemas.microsoft.com/office/drawing/2014/main" id="{00000000-0008-0000-0500-000083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68</xdr:row>
      <xdr:rowOff>123825</xdr:rowOff>
    </xdr:from>
    <xdr:to>
      <xdr:col>9</xdr:col>
      <xdr:colOff>609600</xdr:colOff>
      <xdr:row>80</xdr:row>
      <xdr:rowOff>180975</xdr:rowOff>
    </xdr:to>
    <xdr:graphicFrame macro="">
      <xdr:nvGraphicFramePr>
        <xdr:cNvPr id="3410052" name="Диаграмма 2">
          <a:extLst>
            <a:ext uri="{FF2B5EF4-FFF2-40B4-BE49-F238E27FC236}">
              <a16:creationId xmlns:a16="http://schemas.microsoft.com/office/drawing/2014/main" id="{00000000-0008-0000-0500-000084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209550</xdr:colOff>
      <xdr:row>89</xdr:row>
      <xdr:rowOff>104775</xdr:rowOff>
    </xdr:from>
    <xdr:to>
      <xdr:col>5</xdr:col>
      <xdr:colOff>1219200</xdr:colOff>
      <xdr:row>103</xdr:row>
      <xdr:rowOff>180975</xdr:rowOff>
    </xdr:to>
    <xdr:graphicFrame macro="">
      <xdr:nvGraphicFramePr>
        <xdr:cNvPr id="3410053" name="Диаграмма 3">
          <a:extLst>
            <a:ext uri="{FF2B5EF4-FFF2-40B4-BE49-F238E27FC236}">
              <a16:creationId xmlns:a16="http://schemas.microsoft.com/office/drawing/2014/main" id="{00000000-0008-0000-0500-000085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238125</xdr:colOff>
      <xdr:row>89</xdr:row>
      <xdr:rowOff>104775</xdr:rowOff>
    </xdr:from>
    <xdr:to>
      <xdr:col>9</xdr:col>
      <xdr:colOff>619125</xdr:colOff>
      <xdr:row>103</xdr:row>
      <xdr:rowOff>180975</xdr:rowOff>
    </xdr:to>
    <xdr:graphicFrame macro="">
      <xdr:nvGraphicFramePr>
        <xdr:cNvPr id="3410054" name="Диаграмма 4">
          <a:extLst>
            <a:ext uri="{FF2B5EF4-FFF2-40B4-BE49-F238E27FC236}">
              <a16:creationId xmlns:a16="http://schemas.microsoft.com/office/drawing/2014/main" id="{00000000-0008-0000-0500-000086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857250</xdr:colOff>
      <xdr:row>89</xdr:row>
      <xdr:rowOff>114300</xdr:rowOff>
    </xdr:from>
    <xdr:to>
      <xdr:col>16</xdr:col>
      <xdr:colOff>0</xdr:colOff>
      <xdr:row>104</xdr:row>
      <xdr:rowOff>0</xdr:rowOff>
    </xdr:to>
    <xdr:graphicFrame macro="">
      <xdr:nvGraphicFramePr>
        <xdr:cNvPr id="3410055" name="Диаграмма 5">
          <a:extLst>
            <a:ext uri="{FF2B5EF4-FFF2-40B4-BE49-F238E27FC236}">
              <a16:creationId xmlns:a16="http://schemas.microsoft.com/office/drawing/2014/main" id="{00000000-0008-0000-0500-000087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962025</xdr:colOff>
      <xdr:row>114</xdr:row>
      <xdr:rowOff>28575</xdr:rowOff>
    </xdr:from>
    <xdr:to>
      <xdr:col>10</xdr:col>
      <xdr:colOff>371475</xdr:colOff>
      <xdr:row>126</xdr:row>
      <xdr:rowOff>114300</xdr:rowOff>
    </xdr:to>
    <xdr:graphicFrame macro="">
      <xdr:nvGraphicFramePr>
        <xdr:cNvPr id="3410056" name="Диаграмма 6">
          <a:extLst>
            <a:ext uri="{FF2B5EF4-FFF2-40B4-BE49-F238E27FC236}">
              <a16:creationId xmlns:a16="http://schemas.microsoft.com/office/drawing/2014/main" id="{00000000-0008-0000-0500-000088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447675</xdr:colOff>
      <xdr:row>134</xdr:row>
      <xdr:rowOff>9525</xdr:rowOff>
    </xdr:from>
    <xdr:to>
      <xdr:col>6</xdr:col>
      <xdr:colOff>47625</xdr:colOff>
      <xdr:row>148</xdr:row>
      <xdr:rowOff>85725</xdr:rowOff>
    </xdr:to>
    <xdr:graphicFrame macro="">
      <xdr:nvGraphicFramePr>
        <xdr:cNvPr id="3410057" name="Диаграмма 7">
          <a:extLst>
            <a:ext uri="{FF2B5EF4-FFF2-40B4-BE49-F238E27FC236}">
              <a16:creationId xmlns:a16="http://schemas.microsoft.com/office/drawing/2014/main" id="{00000000-0008-0000-0500-000089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447675</xdr:colOff>
      <xdr:row>134</xdr:row>
      <xdr:rowOff>28575</xdr:rowOff>
    </xdr:from>
    <xdr:to>
      <xdr:col>9</xdr:col>
      <xdr:colOff>828675</xdr:colOff>
      <xdr:row>148</xdr:row>
      <xdr:rowOff>104775</xdr:rowOff>
    </xdr:to>
    <xdr:graphicFrame macro="">
      <xdr:nvGraphicFramePr>
        <xdr:cNvPr id="3410058" name="Диаграмма 8">
          <a:extLst>
            <a:ext uri="{FF2B5EF4-FFF2-40B4-BE49-F238E27FC236}">
              <a16:creationId xmlns:a16="http://schemas.microsoft.com/office/drawing/2014/main" id="{00000000-0008-0000-0500-00008A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180975</xdr:colOff>
      <xdr:row>134</xdr:row>
      <xdr:rowOff>38100</xdr:rowOff>
    </xdr:from>
    <xdr:to>
      <xdr:col>16</xdr:col>
      <xdr:colOff>190500</xdr:colOff>
      <xdr:row>148</xdr:row>
      <xdr:rowOff>114300</xdr:rowOff>
    </xdr:to>
    <xdr:graphicFrame macro="">
      <xdr:nvGraphicFramePr>
        <xdr:cNvPr id="3410059" name="Диаграмма 9">
          <a:extLst>
            <a:ext uri="{FF2B5EF4-FFF2-40B4-BE49-F238E27FC236}">
              <a16:creationId xmlns:a16="http://schemas.microsoft.com/office/drawing/2014/main" id="{00000000-0008-0000-0500-00008B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371475</xdr:colOff>
      <xdr:row>162</xdr:row>
      <xdr:rowOff>133350</xdr:rowOff>
    </xdr:from>
    <xdr:to>
      <xdr:col>5</xdr:col>
      <xdr:colOff>590550</xdr:colOff>
      <xdr:row>177</xdr:row>
      <xdr:rowOff>19050</xdr:rowOff>
    </xdr:to>
    <xdr:graphicFrame macro="">
      <xdr:nvGraphicFramePr>
        <xdr:cNvPr id="3410060" name="Диаграмма 10">
          <a:extLst>
            <a:ext uri="{FF2B5EF4-FFF2-40B4-BE49-F238E27FC236}">
              <a16:creationId xmlns:a16="http://schemas.microsoft.com/office/drawing/2014/main" id="{00000000-0008-0000-0500-00008C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895350</xdr:colOff>
      <xdr:row>163</xdr:row>
      <xdr:rowOff>19050</xdr:rowOff>
    </xdr:from>
    <xdr:to>
      <xdr:col>8</xdr:col>
      <xdr:colOff>733425</xdr:colOff>
      <xdr:row>177</xdr:row>
      <xdr:rowOff>95250</xdr:rowOff>
    </xdr:to>
    <xdr:graphicFrame macro="">
      <xdr:nvGraphicFramePr>
        <xdr:cNvPr id="3410061" name="Диаграмма 11">
          <a:extLst>
            <a:ext uri="{FF2B5EF4-FFF2-40B4-BE49-F238E27FC236}">
              <a16:creationId xmlns:a16="http://schemas.microsoft.com/office/drawing/2014/main" id="{00000000-0008-0000-0500-00008D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47625</xdr:colOff>
      <xdr:row>114</xdr:row>
      <xdr:rowOff>76200</xdr:rowOff>
    </xdr:from>
    <xdr:to>
      <xdr:col>5</xdr:col>
      <xdr:colOff>1114425</xdr:colOff>
      <xdr:row>126</xdr:row>
      <xdr:rowOff>114300</xdr:rowOff>
    </xdr:to>
    <xdr:graphicFrame macro="">
      <xdr:nvGraphicFramePr>
        <xdr:cNvPr id="3410062" name="Диаграмма 12">
          <a:extLst>
            <a:ext uri="{FF2B5EF4-FFF2-40B4-BE49-F238E27FC236}">
              <a16:creationId xmlns:a16="http://schemas.microsoft.com/office/drawing/2014/main" id="{00000000-0008-0000-0500-00008E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13</xdr:col>
      <xdr:colOff>104775</xdr:colOff>
      <xdr:row>0</xdr:row>
      <xdr:rowOff>180975</xdr:rowOff>
    </xdr:from>
    <xdr:to>
      <xdr:col>19</xdr:col>
      <xdr:colOff>533400</xdr:colOff>
      <xdr:row>6</xdr:row>
      <xdr:rowOff>171450</xdr:rowOff>
    </xdr:to>
    <xdr:pic>
      <xdr:nvPicPr>
        <xdr:cNvPr id="3410063" name="Picture 1316">
          <a:extLst>
            <a:ext uri="{FF2B5EF4-FFF2-40B4-BE49-F238E27FC236}">
              <a16:creationId xmlns:a16="http://schemas.microsoft.com/office/drawing/2014/main" id="{00000000-0008-0000-0500-00008F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180975"/>
          <a:ext cx="47720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133350</xdr:colOff>
      <xdr:row>7</xdr:row>
      <xdr:rowOff>47625</xdr:rowOff>
    </xdr:from>
    <xdr:to>
      <xdr:col>20</xdr:col>
      <xdr:colOff>28575</xdr:colOff>
      <xdr:row>15</xdr:row>
      <xdr:rowOff>152400</xdr:rowOff>
    </xdr:to>
    <xdr:pic>
      <xdr:nvPicPr>
        <xdr:cNvPr id="3410064" name="Picture 1320">
          <a:extLst>
            <a:ext uri="{FF2B5EF4-FFF2-40B4-BE49-F238E27FC236}">
              <a16:creationId xmlns:a16="http://schemas.microsoft.com/office/drawing/2014/main" id="{00000000-0008-0000-0500-000090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1466850"/>
          <a:ext cx="4848225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133350</xdr:colOff>
      <xdr:row>16</xdr:row>
      <xdr:rowOff>9525</xdr:rowOff>
    </xdr:from>
    <xdr:to>
      <xdr:col>20</xdr:col>
      <xdr:colOff>123825</xdr:colOff>
      <xdr:row>29</xdr:row>
      <xdr:rowOff>114300</xdr:rowOff>
    </xdr:to>
    <xdr:pic>
      <xdr:nvPicPr>
        <xdr:cNvPr id="3410065" name="Picture 1336">
          <a:extLst>
            <a:ext uri="{FF2B5EF4-FFF2-40B4-BE49-F238E27FC236}">
              <a16:creationId xmlns:a16="http://schemas.microsoft.com/office/drawing/2014/main" id="{00000000-0008-0000-0500-000091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3343275"/>
          <a:ext cx="4943475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104775</xdr:colOff>
      <xdr:row>29</xdr:row>
      <xdr:rowOff>180975</xdr:rowOff>
    </xdr:from>
    <xdr:to>
      <xdr:col>20</xdr:col>
      <xdr:colOff>295275</xdr:colOff>
      <xdr:row>36</xdr:row>
      <xdr:rowOff>0</xdr:rowOff>
    </xdr:to>
    <xdr:pic>
      <xdr:nvPicPr>
        <xdr:cNvPr id="3410066" name="Picture 1340">
          <a:extLst>
            <a:ext uri="{FF2B5EF4-FFF2-40B4-BE49-F238E27FC236}">
              <a16:creationId xmlns:a16="http://schemas.microsoft.com/office/drawing/2014/main" id="{00000000-0008-0000-0500-000092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6134100"/>
          <a:ext cx="5143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104775</xdr:colOff>
      <xdr:row>37</xdr:row>
      <xdr:rowOff>0</xdr:rowOff>
    </xdr:from>
    <xdr:to>
      <xdr:col>20</xdr:col>
      <xdr:colOff>495300</xdr:colOff>
      <xdr:row>43</xdr:row>
      <xdr:rowOff>47625</xdr:rowOff>
    </xdr:to>
    <xdr:pic>
      <xdr:nvPicPr>
        <xdr:cNvPr id="3410067" name="Picture 1358">
          <a:extLst>
            <a:ext uri="{FF2B5EF4-FFF2-40B4-BE49-F238E27FC236}">
              <a16:creationId xmlns:a16="http://schemas.microsoft.com/office/drawing/2014/main" id="{00000000-0008-0000-0500-000093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7591425"/>
          <a:ext cx="53435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114300</xdr:colOff>
      <xdr:row>43</xdr:row>
      <xdr:rowOff>66675</xdr:rowOff>
    </xdr:from>
    <xdr:to>
      <xdr:col>20</xdr:col>
      <xdr:colOff>466725</xdr:colOff>
      <xdr:row>51</xdr:row>
      <xdr:rowOff>85725</xdr:rowOff>
    </xdr:to>
    <xdr:pic>
      <xdr:nvPicPr>
        <xdr:cNvPr id="3410068" name="Picture 1393">
          <a:extLst>
            <a:ext uri="{FF2B5EF4-FFF2-40B4-BE49-F238E27FC236}">
              <a16:creationId xmlns:a16="http://schemas.microsoft.com/office/drawing/2014/main" id="{00000000-0008-0000-0500-000094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28889" r="21283" b="38632"/>
        <a:stretch>
          <a:fillRect/>
        </a:stretch>
      </xdr:blipFill>
      <xdr:spPr bwMode="auto">
        <a:xfrm>
          <a:off x="12982575" y="8905875"/>
          <a:ext cx="53054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152400</xdr:colOff>
      <xdr:row>52</xdr:row>
      <xdr:rowOff>0</xdr:rowOff>
    </xdr:from>
    <xdr:to>
      <xdr:col>20</xdr:col>
      <xdr:colOff>447675</xdr:colOff>
      <xdr:row>54</xdr:row>
      <xdr:rowOff>114300</xdr:rowOff>
    </xdr:to>
    <xdr:pic>
      <xdr:nvPicPr>
        <xdr:cNvPr id="3410069" name="Picture 1394">
          <a:extLst>
            <a:ext uri="{FF2B5EF4-FFF2-40B4-BE49-F238E27FC236}">
              <a16:creationId xmlns:a16="http://schemas.microsoft.com/office/drawing/2014/main" id="{00000000-0008-0000-0500-000095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14529" r="23320" b="76050"/>
        <a:stretch>
          <a:fillRect/>
        </a:stretch>
      </xdr:blipFill>
      <xdr:spPr bwMode="auto">
        <a:xfrm>
          <a:off x="13020675" y="10620375"/>
          <a:ext cx="524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171450</xdr:colOff>
      <xdr:row>54</xdr:row>
      <xdr:rowOff>0</xdr:rowOff>
    </xdr:from>
    <xdr:to>
      <xdr:col>20</xdr:col>
      <xdr:colOff>542925</xdr:colOff>
      <xdr:row>59</xdr:row>
      <xdr:rowOff>190500</xdr:rowOff>
    </xdr:to>
    <xdr:pic>
      <xdr:nvPicPr>
        <xdr:cNvPr id="3410070" name="Picture 1395">
          <a:extLst>
            <a:ext uri="{FF2B5EF4-FFF2-40B4-BE49-F238E27FC236}">
              <a16:creationId xmlns:a16="http://schemas.microsoft.com/office/drawing/2014/main" id="{00000000-0008-0000-0500-000096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39195" r="20963" b="33571"/>
        <a:stretch>
          <a:fillRect/>
        </a:stretch>
      </xdr:blipFill>
      <xdr:spPr bwMode="auto">
        <a:xfrm>
          <a:off x="13039725" y="11029950"/>
          <a:ext cx="53244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447675</xdr:colOff>
      <xdr:row>188</xdr:row>
      <xdr:rowOff>85725</xdr:rowOff>
    </xdr:from>
    <xdr:to>
      <xdr:col>5</xdr:col>
      <xdr:colOff>666750</xdr:colOff>
      <xdr:row>202</xdr:row>
      <xdr:rowOff>161925</xdr:rowOff>
    </xdr:to>
    <xdr:graphicFrame macro="">
      <xdr:nvGraphicFramePr>
        <xdr:cNvPr id="3410071" name="Диаграмма 21">
          <a:extLst>
            <a:ext uri="{FF2B5EF4-FFF2-40B4-BE49-F238E27FC236}">
              <a16:creationId xmlns:a16="http://schemas.microsoft.com/office/drawing/2014/main" id="{00000000-0008-0000-0500-000097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847725</xdr:colOff>
      <xdr:row>188</xdr:row>
      <xdr:rowOff>95250</xdr:rowOff>
    </xdr:from>
    <xdr:to>
      <xdr:col>10</xdr:col>
      <xdr:colOff>361950</xdr:colOff>
      <xdr:row>202</xdr:row>
      <xdr:rowOff>171450</xdr:rowOff>
    </xdr:to>
    <xdr:graphicFrame macro="">
      <xdr:nvGraphicFramePr>
        <xdr:cNvPr id="3410072" name="Диаграмма 22">
          <a:extLst>
            <a:ext uri="{FF2B5EF4-FFF2-40B4-BE49-F238E27FC236}">
              <a16:creationId xmlns:a16="http://schemas.microsoft.com/office/drawing/2014/main" id="{00000000-0008-0000-0500-000098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9</xdr:row>
          <xdr:rowOff>63500</xdr:rowOff>
        </xdr:from>
        <xdr:to>
          <xdr:col>0</xdr:col>
          <xdr:colOff>254000</xdr:colOff>
          <xdr:row>10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5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254000</xdr:colOff>
          <xdr:row>30</xdr:row>
          <xdr:rowOff>38100</xdr:rowOff>
        </xdr:from>
        <xdr:to>
          <xdr:col>9</xdr:col>
          <xdr:colOff>546100</xdr:colOff>
          <xdr:row>31</xdr:row>
          <xdr:rowOff>114300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5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685800</xdr:colOff>
          <xdr:row>30</xdr:row>
          <xdr:rowOff>0</xdr:rowOff>
        </xdr:from>
        <xdr:to>
          <xdr:col>7</xdr:col>
          <xdr:colOff>1485900</xdr:colOff>
          <xdr:row>31</xdr:row>
          <xdr:rowOff>139700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5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165100</xdr:colOff>
          <xdr:row>30</xdr:row>
          <xdr:rowOff>25400</xdr:rowOff>
        </xdr:from>
        <xdr:to>
          <xdr:col>11</xdr:col>
          <xdr:colOff>419100</xdr:colOff>
          <xdr:row>31</xdr:row>
          <xdr:rowOff>25400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5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762000</xdr:colOff>
          <xdr:row>33</xdr:row>
          <xdr:rowOff>63500</xdr:rowOff>
        </xdr:from>
        <xdr:to>
          <xdr:col>10</xdr:col>
          <xdr:colOff>482600</xdr:colOff>
          <xdr:row>35</xdr:row>
          <xdr:rowOff>50800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5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29873</xdr:colOff>
      <xdr:row>3</xdr:row>
      <xdr:rowOff>19049</xdr:rowOff>
    </xdr:from>
    <xdr:ext cx="711220" cy="17774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SpPr txBox="1"/>
          </xdr:nvSpPr>
          <xdr:spPr>
            <a:xfrm>
              <a:off x="700433" y="618489"/>
              <a:ext cx="711220" cy="1777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</a:rPr>
                      <m:t>R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(1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−5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ru-RU" sz="1100">
                <a:latin typeface="+mn-lt"/>
              </a:endParaRP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SpPr txBox="1"/>
          </xdr:nvSpPr>
          <xdr:spPr>
            <a:xfrm>
              <a:off x="700433" y="618489"/>
              <a:ext cx="711220" cy="1777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R(1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∙10^(−5))</a:t>
              </a:r>
              <a:endParaRPr lang="ru-RU" sz="1100">
                <a:latin typeface="+mn-lt"/>
              </a:endParaRPr>
            </a:p>
          </xdr:txBody>
        </xdr:sp>
      </mc:Fallback>
    </mc:AlternateContent>
    <xdr:clientData/>
  </xdr:oneCellAnchor>
  <xdr:oneCellAnchor>
    <xdr:from>
      <xdr:col>1</xdr:col>
      <xdr:colOff>19915</xdr:colOff>
      <xdr:row>5</xdr:row>
      <xdr:rowOff>9091</xdr:rowOff>
    </xdr:from>
    <xdr:ext cx="853823" cy="1746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690475" y="1014931"/>
              <a:ext cx="85382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</a:rPr>
                      <m:t>Exp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(1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−4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ru-RU" sz="1100">
                <a:latin typeface="+mn-lt"/>
              </a:endParaRP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690475" y="1014931"/>
              <a:ext cx="85382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Exp(1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∙10^(−4))</a:t>
              </a:r>
              <a:endParaRPr lang="ru-RU" sz="1100">
                <a:latin typeface="+mn-lt"/>
              </a:endParaRPr>
            </a:p>
          </xdr:txBody>
        </xdr:sp>
      </mc:Fallback>
    </mc:AlternateContent>
    <xdr:clientData/>
  </xdr:oneCellAnchor>
  <xdr:twoCellAnchor>
    <xdr:from>
      <xdr:col>9</xdr:col>
      <xdr:colOff>497840</xdr:colOff>
      <xdr:row>5</xdr:row>
      <xdr:rowOff>134908</xdr:rowOff>
    </xdr:from>
    <xdr:to>
      <xdr:col>15</xdr:col>
      <xdr:colOff>296055</xdr:colOff>
      <xdr:row>19</xdr:row>
      <xdr:rowOff>41043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467360</xdr:colOff>
      <xdr:row>20</xdr:row>
      <xdr:rowOff>72015</xdr:rowOff>
    </xdr:from>
    <xdr:to>
      <xdr:col>15</xdr:col>
      <xdr:colOff>258214</xdr:colOff>
      <xdr:row>33</xdr:row>
      <xdr:rowOff>191510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111760</xdr:colOff>
      <xdr:row>40</xdr:row>
      <xdr:rowOff>5080</xdr:rowOff>
    </xdr:from>
    <xdr:to>
      <xdr:col>12</xdr:col>
      <xdr:colOff>1175385</xdr:colOff>
      <xdr:row>54</xdr:row>
      <xdr:rowOff>81280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390207</xdr:colOff>
      <xdr:row>62</xdr:row>
      <xdr:rowOff>91439</xdr:rowOff>
    </xdr:from>
    <xdr:to>
      <xdr:col>15</xdr:col>
      <xdr:colOff>153352</xdr:colOff>
      <xdr:row>85</xdr:row>
      <xdr:rowOff>126402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658831</xdr:colOff>
      <xdr:row>93</xdr:row>
      <xdr:rowOff>183628</xdr:rowOff>
    </xdr:from>
    <xdr:to>
      <xdr:col>12</xdr:col>
      <xdr:colOff>735329</xdr:colOff>
      <xdr:row>108</xdr:row>
      <xdr:rowOff>66788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emf"/><Relationship Id="rId18" Type="http://schemas.openxmlformats.org/officeDocument/2006/relationships/oleObject" Target="../embeddings/oleObject11.bin"/><Relationship Id="rId26" Type="http://schemas.openxmlformats.org/officeDocument/2006/relationships/oleObject" Target="../embeddings/oleObject15.bin"/><Relationship Id="rId21" Type="http://schemas.openxmlformats.org/officeDocument/2006/relationships/image" Target="../media/image18.emf"/><Relationship Id="rId34" Type="http://schemas.openxmlformats.org/officeDocument/2006/relationships/oleObject" Target="../embeddings/oleObject19.bin"/><Relationship Id="rId7" Type="http://schemas.openxmlformats.org/officeDocument/2006/relationships/image" Target="../media/image11.emf"/><Relationship Id="rId12" Type="http://schemas.openxmlformats.org/officeDocument/2006/relationships/oleObject" Target="../embeddings/oleObject8.bin"/><Relationship Id="rId17" Type="http://schemas.openxmlformats.org/officeDocument/2006/relationships/image" Target="../media/image16.emf"/><Relationship Id="rId25" Type="http://schemas.openxmlformats.org/officeDocument/2006/relationships/image" Target="../media/image20.emf"/><Relationship Id="rId33" Type="http://schemas.openxmlformats.org/officeDocument/2006/relationships/image" Target="../media/image24.emf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10.bin"/><Relationship Id="rId20" Type="http://schemas.openxmlformats.org/officeDocument/2006/relationships/oleObject" Target="../embeddings/oleObject12.bin"/><Relationship Id="rId29" Type="http://schemas.openxmlformats.org/officeDocument/2006/relationships/image" Target="../media/image22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.bin"/><Relationship Id="rId11" Type="http://schemas.openxmlformats.org/officeDocument/2006/relationships/image" Target="../media/image13.emf"/><Relationship Id="rId24" Type="http://schemas.openxmlformats.org/officeDocument/2006/relationships/oleObject" Target="../embeddings/oleObject14.bin"/><Relationship Id="rId32" Type="http://schemas.openxmlformats.org/officeDocument/2006/relationships/oleObject" Target="../embeddings/oleObject18.bin"/><Relationship Id="rId37" Type="http://schemas.openxmlformats.org/officeDocument/2006/relationships/image" Target="../media/image26.emf"/><Relationship Id="rId5" Type="http://schemas.openxmlformats.org/officeDocument/2006/relationships/image" Target="../media/image10.emf"/><Relationship Id="rId15" Type="http://schemas.openxmlformats.org/officeDocument/2006/relationships/image" Target="../media/image15.emf"/><Relationship Id="rId23" Type="http://schemas.openxmlformats.org/officeDocument/2006/relationships/image" Target="../media/image19.emf"/><Relationship Id="rId28" Type="http://schemas.openxmlformats.org/officeDocument/2006/relationships/oleObject" Target="../embeddings/oleObject16.bin"/><Relationship Id="rId36" Type="http://schemas.openxmlformats.org/officeDocument/2006/relationships/oleObject" Target="../embeddings/oleObject20.bin"/><Relationship Id="rId10" Type="http://schemas.openxmlformats.org/officeDocument/2006/relationships/oleObject" Target="../embeddings/oleObject7.bin"/><Relationship Id="rId19" Type="http://schemas.openxmlformats.org/officeDocument/2006/relationships/image" Target="../media/image17.emf"/><Relationship Id="rId31" Type="http://schemas.openxmlformats.org/officeDocument/2006/relationships/image" Target="../media/image23.emf"/><Relationship Id="rId4" Type="http://schemas.openxmlformats.org/officeDocument/2006/relationships/oleObject" Target="../embeddings/oleObject4.bin"/><Relationship Id="rId9" Type="http://schemas.openxmlformats.org/officeDocument/2006/relationships/image" Target="../media/image12.emf"/><Relationship Id="rId14" Type="http://schemas.openxmlformats.org/officeDocument/2006/relationships/oleObject" Target="../embeddings/oleObject9.bin"/><Relationship Id="rId22" Type="http://schemas.openxmlformats.org/officeDocument/2006/relationships/oleObject" Target="../embeddings/oleObject13.bin"/><Relationship Id="rId27" Type="http://schemas.openxmlformats.org/officeDocument/2006/relationships/image" Target="../media/image21.emf"/><Relationship Id="rId30" Type="http://schemas.openxmlformats.org/officeDocument/2006/relationships/oleObject" Target="../embeddings/oleObject17.bin"/><Relationship Id="rId35" Type="http://schemas.openxmlformats.org/officeDocument/2006/relationships/image" Target="../media/image25.emf"/><Relationship Id="rId8" Type="http://schemas.openxmlformats.org/officeDocument/2006/relationships/oleObject" Target="../embeddings/oleObject6.bin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3.bin"/><Relationship Id="rId13" Type="http://schemas.openxmlformats.org/officeDocument/2006/relationships/image" Target="../media/image33.emf"/><Relationship Id="rId3" Type="http://schemas.openxmlformats.org/officeDocument/2006/relationships/vmlDrawing" Target="../drawings/vmlDrawing5.vml"/><Relationship Id="rId7" Type="http://schemas.openxmlformats.org/officeDocument/2006/relationships/image" Target="../media/image30.emf"/><Relationship Id="rId12" Type="http://schemas.openxmlformats.org/officeDocument/2006/relationships/oleObject" Target="../embeddings/oleObject25.bin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2.bin"/><Relationship Id="rId11" Type="http://schemas.openxmlformats.org/officeDocument/2006/relationships/image" Target="../media/image32.emf"/><Relationship Id="rId5" Type="http://schemas.openxmlformats.org/officeDocument/2006/relationships/image" Target="../media/image29.emf"/><Relationship Id="rId10" Type="http://schemas.openxmlformats.org/officeDocument/2006/relationships/oleObject" Target="../embeddings/oleObject24.bin"/><Relationship Id="rId4" Type="http://schemas.openxmlformats.org/officeDocument/2006/relationships/oleObject" Target="../embeddings/oleObject21.bin"/><Relationship Id="rId9" Type="http://schemas.openxmlformats.org/officeDocument/2006/relationships/image" Target="../media/image31.emf"/><Relationship Id="rId1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51"/>
  <sheetViews>
    <sheetView topLeftCell="A28" workbookViewId="0">
      <selection activeCell="D52" sqref="D52"/>
    </sheetView>
  </sheetViews>
  <sheetFormatPr baseColWidth="10" defaultColWidth="8.83203125" defaultRowHeight="15" x14ac:dyDescent="0.2"/>
  <sheetData>
    <row r="2" spans="17:17" x14ac:dyDescent="0.2">
      <c r="Q2" t="s">
        <v>273</v>
      </c>
    </row>
    <row r="3" spans="17:17" x14ac:dyDescent="0.2">
      <c r="Q3" t="s">
        <v>274</v>
      </c>
    </row>
    <row r="18" spans="1:25" x14ac:dyDescent="0.2">
      <c r="A18" t="s">
        <v>243</v>
      </c>
    </row>
    <row r="19" spans="1:25" x14ac:dyDescent="0.2">
      <c r="B19" t="s">
        <v>241</v>
      </c>
      <c r="I19" t="s">
        <v>242</v>
      </c>
      <c r="Q19" t="s">
        <v>244</v>
      </c>
    </row>
    <row r="21" spans="1:25" x14ac:dyDescent="0.2">
      <c r="W21" t="s">
        <v>246</v>
      </c>
      <c r="Y21" t="s">
        <v>247</v>
      </c>
    </row>
    <row r="22" spans="1:25" x14ac:dyDescent="0.2">
      <c r="Y22" t="s">
        <v>248</v>
      </c>
    </row>
    <row r="35" spans="2:18" ht="16" thickBot="1" x14ac:dyDescent="0.25">
      <c r="B35" s="4" t="s">
        <v>259</v>
      </c>
      <c r="C35" s="4"/>
      <c r="D35" s="4"/>
      <c r="E35" s="4"/>
      <c r="F35" s="4"/>
      <c r="M35" s="4" t="s">
        <v>260</v>
      </c>
      <c r="N35" s="4"/>
      <c r="O35" s="4"/>
      <c r="P35" s="4"/>
      <c r="Q35" s="4"/>
    </row>
    <row r="36" spans="2:18" x14ac:dyDescent="0.2">
      <c r="B36" s="126" t="s">
        <v>250</v>
      </c>
      <c r="C36" s="127"/>
      <c r="D36" s="127"/>
      <c r="E36" s="127"/>
      <c r="F36" s="127"/>
      <c r="G36" s="127"/>
      <c r="H36" s="58" t="s">
        <v>134</v>
      </c>
      <c r="M36" s="128"/>
      <c r="N36" s="129"/>
      <c r="O36" s="129"/>
      <c r="P36" s="129"/>
      <c r="Q36" s="129"/>
      <c r="R36" s="79"/>
    </row>
    <row r="37" spans="2:18" ht="17" x14ac:dyDescent="0.25">
      <c r="B37" s="126" t="s">
        <v>251</v>
      </c>
      <c r="C37" s="127"/>
      <c r="D37" s="127"/>
      <c r="E37" s="127"/>
      <c r="F37" s="127"/>
      <c r="G37" s="127"/>
      <c r="H37" s="58" t="s">
        <v>257</v>
      </c>
      <c r="M37" s="130"/>
      <c r="R37" s="79"/>
    </row>
    <row r="38" spans="2:18" x14ac:dyDescent="0.2">
      <c r="B38" s="126" t="s">
        <v>252</v>
      </c>
      <c r="C38" s="127"/>
      <c r="D38" s="127"/>
      <c r="E38" s="127"/>
      <c r="F38" s="127"/>
      <c r="G38" s="127"/>
      <c r="H38" s="58" t="s">
        <v>133</v>
      </c>
      <c r="M38" s="130"/>
      <c r="R38" s="79"/>
    </row>
    <row r="39" spans="2:18" ht="17" x14ac:dyDescent="0.25">
      <c r="B39" s="126" t="s">
        <v>253</v>
      </c>
      <c r="C39" s="127"/>
      <c r="D39" s="127"/>
      <c r="E39" s="127"/>
      <c r="F39" s="127"/>
      <c r="G39" s="127"/>
      <c r="H39" s="58" t="s">
        <v>254</v>
      </c>
      <c r="M39" s="130"/>
      <c r="R39" s="79"/>
    </row>
    <row r="40" spans="2:18" x14ac:dyDescent="0.2">
      <c r="B40" s="126" t="s">
        <v>255</v>
      </c>
      <c r="C40" s="127"/>
      <c r="D40" s="127"/>
      <c r="E40" s="127"/>
      <c r="F40" s="127"/>
      <c r="G40" s="127"/>
      <c r="H40" s="58" t="s">
        <v>135</v>
      </c>
      <c r="M40" s="130"/>
      <c r="R40" s="79"/>
    </row>
    <row r="41" spans="2:18" x14ac:dyDescent="0.2">
      <c r="B41" s="126" t="s">
        <v>258</v>
      </c>
      <c r="C41" s="127"/>
      <c r="D41" s="127"/>
      <c r="E41" s="127"/>
      <c r="F41" s="127"/>
      <c r="G41" s="127"/>
      <c r="H41" s="58" t="s">
        <v>143</v>
      </c>
      <c r="M41" s="130"/>
      <c r="R41" s="79"/>
    </row>
    <row r="42" spans="2:18" x14ac:dyDescent="0.2">
      <c r="B42" s="126" t="s">
        <v>249</v>
      </c>
      <c r="C42" s="127"/>
      <c r="D42" s="127"/>
      <c r="E42" s="127"/>
      <c r="F42" s="127"/>
      <c r="G42" s="127"/>
      <c r="H42" s="58" t="s">
        <v>256</v>
      </c>
      <c r="M42" s="130"/>
      <c r="R42" s="79"/>
    </row>
    <row r="43" spans="2:18" x14ac:dyDescent="0.2">
      <c r="M43" s="130"/>
      <c r="R43" s="79"/>
    </row>
    <row r="44" spans="2:18" x14ac:dyDescent="0.2">
      <c r="M44" s="130"/>
      <c r="R44" s="79"/>
    </row>
    <row r="45" spans="2:18" x14ac:dyDescent="0.2">
      <c r="M45" s="130"/>
      <c r="R45" s="79"/>
    </row>
    <row r="46" spans="2:18" x14ac:dyDescent="0.2">
      <c r="M46" s="130"/>
      <c r="R46" s="79"/>
    </row>
    <row r="47" spans="2:18" x14ac:dyDescent="0.2">
      <c r="M47" s="130"/>
      <c r="R47" s="79"/>
    </row>
    <row r="48" spans="2:18" x14ac:dyDescent="0.2">
      <c r="M48" s="130"/>
      <c r="R48" s="79"/>
    </row>
    <row r="49" spans="13:18" x14ac:dyDescent="0.2">
      <c r="M49" s="130"/>
      <c r="R49" s="79"/>
    </row>
    <row r="50" spans="13:18" x14ac:dyDescent="0.2">
      <c r="M50" s="130"/>
      <c r="R50" s="79"/>
    </row>
    <row r="51" spans="13:18" x14ac:dyDescent="0.2">
      <c r="M51" s="139"/>
      <c r="N51" s="139"/>
      <c r="O51" s="139"/>
      <c r="P51" s="139"/>
      <c r="Q51" s="139"/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Equation.3" shapeId="2781239" r:id="rId4">
          <objectPr defaultSize="0" autoPict="0" r:id="rId5">
            <anchor moveWithCells="1" sizeWithCells="1">
              <from>
                <xdr:col>12</xdr:col>
                <xdr:colOff>228600</xdr:colOff>
                <xdr:row>35</xdr:row>
                <xdr:rowOff>76200</xdr:rowOff>
              </from>
              <to>
                <xdr:col>16</xdr:col>
                <xdr:colOff>457200</xdr:colOff>
                <xdr:row>50</xdr:row>
                <xdr:rowOff>63500</xdr:rowOff>
              </to>
            </anchor>
          </objectPr>
        </oleObject>
      </mc:Choice>
      <mc:Fallback>
        <oleObject progId="Equation.3" shapeId="278123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1"/>
  <sheetViews>
    <sheetView topLeftCell="A10" zoomScaleNormal="100" zoomScaleSheetLayoutView="118" workbookViewId="0">
      <selection activeCell="U27" sqref="U27"/>
    </sheetView>
  </sheetViews>
  <sheetFormatPr baseColWidth="10" defaultColWidth="8.83203125" defaultRowHeight="15" x14ac:dyDescent="0.2"/>
  <cols>
    <col min="1" max="1" width="12.5" customWidth="1"/>
    <col min="2" max="2" width="11.5" customWidth="1"/>
    <col min="3" max="3" width="10.6640625" customWidth="1"/>
    <col min="4" max="4" width="11.5" customWidth="1"/>
    <col min="5" max="5" width="13.33203125" customWidth="1"/>
    <col min="6" max="6" width="12.5" customWidth="1"/>
    <col min="7" max="7" width="13.83203125" customWidth="1"/>
    <col min="12" max="12" width="10.5" customWidth="1"/>
    <col min="13" max="13" width="10.33203125" customWidth="1"/>
    <col min="14" max="14" width="11.6640625" customWidth="1"/>
    <col min="17" max="17" width="13.6640625" customWidth="1"/>
  </cols>
  <sheetData>
    <row r="1" spans="1:21" ht="16" thickBot="1" x14ac:dyDescent="0.25">
      <c r="A1" s="4" t="s">
        <v>63</v>
      </c>
      <c r="B1" s="4" t="s">
        <v>79</v>
      </c>
      <c r="C1" t="s">
        <v>217</v>
      </c>
    </row>
    <row r="2" spans="1:21" ht="17" thickTop="1" thickBot="1" x14ac:dyDescent="0.25">
      <c r="A2" s="3" t="s">
        <v>64</v>
      </c>
      <c r="B2" s="3">
        <v>1</v>
      </c>
      <c r="C2" s="3">
        <v>2</v>
      </c>
      <c r="D2" s="3">
        <v>3</v>
      </c>
      <c r="E2" s="3">
        <v>4</v>
      </c>
      <c r="F2" s="1">
        <v>5</v>
      </c>
      <c r="G2" s="43" t="s">
        <v>72</v>
      </c>
      <c r="H2" s="11" t="s">
        <v>65</v>
      </c>
    </row>
    <row r="3" spans="1:21" ht="17" thickTop="1" thickBot="1" x14ac:dyDescent="0.25">
      <c r="A3" s="42" t="s">
        <v>71</v>
      </c>
      <c r="B3" s="3">
        <v>6.9999999999999994E-5</v>
      </c>
      <c r="C3" s="3">
        <v>5.0000000000000002E-5</v>
      </c>
      <c r="D3" s="3">
        <v>4.0000000000000003E-5</v>
      </c>
      <c r="E3" s="3">
        <v>6.0000000000000002E-5</v>
      </c>
      <c r="F3" s="1">
        <v>4.0000000000000003E-5</v>
      </c>
      <c r="G3" s="11">
        <f>SUM(B3:F3)</f>
        <v>2.5999999999999998E-4</v>
      </c>
      <c r="H3" s="88">
        <f>1/G3</f>
        <v>3846.1538461538466</v>
      </c>
    </row>
    <row r="4" spans="1:21" ht="16" thickBot="1" x14ac:dyDescent="0.25">
      <c r="B4" t="s">
        <v>189</v>
      </c>
      <c r="E4" t="s">
        <v>190</v>
      </c>
      <c r="L4" s="80">
        <v>1</v>
      </c>
      <c r="M4" s="80">
        <v>2</v>
      </c>
      <c r="N4" s="80">
        <v>3</v>
      </c>
      <c r="O4" s="80">
        <v>4</v>
      </c>
      <c r="P4" s="80">
        <v>5</v>
      </c>
    </row>
    <row r="5" spans="1:21" ht="17" thickTop="1" thickBot="1" x14ac:dyDescent="0.25">
      <c r="A5" s="94" t="s">
        <v>66</v>
      </c>
      <c r="B5" s="11" t="s">
        <v>67</v>
      </c>
      <c r="C5" s="11" t="s">
        <v>68</v>
      </c>
      <c r="D5" s="40"/>
      <c r="E5" s="81" t="s">
        <v>67</v>
      </c>
      <c r="F5" s="81" t="s">
        <v>68</v>
      </c>
      <c r="H5" t="s">
        <v>172</v>
      </c>
      <c r="R5" s="44" t="s">
        <v>213</v>
      </c>
      <c r="S5" s="44" t="s">
        <v>215</v>
      </c>
      <c r="T5" s="40" t="s">
        <v>39</v>
      </c>
      <c r="U5" s="41" t="s">
        <v>216</v>
      </c>
    </row>
    <row r="6" spans="1:21" ht="17" thickTop="1" thickBot="1" x14ac:dyDescent="0.25">
      <c r="A6" s="94">
        <v>0</v>
      </c>
      <c r="B6" s="11">
        <f>EXP(-$G$3*A6)</f>
        <v>1</v>
      </c>
      <c r="C6" s="17">
        <f>B6*$G$3</f>
        <v>2.5999999999999998E-4</v>
      </c>
      <c r="D6" s="40"/>
      <c r="E6" s="82">
        <f>1-EXPONDIST(A6,$G$3,1)</f>
        <v>1</v>
      </c>
      <c r="F6" s="81">
        <f>EXPONDIST(A6,$G$3,0)</f>
        <v>2.5999999999999998E-4</v>
      </c>
      <c r="H6">
        <v>1</v>
      </c>
      <c r="I6">
        <f>B6*H6</f>
        <v>1</v>
      </c>
      <c r="M6" s="44" t="s">
        <v>213</v>
      </c>
      <c r="N6" s="44" t="s">
        <v>198</v>
      </c>
      <c r="O6" s="41" t="s">
        <v>120</v>
      </c>
      <c r="R6" s="44" t="s">
        <v>214</v>
      </c>
      <c r="S6" s="44" t="s">
        <v>77</v>
      </c>
      <c r="T6" s="41" t="s">
        <v>78</v>
      </c>
    </row>
    <row r="7" spans="1:21" ht="17" thickTop="1" thickBot="1" x14ac:dyDescent="0.25">
      <c r="A7" s="94">
        <v>200</v>
      </c>
      <c r="B7" s="20">
        <f t="shared" ref="B7:B36" si="0">EXP(-$G$3*A7)</f>
        <v>0.94932886684288953</v>
      </c>
      <c r="C7" s="17">
        <f t="shared" ref="C7:C36" si="1">B7*$G$3</f>
        <v>2.4682550537915123E-4</v>
      </c>
      <c r="E7" s="83">
        <f t="shared" ref="E7:E36" si="2">1-EXPONDIST(A7,$G$3,1)</f>
        <v>0.94932886684288964</v>
      </c>
      <c r="F7" s="84">
        <f t="shared" ref="F7:F36" si="3">EXPONDIST(A7,$G$3,0)</f>
        <v>2.4682550537915123E-4</v>
      </c>
      <c r="H7">
        <v>4</v>
      </c>
      <c r="I7">
        <f t="shared" ref="I7:I35" si="4">B7*H7</f>
        <v>3.7973154673715581</v>
      </c>
      <c r="K7" t="s">
        <v>206</v>
      </c>
      <c r="M7" s="44" t="s">
        <v>214</v>
      </c>
      <c r="N7" s="44" t="s">
        <v>194</v>
      </c>
      <c r="O7" s="41" t="s">
        <v>195</v>
      </c>
      <c r="Q7" t="s">
        <v>193</v>
      </c>
      <c r="R7" s="40"/>
      <c r="S7" s="40" t="s">
        <v>69</v>
      </c>
      <c r="T7" s="41" t="s">
        <v>73</v>
      </c>
    </row>
    <row r="8" spans="1:21" ht="17" thickTop="1" thickBot="1" x14ac:dyDescent="0.25">
      <c r="A8" s="94">
        <f>A7+$A$7</f>
        <v>400</v>
      </c>
      <c r="B8" s="20">
        <f t="shared" si="0"/>
        <v>0.90122529742120483</v>
      </c>
      <c r="C8" s="17">
        <f t="shared" si="1"/>
        <v>2.3431857732951323E-4</v>
      </c>
      <c r="E8" s="83">
        <f t="shared" si="2"/>
        <v>0.90122529742120472</v>
      </c>
      <c r="F8" s="84">
        <f t="shared" si="3"/>
        <v>2.3431857732951323E-4</v>
      </c>
      <c r="H8">
        <v>2</v>
      </c>
      <c r="I8">
        <f t="shared" si="4"/>
        <v>1.8024505948424097</v>
      </c>
      <c r="M8" s="40"/>
      <c r="N8" s="40" t="s">
        <v>69</v>
      </c>
      <c r="O8" s="41" t="s">
        <v>196</v>
      </c>
      <c r="P8" s="41"/>
      <c r="R8" s="40"/>
      <c r="S8" s="40" t="s">
        <v>70</v>
      </c>
      <c r="T8" s="41" t="s">
        <v>74</v>
      </c>
    </row>
    <row r="9" spans="1:21" ht="17" thickTop="1" thickBot="1" x14ac:dyDescent="0.25">
      <c r="A9" s="94">
        <f t="shared" ref="A9:A36" si="5">A8+$A$7</f>
        <v>600</v>
      </c>
      <c r="B9" s="20">
        <f t="shared" si="0"/>
        <v>0.85555919037101846</v>
      </c>
      <c r="C9" s="17">
        <f t="shared" si="1"/>
        <v>2.2244538949646477E-4</v>
      </c>
      <c r="E9" s="83">
        <f t="shared" si="2"/>
        <v>0.85555919037101846</v>
      </c>
      <c r="F9" s="84">
        <f t="shared" si="3"/>
        <v>2.2244538949646477E-4</v>
      </c>
      <c r="H9">
        <f>H7</f>
        <v>4</v>
      </c>
      <c r="I9">
        <f t="shared" si="4"/>
        <v>3.4222367614840739</v>
      </c>
      <c r="L9" s="41"/>
      <c r="M9" s="40"/>
      <c r="N9" s="40" t="s">
        <v>70</v>
      </c>
      <c r="O9" s="44" t="s">
        <v>192</v>
      </c>
      <c r="R9" s="40"/>
      <c r="S9" s="40" t="s">
        <v>75</v>
      </c>
      <c r="T9" s="41" t="s">
        <v>76</v>
      </c>
      <c r="U9" s="41"/>
    </row>
    <row r="10" spans="1:21" ht="17" thickTop="1" thickBot="1" x14ac:dyDescent="0.25">
      <c r="A10" s="94">
        <f t="shared" si="5"/>
        <v>800</v>
      </c>
      <c r="B10" s="20">
        <f t="shared" si="0"/>
        <v>0.81220703671193906</v>
      </c>
      <c r="C10" s="17">
        <f t="shared" si="1"/>
        <v>2.1117382954510412E-4</v>
      </c>
      <c r="E10" s="83">
        <f t="shared" si="2"/>
        <v>0.81220703671193906</v>
      </c>
      <c r="F10" s="84">
        <f t="shared" si="3"/>
        <v>2.1117382954510412E-4</v>
      </c>
      <c r="H10">
        <f>H8</f>
        <v>2</v>
      </c>
      <c r="I10">
        <f t="shared" si="4"/>
        <v>1.6244140734238781</v>
      </c>
      <c r="M10" s="44"/>
      <c r="N10" s="41"/>
    </row>
    <row r="11" spans="1:21" ht="17" thickTop="1" thickBot="1" x14ac:dyDescent="0.25">
      <c r="A11" s="94">
        <f t="shared" si="5"/>
        <v>1000</v>
      </c>
      <c r="B11" s="20">
        <f t="shared" si="0"/>
        <v>0.77105158580356636</v>
      </c>
      <c r="C11" s="17">
        <f t="shared" si="1"/>
        <v>2.0047341230892724E-4</v>
      </c>
      <c r="E11" s="83">
        <f t="shared" si="2"/>
        <v>0.77105158580356636</v>
      </c>
      <c r="F11" s="84">
        <f t="shared" si="3"/>
        <v>2.0047341230892724E-4</v>
      </c>
      <c r="H11">
        <f t="shared" ref="H11:H31" si="6">H9</f>
        <v>4</v>
      </c>
      <c r="I11">
        <f t="shared" si="4"/>
        <v>3.0842063432142655</v>
      </c>
    </row>
    <row r="12" spans="1:21" ht="17" thickTop="1" thickBot="1" x14ac:dyDescent="0.25">
      <c r="A12" s="94">
        <f t="shared" si="5"/>
        <v>1200</v>
      </c>
      <c r="B12" s="20">
        <f t="shared" si="0"/>
        <v>0.73198152822831264</v>
      </c>
      <c r="C12" s="17">
        <f t="shared" si="1"/>
        <v>1.9031519733936128E-4</v>
      </c>
      <c r="E12" s="83">
        <f t="shared" si="2"/>
        <v>0.73198152822831264</v>
      </c>
      <c r="F12" s="84">
        <f t="shared" si="3"/>
        <v>1.9031519733936128E-4</v>
      </c>
      <c r="H12">
        <f t="shared" si="6"/>
        <v>2</v>
      </c>
      <c r="I12">
        <f t="shared" si="4"/>
        <v>1.4639630564566253</v>
      </c>
    </row>
    <row r="13" spans="1:21" ht="17" thickTop="1" thickBot="1" x14ac:dyDescent="0.25">
      <c r="A13" s="94">
        <f t="shared" si="5"/>
        <v>1400</v>
      </c>
      <c r="B13" s="20">
        <f t="shared" si="0"/>
        <v>0.69489119474291061</v>
      </c>
      <c r="C13" s="17">
        <f t="shared" si="1"/>
        <v>1.8067171063315674E-4</v>
      </c>
      <c r="E13" s="83">
        <f t="shared" si="2"/>
        <v>0.69489119474291061</v>
      </c>
      <c r="F13" s="84">
        <f t="shared" si="3"/>
        <v>1.8067171063315674E-4</v>
      </c>
      <c r="H13">
        <f t="shared" si="6"/>
        <v>4</v>
      </c>
      <c r="I13">
        <f t="shared" si="4"/>
        <v>2.7795647789716424</v>
      </c>
    </row>
    <row r="14" spans="1:21" ht="17" thickTop="1" thickBot="1" x14ac:dyDescent="0.25">
      <c r="A14" s="94">
        <f t="shared" si="5"/>
        <v>1600</v>
      </c>
      <c r="B14" s="20">
        <f t="shared" si="0"/>
        <v>0.65968027048438904</v>
      </c>
      <c r="C14" s="17">
        <f t="shared" si="1"/>
        <v>1.7151687032594115E-4</v>
      </c>
      <c r="E14" s="83">
        <f t="shared" si="2"/>
        <v>0.65968027048438904</v>
      </c>
      <c r="F14" s="84">
        <f t="shared" si="3"/>
        <v>1.7151687032594115E-4</v>
      </c>
      <c r="H14">
        <f t="shared" si="6"/>
        <v>2</v>
      </c>
      <c r="I14">
        <f t="shared" si="4"/>
        <v>1.3193605409687781</v>
      </c>
    </row>
    <row r="15" spans="1:21" ht="17" thickTop="1" thickBot="1" x14ac:dyDescent="0.25">
      <c r="A15" s="94">
        <f t="shared" si="5"/>
        <v>1800</v>
      </c>
      <c r="B15" s="20">
        <f t="shared" si="0"/>
        <v>0.62625352365755593</v>
      </c>
      <c r="C15" s="17">
        <f t="shared" si="1"/>
        <v>1.6282591615096454E-4</v>
      </c>
      <c r="E15" s="83">
        <f t="shared" si="2"/>
        <v>0.62625352365755593</v>
      </c>
      <c r="F15" s="84">
        <f t="shared" si="3"/>
        <v>1.6282591615096454E-4</v>
      </c>
      <c r="H15">
        <f t="shared" si="6"/>
        <v>4</v>
      </c>
      <c r="I15">
        <f t="shared" si="4"/>
        <v>2.5050140946302237</v>
      </c>
    </row>
    <row r="16" spans="1:21" ht="17" thickTop="1" thickBot="1" x14ac:dyDescent="0.25">
      <c r="A16" s="94">
        <f t="shared" si="5"/>
        <v>2000</v>
      </c>
      <c r="B16" s="20">
        <f t="shared" si="0"/>
        <v>0.59452054797019438</v>
      </c>
      <c r="C16" s="17">
        <f t="shared" si="1"/>
        <v>1.5457534247225051E-4</v>
      </c>
      <c r="E16" s="83">
        <f t="shared" si="2"/>
        <v>0.59452054797019438</v>
      </c>
      <c r="F16" s="84">
        <f t="shared" si="3"/>
        <v>1.5457534247225051E-4</v>
      </c>
      <c r="H16">
        <f t="shared" si="6"/>
        <v>2</v>
      </c>
      <c r="I16">
        <f t="shared" si="4"/>
        <v>1.1890410959403888</v>
      </c>
    </row>
    <row r="17" spans="1:9" ht="17" thickTop="1" thickBot="1" x14ac:dyDescent="0.25">
      <c r="A17" s="94">
        <f t="shared" si="5"/>
        <v>2200</v>
      </c>
      <c r="B17" s="20">
        <f t="shared" si="0"/>
        <v>0.5643955181193584</v>
      </c>
      <c r="C17" s="17">
        <f t="shared" si="1"/>
        <v>1.4674283471103317E-4</v>
      </c>
      <c r="E17" s="83">
        <f t="shared" si="2"/>
        <v>0.5643955181193584</v>
      </c>
      <c r="F17" s="84">
        <f t="shared" si="3"/>
        <v>1.4674283471103317E-4</v>
      </c>
      <c r="H17">
        <f t="shared" si="6"/>
        <v>4</v>
      </c>
      <c r="I17">
        <f t="shared" si="4"/>
        <v>2.2575820724774336</v>
      </c>
    </row>
    <row r="18" spans="1:9" ht="17" thickTop="1" thickBot="1" x14ac:dyDescent="0.25">
      <c r="A18" s="94">
        <f t="shared" si="5"/>
        <v>2400</v>
      </c>
      <c r="B18" s="20">
        <f t="shared" si="0"/>
        <v>0.53579695766745605</v>
      </c>
      <c r="C18" s="17">
        <f t="shared" si="1"/>
        <v>1.3930720899353857E-4</v>
      </c>
      <c r="E18" s="83">
        <f t="shared" si="2"/>
        <v>0.53579695766745616</v>
      </c>
      <c r="F18" s="84">
        <f t="shared" si="3"/>
        <v>1.3930720899353857E-4</v>
      </c>
      <c r="H18">
        <f t="shared" si="6"/>
        <v>2</v>
      </c>
      <c r="I18">
        <f t="shared" si="4"/>
        <v>1.0715939153349121</v>
      </c>
    </row>
    <row r="19" spans="1:9" ht="17" thickTop="1" thickBot="1" x14ac:dyDescent="0.25">
      <c r="A19" s="94">
        <f t="shared" si="5"/>
        <v>2600</v>
      </c>
      <c r="B19" s="20">
        <f t="shared" si="0"/>
        <v>0.50864751868031377</v>
      </c>
      <c r="C19" s="17">
        <f t="shared" si="1"/>
        <v>1.3224835485688158E-4</v>
      </c>
      <c r="E19" s="83">
        <f t="shared" si="2"/>
        <v>0.50864751868031377</v>
      </c>
      <c r="F19" s="84">
        <f t="shared" si="3"/>
        <v>1.3224835485688158E-4</v>
      </c>
      <c r="H19">
        <f t="shared" si="6"/>
        <v>4</v>
      </c>
      <c r="I19">
        <f t="shared" si="4"/>
        <v>2.0345900747212551</v>
      </c>
    </row>
    <row r="20" spans="1:9" ht="17" thickTop="1" thickBot="1" x14ac:dyDescent="0.25">
      <c r="A20" s="94">
        <f t="shared" si="5"/>
        <v>2800</v>
      </c>
      <c r="B20" s="20">
        <f t="shared" si="0"/>
        <v>0.48287377253122976</v>
      </c>
      <c r="C20" s="17">
        <f t="shared" si="1"/>
        <v>1.2554718085811974E-4</v>
      </c>
      <c r="E20" s="83">
        <f t="shared" si="2"/>
        <v>0.48287377253122976</v>
      </c>
      <c r="F20" s="84">
        <f t="shared" si="3"/>
        <v>1.2554718085811974E-4</v>
      </c>
      <c r="H20">
        <f t="shared" si="6"/>
        <v>2</v>
      </c>
      <c r="I20">
        <f t="shared" si="4"/>
        <v>0.96574754506245952</v>
      </c>
    </row>
    <row r="21" spans="1:9" ht="17" thickTop="1" thickBot="1" x14ac:dyDescent="0.25">
      <c r="A21" s="94">
        <f t="shared" si="5"/>
        <v>3000</v>
      </c>
      <c r="B21" s="20">
        <f t="shared" si="0"/>
        <v>0.45840601130522357</v>
      </c>
      <c r="C21" s="17">
        <f t="shared" si="1"/>
        <v>1.1918556293935812E-4</v>
      </c>
      <c r="E21" s="83">
        <f t="shared" si="2"/>
        <v>0.45840601130522352</v>
      </c>
      <c r="F21" s="84">
        <f t="shared" si="3"/>
        <v>1.1918556293935812E-4</v>
      </c>
      <c r="H21">
        <f t="shared" si="6"/>
        <v>4</v>
      </c>
      <c r="I21">
        <f t="shared" si="4"/>
        <v>1.8336240452208943</v>
      </c>
    </row>
    <row r="22" spans="1:9" ht="17" thickTop="1" thickBot="1" x14ac:dyDescent="0.25">
      <c r="A22" s="94">
        <f t="shared" si="5"/>
        <v>3200</v>
      </c>
      <c r="B22" s="20">
        <f t="shared" si="0"/>
        <v>0.43517805926635672</v>
      </c>
      <c r="C22" s="17">
        <f t="shared" si="1"/>
        <v>1.1314629540925274E-4</v>
      </c>
      <c r="E22" s="83">
        <f t="shared" si="2"/>
        <v>0.43517805926635678</v>
      </c>
      <c r="F22" s="84">
        <f t="shared" si="3"/>
        <v>1.1314629540925274E-4</v>
      </c>
      <c r="H22">
        <f t="shared" si="6"/>
        <v>2</v>
      </c>
      <c r="I22">
        <f t="shared" si="4"/>
        <v>0.87035611853271344</v>
      </c>
    </row>
    <row r="23" spans="1:9" ht="17" thickTop="1" thickBot="1" x14ac:dyDescent="0.25">
      <c r="A23" s="94">
        <f t="shared" si="5"/>
        <v>3400</v>
      </c>
      <c r="B23" s="20">
        <f t="shared" si="0"/>
        <v>0.41312709387821828</v>
      </c>
      <c r="C23" s="17">
        <f t="shared" si="1"/>
        <v>1.0741304440833675E-4</v>
      </c>
      <c r="E23" s="83">
        <f t="shared" si="2"/>
        <v>0.41312709387821833</v>
      </c>
      <c r="F23" s="84">
        <f t="shared" si="3"/>
        <v>1.0741304440833675E-4</v>
      </c>
      <c r="H23">
        <f t="shared" si="6"/>
        <v>4</v>
      </c>
      <c r="I23">
        <f t="shared" si="4"/>
        <v>1.6525083755128731</v>
      </c>
    </row>
    <row r="24" spans="1:9" ht="17" thickTop="1" thickBot="1" x14ac:dyDescent="0.25">
      <c r="A24" s="94">
        <f t="shared" si="5"/>
        <v>3600</v>
      </c>
      <c r="B24" s="20">
        <f t="shared" si="0"/>
        <v>0.39219347589350501</v>
      </c>
      <c r="C24" s="17">
        <f t="shared" si="1"/>
        <v>1.0197030373231129E-4</v>
      </c>
      <c r="E24" s="83">
        <f t="shared" si="2"/>
        <v>0.39219347589350506</v>
      </c>
      <c r="F24" s="84">
        <f t="shared" si="3"/>
        <v>1.0197030373231129E-4</v>
      </c>
      <c r="H24">
        <f t="shared" si="6"/>
        <v>2</v>
      </c>
      <c r="I24">
        <f t="shared" si="4"/>
        <v>0.78438695178701001</v>
      </c>
    </row>
    <row r="25" spans="1:9" ht="17" thickTop="1" thickBot="1" x14ac:dyDescent="0.25">
      <c r="A25" s="94">
        <f t="shared" si="5"/>
        <v>3800</v>
      </c>
      <c r="B25" s="20">
        <f t="shared" si="0"/>
        <v>0.37232058805315527</v>
      </c>
      <c r="C25" s="17">
        <f>B25*$G$3</f>
        <v>9.6803352893820355E-5</v>
      </c>
      <c r="E25" s="83">
        <f t="shared" si="2"/>
        <v>0.37232058805315527</v>
      </c>
      <c r="F25" s="84">
        <f t="shared" si="3"/>
        <v>9.6803352893820355E-5</v>
      </c>
      <c r="H25">
        <f t="shared" si="6"/>
        <v>4</v>
      </c>
      <c r="I25">
        <f t="shared" si="4"/>
        <v>1.4892823522126211</v>
      </c>
    </row>
    <row r="26" spans="1:9" ht="17" thickTop="1" thickBot="1" x14ac:dyDescent="0.25">
      <c r="A26" s="94">
        <f t="shared" si="5"/>
        <v>4000</v>
      </c>
      <c r="B26" s="20">
        <f t="shared" si="0"/>
        <v>0.35345468195878021</v>
      </c>
      <c r="C26" s="17">
        <f t="shared" si="1"/>
        <v>9.1898217309282853E-5</v>
      </c>
      <c r="E26" s="83">
        <f t="shared" si="2"/>
        <v>0.35345468195878027</v>
      </c>
      <c r="F26" s="84">
        <f t="shared" si="3"/>
        <v>9.1898217309282853E-5</v>
      </c>
      <c r="H26">
        <f t="shared" si="6"/>
        <v>2</v>
      </c>
      <c r="I26">
        <f t="shared" si="4"/>
        <v>0.70690936391756043</v>
      </c>
    </row>
    <row r="27" spans="1:9" ht="17" thickTop="1" thickBot="1" x14ac:dyDescent="0.25">
      <c r="A27" s="94">
        <f t="shared" si="5"/>
        <v>4200</v>
      </c>
      <c r="B27" s="20">
        <f t="shared" si="0"/>
        <v>0.33554473270424273</v>
      </c>
      <c r="C27" s="17">
        <f t="shared" si="1"/>
        <v>8.7241630503103097E-5</v>
      </c>
      <c r="E27" s="83">
        <f t="shared" si="2"/>
        <v>0.33554473270424268</v>
      </c>
      <c r="F27" s="84">
        <f t="shared" si="3"/>
        <v>8.7241630503103097E-5</v>
      </c>
      <c r="H27">
        <f t="shared" si="6"/>
        <v>4</v>
      </c>
      <c r="I27">
        <f t="shared" si="4"/>
        <v>1.3421789308169709</v>
      </c>
    </row>
    <row r="28" spans="1:9" ht="17" thickTop="1" thickBot="1" x14ac:dyDescent="0.25">
      <c r="A28" s="94">
        <f t="shared" si="5"/>
        <v>4400</v>
      </c>
      <c r="B28" s="20">
        <f t="shared" si="0"/>
        <v>0.318542300873219</v>
      </c>
      <c r="C28" s="17">
        <f t="shared" si="1"/>
        <v>8.2820998227036929E-5</v>
      </c>
      <c r="E28" s="83">
        <f t="shared" si="2"/>
        <v>0.318542300873219</v>
      </c>
      <c r="F28" s="84">
        <f t="shared" si="3"/>
        <v>8.2820998227036929E-5</v>
      </c>
      <c r="H28">
        <f t="shared" si="6"/>
        <v>2</v>
      </c>
      <c r="I28">
        <f t="shared" si="4"/>
        <v>0.637084601746438</v>
      </c>
    </row>
    <row r="29" spans="1:9" ht="17" thickTop="1" thickBot="1" x14ac:dyDescent="0.25">
      <c r="A29" s="94">
        <f t="shared" si="5"/>
        <v>4600</v>
      </c>
      <c r="B29" s="20">
        <f t="shared" si="0"/>
        <v>0.30240140152949979</v>
      </c>
      <c r="C29" s="17">
        <f t="shared" si="1"/>
        <v>7.8624364397669941E-5</v>
      </c>
      <c r="E29" s="83">
        <f t="shared" si="2"/>
        <v>0.30240140152949979</v>
      </c>
      <c r="F29" s="84">
        <f t="shared" si="3"/>
        <v>7.8624364397669941E-5</v>
      </c>
      <c r="H29">
        <f t="shared" si="6"/>
        <v>4</v>
      </c>
      <c r="I29">
        <f t="shared" si="4"/>
        <v>1.2096056061179992</v>
      </c>
    </row>
    <row r="30" spans="1:9" ht="17" thickTop="1" thickBot="1" x14ac:dyDescent="0.25">
      <c r="A30" s="94">
        <f t="shared" si="5"/>
        <v>4800</v>
      </c>
      <c r="B30" s="20">
        <f t="shared" si="0"/>
        <v>0.28707837984570167</v>
      </c>
      <c r="C30" s="17">
        <f t="shared" si="1"/>
        <v>7.464037875988243E-5</v>
      </c>
      <c r="E30" s="83">
        <f t="shared" si="2"/>
        <v>0.28707837984570173</v>
      </c>
      <c r="F30" s="84">
        <f t="shared" si="3"/>
        <v>7.464037875988243E-5</v>
      </c>
      <c r="H30">
        <f t="shared" si="6"/>
        <v>2</v>
      </c>
      <c r="I30">
        <f t="shared" si="4"/>
        <v>0.57415675969140334</v>
      </c>
    </row>
    <row r="31" spans="1:9" ht="17" thickTop="1" thickBot="1" x14ac:dyDescent="0.25">
      <c r="A31" s="94">
        <f t="shared" si="5"/>
        <v>5000</v>
      </c>
      <c r="B31" s="20">
        <f t="shared" si="0"/>
        <v>0.27253179303401265</v>
      </c>
      <c r="C31" s="17">
        <f t="shared" si="1"/>
        <v>7.0858266188843284E-5</v>
      </c>
      <c r="E31" s="83">
        <f t="shared" si="2"/>
        <v>0.27253179303401265</v>
      </c>
      <c r="F31" s="84">
        <f t="shared" si="3"/>
        <v>7.0858266188843284E-5</v>
      </c>
      <c r="H31">
        <f t="shared" si="6"/>
        <v>4</v>
      </c>
      <c r="I31">
        <f t="shared" si="4"/>
        <v>1.0901271721360506</v>
      </c>
    </row>
    <row r="32" spans="1:9" ht="17" thickTop="1" thickBot="1" x14ac:dyDescent="0.25">
      <c r="A32" s="94">
        <f t="shared" si="5"/>
        <v>5200</v>
      </c>
      <c r="B32" s="20">
        <f t="shared" si="0"/>
        <v>0.2587222982596401</v>
      </c>
      <c r="C32" s="17">
        <f t="shared" si="1"/>
        <v>6.7267797547506422E-5</v>
      </c>
      <c r="E32" s="83">
        <f t="shared" si="2"/>
        <v>0.2587222982596401</v>
      </c>
      <c r="F32" s="84">
        <f t="shared" si="3"/>
        <v>6.7267797547506422E-5</v>
      </c>
      <c r="H32">
        <f>H30</f>
        <v>2</v>
      </c>
      <c r="I32">
        <f t="shared" si="4"/>
        <v>0.51744459651928021</v>
      </c>
    </row>
    <row r="33" spans="1:11" ht="17" thickTop="1" thickBot="1" x14ac:dyDescent="0.25">
      <c r="A33" s="94">
        <f t="shared" si="5"/>
        <v>5400</v>
      </c>
      <c r="B33" s="20">
        <f t="shared" si="0"/>
        <v>0.24561254623381226</v>
      </c>
      <c r="C33" s="17">
        <f t="shared" si="1"/>
        <v>6.3859262020791186E-5</v>
      </c>
      <c r="E33" s="83">
        <f t="shared" si="2"/>
        <v>0.24561254623381223</v>
      </c>
      <c r="F33" s="84">
        <f t="shared" si="3"/>
        <v>6.3859262020791186E-5</v>
      </c>
      <c r="H33">
        <f>H31</f>
        <v>4</v>
      </c>
      <c r="I33">
        <f t="shared" si="4"/>
        <v>0.98245018493524905</v>
      </c>
    </row>
    <row r="34" spans="1:11" ht="17" thickTop="1" thickBot="1" x14ac:dyDescent="0.25">
      <c r="A34" s="94">
        <f t="shared" si="5"/>
        <v>5600</v>
      </c>
      <c r="B34" s="20">
        <f t="shared" si="0"/>
        <v>0.23316708019854179</v>
      </c>
      <c r="C34" s="17">
        <f t="shared" si="1"/>
        <v>6.062344085162086E-5</v>
      </c>
      <c r="E34" s="83">
        <f t="shared" si="2"/>
        <v>0.23316708019854182</v>
      </c>
      <c r="F34" s="84">
        <f t="shared" si="3"/>
        <v>6.062344085162086E-5</v>
      </c>
      <c r="H34">
        <f>H32</f>
        <v>2</v>
      </c>
      <c r="I34">
        <f t="shared" si="4"/>
        <v>0.46633416039708359</v>
      </c>
    </row>
    <row r="35" spans="1:11" ht="17" thickTop="1" thickBot="1" x14ac:dyDescent="0.25">
      <c r="A35" s="94">
        <f t="shared" si="5"/>
        <v>5800</v>
      </c>
      <c r="B35" s="20">
        <f t="shared" si="0"/>
        <v>0.22135224002994688</v>
      </c>
      <c r="C35" s="17">
        <f>B35*$G$3</f>
        <v>5.7551582407786188E-5</v>
      </c>
      <c r="E35" s="83">
        <f t="shared" si="2"/>
        <v>0.22135224002994691</v>
      </c>
      <c r="F35" s="84">
        <f t="shared" si="3"/>
        <v>5.7551582407786188E-5</v>
      </c>
      <c r="H35">
        <v>1</v>
      </c>
      <c r="I35">
        <f t="shared" si="4"/>
        <v>0.22135224002994688</v>
      </c>
      <c r="K35" t="s">
        <v>219</v>
      </c>
    </row>
    <row r="36" spans="1:11" ht="17" thickTop="1" thickBot="1" x14ac:dyDescent="0.25">
      <c r="A36" s="94">
        <f t="shared" si="5"/>
        <v>6000</v>
      </c>
      <c r="B36" s="20">
        <f t="shared" si="0"/>
        <v>0.21013607120076477</v>
      </c>
      <c r="C36" s="17">
        <f t="shared" si="1"/>
        <v>5.463537851219884E-5</v>
      </c>
      <c r="E36" s="83">
        <f t="shared" si="2"/>
        <v>0.21013607120076472</v>
      </c>
      <c r="F36" s="84">
        <f t="shared" si="3"/>
        <v>5.463537851219884E-5</v>
      </c>
      <c r="G36" s="85" t="s">
        <v>212</v>
      </c>
      <c r="H36" s="85" t="s">
        <v>191</v>
      </c>
      <c r="I36" s="85">
        <f>SUM(I6:I35)*A7/3</f>
        <v>2979.6587916315998</v>
      </c>
      <c r="K36">
        <f>A7-A6</f>
        <v>200</v>
      </c>
    </row>
    <row r="37" spans="1:11" ht="16" thickTop="1" x14ac:dyDescent="0.2"/>
    <row r="38" spans="1:11" x14ac:dyDescent="0.2">
      <c r="J38" s="4" t="s">
        <v>218</v>
      </c>
    </row>
    <row r="41" spans="1:11" x14ac:dyDescent="0.2">
      <c r="I41" t="s">
        <v>245</v>
      </c>
    </row>
  </sheetData>
  <pageMargins left="0.7" right="0.7" top="0.75" bottom="0.75" header="0.3" footer="0.3"/>
  <pageSetup paperSize="9" scale="84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96"/>
  <sheetViews>
    <sheetView zoomScale="109" workbookViewId="0">
      <selection activeCell="C22" sqref="C22"/>
    </sheetView>
  </sheetViews>
  <sheetFormatPr baseColWidth="10" defaultColWidth="8.83203125" defaultRowHeight="15" x14ac:dyDescent="0.2"/>
  <cols>
    <col min="1" max="1" width="18.6640625" customWidth="1"/>
    <col min="2" max="2" width="12.33203125" customWidth="1"/>
    <col min="3" max="4" width="12.33203125" bestFit="1" customWidth="1"/>
    <col min="5" max="5" width="12.5" customWidth="1"/>
    <col min="6" max="6" width="13" customWidth="1"/>
    <col min="7" max="7" width="14.1640625" customWidth="1"/>
    <col min="8" max="8" width="14.33203125" bestFit="1" customWidth="1"/>
    <col min="9" max="9" width="12.5" bestFit="1" customWidth="1"/>
    <col min="10" max="10" width="9.83203125" customWidth="1"/>
    <col min="11" max="12" width="10.83203125" bestFit="1" customWidth="1"/>
    <col min="13" max="14" width="10.6640625" bestFit="1" customWidth="1"/>
    <col min="15" max="15" width="12.1640625" customWidth="1"/>
    <col min="16" max="19" width="10.6640625" bestFit="1" customWidth="1"/>
    <col min="20" max="33" width="10.5" bestFit="1" customWidth="1"/>
    <col min="34" max="34" width="11.5" bestFit="1" customWidth="1"/>
  </cols>
  <sheetData>
    <row r="1" spans="1:33" x14ac:dyDescent="0.2">
      <c r="A1" s="183"/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</row>
    <row r="2" spans="1:33" x14ac:dyDescent="0.2">
      <c r="A2" s="4" t="s">
        <v>80</v>
      </c>
      <c r="B2" s="4" t="s">
        <v>81</v>
      </c>
      <c r="E2" t="s">
        <v>207</v>
      </c>
      <c r="F2" t="s">
        <v>208</v>
      </c>
      <c r="J2" t="s">
        <v>95</v>
      </c>
    </row>
    <row r="3" spans="1:33" ht="16" thickBot="1" x14ac:dyDescent="0.25">
      <c r="A3" t="s">
        <v>83</v>
      </c>
      <c r="E3" t="s">
        <v>209</v>
      </c>
      <c r="J3" s="180" t="s">
        <v>297</v>
      </c>
      <c r="K3" s="180"/>
      <c r="L3" s="180"/>
      <c r="N3" s="80">
        <v>1</v>
      </c>
      <c r="O3" s="80">
        <v>2</v>
      </c>
      <c r="P3" s="80">
        <v>3</v>
      </c>
      <c r="Q3" s="80">
        <v>4</v>
      </c>
      <c r="R3" s="80">
        <v>5</v>
      </c>
    </row>
    <row r="4" spans="1:33" ht="17" thickTop="1" thickBot="1" x14ac:dyDescent="0.25">
      <c r="A4" s="3" t="s">
        <v>82</v>
      </c>
      <c r="B4" s="181" t="s">
        <v>86</v>
      </c>
      <c r="C4" s="181"/>
      <c r="D4" s="182"/>
      <c r="E4" s="11" t="s">
        <v>87</v>
      </c>
      <c r="F4" s="43" t="s">
        <v>88</v>
      </c>
      <c r="J4" t="s">
        <v>98</v>
      </c>
    </row>
    <row r="5" spans="1:33" ht="17" thickTop="1" thickBot="1" x14ac:dyDescent="0.25">
      <c r="A5" s="3" t="s">
        <v>84</v>
      </c>
      <c r="B5" s="47" t="s">
        <v>85</v>
      </c>
      <c r="C5" s="3">
        <v>2.0000000000000001E-4</v>
      </c>
      <c r="D5" s="1"/>
      <c r="E5" s="11">
        <f>1/C5</f>
        <v>5000</v>
      </c>
      <c r="F5" s="11">
        <f>1/C5</f>
        <v>5000</v>
      </c>
      <c r="J5" s="180" t="s">
        <v>296</v>
      </c>
      <c r="K5" s="180"/>
      <c r="L5" s="180"/>
      <c r="N5" s="44" t="s">
        <v>194</v>
      </c>
      <c r="O5" s="41" t="s">
        <v>195</v>
      </c>
    </row>
    <row r="6" spans="1:33" ht="17" thickTop="1" thickBot="1" x14ac:dyDescent="0.25">
      <c r="A6" s="3" t="s">
        <v>89</v>
      </c>
      <c r="B6" s="5" t="s">
        <v>99</v>
      </c>
      <c r="C6" s="3">
        <v>500</v>
      </c>
      <c r="D6" s="1">
        <v>1000</v>
      </c>
      <c r="E6" s="11">
        <f>(C6+D6)/2</f>
        <v>750</v>
      </c>
      <c r="F6" s="20">
        <f>(D6-C6)/(2*SQRT(3))</f>
        <v>144.33756729740645</v>
      </c>
      <c r="J6" s="180" t="s">
        <v>107</v>
      </c>
      <c r="K6" s="180"/>
      <c r="L6" s="180"/>
      <c r="N6" s="40" t="s">
        <v>69</v>
      </c>
      <c r="O6" s="41" t="s">
        <v>196</v>
      </c>
    </row>
    <row r="7" spans="1:33" ht="17" thickTop="1" thickBot="1" x14ac:dyDescent="0.25">
      <c r="A7" s="3" t="s">
        <v>90</v>
      </c>
      <c r="B7" s="5" t="s">
        <v>100</v>
      </c>
      <c r="C7" s="3">
        <v>7</v>
      </c>
      <c r="D7" s="1">
        <v>300</v>
      </c>
      <c r="E7" s="11">
        <f>C7*D7</f>
        <v>2100</v>
      </c>
      <c r="F7" s="21">
        <f>SQRT(C7)*D7</f>
        <v>793.72539331937719</v>
      </c>
      <c r="J7" s="180" t="s">
        <v>295</v>
      </c>
      <c r="K7" s="180"/>
      <c r="L7" s="180"/>
      <c r="N7" s="40" t="s">
        <v>70</v>
      </c>
      <c r="O7" s="44" t="s">
        <v>197</v>
      </c>
    </row>
    <row r="8" spans="1:33" ht="17" thickTop="1" thickBot="1" x14ac:dyDescent="0.25">
      <c r="A8" s="3" t="s">
        <v>91</v>
      </c>
      <c r="B8" s="5" t="s">
        <v>101</v>
      </c>
      <c r="C8" s="3">
        <v>1000</v>
      </c>
      <c r="D8" s="1">
        <v>300</v>
      </c>
      <c r="E8" s="11">
        <f>C8</f>
        <v>1000</v>
      </c>
      <c r="F8" s="11">
        <f>D8</f>
        <v>300</v>
      </c>
      <c r="N8" s="44" t="s">
        <v>198</v>
      </c>
      <c r="O8" s="41" t="s">
        <v>120</v>
      </c>
    </row>
    <row r="9" spans="1:33" ht="17" thickTop="1" thickBot="1" x14ac:dyDescent="0.25">
      <c r="A9" s="3" t="s">
        <v>92</v>
      </c>
      <c r="B9" s="47" t="s">
        <v>85</v>
      </c>
      <c r="C9" s="3">
        <v>8.0000000000000002E-8</v>
      </c>
      <c r="D9" s="1"/>
      <c r="E9" s="21">
        <f>SQRT(PI()/(4*C9))</f>
        <v>3133.2853432887505</v>
      </c>
      <c r="F9" s="21">
        <f>SQRT(((4-PI())/(4*C9)))</f>
        <v>1637.840943905084</v>
      </c>
    </row>
    <row r="10" spans="1:33" ht="17" thickTop="1" thickBot="1" x14ac:dyDescent="0.25">
      <c r="A10" s="3" t="s">
        <v>93</v>
      </c>
      <c r="B10" s="5" t="s">
        <v>102</v>
      </c>
      <c r="C10" s="3">
        <v>2</v>
      </c>
      <c r="D10" s="1">
        <v>1800</v>
      </c>
      <c r="E10" s="21">
        <f>D10* EXP(GAMMALN(1+1/C10))</f>
        <v>1595.2084658149645</v>
      </c>
      <c r="F10" s="21">
        <f>D10*SQRT((EXP(GAMMALN(1+2/C10)))-POWER(EXP(GAMMALN(1+1/C10)),2))</f>
        <v>833.85247531698747</v>
      </c>
      <c r="G10" s="150"/>
      <c r="H10" s="151" t="s">
        <v>96</v>
      </c>
      <c r="I10" s="95"/>
    </row>
    <row r="11" spans="1:33" ht="17" thickTop="1" thickBot="1" x14ac:dyDescent="0.25">
      <c r="A11" s="3" t="s">
        <v>94</v>
      </c>
      <c r="B11" s="5" t="s">
        <v>103</v>
      </c>
      <c r="C11" s="3">
        <v>2000</v>
      </c>
      <c r="D11" s="1">
        <v>900</v>
      </c>
      <c r="E11" s="21">
        <f>C11+D11*J12</f>
        <v>2030.8008285006756</v>
      </c>
      <c r="F11" s="21">
        <f>D11*SQRT(1+J12*(C11/D11)-POWER(J12,2))</f>
        <v>933.08786615464214</v>
      </c>
      <c r="G11" s="152" t="s">
        <v>210</v>
      </c>
      <c r="H11" s="153">
        <f>EXP(-(POWER(C11,2))/(2*POWER(D11,2)))</f>
        <v>8.4657988622529975E-2</v>
      </c>
      <c r="I11" s="96"/>
      <c r="J11" s="90"/>
      <c r="L11" s="6"/>
      <c r="N11" s="90"/>
    </row>
    <row r="12" spans="1:33" ht="17" thickTop="1" thickBot="1" x14ac:dyDescent="0.25">
      <c r="G12" s="97" t="s">
        <v>211</v>
      </c>
      <c r="H12" s="87">
        <f>1/(0.5+(NORMDIST((C11/D11),0,1,1)-0.5))</f>
        <v>1.013308947344437</v>
      </c>
      <c r="I12" s="98" t="s">
        <v>97</v>
      </c>
      <c r="J12" s="87">
        <f>H11*H12/SQRT(2*PI())</f>
        <v>3.4223142778528462E-2</v>
      </c>
    </row>
    <row r="13" spans="1:33" ht="16" thickTop="1" x14ac:dyDescent="0.2">
      <c r="G13" s="40"/>
      <c r="H13" s="90"/>
      <c r="J13" s="90"/>
    </row>
    <row r="14" spans="1:33" x14ac:dyDescent="0.2">
      <c r="G14" s="40"/>
      <c r="H14" s="90"/>
      <c r="J14" s="90"/>
    </row>
    <row r="15" spans="1:33" x14ac:dyDescent="0.2">
      <c r="A15" s="4" t="s">
        <v>221</v>
      </c>
      <c r="B15" s="4"/>
      <c r="C15" s="4"/>
      <c r="D15" s="4"/>
      <c r="E15" s="4"/>
    </row>
    <row r="16" spans="1:33" x14ac:dyDescent="0.2">
      <c r="A16" t="s">
        <v>33</v>
      </c>
      <c r="B16">
        <v>0</v>
      </c>
      <c r="C16">
        <f>B16+100</f>
        <v>100</v>
      </c>
      <c r="D16">
        <f t="shared" ref="D16:AG16" si="0">C16+100</f>
        <v>200</v>
      </c>
      <c r="E16">
        <f t="shared" si="0"/>
        <v>300</v>
      </c>
      <c r="F16">
        <f t="shared" si="0"/>
        <v>400</v>
      </c>
      <c r="G16">
        <f t="shared" si="0"/>
        <v>500</v>
      </c>
      <c r="H16">
        <f t="shared" si="0"/>
        <v>600</v>
      </c>
      <c r="I16">
        <f t="shared" si="0"/>
        <v>700</v>
      </c>
      <c r="J16">
        <f t="shared" si="0"/>
        <v>800</v>
      </c>
      <c r="K16">
        <f t="shared" si="0"/>
        <v>900</v>
      </c>
      <c r="L16">
        <f t="shared" si="0"/>
        <v>1000</v>
      </c>
      <c r="M16">
        <f t="shared" si="0"/>
        <v>1100</v>
      </c>
      <c r="N16">
        <f t="shared" si="0"/>
        <v>1200</v>
      </c>
      <c r="O16">
        <f t="shared" si="0"/>
        <v>1300</v>
      </c>
      <c r="P16">
        <f t="shared" si="0"/>
        <v>1400</v>
      </c>
      <c r="Q16">
        <f t="shared" si="0"/>
        <v>1500</v>
      </c>
      <c r="R16">
        <f t="shared" si="0"/>
        <v>1600</v>
      </c>
      <c r="S16">
        <f t="shared" si="0"/>
        <v>1700</v>
      </c>
      <c r="T16">
        <f t="shared" si="0"/>
        <v>1800</v>
      </c>
      <c r="U16">
        <f t="shared" si="0"/>
        <v>1900</v>
      </c>
      <c r="V16">
        <f t="shared" si="0"/>
        <v>2000</v>
      </c>
      <c r="W16">
        <f t="shared" si="0"/>
        <v>2100</v>
      </c>
      <c r="X16">
        <f t="shared" si="0"/>
        <v>2200</v>
      </c>
      <c r="Y16">
        <f t="shared" si="0"/>
        <v>2300</v>
      </c>
      <c r="Z16">
        <f t="shared" si="0"/>
        <v>2400</v>
      </c>
      <c r="AA16">
        <f t="shared" si="0"/>
        <v>2500</v>
      </c>
      <c r="AB16">
        <f t="shared" si="0"/>
        <v>2600</v>
      </c>
      <c r="AC16">
        <f t="shared" si="0"/>
        <v>2700</v>
      </c>
      <c r="AD16">
        <f t="shared" si="0"/>
        <v>2800</v>
      </c>
      <c r="AE16">
        <f t="shared" si="0"/>
        <v>2900</v>
      </c>
      <c r="AF16">
        <f t="shared" si="0"/>
        <v>3000</v>
      </c>
      <c r="AG16">
        <f t="shared" si="0"/>
        <v>3100</v>
      </c>
    </row>
    <row r="17" spans="1:35" x14ac:dyDescent="0.2">
      <c r="A17" t="s">
        <v>104</v>
      </c>
      <c r="B17">
        <f>EXP(-$C$5*B16)</f>
        <v>1</v>
      </c>
      <c r="C17" s="90">
        <f t="shared" ref="C17:V17" si="1">EXP(-$C$5*C16)</f>
        <v>0.98019867330675525</v>
      </c>
      <c r="D17" s="90">
        <f t="shared" si="1"/>
        <v>0.96078943915232318</v>
      </c>
      <c r="E17" s="90">
        <f t="shared" si="1"/>
        <v>0.94176453358424872</v>
      </c>
      <c r="F17" s="90">
        <f t="shared" si="1"/>
        <v>0.92311634638663576</v>
      </c>
      <c r="G17" s="90">
        <f t="shared" si="1"/>
        <v>0.90483741803595952</v>
      </c>
      <c r="H17" s="90">
        <f t="shared" si="1"/>
        <v>0.88692043671715748</v>
      </c>
      <c r="I17" s="90">
        <f t="shared" si="1"/>
        <v>0.86935823539880586</v>
      </c>
      <c r="J17" s="90">
        <f t="shared" si="1"/>
        <v>0.85214378896621135</v>
      </c>
      <c r="K17" s="90">
        <f t="shared" si="1"/>
        <v>0.835270211411272</v>
      </c>
      <c r="L17" s="90">
        <f t="shared" si="1"/>
        <v>0.81873075307798182</v>
      </c>
      <c r="M17" s="90">
        <f t="shared" si="1"/>
        <v>0.80251879796247849</v>
      </c>
      <c r="N17" s="90">
        <f t="shared" si="1"/>
        <v>0.78662786106655336</v>
      </c>
      <c r="O17" s="90">
        <f t="shared" si="1"/>
        <v>0.77105158580356625</v>
      </c>
      <c r="P17" s="90">
        <f t="shared" si="1"/>
        <v>0.75578374145572547</v>
      </c>
      <c r="Q17" s="90">
        <f t="shared" si="1"/>
        <v>0.74081822068171788</v>
      </c>
      <c r="R17" s="90">
        <f t="shared" si="1"/>
        <v>0.72614903707369094</v>
      </c>
      <c r="S17" s="90">
        <f t="shared" si="1"/>
        <v>0.71177032276260965</v>
      </c>
      <c r="T17" s="90">
        <f t="shared" si="1"/>
        <v>0.69767632607103103</v>
      </c>
      <c r="U17" s="90">
        <f t="shared" si="1"/>
        <v>0.68386140921235583</v>
      </c>
      <c r="V17" s="90">
        <f t="shared" si="1"/>
        <v>0.67032004603563933</v>
      </c>
      <c r="W17" s="91">
        <f t="shared" ref="W17:AG17" si="2">1-EXPONDIST(W16,$C$5,1)</f>
        <v>0.65704681981505675</v>
      </c>
      <c r="X17" s="91">
        <f t="shared" si="2"/>
        <v>0.64403642108314141</v>
      </c>
      <c r="Y17" s="91">
        <f t="shared" si="2"/>
        <v>0.63128364550692595</v>
      </c>
      <c r="Z17" s="91">
        <f t="shared" si="2"/>
        <v>0.61878339180614084</v>
      </c>
      <c r="AA17" s="91">
        <f t="shared" si="2"/>
        <v>0.60653065971263342</v>
      </c>
      <c r="AB17" s="91">
        <f t="shared" si="2"/>
        <v>0.59452054797019427</v>
      </c>
      <c r="AC17" s="91">
        <f t="shared" si="2"/>
        <v>0.58274825237398964</v>
      </c>
      <c r="AD17" s="91">
        <f t="shared" si="2"/>
        <v>0.57120906384881487</v>
      </c>
      <c r="AE17" s="91">
        <f t="shared" si="2"/>
        <v>0.55989836656540204</v>
      </c>
      <c r="AF17" s="91">
        <f t="shared" si="2"/>
        <v>0.5488116360940265</v>
      </c>
      <c r="AG17" s="91">
        <f t="shared" si="2"/>
        <v>0.53794443759467447</v>
      </c>
    </row>
    <row r="18" spans="1:35" x14ac:dyDescent="0.2">
      <c r="A18" t="s">
        <v>105</v>
      </c>
      <c r="B18">
        <v>1</v>
      </c>
      <c r="C18">
        <v>1</v>
      </c>
      <c r="D18">
        <v>1</v>
      </c>
      <c r="E18">
        <v>1</v>
      </c>
      <c r="F18">
        <v>1</v>
      </c>
      <c r="G18">
        <f t="shared" ref="G18:L18" si="3">($D$6-G16)/($D$6-$C$6)</f>
        <v>1</v>
      </c>
      <c r="H18">
        <f t="shared" si="3"/>
        <v>0.8</v>
      </c>
      <c r="I18">
        <f t="shared" si="3"/>
        <v>0.6</v>
      </c>
      <c r="J18">
        <f t="shared" si="3"/>
        <v>0.4</v>
      </c>
      <c r="K18">
        <f t="shared" si="3"/>
        <v>0.2</v>
      </c>
      <c r="L18">
        <f t="shared" si="3"/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5" x14ac:dyDescent="0.2">
      <c r="A19" t="s">
        <v>106</v>
      </c>
      <c r="B19" s="90">
        <f>1-GAMMADIST((B16/$D$7),$C$7,1,1)</f>
        <v>1</v>
      </c>
      <c r="C19" s="90">
        <f t="shared" ref="C19:AG19" si="4">1-GAMMADIST((C16/$D$7),$C$7,1,1)</f>
        <v>0.99999993218127436</v>
      </c>
      <c r="D19" s="90">
        <f t="shared" si="4"/>
        <v>0.99999350161827372</v>
      </c>
      <c r="E19" s="90">
        <f t="shared" si="4"/>
        <v>0.99991675885071196</v>
      </c>
      <c r="F19" s="90">
        <f t="shared" si="4"/>
        <v>0.99953174216215823</v>
      </c>
      <c r="G19" s="90">
        <f t="shared" si="4"/>
        <v>0.99832062439083602</v>
      </c>
      <c r="H19" s="90">
        <f t="shared" si="4"/>
        <v>0.99546619447375118</v>
      </c>
      <c r="I19" s="90">
        <f t="shared" si="4"/>
        <v>0.9899323332397777</v>
      </c>
      <c r="J19" s="90">
        <f t="shared" si="4"/>
        <v>0.98061154893992053</v>
      </c>
      <c r="K19" s="91">
        <f t="shared" si="4"/>
        <v>0.96649146469115876</v>
      </c>
      <c r="L19" s="91">
        <f t="shared" si="4"/>
        <v>0.94679898423264852</v>
      </c>
      <c r="M19" s="91">
        <f t="shared" si="4"/>
        <v>0.9210970994977411</v>
      </c>
      <c r="N19" s="91">
        <f t="shared" si="4"/>
        <v>0.88932602159742624</v>
      </c>
      <c r="O19" s="91">
        <f t="shared" si="4"/>
        <v>0.85179302833059645</v>
      </c>
      <c r="P19" s="91">
        <f t="shared" si="4"/>
        <v>0.80912288229056994</v>
      </c>
      <c r="Q19" s="91">
        <f t="shared" si="4"/>
        <v>0.7621834629729386</v>
      </c>
      <c r="R19" s="91">
        <f t="shared" si="4"/>
        <v>0.71200069278180367</v>
      </c>
      <c r="S19" s="91">
        <f t="shared" si="4"/>
        <v>0.65967431787581632</v>
      </c>
      <c r="T19" s="91">
        <f t="shared" si="4"/>
        <v>0.60630278241259128</v>
      </c>
      <c r="U19" s="91">
        <f t="shared" si="4"/>
        <v>0.55292211165059801</v>
      </c>
      <c r="V19" s="91">
        <f t="shared" si="4"/>
        <v>0.50046086625066921</v>
      </c>
      <c r="W19" s="91">
        <f t="shared" si="4"/>
        <v>0.44971105584869897</v>
      </c>
      <c r="X19" s="91">
        <f t="shared" si="4"/>
        <v>0.40131343370434913</v>
      </c>
      <c r="Y19" s="91">
        <f t="shared" si="4"/>
        <v>0.3557547586079709</v>
      </c>
      <c r="Z19" s="91">
        <f t="shared" si="4"/>
        <v>0.31337427753639757</v>
      </c>
      <c r="AA19" s="91">
        <f t="shared" si="4"/>
        <v>0.27437671299934629</v>
      </c>
      <c r="AB19" s="91">
        <f t="shared" si="4"/>
        <v>0.23884930373314961</v>
      </c>
      <c r="AC19" s="91">
        <f t="shared" si="4"/>
        <v>0.20678083985998708</v>
      </c>
      <c r="AD19" s="91">
        <f t="shared" si="4"/>
        <v>0.1780810732907645</v>
      </c>
      <c r="AE19" s="91">
        <f t="shared" si="4"/>
        <v>0.15259931526346482</v>
      </c>
      <c r="AF19" s="91">
        <f t="shared" si="4"/>
        <v>0.13014142088248293</v>
      </c>
      <c r="AG19" s="91">
        <f t="shared" si="4"/>
        <v>0.11048468733561001</v>
      </c>
    </row>
    <row r="20" spans="1:35" x14ac:dyDescent="0.2">
      <c r="A20" t="s">
        <v>91</v>
      </c>
      <c r="B20" s="90">
        <f>1-NORMDIST(((B16-$C$8)/$D$8),0,1,1)</f>
        <v>0.99957093966680322</v>
      </c>
      <c r="C20" s="90">
        <f t="shared" ref="C20:AG20" si="5">1-NORMDIST(((C16-$C$8)/$D$8),0,1,1)</f>
        <v>0.9986501019683699</v>
      </c>
      <c r="D20" s="90">
        <f t="shared" si="5"/>
        <v>0.99616961943241022</v>
      </c>
      <c r="E20" s="90">
        <f t="shared" si="5"/>
        <v>0.99018467137135469</v>
      </c>
      <c r="F20" s="90">
        <f t="shared" si="5"/>
        <v>0.97724986805182079</v>
      </c>
      <c r="G20" s="90">
        <f t="shared" si="5"/>
        <v>0.9522096477271853</v>
      </c>
      <c r="H20" s="90">
        <f t="shared" si="5"/>
        <v>0.90878878027413212</v>
      </c>
      <c r="I20" s="90">
        <f t="shared" si="5"/>
        <v>0.84134474606854304</v>
      </c>
      <c r="J20" s="90">
        <f t="shared" si="5"/>
        <v>0.74750746245307709</v>
      </c>
      <c r="K20" s="90">
        <f t="shared" si="5"/>
        <v>0.63055865981823644</v>
      </c>
      <c r="L20" s="90">
        <f t="shared" si="5"/>
        <v>0.5</v>
      </c>
      <c r="M20" s="90">
        <f t="shared" si="5"/>
        <v>0.36944134018176356</v>
      </c>
      <c r="N20" s="90">
        <f t="shared" si="5"/>
        <v>0.25249253754692291</v>
      </c>
      <c r="O20" s="90">
        <f t="shared" si="5"/>
        <v>0.15865525393145696</v>
      </c>
      <c r="P20" s="90">
        <f t="shared" si="5"/>
        <v>9.1211219725867876E-2</v>
      </c>
      <c r="Q20" s="90">
        <f t="shared" si="5"/>
        <v>4.7790352272814696E-2</v>
      </c>
      <c r="R20" s="90">
        <f t="shared" si="5"/>
        <v>2.2750131948179209E-2</v>
      </c>
      <c r="S20" s="90">
        <f t="shared" si="5"/>
        <v>9.8153286286453145E-3</v>
      </c>
      <c r="T20" s="90">
        <f t="shared" si="5"/>
        <v>3.8303805675897751E-3</v>
      </c>
      <c r="U20" s="90">
        <f t="shared" si="5"/>
        <v>1.3498980316301035E-3</v>
      </c>
      <c r="V20" s="90">
        <f t="shared" si="5"/>
        <v>4.290603331967846E-4</v>
      </c>
      <c r="W20" s="90">
        <f t="shared" si="5"/>
        <v>1.2286638996517052E-4</v>
      </c>
      <c r="X20" s="90">
        <f t="shared" si="5"/>
        <v>3.1671241833119979E-5</v>
      </c>
      <c r="Y20" s="90">
        <f t="shared" si="5"/>
        <v>7.3434238369030069E-6</v>
      </c>
      <c r="Z20" s="90">
        <f t="shared" si="5"/>
        <v>1.5306267365788884E-6</v>
      </c>
      <c r="AA20" s="90">
        <f t="shared" si="5"/>
        <v>2.8665157192353519E-7</v>
      </c>
      <c r="AB20" s="90">
        <f t="shared" si="5"/>
        <v>4.8213033676525185E-8</v>
      </c>
      <c r="AC20" s="90">
        <f t="shared" si="5"/>
        <v>7.2801100703401289E-9</v>
      </c>
      <c r="AD20" s="90">
        <f t="shared" si="5"/>
        <v>9.8658770042447941E-10</v>
      </c>
      <c r="AE20" s="90">
        <f t="shared" si="5"/>
        <v>1.1996026394456294E-10</v>
      </c>
      <c r="AF20" s="90">
        <f t="shared" si="5"/>
        <v>1.308397834520747E-11</v>
      </c>
      <c r="AG20" s="90">
        <f t="shared" si="5"/>
        <v>1.2798651027878805E-12</v>
      </c>
    </row>
    <row r="21" spans="1:35" x14ac:dyDescent="0.2">
      <c r="A21" t="s">
        <v>108</v>
      </c>
      <c r="B21">
        <f>EXP(-$C$9*POWER(B16,2))</f>
        <v>1</v>
      </c>
      <c r="C21" s="90">
        <f>EXP(-$C$9*POWER(C16,2))</f>
        <v>0.99920031991468372</v>
      </c>
      <c r="D21" s="90">
        <f>EXP(-$C$9*POWER(D16,2))</f>
        <v>0.99680511454303289</v>
      </c>
      <c r="E21" s="90">
        <f t="shared" ref="D21:AG21" si="6">EXP(-$C$9*POWER(E16,2))</f>
        <v>0.99282585790381339</v>
      </c>
      <c r="F21" s="90">
        <f t="shared" si="6"/>
        <v>0.98728157159029051</v>
      </c>
      <c r="G21" s="90">
        <f t="shared" si="6"/>
        <v>0.98019867330675525</v>
      </c>
      <c r="H21" s="90">
        <f t="shared" si="6"/>
        <v>0.97161076718912276</v>
      </c>
      <c r="I21" s="90">
        <f t="shared" si="6"/>
        <v>0.9615583782382694</v>
      </c>
      <c r="J21" s="90">
        <f t="shared" si="6"/>
        <v>0.95008863380262687</v>
      </c>
      <c r="K21" s="90">
        <f t="shared" si="6"/>
        <v>0.93725489561267772</v>
      </c>
      <c r="L21" s="90">
        <f t="shared" si="6"/>
        <v>0.92311634638663576</v>
      </c>
      <c r="M21" s="90">
        <f t="shared" si="6"/>
        <v>0.90773753548682956</v>
      </c>
      <c r="N21" s="90">
        <f t="shared" si="6"/>
        <v>0.8911878885041844</v>
      </c>
      <c r="O21" s="90">
        <f t="shared" si="6"/>
        <v>0.87354118597885011</v>
      </c>
      <c r="P21" s="90">
        <f t="shared" si="6"/>
        <v>0.85487501672466948</v>
      </c>
      <c r="Q21" s="90">
        <f t="shared" si="6"/>
        <v>0.835270211411272</v>
      </c>
      <c r="R21" s="90">
        <f t="shared" si="6"/>
        <v>0.81481026216872943</v>
      </c>
      <c r="S21" s="90">
        <f t="shared" si="6"/>
        <v>0.79358073401576679</v>
      </c>
      <c r="T21" s="90">
        <f t="shared" si="6"/>
        <v>0.7716686738745262</v>
      </c>
      <c r="U21" s="90">
        <f t="shared" si="6"/>
        <v>0.74916202282499267</v>
      </c>
      <c r="V21" s="90">
        <f t="shared" si="6"/>
        <v>0.72614903707369094</v>
      </c>
      <c r="W21" s="90">
        <f t="shared" si="6"/>
        <v>0.70271772286839762</v>
      </c>
      <c r="X21" s="90">
        <f t="shared" si="6"/>
        <v>0.67895529028856794</v>
      </c>
      <c r="Y21" s="90">
        <f t="shared" si="6"/>
        <v>0.65494763048588323</v>
      </c>
      <c r="Z21" s="90">
        <f t="shared" si="6"/>
        <v>0.63077882054742829</v>
      </c>
      <c r="AA21" s="90">
        <f t="shared" si="6"/>
        <v>0.60653065971263342</v>
      </c>
      <c r="AB21" s="90">
        <f t="shared" si="6"/>
        <v>0.58228224020181329</v>
      </c>
      <c r="AC21" s="90">
        <f t="shared" si="6"/>
        <v>0.55810955541668261</v>
      </c>
      <c r="AD21" s="90">
        <f t="shared" si="6"/>
        <v>0.5340851477595171</v>
      </c>
      <c r="AE21" s="90">
        <f t="shared" si="6"/>
        <v>0.51027779779550375</v>
      </c>
      <c r="AF21" s="90">
        <f t="shared" si="6"/>
        <v>0.48675225595997168</v>
      </c>
      <c r="AG21" s="90">
        <f t="shared" si="6"/>
        <v>0.46356901749599849</v>
      </c>
    </row>
    <row r="22" spans="1:35" x14ac:dyDescent="0.2">
      <c r="A22" t="s">
        <v>93</v>
      </c>
      <c r="B22">
        <f>EXP(-POWER((B16/$D$10),$C$10))</f>
        <v>1</v>
      </c>
      <c r="C22" s="90">
        <f>EXP(-POWER((C16/$D$10),$C$10))</f>
        <v>0.99691833834393939</v>
      </c>
      <c r="D22" s="90">
        <f t="shared" ref="C22:V22" si="7">EXP(-POWER((D16/$D$10),$C$10))</f>
        <v>0.98773021623561053</v>
      </c>
      <c r="E22" s="90">
        <f t="shared" si="7"/>
        <v>0.97260447711634834</v>
      </c>
      <c r="F22" s="90">
        <f t="shared" si="7"/>
        <v>0.95181678442308926</v>
      </c>
      <c r="G22" s="90">
        <f t="shared" si="7"/>
        <v>0.92574126592438277</v>
      </c>
      <c r="H22" s="90">
        <f t="shared" si="7"/>
        <v>0.89483931681436979</v>
      </c>
      <c r="I22" s="90">
        <f t="shared" si="7"/>
        <v>0.85964602964261327</v>
      </c>
      <c r="J22" s="90">
        <f t="shared" si="7"/>
        <v>0.82075480829826808</v>
      </c>
      <c r="K22" s="90">
        <f t="shared" si="7"/>
        <v>0.77880078307140488</v>
      </c>
      <c r="L22" s="90">
        <f t="shared" si="7"/>
        <v>0.73444367192973115</v>
      </c>
      <c r="M22" s="90">
        <f t="shared" si="7"/>
        <v>0.68835072920377149</v>
      </c>
      <c r="N22" s="90">
        <f t="shared" si="7"/>
        <v>0.64118038842995462</v>
      </c>
      <c r="O22" s="90">
        <f t="shared" si="7"/>
        <v>0.59356714447103365</v>
      </c>
      <c r="P22" s="90">
        <f t="shared" si="7"/>
        <v>0.54610813597805108</v>
      </c>
      <c r="Q22" s="90">
        <f t="shared" si="7"/>
        <v>0.49935178859927615</v>
      </c>
      <c r="R22" s="90">
        <f t="shared" si="7"/>
        <v>0.45378876851922939</v>
      </c>
      <c r="S22" s="90">
        <f t="shared" si="7"/>
        <v>0.40984538152519617</v>
      </c>
      <c r="T22" s="90">
        <f t="shared" si="7"/>
        <v>0.36787944117144233</v>
      </c>
      <c r="U22" s="90">
        <f t="shared" si="7"/>
        <v>0.32817852639993389</v>
      </c>
      <c r="V22" s="90">
        <f t="shared" si="7"/>
        <v>0.29096045886431016</v>
      </c>
      <c r="W22" s="90">
        <f t="shared" ref="W22:AG22" si="8">1-WEIBULL(W16,$C$10,$D$10,1)</f>
        <v>0.25637575668641222</v>
      </c>
      <c r="X22" s="90">
        <f t="shared" si="8"/>
        <v>0.22451176664654715</v>
      </c>
      <c r="Y22" s="90">
        <f t="shared" si="8"/>
        <v>0.19539814175302639</v>
      </c>
      <c r="Z22" s="90">
        <f t="shared" si="8"/>
        <v>0.16901331540606612</v>
      </c>
      <c r="AA22" s="90">
        <f t="shared" si="8"/>
        <v>0.14529162554555941</v>
      </c>
      <c r="AB22" s="90">
        <f t="shared" si="8"/>
        <v>0.12413075997184897</v>
      </c>
      <c r="AC22" s="90">
        <f t="shared" si="8"/>
        <v>0.10539922456186435</v>
      </c>
      <c r="AD22" s="90">
        <f t="shared" si="8"/>
        <v>8.894357612514936E-2</v>
      </c>
      <c r="AE22" s="90">
        <f t="shared" si="8"/>
        <v>7.4595207807163222E-2</v>
      </c>
      <c r="AF22" s="90">
        <f t="shared" si="8"/>
        <v>6.2176524022116264E-2</v>
      </c>
      <c r="AG22" s="90">
        <f t="shared" si="8"/>
        <v>5.150639095922882E-2</v>
      </c>
    </row>
    <row r="23" spans="1:35" x14ac:dyDescent="0.2">
      <c r="A23" t="s">
        <v>109</v>
      </c>
      <c r="B23">
        <f>$H$12*(1-NORMDIST(B16,$C$11,$D$11,1))</f>
        <v>0.99999999999999989</v>
      </c>
      <c r="C23" s="90">
        <f t="shared" ref="C23:AG23" si="9">$H$12*(1-NORMDIST(C16,$C$11,$D$11,1))</f>
        <v>0.99569623814467956</v>
      </c>
      <c r="D23" s="90">
        <f t="shared" si="9"/>
        <v>0.99025603508808047</v>
      </c>
      <c r="E23" s="90">
        <f t="shared" si="9"/>
        <v>0.98346359482846124</v>
      </c>
      <c r="F23" s="90">
        <f t="shared" si="9"/>
        <v>0.97508675164407754</v>
      </c>
      <c r="G23" s="90">
        <f t="shared" si="9"/>
        <v>0.96488255578965132</v>
      </c>
      <c r="H23" s="90">
        <f t="shared" si="9"/>
        <v>0.95260474236946635</v>
      </c>
      <c r="I23" s="90">
        <f t="shared" si="9"/>
        <v>0.93801300119009667</v>
      </c>
      <c r="J23" s="90">
        <f t="shared" si="9"/>
        <v>0.9208838022980157</v>
      </c>
      <c r="K23" s="90">
        <f t="shared" si="9"/>
        <v>0.90102235768703198</v>
      </c>
      <c r="L23" s="90">
        <f t="shared" si="9"/>
        <v>0.87827513061985629</v>
      </c>
      <c r="M23" s="90">
        <f t="shared" si="9"/>
        <v>0.85254215899248798</v>
      </c>
      <c r="N23" s="90">
        <f t="shared" si="9"/>
        <v>0.82378835756133628</v>
      </c>
      <c r="O23" s="90">
        <f t="shared" si="9"/>
        <v>0.79205292312595654</v>
      </c>
      <c r="P23" s="90">
        <f t="shared" si="9"/>
        <v>0.75745599991043877</v>
      </c>
      <c r="Q23" s="90">
        <f t="shared" si="9"/>
        <v>0.72020187560719962</v>
      </c>
      <c r="R23" s="90">
        <f t="shared" si="9"/>
        <v>0.68057816955112771</v>
      </c>
      <c r="S23" s="90">
        <f t="shared" si="9"/>
        <v>0.63895073181933615</v>
      </c>
      <c r="T23" s="90">
        <f t="shared" si="9"/>
        <v>0.59575427558058147</v>
      </c>
      <c r="U23" s="90">
        <f t="shared" si="9"/>
        <v>0.55147908772909671</v>
      </c>
      <c r="V23" s="90">
        <f t="shared" si="9"/>
        <v>0.5066544736722185</v>
      </c>
      <c r="W23" s="90">
        <f t="shared" si="9"/>
        <v>0.46182985961534029</v>
      </c>
      <c r="X23" s="90">
        <f t="shared" si="9"/>
        <v>0.41755467176385552</v>
      </c>
      <c r="Y23" s="90">
        <f t="shared" si="9"/>
        <v>0.3743582155251009</v>
      </c>
      <c r="Z23" s="90">
        <f t="shared" si="9"/>
        <v>0.33273077779330928</v>
      </c>
      <c r="AA23" s="90">
        <f t="shared" si="9"/>
        <v>0.29310707173723732</v>
      </c>
      <c r="AB23" s="90">
        <f t="shared" si="9"/>
        <v>0.25585294743399817</v>
      </c>
      <c r="AC23" s="90">
        <f t="shared" si="9"/>
        <v>0.22125602421848048</v>
      </c>
      <c r="AD23" s="90">
        <f t="shared" si="9"/>
        <v>0.18952058978310077</v>
      </c>
      <c r="AE23" s="90">
        <f t="shared" si="9"/>
        <v>0.16076678835194899</v>
      </c>
      <c r="AF23" s="90">
        <f t="shared" si="9"/>
        <v>0.13503381672458076</v>
      </c>
      <c r="AG23" s="90">
        <f t="shared" si="9"/>
        <v>0.11228658965740505</v>
      </c>
    </row>
    <row r="24" spans="1:35" x14ac:dyDescent="0.2">
      <c r="A24" s="86" t="s">
        <v>110</v>
      </c>
      <c r="B24">
        <f>PRODUCT(B17,B19,B21,B22,B23)</f>
        <v>0.99999999999999989</v>
      </c>
      <c r="C24" s="90">
        <f t="shared" ref="C24:AG24" si="10">PRODUCT(C17,C19,C21,C22,C23)</f>
        <v>0.97219435843949376</v>
      </c>
      <c r="D24" s="90">
        <f t="shared" si="10"/>
        <v>0.936745237485197</v>
      </c>
      <c r="E24" s="90">
        <f t="shared" si="10"/>
        <v>0.89428060236547002</v>
      </c>
      <c r="F24" s="90">
        <f t="shared" si="10"/>
        <v>0.845455351331873</v>
      </c>
      <c r="G24" s="90">
        <f t="shared" si="10"/>
        <v>0.79089491563174896</v>
      </c>
      <c r="H24" s="90">
        <f t="shared" si="10"/>
        <v>0.73124227997626401</v>
      </c>
      <c r="I24" s="90">
        <f t="shared" si="10"/>
        <v>0.66728053727208703</v>
      </c>
      <c r="J24" s="90">
        <f t="shared" si="10"/>
        <v>0.60005668573074822</v>
      </c>
      <c r="K24" s="90">
        <f t="shared" si="10"/>
        <v>0.53093906531864521</v>
      </c>
      <c r="L24" s="90">
        <f t="shared" si="10"/>
        <v>0.46157726236320046</v>
      </c>
      <c r="M24" s="90">
        <f t="shared" si="10"/>
        <v>0.39377357100869709</v>
      </c>
      <c r="N24" s="90">
        <f t="shared" si="10"/>
        <v>0.329302842935353</v>
      </c>
      <c r="O24" s="90">
        <f t="shared" si="10"/>
        <v>0.26972733201016252</v>
      </c>
      <c r="P24" s="90">
        <f t="shared" si="10"/>
        <v>0.21624730834206896</v>
      </c>
      <c r="Q24" s="90">
        <f t="shared" si="10"/>
        <v>0.16961295801594772</v>
      </c>
      <c r="R24" s="90">
        <f t="shared" si="10"/>
        <v>0.1301051324658036</v>
      </c>
      <c r="S24" s="90">
        <f t="shared" si="10"/>
        <v>9.7577117807982061E-2</v>
      </c>
      <c r="T24" s="90">
        <f t="shared" si="10"/>
        <v>7.1539698257695156E-2</v>
      </c>
      <c r="U24" s="90">
        <f t="shared" si="10"/>
        <v>5.1268075776356295E-2</v>
      </c>
      <c r="V24" s="90">
        <f t="shared" si="10"/>
        <v>3.5910706633026729E-2</v>
      </c>
      <c r="W24" s="90">
        <f t="shared" si="10"/>
        <v>2.458497397637429E-2</v>
      </c>
      <c r="X24" s="90">
        <f t="shared" si="10"/>
        <v>1.6450827810179203E-2</v>
      </c>
      <c r="Y24" s="90">
        <f t="shared" si="10"/>
        <v>1.0759439037660117E-2</v>
      </c>
      <c r="Z24" s="90">
        <f t="shared" si="10"/>
        <v>6.8784881501546399E-3</v>
      </c>
      <c r="AA24" s="90">
        <f t="shared" si="10"/>
        <v>4.2985268769168833E-3</v>
      </c>
      <c r="AB24" s="90">
        <f t="shared" si="10"/>
        <v>2.6259970382714777E-3</v>
      </c>
      <c r="AC24" s="90">
        <f t="shared" si="10"/>
        <v>1.5683509552785629E-3</v>
      </c>
      <c r="AD24" s="90">
        <f t="shared" si="10"/>
        <v>9.1578672073076156E-4</v>
      </c>
      <c r="AE24" s="90">
        <f t="shared" si="10"/>
        <v>5.2284832616609057E-4</v>
      </c>
      <c r="AF24" s="90">
        <f t="shared" si="10"/>
        <v>2.9188771062734842E-4</v>
      </c>
      <c r="AG24" s="90">
        <f t="shared" si="10"/>
        <v>1.5934664586155349E-4</v>
      </c>
    </row>
    <row r="25" spans="1:35" x14ac:dyDescent="0.2">
      <c r="A25" t="s">
        <v>172</v>
      </c>
      <c r="B25">
        <v>1</v>
      </c>
      <c r="C25">
        <v>4</v>
      </c>
      <c r="D25">
        <v>2</v>
      </c>
      <c r="E25">
        <v>4</v>
      </c>
      <c r="F25">
        <v>2</v>
      </c>
      <c r="G25">
        <v>4</v>
      </c>
      <c r="H25">
        <v>2</v>
      </c>
      <c r="I25">
        <v>4</v>
      </c>
      <c r="J25">
        <v>2</v>
      </c>
      <c r="K25">
        <v>4</v>
      </c>
      <c r="L25">
        <v>2</v>
      </c>
      <c r="M25">
        <v>4</v>
      </c>
      <c r="N25">
        <v>2</v>
      </c>
      <c r="O25">
        <v>4</v>
      </c>
      <c r="P25">
        <v>2</v>
      </c>
      <c r="Q25">
        <v>4</v>
      </c>
      <c r="R25">
        <v>2</v>
      </c>
      <c r="S25">
        <v>4</v>
      </c>
      <c r="T25">
        <v>2</v>
      </c>
      <c r="U25">
        <v>4</v>
      </c>
      <c r="V25">
        <v>2</v>
      </c>
      <c r="W25">
        <v>4</v>
      </c>
      <c r="X25">
        <v>2</v>
      </c>
      <c r="Y25">
        <v>4</v>
      </c>
      <c r="Z25">
        <v>2</v>
      </c>
      <c r="AA25">
        <v>4</v>
      </c>
      <c r="AB25">
        <v>2</v>
      </c>
      <c r="AC25">
        <v>4</v>
      </c>
      <c r="AD25">
        <v>2</v>
      </c>
      <c r="AE25">
        <v>4</v>
      </c>
      <c r="AF25">
        <v>2</v>
      </c>
      <c r="AG25" s="49">
        <v>1</v>
      </c>
    </row>
    <row r="26" spans="1:35" x14ac:dyDescent="0.2">
      <c r="A26" t="s">
        <v>173</v>
      </c>
      <c r="B26">
        <f>B24*B25</f>
        <v>0.99999999999999989</v>
      </c>
      <c r="C26" s="90">
        <f t="shared" ref="C26:AG26" si="11">C24*C25</f>
        <v>3.888777433757975</v>
      </c>
      <c r="D26" s="90">
        <f t="shared" si="11"/>
        <v>1.873490474970394</v>
      </c>
      <c r="E26" s="90">
        <f t="shared" si="11"/>
        <v>3.5771224094618801</v>
      </c>
      <c r="F26" s="90">
        <f t="shared" si="11"/>
        <v>1.690910702663746</v>
      </c>
      <c r="G26" s="90">
        <f>G24*G25</f>
        <v>3.1635796625269959</v>
      </c>
      <c r="H26" s="90">
        <f t="shared" si="11"/>
        <v>1.462484559952528</v>
      </c>
      <c r="I26" s="90">
        <f t="shared" si="11"/>
        <v>2.6691221490883481</v>
      </c>
      <c r="J26" s="90">
        <f t="shared" si="11"/>
        <v>1.2001133714614964</v>
      </c>
      <c r="K26" s="90">
        <f t="shared" si="11"/>
        <v>2.1237562612745808</v>
      </c>
      <c r="L26" s="90">
        <f t="shared" si="11"/>
        <v>0.92315452472640092</v>
      </c>
      <c r="M26" s="90">
        <f t="shared" si="11"/>
        <v>1.5750942840347884</v>
      </c>
      <c r="N26" s="90">
        <f t="shared" si="11"/>
        <v>0.658605685870706</v>
      </c>
      <c r="O26" s="90">
        <f t="shared" si="11"/>
        <v>1.0789093280406501</v>
      </c>
      <c r="P26" s="90">
        <f t="shared" si="11"/>
        <v>0.43249461668413791</v>
      </c>
      <c r="Q26" s="90">
        <f t="shared" si="11"/>
        <v>0.67845183206379089</v>
      </c>
      <c r="R26" s="90">
        <f t="shared" si="11"/>
        <v>0.2602102649316072</v>
      </c>
      <c r="S26" s="90">
        <f t="shared" si="11"/>
        <v>0.39030847123192824</v>
      </c>
      <c r="T26" s="90">
        <f t="shared" si="11"/>
        <v>0.14307939651539031</v>
      </c>
      <c r="U26" s="90">
        <f t="shared" si="11"/>
        <v>0.20507230310542518</v>
      </c>
      <c r="V26" s="90">
        <f t="shared" si="11"/>
        <v>7.1821413266053458E-2</v>
      </c>
      <c r="W26" s="90">
        <f t="shared" si="11"/>
        <v>9.833989590549716E-2</v>
      </c>
      <c r="X26" s="90">
        <f t="shared" si="11"/>
        <v>3.2901655620358405E-2</v>
      </c>
      <c r="Y26" s="90">
        <f t="shared" si="11"/>
        <v>4.3037756150640469E-2</v>
      </c>
      <c r="Z26" s="90">
        <f t="shared" si="11"/>
        <v>1.375697630030928E-2</v>
      </c>
      <c r="AA26" s="90">
        <f t="shared" si="11"/>
        <v>1.7194107507667533E-2</v>
      </c>
      <c r="AB26" s="90">
        <f t="shared" si="11"/>
        <v>5.2519940765429554E-3</v>
      </c>
      <c r="AC26" s="90">
        <f t="shared" si="11"/>
        <v>6.2734038211142516E-3</v>
      </c>
      <c r="AD26" s="90">
        <f t="shared" si="11"/>
        <v>1.8315734414615231E-3</v>
      </c>
      <c r="AE26" s="90">
        <f t="shared" si="11"/>
        <v>2.0913933046643623E-3</v>
      </c>
      <c r="AF26" s="90">
        <f t="shared" si="11"/>
        <v>5.8377542125469684E-4</v>
      </c>
      <c r="AG26" s="90">
        <f t="shared" si="11"/>
        <v>1.5934664586155349E-4</v>
      </c>
      <c r="AH26" s="102">
        <f>SUM(B26:AG26)</f>
        <v>29.287981023824194</v>
      </c>
      <c r="AI26" s="58" t="s">
        <v>174</v>
      </c>
    </row>
    <row r="28" spans="1:35" x14ac:dyDescent="0.2">
      <c r="A28" s="4" t="s">
        <v>222</v>
      </c>
      <c r="B28" s="4"/>
      <c r="C28" s="4"/>
    </row>
    <row r="29" spans="1:35" x14ac:dyDescent="0.2">
      <c r="A29" t="s">
        <v>220</v>
      </c>
      <c r="B29">
        <f>1-GAMMADIST(B16,$C$7,$D$7,1)</f>
        <v>1</v>
      </c>
      <c r="C29" s="6">
        <f t="shared" ref="C29:AG29" si="12">1-GAMMADIST(C16,$C$7,$D$7,1)</f>
        <v>0.99999993218127436</v>
      </c>
      <c r="D29" s="6">
        <f t="shared" si="12"/>
        <v>0.99999350161827372</v>
      </c>
      <c r="E29" s="90">
        <f t="shared" si="12"/>
        <v>0.99991675885071196</v>
      </c>
      <c r="F29" s="90">
        <f t="shared" si="12"/>
        <v>0.99953174216215823</v>
      </c>
      <c r="G29" s="90">
        <f t="shared" si="12"/>
        <v>0.99832062439083602</v>
      </c>
      <c r="H29" s="90">
        <f t="shared" si="12"/>
        <v>0.99546619447375118</v>
      </c>
      <c r="I29" s="90">
        <f t="shared" si="12"/>
        <v>0.9899323332397777</v>
      </c>
      <c r="J29" s="90">
        <f t="shared" si="12"/>
        <v>0.98061154893992053</v>
      </c>
      <c r="K29" s="90">
        <f t="shared" si="12"/>
        <v>0.96649146469115876</v>
      </c>
      <c r="L29" s="90">
        <f t="shared" si="12"/>
        <v>0.94679898423264852</v>
      </c>
      <c r="M29" s="91">
        <f t="shared" si="12"/>
        <v>0.9210970994977411</v>
      </c>
      <c r="N29" s="91">
        <f t="shared" si="12"/>
        <v>0.88932602159742624</v>
      </c>
      <c r="O29" s="91">
        <f t="shared" si="12"/>
        <v>0.85179302833059645</v>
      </c>
      <c r="P29" s="91">
        <f t="shared" si="12"/>
        <v>0.80912288229056994</v>
      </c>
      <c r="Q29" s="91">
        <f t="shared" si="12"/>
        <v>0.7621834629729386</v>
      </c>
      <c r="R29" s="91">
        <f t="shared" si="12"/>
        <v>0.71200069278180367</v>
      </c>
      <c r="S29" s="91">
        <f t="shared" si="12"/>
        <v>0.65967431787581632</v>
      </c>
      <c r="T29" s="91">
        <f t="shared" si="12"/>
        <v>0.60630278241259128</v>
      </c>
      <c r="U29" s="91">
        <f t="shared" si="12"/>
        <v>0.55292211165059801</v>
      </c>
      <c r="V29" s="91">
        <f t="shared" si="12"/>
        <v>0.50046086625066921</v>
      </c>
      <c r="W29" s="91">
        <f t="shared" si="12"/>
        <v>0.44971105584869897</v>
      </c>
      <c r="X29" s="91">
        <f t="shared" si="12"/>
        <v>0.40131343370434913</v>
      </c>
      <c r="Y29" s="91">
        <f t="shared" si="12"/>
        <v>0.3557547586079709</v>
      </c>
      <c r="Z29" s="91">
        <f t="shared" si="12"/>
        <v>0.31337427753639757</v>
      </c>
      <c r="AA29" s="91">
        <f t="shared" si="12"/>
        <v>0.27437671299934629</v>
      </c>
      <c r="AB29" s="91">
        <f t="shared" si="12"/>
        <v>0.23884930373314961</v>
      </c>
      <c r="AC29" s="91">
        <f t="shared" si="12"/>
        <v>0.20678083985998708</v>
      </c>
      <c r="AD29" s="91">
        <f t="shared" si="12"/>
        <v>0.1780810732907645</v>
      </c>
      <c r="AE29" s="91">
        <f t="shared" si="12"/>
        <v>0.15259931526346482</v>
      </c>
      <c r="AF29" s="91">
        <f t="shared" si="12"/>
        <v>0.13014142088248293</v>
      </c>
      <c r="AG29" s="91">
        <f t="shared" si="12"/>
        <v>0.11048468733561001</v>
      </c>
    </row>
    <row r="30" spans="1:35" x14ac:dyDescent="0.2">
      <c r="A30" t="s">
        <v>223</v>
      </c>
      <c r="B30" s="111">
        <f>1-NORMDIST(B16,$C$8,$D$8,1)</f>
        <v>0.99957093966680322</v>
      </c>
      <c r="C30" s="90">
        <f t="shared" ref="C30:AG30" si="13">1-NORMDIST(C16,$C$8,$D$8,1)</f>
        <v>0.9986501019683699</v>
      </c>
      <c r="D30" s="90">
        <f t="shared" si="13"/>
        <v>0.99616961943241022</v>
      </c>
      <c r="E30" s="90">
        <f t="shared" si="13"/>
        <v>0.99018467137135469</v>
      </c>
      <c r="F30" s="90">
        <f t="shared" si="13"/>
        <v>0.97724986805182079</v>
      </c>
      <c r="G30" s="90">
        <f t="shared" si="13"/>
        <v>0.9522096477271853</v>
      </c>
      <c r="H30" s="90">
        <f t="shared" si="13"/>
        <v>0.90878878027413212</v>
      </c>
      <c r="I30" s="90">
        <f t="shared" si="13"/>
        <v>0.84134474606854304</v>
      </c>
      <c r="J30" s="90">
        <f t="shared" si="13"/>
        <v>0.74750746245307709</v>
      </c>
      <c r="K30" s="90">
        <f t="shared" si="13"/>
        <v>0.63055865981823644</v>
      </c>
      <c r="L30" s="90">
        <f t="shared" si="13"/>
        <v>0.5</v>
      </c>
      <c r="M30" s="90">
        <f t="shared" si="13"/>
        <v>0.36944134018176356</v>
      </c>
      <c r="N30" s="90">
        <f t="shared" si="13"/>
        <v>0.25249253754692291</v>
      </c>
      <c r="O30" s="90">
        <f t="shared" si="13"/>
        <v>0.15865525393145696</v>
      </c>
      <c r="P30" s="90">
        <f t="shared" si="13"/>
        <v>9.1211219725867876E-2</v>
      </c>
      <c r="Q30" s="90">
        <f t="shared" si="13"/>
        <v>4.7790352272814696E-2</v>
      </c>
      <c r="R30" s="90">
        <f t="shared" si="13"/>
        <v>2.2750131948179209E-2</v>
      </c>
      <c r="S30" s="90">
        <f t="shared" si="13"/>
        <v>9.8153286286453145E-3</v>
      </c>
      <c r="T30" s="90">
        <f t="shared" si="13"/>
        <v>3.8303805675897751E-3</v>
      </c>
      <c r="U30" s="90">
        <f t="shared" si="13"/>
        <v>1.3498980316301035E-3</v>
      </c>
      <c r="V30" s="90">
        <f t="shared" si="13"/>
        <v>4.290603331967846E-4</v>
      </c>
      <c r="W30" s="90">
        <f t="shared" si="13"/>
        <v>1.2286638996517052E-4</v>
      </c>
      <c r="X30" s="90">
        <f t="shared" si="13"/>
        <v>3.1671241833119979E-5</v>
      </c>
      <c r="Y30" s="90">
        <f t="shared" si="13"/>
        <v>7.3434238369030069E-6</v>
      </c>
      <c r="Z30" s="90">
        <f t="shared" si="13"/>
        <v>1.5306267365788884E-6</v>
      </c>
      <c r="AA30" s="90">
        <f t="shared" si="13"/>
        <v>2.8665157192353519E-7</v>
      </c>
      <c r="AB30" s="90">
        <f t="shared" si="13"/>
        <v>4.8213033676525185E-8</v>
      </c>
      <c r="AC30" s="90">
        <f t="shared" si="13"/>
        <v>7.2801100703401289E-9</v>
      </c>
      <c r="AD30" s="90">
        <f t="shared" si="13"/>
        <v>9.8658770042447941E-10</v>
      </c>
      <c r="AE30" s="90">
        <f t="shared" si="13"/>
        <v>1.1996026394456294E-10</v>
      </c>
      <c r="AF30" s="90">
        <f t="shared" si="13"/>
        <v>1.308397834520747E-11</v>
      </c>
      <c r="AG30" s="90">
        <f t="shared" si="13"/>
        <v>1.2798651027878805E-12</v>
      </c>
    </row>
    <row r="31" spans="1:35" x14ac:dyDescent="0.2">
      <c r="A31" t="s">
        <v>224</v>
      </c>
      <c r="B31">
        <f>1-WEIBULL(B16,2,SQRT(1/$C$9),1)</f>
        <v>1</v>
      </c>
      <c r="C31" s="90">
        <f t="shared" ref="C31:AG31" si="14">1-WEIBULL(C16,2,SQRT(1/$C$9),1)</f>
        <v>0.99920031991468372</v>
      </c>
      <c r="D31" s="90">
        <f t="shared" si="14"/>
        <v>0.99680511454303289</v>
      </c>
      <c r="E31" s="90">
        <f t="shared" si="14"/>
        <v>0.99282585790381339</v>
      </c>
      <c r="F31" s="90">
        <f t="shared" si="14"/>
        <v>0.98728157159029051</v>
      </c>
      <c r="G31" s="90">
        <f t="shared" si="14"/>
        <v>0.98019867330675525</v>
      </c>
      <c r="H31" s="90">
        <f t="shared" si="14"/>
        <v>0.97161076718912276</v>
      </c>
      <c r="I31" s="90">
        <f t="shared" si="14"/>
        <v>0.9615583782382694</v>
      </c>
      <c r="J31" s="90">
        <f t="shared" si="14"/>
        <v>0.95008863380262687</v>
      </c>
      <c r="K31" s="90">
        <f t="shared" si="14"/>
        <v>0.93725489561267772</v>
      </c>
      <c r="L31" s="90">
        <f t="shared" si="14"/>
        <v>0.92311634638663576</v>
      </c>
      <c r="M31" s="90">
        <f t="shared" si="14"/>
        <v>0.90773753548682956</v>
      </c>
      <c r="N31" s="90">
        <f t="shared" si="14"/>
        <v>0.8911878885041844</v>
      </c>
      <c r="O31" s="90">
        <f t="shared" si="14"/>
        <v>0.87354118597885011</v>
      </c>
      <c r="P31" s="90">
        <f t="shared" si="14"/>
        <v>0.85487501672466948</v>
      </c>
      <c r="Q31" s="90">
        <f t="shared" si="14"/>
        <v>0.835270211411272</v>
      </c>
      <c r="R31" s="90">
        <f t="shared" si="14"/>
        <v>0.81481026216872943</v>
      </c>
      <c r="S31" s="90">
        <f t="shared" si="14"/>
        <v>0.79358073401576679</v>
      </c>
      <c r="T31" s="90">
        <f t="shared" si="14"/>
        <v>0.7716686738745262</v>
      </c>
      <c r="U31" s="90">
        <f t="shared" si="14"/>
        <v>0.74916202282499278</v>
      </c>
      <c r="V31" s="90">
        <f t="shared" si="14"/>
        <v>0.72614903707369094</v>
      </c>
      <c r="W31" s="90">
        <f t="shared" si="14"/>
        <v>0.70271772286839762</v>
      </c>
      <c r="X31" s="90">
        <f t="shared" si="14"/>
        <v>0.67895529028856794</v>
      </c>
      <c r="Y31" s="90">
        <f t="shared" si="14"/>
        <v>0.65494763048588323</v>
      </c>
      <c r="Z31" s="90">
        <f t="shared" si="14"/>
        <v>0.63077882054742818</v>
      </c>
      <c r="AA31" s="90">
        <f t="shared" si="14"/>
        <v>0.60653065971263342</v>
      </c>
      <c r="AB31" s="90">
        <f t="shared" si="14"/>
        <v>0.58228224020181329</v>
      </c>
      <c r="AC31" s="90">
        <f t="shared" si="14"/>
        <v>0.55810955541668261</v>
      </c>
      <c r="AD31" s="90">
        <f t="shared" si="14"/>
        <v>0.53408514775951721</v>
      </c>
      <c r="AE31" s="90">
        <f t="shared" si="14"/>
        <v>0.51027779779550375</v>
      </c>
      <c r="AF31" s="90">
        <f t="shared" si="14"/>
        <v>0.48675225595997174</v>
      </c>
      <c r="AG31" s="90">
        <f t="shared" si="14"/>
        <v>0.46356901749599855</v>
      </c>
    </row>
    <row r="32" spans="1:35" x14ac:dyDescent="0.2">
      <c r="A32" t="s">
        <v>293</v>
      </c>
      <c r="B32">
        <f>1-WEIBULL(B16,$C$10,$D$10,1)</f>
        <v>1</v>
      </c>
      <c r="C32" s="90">
        <f t="shared" ref="C32:V32" si="15">1-WEIBULL(C16,$C$10,$D$10,1)</f>
        <v>0.99691833834393939</v>
      </c>
      <c r="D32" s="90">
        <f t="shared" si="15"/>
        <v>0.98773021623561053</v>
      </c>
      <c r="E32" s="90">
        <f t="shared" si="15"/>
        <v>0.97260447711634834</v>
      </c>
      <c r="F32" s="90">
        <f t="shared" si="15"/>
        <v>0.95181678442308926</v>
      </c>
      <c r="G32" s="90">
        <f t="shared" si="15"/>
        <v>0.92574126592438288</v>
      </c>
      <c r="H32" s="90">
        <f t="shared" si="15"/>
        <v>0.89483931681436979</v>
      </c>
      <c r="I32" s="90">
        <f t="shared" si="15"/>
        <v>0.85964602964261327</v>
      </c>
      <c r="J32" s="90">
        <f t="shared" si="15"/>
        <v>0.82075480829826808</v>
      </c>
      <c r="K32" s="90">
        <f t="shared" si="15"/>
        <v>0.77880078307140488</v>
      </c>
      <c r="L32" s="90">
        <f t="shared" si="15"/>
        <v>0.73444367192973115</v>
      </c>
      <c r="M32" s="90">
        <f t="shared" si="15"/>
        <v>0.68835072920377161</v>
      </c>
      <c r="N32" s="90">
        <f t="shared" si="15"/>
        <v>0.64118038842995451</v>
      </c>
      <c r="O32" s="90">
        <f t="shared" si="15"/>
        <v>0.59356714447103365</v>
      </c>
      <c r="P32" s="90">
        <f t="shared" si="15"/>
        <v>0.54610813597805108</v>
      </c>
      <c r="Q32" s="90">
        <f t="shared" si="15"/>
        <v>0.4993517885992762</v>
      </c>
      <c r="R32" s="90">
        <f t="shared" si="15"/>
        <v>0.45378876851922945</v>
      </c>
      <c r="S32" s="90">
        <f t="shared" si="15"/>
        <v>0.40984538152519612</v>
      </c>
      <c r="T32" s="90">
        <f t="shared" si="15"/>
        <v>0.36787944117144233</v>
      </c>
      <c r="U32" s="90">
        <f t="shared" si="15"/>
        <v>0.32817852639993395</v>
      </c>
      <c r="V32" s="90">
        <f t="shared" si="15"/>
        <v>0.29096045886431021</v>
      </c>
    </row>
    <row r="33" spans="1:22" x14ac:dyDescent="0.2">
      <c r="A33" t="s">
        <v>294</v>
      </c>
      <c r="B33">
        <f>1-EXPONDIST(B16,$C$5,1)</f>
        <v>1</v>
      </c>
      <c r="C33" s="90">
        <f t="shared" ref="C33:V33" si="16">1-EXPONDIST(C16,$C$5,1)</f>
        <v>0.98019867330675525</v>
      </c>
      <c r="D33" s="90">
        <f t="shared" si="16"/>
        <v>0.96078943915232318</v>
      </c>
      <c r="E33" s="90">
        <f t="shared" si="16"/>
        <v>0.94176453358424872</v>
      </c>
      <c r="F33" s="90">
        <f t="shared" si="16"/>
        <v>0.92311634638663576</v>
      </c>
      <c r="G33" s="90">
        <f t="shared" si="16"/>
        <v>0.90483741803595952</v>
      </c>
      <c r="H33" s="90">
        <f t="shared" si="16"/>
        <v>0.88692043671715748</v>
      </c>
      <c r="I33" s="90">
        <f t="shared" si="16"/>
        <v>0.86935823539880586</v>
      </c>
      <c r="J33" s="90">
        <f t="shared" si="16"/>
        <v>0.85214378896621135</v>
      </c>
      <c r="K33" s="90">
        <f t="shared" si="16"/>
        <v>0.835270211411272</v>
      </c>
      <c r="L33" s="90">
        <f t="shared" si="16"/>
        <v>0.81873075307798182</v>
      </c>
      <c r="M33" s="90">
        <f t="shared" si="16"/>
        <v>0.80251879796247849</v>
      </c>
      <c r="N33" s="90">
        <f t="shared" si="16"/>
        <v>0.78662786106655336</v>
      </c>
      <c r="O33" s="90">
        <f t="shared" si="16"/>
        <v>0.77105158580356625</v>
      </c>
      <c r="P33" s="90">
        <f t="shared" si="16"/>
        <v>0.75578374145572547</v>
      </c>
      <c r="Q33" s="90">
        <f t="shared" si="16"/>
        <v>0.74081822068171788</v>
      </c>
      <c r="R33" s="90">
        <f t="shared" si="16"/>
        <v>0.72614903707369094</v>
      </c>
      <c r="S33" s="90">
        <f t="shared" si="16"/>
        <v>0.71177032276260976</v>
      </c>
      <c r="T33" s="90">
        <f t="shared" si="16"/>
        <v>0.69767632607103103</v>
      </c>
      <c r="U33" s="90">
        <f t="shared" si="16"/>
        <v>0.68386140921235583</v>
      </c>
      <c r="V33" s="90">
        <f t="shared" si="16"/>
        <v>0.67032004603563933</v>
      </c>
    </row>
    <row r="51" spans="1:33" ht="16" thickBot="1" x14ac:dyDescent="0.25"/>
    <row r="52" spans="1:33" ht="16" thickBot="1" x14ac:dyDescent="0.25">
      <c r="A52" s="1" t="s">
        <v>111</v>
      </c>
      <c r="B52" s="48"/>
      <c r="C52" s="48"/>
      <c r="D52" s="48"/>
      <c r="E52" s="2"/>
      <c r="O52" t="s">
        <v>112</v>
      </c>
    </row>
    <row r="53" spans="1:33" x14ac:dyDescent="0.2">
      <c r="A53" s="40" t="s">
        <v>113</v>
      </c>
      <c r="B53" s="50">
        <v>100</v>
      </c>
    </row>
    <row r="54" spans="1:33" ht="16" thickBot="1" x14ac:dyDescent="0.25">
      <c r="A54" s="40" t="s">
        <v>114</v>
      </c>
      <c r="B54" s="50">
        <v>0</v>
      </c>
      <c r="C54" s="40" t="s">
        <v>115</v>
      </c>
      <c r="D54" s="50">
        <v>3100</v>
      </c>
    </row>
    <row r="55" spans="1:33" ht="17" thickTop="1" thickBot="1" x14ac:dyDescent="0.25">
      <c r="A55" s="51" t="s">
        <v>116</v>
      </c>
      <c r="B55" s="52">
        <f>(B53/3)*AH26</f>
        <v>976.26603412747318</v>
      </c>
      <c r="C55" s="53" t="s">
        <v>117</v>
      </c>
      <c r="D55" t="s">
        <v>112</v>
      </c>
      <c r="E55" s="61" t="s">
        <v>116</v>
      </c>
      <c r="F55" s="62">
        <f>((D54-B54)/6)*(1+4*Q24+AG24)</f>
        <v>867.28244233332043</v>
      </c>
      <c r="G55" s="63" t="s">
        <v>117</v>
      </c>
    </row>
    <row r="56" spans="1:33" ht="16" thickTop="1" x14ac:dyDescent="0.2">
      <c r="A56" s="4" t="s">
        <v>235</v>
      </c>
      <c r="B56" s="4"/>
      <c r="C56" s="4"/>
      <c r="D56" s="4"/>
      <c r="E56" s="4"/>
      <c r="F56" s="4"/>
      <c r="G56" s="4"/>
      <c r="H56" s="4"/>
    </row>
    <row r="57" spans="1:33" x14ac:dyDescent="0.2">
      <c r="A57" t="s">
        <v>33</v>
      </c>
      <c r="B57">
        <v>0</v>
      </c>
      <c r="C57">
        <f t="shared" ref="C57:AE57" si="17">B57+100</f>
        <v>100</v>
      </c>
      <c r="D57">
        <f t="shared" si="17"/>
        <v>200</v>
      </c>
      <c r="E57">
        <f t="shared" si="17"/>
        <v>300</v>
      </c>
      <c r="F57">
        <f t="shared" si="17"/>
        <v>400</v>
      </c>
      <c r="G57">
        <f t="shared" si="17"/>
        <v>500</v>
      </c>
      <c r="H57">
        <f t="shared" si="17"/>
        <v>600</v>
      </c>
      <c r="I57">
        <f t="shared" si="17"/>
        <v>700</v>
      </c>
      <c r="J57">
        <f t="shared" si="17"/>
        <v>800</v>
      </c>
      <c r="K57">
        <f t="shared" si="17"/>
        <v>900</v>
      </c>
      <c r="L57">
        <f t="shared" si="17"/>
        <v>1000</v>
      </c>
      <c r="M57">
        <f t="shared" si="17"/>
        <v>1100</v>
      </c>
      <c r="N57">
        <f t="shared" si="17"/>
        <v>1200</v>
      </c>
      <c r="O57">
        <f t="shared" si="17"/>
        <v>1300</v>
      </c>
      <c r="P57">
        <f t="shared" si="17"/>
        <v>1400</v>
      </c>
      <c r="Q57">
        <f t="shared" si="17"/>
        <v>1500</v>
      </c>
      <c r="R57">
        <f t="shared" si="17"/>
        <v>1600</v>
      </c>
      <c r="S57">
        <f t="shared" si="17"/>
        <v>1700</v>
      </c>
      <c r="T57">
        <f t="shared" si="17"/>
        <v>1800</v>
      </c>
      <c r="U57">
        <f t="shared" si="17"/>
        <v>1900</v>
      </c>
      <c r="V57">
        <f t="shared" si="17"/>
        <v>2000</v>
      </c>
      <c r="W57">
        <f t="shared" si="17"/>
        <v>2100</v>
      </c>
      <c r="X57">
        <f t="shared" si="17"/>
        <v>2200</v>
      </c>
      <c r="Y57">
        <f t="shared" si="17"/>
        <v>2300</v>
      </c>
      <c r="Z57">
        <f t="shared" si="17"/>
        <v>2400</v>
      </c>
      <c r="AA57">
        <f t="shared" si="17"/>
        <v>2500</v>
      </c>
      <c r="AB57">
        <f t="shared" si="17"/>
        <v>2600</v>
      </c>
      <c r="AC57">
        <f t="shared" si="17"/>
        <v>2700</v>
      </c>
      <c r="AD57">
        <f t="shared" si="17"/>
        <v>2800</v>
      </c>
      <c r="AE57">
        <f t="shared" si="17"/>
        <v>2900</v>
      </c>
      <c r="AF57">
        <f>AE57+100</f>
        <v>3000</v>
      </c>
      <c r="AG57">
        <f>AF57+100</f>
        <v>3100</v>
      </c>
    </row>
    <row r="58" spans="1:33" x14ac:dyDescent="0.2">
      <c r="A58" t="s">
        <v>104</v>
      </c>
      <c r="B58">
        <f>$C$5*EXP(-$C$5*B57)</f>
        <v>2.0000000000000001E-4</v>
      </c>
      <c r="C58">
        <f t="shared" ref="C58:AG58" si="18">$C$5*EXP(-$C$5*C57)</f>
        <v>1.9603973466135105E-4</v>
      </c>
      <c r="D58">
        <f t="shared" si="18"/>
        <v>1.9215788783046465E-4</v>
      </c>
      <c r="E58">
        <f t="shared" si="18"/>
        <v>1.8835290671684974E-4</v>
      </c>
      <c r="F58">
        <f t="shared" si="18"/>
        <v>1.8462326927732716E-4</v>
      </c>
      <c r="G58">
        <f t="shared" si="18"/>
        <v>1.8096748360719192E-4</v>
      </c>
      <c r="H58">
        <f t="shared" si="18"/>
        <v>1.773840873434315E-4</v>
      </c>
      <c r="I58">
        <f t="shared" si="18"/>
        <v>1.7387164707976117E-4</v>
      </c>
      <c r="J58">
        <f t="shared" si="18"/>
        <v>1.7042875779324228E-4</v>
      </c>
      <c r="K58">
        <f t="shared" si="18"/>
        <v>1.6705404228225442E-4</v>
      </c>
      <c r="L58">
        <f t="shared" si="18"/>
        <v>1.6374615061559637E-4</v>
      </c>
      <c r="M58">
        <f t="shared" si="18"/>
        <v>1.6050375959249572E-4</v>
      </c>
      <c r="N58">
        <f t="shared" si="18"/>
        <v>1.5732557221331069E-4</v>
      </c>
      <c r="O58">
        <f t="shared" si="18"/>
        <v>1.5421031716071325E-4</v>
      </c>
      <c r="P58">
        <f t="shared" si="18"/>
        <v>1.5115674829114511E-4</v>
      </c>
      <c r="Q58">
        <f t="shared" si="18"/>
        <v>1.4816364413634359E-4</v>
      </c>
      <c r="R58">
        <f t="shared" si="18"/>
        <v>1.4522980741473821E-4</v>
      </c>
      <c r="S58">
        <f t="shared" si="18"/>
        <v>1.4235406455252194E-4</v>
      </c>
      <c r="T58">
        <f t="shared" si="18"/>
        <v>1.3953526521420621E-4</v>
      </c>
      <c r="U58">
        <f t="shared" si="18"/>
        <v>1.3677228184247117E-4</v>
      </c>
      <c r="V58">
        <f t="shared" si="18"/>
        <v>1.3406400920712788E-4</v>
      </c>
      <c r="W58">
        <f t="shared" si="18"/>
        <v>1.3140936396301134E-4</v>
      </c>
      <c r="X58">
        <f t="shared" si="18"/>
        <v>1.2880728421662828E-4</v>
      </c>
      <c r="Y58">
        <f t="shared" si="18"/>
        <v>1.2625672910138519E-4</v>
      </c>
      <c r="Z58">
        <f t="shared" si="18"/>
        <v>1.2375667836122818E-4</v>
      </c>
      <c r="AA58">
        <f t="shared" si="18"/>
        <v>1.213061319425267E-4</v>
      </c>
      <c r="AB58">
        <f t="shared" si="18"/>
        <v>1.1890410959403888E-4</v>
      </c>
      <c r="AC58">
        <f t="shared" si="18"/>
        <v>1.1654965047479794E-4</v>
      </c>
      <c r="AD58">
        <f t="shared" si="18"/>
        <v>1.1424181276976298E-4</v>
      </c>
      <c r="AE58">
        <f t="shared" si="18"/>
        <v>1.1197967331308041E-4</v>
      </c>
      <c r="AF58">
        <f t="shared" si="18"/>
        <v>1.0976232721880528E-4</v>
      </c>
      <c r="AG58">
        <f t="shared" si="18"/>
        <v>1.075888875189349E-4</v>
      </c>
    </row>
    <row r="59" spans="1:33" x14ac:dyDescent="0.2">
      <c r="A59" t="s">
        <v>106</v>
      </c>
      <c r="B59">
        <f>POWER(B57,($C$7-1))*EXP(-B57/$D$7)/(POWER($D$7,$C$7)*EXP(GAMMALN($C$7)))</f>
        <v>0</v>
      </c>
      <c r="C59" s="55">
        <f t="shared" ref="C59:AG59" si="19">POWER(C57,($C$7-1))*EXP(-C57/$D$7)/(POWER($D$7,$C$7)*EXP(GAMMALN($C$7)))</f>
        <v>4.5504452482712817E-9</v>
      </c>
      <c r="D59" s="55">
        <f t="shared" si="19"/>
        <v>2.0867433583603799E-7</v>
      </c>
      <c r="E59" s="54">
        <f t="shared" si="19"/>
        <v>1.7031455609788994E-6</v>
      </c>
      <c r="F59" s="55">
        <f t="shared" si="19"/>
        <v>6.8567664845426043E-6</v>
      </c>
      <c r="G59" s="55">
        <f t="shared" si="19"/>
        <v>1.8741942884322149E-5</v>
      </c>
      <c r="H59" s="55">
        <f t="shared" si="19"/>
        <v>4.0099343181218567E-5</v>
      </c>
      <c r="I59" s="55">
        <f t="shared" si="19"/>
        <v>7.2452465625662935E-5</v>
      </c>
      <c r="J59" s="46">
        <f t="shared" si="19"/>
        <v>1.1567513741140885E-4</v>
      </c>
      <c r="K59">
        <f t="shared" si="19"/>
        <v>1.6803135574154079E-4</v>
      </c>
      <c r="L59">
        <f t="shared" si="19"/>
        <v>2.265533286799039E-4</v>
      </c>
      <c r="M59">
        <f t="shared" si="19"/>
        <v>2.8758202083557799E-4</v>
      </c>
      <c r="N59">
        <f t="shared" si="19"/>
        <v>3.4731878189007032E-4</v>
      </c>
      <c r="O59">
        <f t="shared" si="19"/>
        <v>4.0228707502048264E-4</v>
      </c>
      <c r="P59">
        <f t="shared" si="19"/>
        <v>4.4965492277431661E-4</v>
      </c>
      <c r="Q59">
        <f t="shared" si="19"/>
        <v>4.8740936046625191E-4</v>
      </c>
      <c r="R59">
        <f t="shared" si="19"/>
        <v>5.1440049715305563E-4</v>
      </c>
      <c r="S59">
        <f t="shared" si="19"/>
        <v>5.3028602827283886E-4</v>
      </c>
      <c r="T59">
        <f t="shared" si="19"/>
        <v>5.3541047015993328E-4</v>
      </c>
      <c r="U59">
        <f t="shared" si="19"/>
        <v>5.3065053635305618E-4</v>
      </c>
      <c r="V59">
        <f t="shared" si="19"/>
        <v>5.1725196416798562E-4</v>
      </c>
      <c r="W59">
        <f t="shared" si="19"/>
        <v>4.9667593224779277E-4</v>
      </c>
      <c r="X59">
        <f t="shared" si="19"/>
        <v>4.7046639201172034E-4</v>
      </c>
      <c r="Y59">
        <f t="shared" si="19"/>
        <v>4.4014392169839056E-4</v>
      </c>
      <c r="Z59">
        <f t="shared" si="19"/>
        <v>4.0712738485590763E-4</v>
      </c>
      <c r="AA59">
        <f t="shared" si="19"/>
        <v>3.7268171902138213E-4</v>
      </c>
      <c r="AB59">
        <f t="shared" si="19"/>
        <v>3.3788841260455897E-4</v>
      </c>
      <c r="AC59">
        <f t="shared" si="19"/>
        <v>3.0363439672976422E-4</v>
      </c>
      <c r="AD59">
        <f t="shared" si="19"/>
        <v>2.7061492434534605E-4</v>
      </c>
      <c r="AE59">
        <f t="shared" si="19"/>
        <v>2.3934629888847249E-4</v>
      </c>
      <c r="AF59">
        <f t="shared" si="19"/>
        <v>2.1018486001150391E-4</v>
      </c>
      <c r="AG59">
        <f t="shared" si="19"/>
        <v>1.83349291967752E-4</v>
      </c>
    </row>
    <row r="60" spans="1:33" x14ac:dyDescent="0.2">
      <c r="A60" t="s">
        <v>92</v>
      </c>
      <c r="B60">
        <f>2*$C$9*B57*EXP(-$C$9*POWER(B57,2))</f>
        <v>0</v>
      </c>
      <c r="C60">
        <f t="shared" ref="C60:AG60" si="20">2*$C$9*C57*EXP(-$C$9*POWER(C57,2))</f>
        <v>1.5987205118634939E-5</v>
      </c>
      <c r="D60">
        <f t="shared" si="20"/>
        <v>3.1897763665377052E-5</v>
      </c>
      <c r="E60">
        <f t="shared" si="20"/>
        <v>4.7655641179383042E-5</v>
      </c>
      <c r="F60">
        <f t="shared" si="20"/>
        <v>6.3186020581778592E-5</v>
      </c>
      <c r="G60">
        <f t="shared" si="20"/>
        <v>7.8415893864540424E-5</v>
      </c>
      <c r="H60">
        <f t="shared" si="20"/>
        <v>9.3274633650155785E-5</v>
      </c>
      <c r="I60">
        <f t="shared" si="20"/>
        <v>1.0769453836268617E-4</v>
      </c>
      <c r="J60">
        <f t="shared" si="20"/>
        <v>1.2161134512673623E-4</v>
      </c>
      <c r="K60">
        <f t="shared" si="20"/>
        <v>1.3496470496822559E-4</v>
      </c>
      <c r="L60">
        <f t="shared" si="20"/>
        <v>1.4769861542186173E-4</v>
      </c>
      <c r="M60">
        <f t="shared" si="20"/>
        <v>1.59761806245682E-4</v>
      </c>
      <c r="N60">
        <f t="shared" si="20"/>
        <v>1.711080745928034E-4</v>
      </c>
      <c r="O60">
        <f t="shared" si="20"/>
        <v>1.8169656668360083E-4</v>
      </c>
      <c r="P60">
        <f t="shared" si="20"/>
        <v>1.9149200374632595E-4</v>
      </c>
      <c r="Q60">
        <f t="shared" si="20"/>
        <v>2.0046485073870528E-4</v>
      </c>
      <c r="R60">
        <f t="shared" si="20"/>
        <v>2.0859142711519472E-4</v>
      </c>
      <c r="S60">
        <f t="shared" si="20"/>
        <v>2.1585395965228855E-4</v>
      </c>
      <c r="T60">
        <f t="shared" si="20"/>
        <v>2.2224057807586356E-4</v>
      </c>
      <c r="U60">
        <f t="shared" si="20"/>
        <v>2.2774525493879778E-4</v>
      </c>
      <c r="V60">
        <f t="shared" si="20"/>
        <v>2.3236769186358111E-4</v>
      </c>
      <c r="W60">
        <f t="shared" si="20"/>
        <v>2.3611315488378159E-4</v>
      </c>
      <c r="X60">
        <f t="shared" si="20"/>
        <v>2.3899226218157592E-4</v>
      </c>
      <c r="Y60">
        <f t="shared" si="20"/>
        <v>2.4102072801880504E-4</v>
      </c>
      <c r="Z60">
        <f t="shared" si="20"/>
        <v>2.4221906709021246E-4</v>
      </c>
      <c r="AA60">
        <f t="shared" si="20"/>
        <v>2.4261226388505339E-4</v>
      </c>
      <c r="AB60">
        <f t="shared" si="20"/>
        <v>2.4222941192395434E-4</v>
      </c>
      <c r="AC60">
        <f t="shared" si="20"/>
        <v>2.4110332794000688E-4</v>
      </c>
      <c r="AD60">
        <f t="shared" si="20"/>
        <v>2.3927014619626365E-4</v>
      </c>
      <c r="AE60">
        <f t="shared" si="20"/>
        <v>2.3676889817711373E-4</v>
      </c>
      <c r="AF60">
        <f t="shared" si="20"/>
        <v>2.3364108286078641E-4</v>
      </c>
      <c r="AG60">
        <f t="shared" si="20"/>
        <v>2.2993023267801527E-4</v>
      </c>
    </row>
    <row r="61" spans="1:33" x14ac:dyDescent="0.2">
      <c r="A61" t="s">
        <v>118</v>
      </c>
      <c r="B61">
        <f>($C$10*POWER(B57,($C$10-1))/POWER($D$10,$C$10))*B22</f>
        <v>0</v>
      </c>
      <c r="C61">
        <f>($C$10*POWER(C57,($C$10-1))/POWER($D$10,$C$10))*C22</f>
        <v>6.1538169033576503E-5</v>
      </c>
      <c r="D61">
        <f t="shared" ref="D61:AG61" si="21">($C$10*POWER(D57,($C$10-1))/POWER($D$10,$C$10))*D22</f>
        <v>1.2194200200439637E-4</v>
      </c>
      <c r="E61">
        <f t="shared" si="21"/>
        <v>1.8011194020673115E-4</v>
      </c>
      <c r="F61">
        <f t="shared" si="21"/>
        <v>2.3501648998100971E-4</v>
      </c>
      <c r="G61">
        <f t="shared" si="21"/>
        <v>2.8572261293962432E-4</v>
      </c>
      <c r="H61">
        <f t="shared" si="21"/>
        <v>3.3142196919050729E-4</v>
      </c>
      <c r="I61">
        <f t="shared" si="21"/>
        <v>3.7145198811717859E-4</v>
      </c>
      <c r="J61">
        <f t="shared" si="21"/>
        <v>4.0531101644358916E-4</v>
      </c>
      <c r="K61">
        <f t="shared" si="21"/>
        <v>4.3266710170633603E-4</v>
      </c>
      <c r="L61">
        <f t="shared" si="21"/>
        <v>4.5336029131464887E-4</v>
      </c>
      <c r="M61">
        <f t="shared" si="21"/>
        <v>4.6739864328651152E-4</v>
      </c>
      <c r="N61">
        <f t="shared" si="21"/>
        <v>4.7494843587404041E-4</v>
      </c>
      <c r="O61">
        <f t="shared" si="21"/>
        <v>4.7631931346440971E-4</v>
      </c>
      <c r="P61">
        <f t="shared" si="21"/>
        <v>4.7194530269708119E-4</v>
      </c>
      <c r="Q61">
        <f t="shared" si="21"/>
        <v>4.6236276722155198E-4</v>
      </c>
      <c r="R61">
        <f t="shared" si="21"/>
        <v>4.4818643804368335E-4</v>
      </c>
      <c r="S61">
        <f t="shared" si="21"/>
        <v>4.3008465962520587E-4</v>
      </c>
      <c r="T61">
        <f t="shared" si="21"/>
        <v>4.087549346349359E-4</v>
      </c>
      <c r="U61">
        <f t="shared" si="21"/>
        <v>3.8490074083942863E-4</v>
      </c>
      <c r="V61">
        <f t="shared" si="21"/>
        <v>3.5921044304235822E-4</v>
      </c>
      <c r="W61">
        <f t="shared" si="21"/>
        <v>3.3233894385275659E-4</v>
      </c>
      <c r="X61">
        <f t="shared" si="21"/>
        <v>3.0489252260642203E-4</v>
      </c>
      <c r="Y61">
        <f t="shared" si="21"/>
        <v>2.7741711483454364E-4</v>
      </c>
      <c r="Z61">
        <f t="shared" si="21"/>
        <v>2.503900968978757E-4</v>
      </c>
      <c r="AA61">
        <f t="shared" si="21"/>
        <v>2.24215471520925E-4</v>
      </c>
      <c r="AB61">
        <f t="shared" si="21"/>
        <v>1.9922220736222674E-4</v>
      </c>
      <c r="AC61">
        <f t="shared" si="21"/>
        <v>1.7566537426977392E-4</v>
      </c>
      <c r="AD61">
        <f t="shared" si="21"/>
        <v>1.5372963774717174E-4</v>
      </c>
      <c r="AE61">
        <f t="shared" si="21"/>
        <v>1.3353463125973663E-4</v>
      </c>
      <c r="AF61">
        <f t="shared" si="21"/>
        <v>1.1514171115206715E-4</v>
      </c>
      <c r="AG61">
        <f t="shared" si="21"/>
        <v>9.8561612329388482E-5</v>
      </c>
    </row>
    <row r="62" spans="1:33" x14ac:dyDescent="0.2">
      <c r="A62" t="s">
        <v>119</v>
      </c>
      <c r="B62">
        <f>$H$12*NORMDIST(B57,$C$11,$D$11,0)</f>
        <v>3.8025714198364934E-5</v>
      </c>
      <c r="C62">
        <f t="shared" ref="C62:AG62" si="22">$H$12*NORMDIST(C57,$C$11,$D$11,0)</f>
        <v>4.8375977653960707E-5</v>
      </c>
      <c r="D62">
        <f t="shared" si="22"/>
        <v>6.0788366048430379E-5</v>
      </c>
      <c r="E62">
        <f t="shared" si="22"/>
        <v>7.5448311468817656E-5</v>
      </c>
      <c r="F62">
        <f t="shared" si="22"/>
        <v>9.2494715133553408E-5</v>
      </c>
      <c r="G62">
        <f t="shared" si="22"/>
        <v>1.1200119421657403E-4</v>
      </c>
      <c r="H62">
        <f t="shared" si="22"/>
        <v>1.3395740543951885E-4</v>
      </c>
      <c r="I62">
        <f t="shared" si="22"/>
        <v>1.5825197579644071E-4</v>
      </c>
      <c r="J62">
        <f t="shared" si="22"/>
        <v>1.8465875124868179E-4</v>
      </c>
      <c r="K62">
        <f t="shared" si="22"/>
        <v>2.1282810955730607E-4</v>
      </c>
      <c r="L62">
        <f t="shared" si="22"/>
        <v>2.4228494015048912E-4</v>
      </c>
      <c r="M62">
        <f t="shared" si="22"/>
        <v>2.7243455572295989E-4</v>
      </c>
      <c r="N62">
        <f t="shared" si="22"/>
        <v>3.0257727348307869E-4</v>
      </c>
      <c r="O62">
        <f t="shared" si="22"/>
        <v>3.3193172061680488E-4</v>
      </c>
      <c r="P62">
        <f t="shared" si="22"/>
        <v>3.5966613578570513E-4</v>
      </c>
      <c r="Q62">
        <f t="shared" si="22"/>
        <v>3.8493613411850558E-4</v>
      </c>
      <c r="R62">
        <f t="shared" si="22"/>
        <v>4.069266673374197E-4</v>
      </c>
      <c r="S62">
        <f t="shared" si="22"/>
        <v>4.2489533466559212E-4</v>
      </c>
      <c r="T62">
        <f t="shared" si="22"/>
        <v>4.3821386381083494E-4</v>
      </c>
      <c r="U62">
        <f t="shared" si="22"/>
        <v>4.4640454089399953E-4</v>
      </c>
      <c r="V62">
        <f t="shared" si="22"/>
        <v>4.491686468941833E-4</v>
      </c>
      <c r="W62">
        <f t="shared" si="22"/>
        <v>4.4640454089399953E-4</v>
      </c>
      <c r="X62">
        <f t="shared" si="22"/>
        <v>4.3821386381083494E-4</v>
      </c>
      <c r="Y62">
        <f t="shared" si="22"/>
        <v>4.2489533466559212E-4</v>
      </c>
      <c r="Z62">
        <f t="shared" si="22"/>
        <v>4.069266673374197E-4</v>
      </c>
      <c r="AA62">
        <f t="shared" si="22"/>
        <v>3.8493613411850558E-4</v>
      </c>
      <c r="AB62">
        <f t="shared" si="22"/>
        <v>3.5966613578570513E-4</v>
      </c>
      <c r="AC62">
        <f t="shared" si="22"/>
        <v>3.3193172061680488E-4</v>
      </c>
      <c r="AD62">
        <f t="shared" si="22"/>
        <v>3.0257727348307869E-4</v>
      </c>
      <c r="AE62">
        <f t="shared" si="22"/>
        <v>2.7243455572295989E-4</v>
      </c>
      <c r="AF62">
        <f t="shared" si="22"/>
        <v>2.4228494015048912E-4</v>
      </c>
      <c r="AG62">
        <f t="shared" si="22"/>
        <v>2.1282810955730607E-4</v>
      </c>
    </row>
    <row r="63" spans="1:33" x14ac:dyDescent="0.2"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</row>
    <row r="64" spans="1:33" x14ac:dyDescent="0.2">
      <c r="B64">
        <f>EXPONDIST(B57,$C$5,0)</f>
        <v>2.0000000000000001E-4</v>
      </c>
      <c r="C64">
        <f>EXPONDIST(C57,$C$5,0)</f>
        <v>1.9603973466135105E-4</v>
      </c>
      <c r="D64">
        <f t="shared" ref="D64:L64" si="23">EXPONDIST(D57,$C$5,0)</f>
        <v>1.9215788783046465E-4</v>
      </c>
      <c r="E64">
        <f t="shared" si="23"/>
        <v>1.8835290671684974E-4</v>
      </c>
      <c r="F64">
        <f t="shared" si="23"/>
        <v>1.8462326927732716E-4</v>
      </c>
      <c r="G64">
        <f t="shared" si="23"/>
        <v>1.8096748360719192E-4</v>
      </c>
      <c r="H64">
        <f t="shared" si="23"/>
        <v>1.773840873434315E-4</v>
      </c>
      <c r="I64">
        <f t="shared" si="23"/>
        <v>1.7387164707976117E-4</v>
      </c>
      <c r="J64">
        <f t="shared" si="23"/>
        <v>1.7042875779324228E-4</v>
      </c>
      <c r="K64">
        <f t="shared" si="23"/>
        <v>1.6705404228225442E-4</v>
      </c>
      <c r="L64">
        <f t="shared" si="23"/>
        <v>1.6374615061559637E-4</v>
      </c>
    </row>
    <row r="65" spans="2:12" x14ac:dyDescent="0.2">
      <c r="B65">
        <f>GAMMADIST(B57,7,300,0)</f>
        <v>0</v>
      </c>
      <c r="C65">
        <f>GAMMADIST(C57,7,300,0)</f>
        <v>4.5504452482712883E-9</v>
      </c>
      <c r="D65">
        <f t="shared" ref="D65:L65" si="24">GAMMADIST(D57,7,300,0)</f>
        <v>2.0867433583603828E-7</v>
      </c>
      <c r="E65">
        <f t="shared" si="24"/>
        <v>1.7031455609789021E-6</v>
      </c>
      <c r="F65">
        <f t="shared" si="24"/>
        <v>6.8567664845426026E-6</v>
      </c>
      <c r="G65">
        <f t="shared" si="24"/>
        <v>1.8741942884322142E-5</v>
      </c>
      <c r="H65">
        <f>GAMMADIST(H57,7,300,0)</f>
        <v>4.0099343181218567E-5</v>
      </c>
      <c r="I65">
        <f t="shared" si="24"/>
        <v>7.2452465625662895E-5</v>
      </c>
      <c r="J65">
        <f t="shared" si="24"/>
        <v>1.1567513741140904E-4</v>
      </c>
      <c r="K65">
        <f t="shared" si="24"/>
        <v>1.6803135574154071E-4</v>
      </c>
      <c r="L65">
        <f t="shared" si="24"/>
        <v>2.2655332867990396E-4</v>
      </c>
    </row>
    <row r="66" spans="2:12" x14ac:dyDescent="0.2">
      <c r="B66">
        <f>WEIBULL(B57,2,SQRT(1/$C$9),0)</f>
        <v>0</v>
      </c>
      <c r="C66">
        <f>WEIBULL(C57,2,SQRT(1/$C$9),0)</f>
        <v>1.5987205118634952E-5</v>
      </c>
      <c r="D66">
        <f t="shared" ref="D66:L66" si="25">WEIBULL(D57,2,SQRT(1/$C$9),0)</f>
        <v>3.1897763665377052E-5</v>
      </c>
      <c r="E66">
        <f t="shared" si="25"/>
        <v>4.7655641179383049E-5</v>
      </c>
      <c r="F66">
        <f t="shared" si="25"/>
        <v>6.3186020581778606E-5</v>
      </c>
      <c r="G66">
        <f t="shared" si="25"/>
        <v>7.8415893864540424E-5</v>
      </c>
      <c r="H66">
        <f t="shared" si="25"/>
        <v>9.3274633650155812E-5</v>
      </c>
      <c r="I66">
        <f t="shared" si="25"/>
        <v>1.0769453836268617E-4</v>
      </c>
      <c r="J66">
        <f t="shared" si="25"/>
        <v>1.2161134512673626E-4</v>
      </c>
      <c r="K66">
        <f t="shared" si="25"/>
        <v>1.3496470496822565E-4</v>
      </c>
      <c r="L66">
        <f t="shared" si="25"/>
        <v>1.4769861542186173E-4</v>
      </c>
    </row>
    <row r="67" spans="2:12" x14ac:dyDescent="0.2">
      <c r="B67">
        <f>WEIBULL(B57,2,1800,0)</f>
        <v>0</v>
      </c>
      <c r="C67">
        <f>WEIBULL(C57,2,1800,0)</f>
        <v>6.1538169033576503E-5</v>
      </c>
      <c r="D67">
        <f t="shared" ref="D67:L67" si="26">WEIBULL(D57,2,1800,0)</f>
        <v>1.2194200200439626E-4</v>
      </c>
      <c r="E67">
        <f t="shared" si="26"/>
        <v>1.8011194020673107E-4</v>
      </c>
      <c r="F67">
        <f t="shared" si="26"/>
        <v>2.3501648998100949E-4</v>
      </c>
      <c r="G67">
        <f t="shared" si="26"/>
        <v>2.8572261293962405E-4</v>
      </c>
      <c r="H67">
        <f t="shared" si="26"/>
        <v>3.3142196919050718E-4</v>
      </c>
      <c r="I67">
        <f t="shared" si="26"/>
        <v>3.7145198811717827E-4</v>
      </c>
      <c r="J67">
        <f t="shared" si="26"/>
        <v>4.0531101644358889E-4</v>
      </c>
      <c r="K67">
        <f t="shared" si="26"/>
        <v>4.3266710170633587E-4</v>
      </c>
      <c r="L67">
        <f t="shared" si="26"/>
        <v>4.5336029131464855E-4</v>
      </c>
    </row>
    <row r="84" spans="1:33" x14ac:dyDescent="0.2">
      <c r="A84" s="4" t="s">
        <v>175</v>
      </c>
      <c r="B84" s="4"/>
    </row>
    <row r="85" spans="1:33" x14ac:dyDescent="0.2">
      <c r="A85" t="s">
        <v>121</v>
      </c>
      <c r="B85" t="s">
        <v>120</v>
      </c>
    </row>
    <row r="86" spans="1:33" x14ac:dyDescent="0.2">
      <c r="A86" t="s">
        <v>33</v>
      </c>
      <c r="B86">
        <v>0</v>
      </c>
      <c r="C86">
        <f t="shared" ref="C86:AG86" si="27">B86+100</f>
        <v>100</v>
      </c>
      <c r="D86">
        <f t="shared" si="27"/>
        <v>200</v>
      </c>
      <c r="E86">
        <f t="shared" si="27"/>
        <v>300</v>
      </c>
      <c r="F86">
        <f t="shared" si="27"/>
        <v>400</v>
      </c>
      <c r="G86">
        <f t="shared" si="27"/>
        <v>500</v>
      </c>
      <c r="H86">
        <f t="shared" si="27"/>
        <v>600</v>
      </c>
      <c r="I86">
        <f t="shared" si="27"/>
        <v>700</v>
      </c>
      <c r="J86">
        <f t="shared" si="27"/>
        <v>800</v>
      </c>
      <c r="K86">
        <f t="shared" si="27"/>
        <v>900</v>
      </c>
      <c r="L86">
        <f t="shared" si="27"/>
        <v>1000</v>
      </c>
      <c r="M86">
        <f t="shared" si="27"/>
        <v>1100</v>
      </c>
      <c r="N86">
        <f t="shared" si="27"/>
        <v>1200</v>
      </c>
      <c r="O86">
        <f t="shared" si="27"/>
        <v>1300</v>
      </c>
      <c r="P86">
        <f t="shared" si="27"/>
        <v>1400</v>
      </c>
      <c r="Q86">
        <f t="shared" si="27"/>
        <v>1500</v>
      </c>
      <c r="R86">
        <f t="shared" si="27"/>
        <v>1600</v>
      </c>
      <c r="S86">
        <f t="shared" si="27"/>
        <v>1700</v>
      </c>
      <c r="T86">
        <f t="shared" si="27"/>
        <v>1800</v>
      </c>
      <c r="U86">
        <f t="shared" si="27"/>
        <v>1900</v>
      </c>
      <c r="V86">
        <f t="shared" si="27"/>
        <v>2000</v>
      </c>
      <c r="W86">
        <f t="shared" si="27"/>
        <v>2100</v>
      </c>
      <c r="X86">
        <f t="shared" si="27"/>
        <v>2200</v>
      </c>
      <c r="Y86">
        <f t="shared" si="27"/>
        <v>2300</v>
      </c>
      <c r="Z86">
        <f t="shared" si="27"/>
        <v>2400</v>
      </c>
      <c r="AA86">
        <f t="shared" si="27"/>
        <v>2500</v>
      </c>
      <c r="AB86">
        <f t="shared" si="27"/>
        <v>2600</v>
      </c>
      <c r="AC86">
        <f t="shared" si="27"/>
        <v>2700</v>
      </c>
      <c r="AD86">
        <f t="shared" si="27"/>
        <v>2800</v>
      </c>
      <c r="AE86">
        <f t="shared" si="27"/>
        <v>2900</v>
      </c>
      <c r="AF86">
        <f t="shared" si="27"/>
        <v>3000</v>
      </c>
      <c r="AG86">
        <f t="shared" si="27"/>
        <v>3100</v>
      </c>
    </row>
    <row r="87" spans="1:33" x14ac:dyDescent="0.2">
      <c r="A87" t="s">
        <v>122</v>
      </c>
      <c r="B87">
        <f>B58/B17</f>
        <v>2.0000000000000001E-4</v>
      </c>
      <c r="C87">
        <f t="shared" ref="C87:AG87" si="28">C58/C17</f>
        <v>2.0000000000000001E-4</v>
      </c>
      <c r="D87">
        <f t="shared" si="28"/>
        <v>2.0000000000000001E-4</v>
      </c>
      <c r="E87">
        <f t="shared" si="28"/>
        <v>2.0000000000000001E-4</v>
      </c>
      <c r="F87">
        <f t="shared" si="28"/>
        <v>2.0000000000000001E-4</v>
      </c>
      <c r="G87">
        <f t="shared" si="28"/>
        <v>2.0000000000000001E-4</v>
      </c>
      <c r="H87">
        <f t="shared" si="28"/>
        <v>2.0000000000000001E-4</v>
      </c>
      <c r="I87">
        <f t="shared" si="28"/>
        <v>2.0000000000000001E-4</v>
      </c>
      <c r="J87">
        <f t="shared" si="28"/>
        <v>2.0000000000000001E-4</v>
      </c>
      <c r="K87">
        <f t="shared" si="28"/>
        <v>2.0000000000000001E-4</v>
      </c>
      <c r="L87">
        <f t="shared" si="28"/>
        <v>2.0000000000000001E-4</v>
      </c>
      <c r="M87">
        <f t="shared" si="28"/>
        <v>2.0000000000000004E-4</v>
      </c>
      <c r="N87">
        <f t="shared" si="28"/>
        <v>2.0000000000000001E-4</v>
      </c>
      <c r="O87">
        <f t="shared" si="28"/>
        <v>2.0000000000000001E-4</v>
      </c>
      <c r="P87">
        <f t="shared" si="28"/>
        <v>2.0000000000000004E-4</v>
      </c>
      <c r="Q87">
        <f t="shared" si="28"/>
        <v>2.0000000000000001E-4</v>
      </c>
      <c r="R87">
        <f t="shared" si="28"/>
        <v>2.0000000000000004E-4</v>
      </c>
      <c r="S87">
        <f t="shared" si="28"/>
        <v>2.0000000000000001E-4</v>
      </c>
      <c r="T87">
        <f t="shared" si="28"/>
        <v>2.0000000000000001E-4</v>
      </c>
      <c r="U87">
        <f t="shared" si="28"/>
        <v>2.0000000000000001E-4</v>
      </c>
      <c r="V87">
        <f t="shared" si="28"/>
        <v>2.0000000000000001E-4</v>
      </c>
      <c r="W87">
        <f t="shared" si="28"/>
        <v>1.9999999999999998E-4</v>
      </c>
      <c r="X87">
        <f t="shared" si="28"/>
        <v>1.9999999999999998E-4</v>
      </c>
      <c r="Y87">
        <f t="shared" si="28"/>
        <v>2.0000000000000001E-4</v>
      </c>
      <c r="Z87">
        <f t="shared" si="28"/>
        <v>2.0000000000000001E-4</v>
      </c>
      <c r="AA87">
        <f t="shared" si="28"/>
        <v>2.0000000000000001E-4</v>
      </c>
      <c r="AB87">
        <f t="shared" si="28"/>
        <v>2.0000000000000004E-4</v>
      </c>
      <c r="AC87">
        <f t="shared" si="28"/>
        <v>2.0000000000000001E-4</v>
      </c>
      <c r="AD87">
        <f t="shared" si="28"/>
        <v>2.0000000000000001E-4</v>
      </c>
      <c r="AE87">
        <f t="shared" si="28"/>
        <v>2.0000000000000001E-4</v>
      </c>
      <c r="AF87">
        <f t="shared" si="28"/>
        <v>1.9999999999999998E-4</v>
      </c>
      <c r="AG87">
        <f t="shared" si="28"/>
        <v>2.0000000000000001E-4</v>
      </c>
    </row>
    <row r="88" spans="1:33" x14ac:dyDescent="0.2">
      <c r="A88" t="s">
        <v>123</v>
      </c>
      <c r="B88">
        <f>B59/B19</f>
        <v>0</v>
      </c>
      <c r="C88" s="103">
        <f t="shared" ref="C88:AG88" si="29">C59/C19</f>
        <v>4.5504455568767006E-9</v>
      </c>
      <c r="D88" s="103">
        <f t="shared" si="29"/>
        <v>2.0867569189034089E-7</v>
      </c>
      <c r="E88" s="103">
        <f t="shared" si="29"/>
        <v>1.7032873445750296E-6</v>
      </c>
      <c r="F88" s="103">
        <f t="shared" si="29"/>
        <v>6.8599787233472399E-6</v>
      </c>
      <c r="G88" s="103">
        <f t="shared" si="29"/>
        <v>1.8773470592935281E-5</v>
      </c>
      <c r="H88" s="103">
        <f t="shared" si="29"/>
        <v>4.0281973816717012E-5</v>
      </c>
      <c r="I88" s="103">
        <f t="shared" si="29"/>
        <v>7.3189311221450704E-5</v>
      </c>
      <c r="J88" s="103">
        <f t="shared" si="29"/>
        <v>1.1796224257858089E-4</v>
      </c>
      <c r="K88" s="103">
        <f t="shared" si="29"/>
        <v>1.7385705086928524E-4</v>
      </c>
      <c r="L88" s="103">
        <f t="shared" si="29"/>
        <v>2.3928345134793149E-4</v>
      </c>
      <c r="M88" s="103">
        <f t="shared" si="29"/>
        <v>3.12216834677247E-4</v>
      </c>
      <c r="N88" s="103">
        <f t="shared" si="29"/>
        <v>3.9054157131960333E-4</v>
      </c>
      <c r="O88" s="103">
        <f t="shared" si="29"/>
        <v>4.7228265745366923E-4</v>
      </c>
      <c r="P88" s="103">
        <f t="shared" si="29"/>
        <v>5.5573131426140754E-4</v>
      </c>
      <c r="Q88" s="103">
        <f t="shared" si="29"/>
        <v>6.3949086295455009E-4</v>
      </c>
      <c r="R88" s="103">
        <f t="shared" si="29"/>
        <v>7.2247190538998025E-4</v>
      </c>
      <c r="S88" s="103">
        <f t="shared" si="29"/>
        <v>8.0386035033224563E-4</v>
      </c>
      <c r="T88" s="103">
        <f t="shared" si="29"/>
        <v>8.830744071954209E-4</v>
      </c>
      <c r="U88" s="103">
        <f t="shared" si="29"/>
        <v>9.5972023033939421E-4</v>
      </c>
      <c r="V88" s="103">
        <f t="shared" si="29"/>
        <v>1.0335512705381166E-3</v>
      </c>
      <c r="W88" s="103">
        <f t="shared" si="29"/>
        <v>1.1044334485183186E-3</v>
      </c>
      <c r="X88" s="103">
        <f t="shared" si="29"/>
        <v>1.1723165797592431E-3</v>
      </c>
      <c r="Y88" s="103">
        <f t="shared" si="29"/>
        <v>1.2372116213445047E-3</v>
      </c>
      <c r="Z88" s="103">
        <f t="shared" si="29"/>
        <v>1.2991729508131723E-3</v>
      </c>
      <c r="AA88" s="103">
        <f t="shared" si="29"/>
        <v>1.3582848010219805E-3</v>
      </c>
      <c r="AB88" s="103">
        <f t="shared" si="29"/>
        <v>1.4146510260798547E-3</v>
      </c>
      <c r="AC88" s="103">
        <f t="shared" si="29"/>
        <v>1.4683874818158078E-3</v>
      </c>
      <c r="AD88" s="103">
        <f t="shared" si="29"/>
        <v>1.5196164271960308E-3</v>
      </c>
      <c r="AE88" s="103">
        <f t="shared" si="29"/>
        <v>1.5684624696725396E-3</v>
      </c>
      <c r="AF88" s="103">
        <f t="shared" si="29"/>
        <v>1.6150496789281241E-3</v>
      </c>
      <c r="AG88" s="103">
        <f t="shared" si="29"/>
        <v>1.6594995776275071E-3</v>
      </c>
    </row>
    <row r="89" spans="1:33" x14ac:dyDescent="0.2">
      <c r="A89" t="s">
        <v>124</v>
      </c>
      <c r="B89">
        <f>B60/B21</f>
        <v>0</v>
      </c>
      <c r="C89" s="103">
        <f t="shared" ref="C89:AG89" si="30">C60/C21</f>
        <v>1.5999999999999999E-5</v>
      </c>
      <c r="D89" s="103">
        <f t="shared" si="30"/>
        <v>3.1999999999999999E-5</v>
      </c>
      <c r="E89" s="103">
        <f t="shared" si="30"/>
        <v>4.8000000000000001E-5</v>
      </c>
      <c r="F89" s="103">
        <f t="shared" si="30"/>
        <v>6.3999999999999997E-5</v>
      </c>
      <c r="G89" s="103">
        <f t="shared" si="30"/>
        <v>8.0000000000000007E-5</v>
      </c>
      <c r="H89" s="103">
        <f t="shared" si="30"/>
        <v>9.6000000000000002E-5</v>
      </c>
      <c r="I89" s="103">
        <f t="shared" si="30"/>
        <v>1.12E-4</v>
      </c>
      <c r="J89" s="103">
        <f t="shared" si="30"/>
        <v>1.2799999999999999E-4</v>
      </c>
      <c r="K89" s="103">
        <f t="shared" si="30"/>
        <v>1.44E-4</v>
      </c>
      <c r="L89" s="103">
        <f t="shared" si="30"/>
        <v>1.6000000000000001E-4</v>
      </c>
      <c r="M89" s="103">
        <f t="shared" si="30"/>
        <v>1.76E-4</v>
      </c>
      <c r="N89" s="103">
        <f t="shared" si="30"/>
        <v>1.92E-4</v>
      </c>
      <c r="O89" s="103">
        <f t="shared" si="30"/>
        <v>2.0800000000000001E-4</v>
      </c>
      <c r="P89" s="103">
        <f t="shared" si="30"/>
        <v>2.24E-4</v>
      </c>
      <c r="Q89" s="103">
        <f t="shared" si="30"/>
        <v>2.4000000000000001E-4</v>
      </c>
      <c r="R89" s="103">
        <f t="shared" si="30"/>
        <v>2.5599999999999999E-4</v>
      </c>
      <c r="S89" s="103">
        <f t="shared" si="30"/>
        <v>2.72E-4</v>
      </c>
      <c r="T89" s="103">
        <f t="shared" si="30"/>
        <v>2.8800000000000001E-4</v>
      </c>
      <c r="U89" s="103">
        <f t="shared" si="30"/>
        <v>3.0400000000000002E-4</v>
      </c>
      <c r="V89" s="103">
        <f t="shared" si="30"/>
        <v>3.2000000000000003E-4</v>
      </c>
      <c r="W89" s="103">
        <f t="shared" si="30"/>
        <v>3.3599999999999998E-4</v>
      </c>
      <c r="X89" s="103">
        <f t="shared" si="30"/>
        <v>3.5199999999999999E-4</v>
      </c>
      <c r="Y89" s="103">
        <f t="shared" si="30"/>
        <v>3.68E-4</v>
      </c>
      <c r="Z89" s="103">
        <f t="shared" si="30"/>
        <v>3.8400000000000001E-4</v>
      </c>
      <c r="AA89" s="103">
        <f t="shared" si="30"/>
        <v>4.0000000000000002E-4</v>
      </c>
      <c r="AB89" s="103">
        <f t="shared" si="30"/>
        <v>4.1600000000000003E-4</v>
      </c>
      <c r="AC89" s="103">
        <f t="shared" si="30"/>
        <v>4.3199999999999998E-4</v>
      </c>
      <c r="AD89" s="103">
        <f t="shared" si="30"/>
        <v>4.4799999999999999E-4</v>
      </c>
      <c r="AE89" s="103">
        <f t="shared" si="30"/>
        <v>4.64E-4</v>
      </c>
      <c r="AF89" s="103">
        <f t="shared" si="30"/>
        <v>4.8000000000000001E-4</v>
      </c>
      <c r="AG89" s="103">
        <f t="shared" si="30"/>
        <v>4.9600000000000002E-4</v>
      </c>
    </row>
    <row r="90" spans="1:33" x14ac:dyDescent="0.2">
      <c r="A90" t="s">
        <v>125</v>
      </c>
      <c r="B90">
        <f>B61/B22</f>
        <v>0</v>
      </c>
      <c r="C90" s="103">
        <f t="shared" ref="C90:AG90" si="31">C61/C22</f>
        <v>6.1728395061728397E-5</v>
      </c>
      <c r="D90" s="103">
        <f t="shared" si="31"/>
        <v>1.2345679012345679E-4</v>
      </c>
      <c r="E90" s="103">
        <f t="shared" si="31"/>
        <v>1.8518518518518518E-4</v>
      </c>
      <c r="F90" s="103">
        <f t="shared" si="31"/>
        <v>2.4691358024691359E-4</v>
      </c>
      <c r="G90" s="103">
        <f t="shared" si="31"/>
        <v>3.0864197530864197E-4</v>
      </c>
      <c r="H90" s="103">
        <f t="shared" si="31"/>
        <v>3.7037037037037035E-4</v>
      </c>
      <c r="I90" s="103">
        <f t="shared" si="31"/>
        <v>4.3209876543209879E-4</v>
      </c>
      <c r="J90" s="103">
        <f t="shared" si="31"/>
        <v>4.9382716049382717E-4</v>
      </c>
      <c r="K90" s="103">
        <f t="shared" si="31"/>
        <v>5.5555555555555556E-4</v>
      </c>
      <c r="L90" s="103">
        <f t="shared" si="31"/>
        <v>6.1728395061728394E-4</v>
      </c>
      <c r="M90" s="103">
        <f t="shared" si="31"/>
        <v>6.7901234567901232E-4</v>
      </c>
      <c r="N90" s="103">
        <f t="shared" si="31"/>
        <v>7.407407407407407E-4</v>
      </c>
      <c r="O90" s="103">
        <f t="shared" si="31"/>
        <v>8.0246913580246909E-4</v>
      </c>
      <c r="P90" s="103">
        <f t="shared" si="31"/>
        <v>8.6419753086419758E-4</v>
      </c>
      <c r="Q90" s="103">
        <f t="shared" si="31"/>
        <v>9.2592592592592596E-4</v>
      </c>
      <c r="R90" s="103">
        <f t="shared" si="31"/>
        <v>9.8765432098765434E-4</v>
      </c>
      <c r="S90" s="103">
        <f t="shared" si="31"/>
        <v>1.0493827160493827E-3</v>
      </c>
      <c r="T90" s="103">
        <f t="shared" si="31"/>
        <v>1.1111111111111111E-3</v>
      </c>
      <c r="U90" s="103">
        <f t="shared" si="31"/>
        <v>1.1728395061728395E-3</v>
      </c>
      <c r="V90" s="103">
        <f t="shared" si="31"/>
        <v>1.2345679012345679E-3</v>
      </c>
      <c r="W90" s="103">
        <f t="shared" si="31"/>
        <v>1.2962962962962963E-3</v>
      </c>
      <c r="X90" s="103">
        <f t="shared" si="31"/>
        <v>1.3580246913580246E-3</v>
      </c>
      <c r="Y90" s="103">
        <f t="shared" si="31"/>
        <v>1.419753086419753E-3</v>
      </c>
      <c r="Z90" s="103">
        <f t="shared" si="31"/>
        <v>1.4814814814814812E-3</v>
      </c>
      <c r="AA90" s="103">
        <f t="shared" si="31"/>
        <v>1.5432098765432098E-3</v>
      </c>
      <c r="AB90" s="103">
        <f t="shared" si="31"/>
        <v>1.6049382716049382E-3</v>
      </c>
      <c r="AC90" s="103">
        <f t="shared" si="31"/>
        <v>1.6666666666666668E-3</v>
      </c>
      <c r="AD90" s="103">
        <f t="shared" si="31"/>
        <v>1.7283950617283952E-3</v>
      </c>
      <c r="AE90" s="103">
        <f t="shared" si="31"/>
        <v>1.7901234567901235E-3</v>
      </c>
      <c r="AF90" s="103">
        <f t="shared" si="31"/>
        <v>1.8518518518518519E-3</v>
      </c>
      <c r="AG90" s="103">
        <f t="shared" si="31"/>
        <v>1.9135802469135803E-3</v>
      </c>
    </row>
    <row r="91" spans="1:33" x14ac:dyDescent="0.2">
      <c r="A91" t="s">
        <v>126</v>
      </c>
      <c r="B91" s="103">
        <f>B62/B23</f>
        <v>3.8025714198364941E-5</v>
      </c>
      <c r="C91" s="103">
        <f t="shared" ref="C91:AG91" si="32">C62/C23</f>
        <v>4.8585076251871343E-5</v>
      </c>
      <c r="D91" s="103">
        <f t="shared" si="32"/>
        <v>6.1386514087766631E-5</v>
      </c>
      <c r="E91" s="103">
        <f t="shared" si="32"/>
        <v>7.6716933769142292E-5</v>
      </c>
      <c r="F91" s="103">
        <f t="shared" si="32"/>
        <v>9.4857934412091651E-5</v>
      </c>
      <c r="G91" s="103">
        <f t="shared" si="32"/>
        <v>1.160775407789534E-4</v>
      </c>
      <c r="H91" s="103">
        <f t="shared" si="32"/>
        <v>1.4062223237133923E-4</v>
      </c>
      <c r="I91" s="103">
        <f t="shared" si="32"/>
        <v>1.687097893053292E-4</v>
      </c>
      <c r="J91" s="103">
        <f t="shared" si="32"/>
        <v>2.0052340022473614E-4</v>
      </c>
      <c r="K91" s="103">
        <f t="shared" si="32"/>
        <v>2.3620735683368185E-4</v>
      </c>
      <c r="L91" s="103">
        <f t="shared" si="32"/>
        <v>2.7586451181817336E-4</v>
      </c>
      <c r="M91" s="103">
        <f t="shared" si="32"/>
        <v>3.1955552326575371E-4</v>
      </c>
      <c r="N91" s="103">
        <f t="shared" si="32"/>
        <v>3.672997690557309E-4</v>
      </c>
      <c r="O91" s="103">
        <f t="shared" si="32"/>
        <v>4.1907770418520289E-4</v>
      </c>
      <c r="P91" s="103">
        <f t="shared" si="32"/>
        <v>4.7483436110907021E-4</v>
      </c>
      <c r="Q91" s="103">
        <f t="shared" si="32"/>
        <v>5.3448365959053821E-4</v>
      </c>
      <c r="R91" s="103">
        <f t="shared" si="32"/>
        <v>5.9791319431507243E-4</v>
      </c>
      <c r="S91" s="103">
        <f t="shared" si="32"/>
        <v>6.6498919792415487E-4</v>
      </c>
      <c r="T91" s="103">
        <f t="shared" si="32"/>
        <v>7.3556142485722256E-4</v>
      </c>
      <c r="U91" s="103">
        <f t="shared" si="32"/>
        <v>8.0946775830108536E-4</v>
      </c>
      <c r="V91" s="103">
        <f t="shared" si="32"/>
        <v>8.8653840089207266E-4</v>
      </c>
      <c r="W91" s="103">
        <f t="shared" si="32"/>
        <v>9.6659956388660414E-4</v>
      </c>
      <c r="X91" s="103">
        <f t="shared" si="32"/>
        <v>1.0494766157440169E-3</v>
      </c>
      <c r="Y91" s="103">
        <f t="shared" si="32"/>
        <v>1.1349966877836628E-3</v>
      </c>
      <c r="Z91" s="103">
        <f t="shared" si="32"/>
        <v>1.2229907615886396E-3</v>
      </c>
      <c r="AA91" s="103">
        <f t="shared" si="32"/>
        <v>1.3132952809258404E-3</v>
      </c>
      <c r="AB91" s="103">
        <f t="shared" si="32"/>
        <v>1.4057533414911605E-3</v>
      </c>
      <c r="AC91" s="103">
        <f t="shared" si="32"/>
        <v>1.500215516342448E-3</v>
      </c>
      <c r="AD91" s="103">
        <f t="shared" si="32"/>
        <v>1.5965403750028799E-3</v>
      </c>
      <c r="AE91" s="103">
        <f t="shared" si="32"/>
        <v>1.6945947512899803E-3</v>
      </c>
      <c r="AF91" s="103">
        <f t="shared" si="32"/>
        <v>1.7942538101004813E-3</v>
      </c>
      <c r="AG91" s="103">
        <f t="shared" si="32"/>
        <v>1.8954009575556695E-3</v>
      </c>
    </row>
    <row r="92" spans="1:33" x14ac:dyDescent="0.2">
      <c r="A92" t="s">
        <v>127</v>
      </c>
      <c r="B92" s="103">
        <f>SUM(B87:B91)</f>
        <v>2.3802571419836494E-4</v>
      </c>
      <c r="C92" s="103">
        <f t="shared" ref="C92:AG92" si="33">SUM(C87:C91)</f>
        <v>3.2631802175915663E-4</v>
      </c>
      <c r="D92" s="103">
        <f t="shared" si="33"/>
        <v>4.1705197990311377E-4</v>
      </c>
      <c r="E92" s="103">
        <f t="shared" si="33"/>
        <v>5.1160540629890255E-4</v>
      </c>
      <c r="F92" s="103">
        <f t="shared" si="33"/>
        <v>6.1263149338235253E-4</v>
      </c>
      <c r="G92" s="103">
        <f t="shared" si="33"/>
        <v>7.2349298668053063E-4</v>
      </c>
      <c r="H92" s="103">
        <f t="shared" si="33"/>
        <v>8.4727457655842662E-4</v>
      </c>
      <c r="I92" s="103">
        <f t="shared" si="33"/>
        <v>9.8599786595887878E-4</v>
      </c>
      <c r="J92" s="103">
        <f t="shared" si="33"/>
        <v>1.1403128032971442E-3</v>
      </c>
      <c r="K92" s="103">
        <f t="shared" si="33"/>
        <v>1.3096199632585226E-3</v>
      </c>
      <c r="L92" s="103">
        <f t="shared" si="33"/>
        <v>1.4924319137833888E-3</v>
      </c>
      <c r="M92" s="103">
        <f t="shared" si="33"/>
        <v>1.6867847036220129E-3</v>
      </c>
      <c r="N92" s="103">
        <f t="shared" si="33"/>
        <v>1.890582081116075E-3</v>
      </c>
      <c r="O92" s="103">
        <f t="shared" si="33"/>
        <v>2.1018294974413411E-3</v>
      </c>
      <c r="P92" s="103">
        <f t="shared" si="33"/>
        <v>2.3187632062346753E-3</v>
      </c>
      <c r="Q92" s="103">
        <f t="shared" si="33"/>
        <v>2.5399004484710141E-3</v>
      </c>
      <c r="R92" s="103">
        <f t="shared" si="33"/>
        <v>2.7640394206927071E-3</v>
      </c>
      <c r="S92" s="103">
        <f t="shared" si="33"/>
        <v>2.9902322643057832E-3</v>
      </c>
      <c r="T92" s="103">
        <f t="shared" si="33"/>
        <v>3.2177469431637542E-3</v>
      </c>
      <c r="U92" s="103">
        <f t="shared" si="33"/>
        <v>3.4460274948133192E-3</v>
      </c>
      <c r="V92" s="103">
        <f t="shared" si="33"/>
        <v>3.6746575726647572E-3</v>
      </c>
      <c r="W92" s="103">
        <f t="shared" si="33"/>
        <v>3.9033293087012188E-3</v>
      </c>
      <c r="X92" s="103">
        <f t="shared" si="33"/>
        <v>4.1318178868612844E-3</v>
      </c>
      <c r="Y92" s="103">
        <f t="shared" si="33"/>
        <v>4.3599613955479207E-3</v>
      </c>
      <c r="Z92" s="103">
        <f t="shared" si="33"/>
        <v>4.5876451938832927E-3</v>
      </c>
      <c r="AA92" s="103">
        <f t="shared" si="33"/>
        <v>4.8147899584910312E-3</v>
      </c>
      <c r="AB92" s="103">
        <f t="shared" si="33"/>
        <v>5.0413426391759542E-3</v>
      </c>
      <c r="AC92" s="103">
        <f t="shared" si="33"/>
        <v>5.2672696648249223E-3</v>
      </c>
      <c r="AD92" s="103">
        <f t="shared" si="33"/>
        <v>5.4925518639273065E-3</v>
      </c>
      <c r="AE92" s="103">
        <f t="shared" si="33"/>
        <v>5.7171806777526436E-3</v>
      </c>
      <c r="AF92" s="103">
        <f t="shared" si="33"/>
        <v>5.9411553408804576E-3</v>
      </c>
      <c r="AG92" s="103">
        <f t="shared" si="33"/>
        <v>6.1644807820967571E-3</v>
      </c>
    </row>
    <row r="93" spans="1:33" x14ac:dyDescent="0.2">
      <c r="A93" s="4" t="s">
        <v>236</v>
      </c>
      <c r="B93" s="4"/>
    </row>
    <row r="94" spans="1:33" x14ac:dyDescent="0.2">
      <c r="A94" s="56" t="s">
        <v>128</v>
      </c>
      <c r="B94" t="s">
        <v>129</v>
      </c>
    </row>
    <row r="95" spans="1:33" x14ac:dyDescent="0.2">
      <c r="A95" t="s">
        <v>33</v>
      </c>
      <c r="B95">
        <v>0</v>
      </c>
      <c r="C95">
        <f t="shared" ref="C95:AG95" si="34">B95+100</f>
        <v>100</v>
      </c>
      <c r="D95">
        <f t="shared" si="34"/>
        <v>200</v>
      </c>
      <c r="E95">
        <f t="shared" si="34"/>
        <v>300</v>
      </c>
      <c r="F95">
        <f t="shared" si="34"/>
        <v>400</v>
      </c>
      <c r="G95">
        <f t="shared" si="34"/>
        <v>500</v>
      </c>
      <c r="H95">
        <f t="shared" si="34"/>
        <v>600</v>
      </c>
      <c r="I95">
        <f t="shared" si="34"/>
        <v>700</v>
      </c>
      <c r="J95">
        <f t="shared" si="34"/>
        <v>800</v>
      </c>
      <c r="K95">
        <f t="shared" si="34"/>
        <v>900</v>
      </c>
      <c r="L95">
        <f t="shared" si="34"/>
        <v>1000</v>
      </c>
      <c r="M95">
        <f t="shared" si="34"/>
        <v>1100</v>
      </c>
      <c r="N95">
        <f t="shared" si="34"/>
        <v>1200</v>
      </c>
      <c r="O95">
        <f t="shared" si="34"/>
        <v>1300</v>
      </c>
      <c r="P95">
        <f t="shared" si="34"/>
        <v>1400</v>
      </c>
      <c r="Q95">
        <f t="shared" si="34"/>
        <v>1500</v>
      </c>
      <c r="R95">
        <f t="shared" si="34"/>
        <v>1600</v>
      </c>
      <c r="S95">
        <f t="shared" si="34"/>
        <v>1700</v>
      </c>
      <c r="T95">
        <f t="shared" si="34"/>
        <v>1800</v>
      </c>
      <c r="U95">
        <f t="shared" si="34"/>
        <v>1900</v>
      </c>
      <c r="V95">
        <f t="shared" si="34"/>
        <v>2000</v>
      </c>
      <c r="W95">
        <f t="shared" si="34"/>
        <v>2100</v>
      </c>
      <c r="X95">
        <f t="shared" si="34"/>
        <v>2200</v>
      </c>
      <c r="Y95">
        <f t="shared" si="34"/>
        <v>2300</v>
      </c>
      <c r="Z95">
        <f t="shared" si="34"/>
        <v>2400</v>
      </c>
      <c r="AA95">
        <f t="shared" si="34"/>
        <v>2500</v>
      </c>
      <c r="AB95">
        <f t="shared" si="34"/>
        <v>2600</v>
      </c>
      <c r="AC95">
        <f t="shared" si="34"/>
        <v>2700</v>
      </c>
      <c r="AD95">
        <f t="shared" si="34"/>
        <v>2800</v>
      </c>
      <c r="AE95">
        <f t="shared" si="34"/>
        <v>2900</v>
      </c>
      <c r="AF95">
        <f t="shared" si="34"/>
        <v>3000</v>
      </c>
      <c r="AG95">
        <f t="shared" si="34"/>
        <v>3100</v>
      </c>
    </row>
    <row r="96" spans="1:33" x14ac:dyDescent="0.2">
      <c r="A96" t="s">
        <v>130</v>
      </c>
      <c r="B96" s="103">
        <f>B92*B24</f>
        <v>2.3802571419836492E-4</v>
      </c>
      <c r="C96">
        <f t="shared" ref="C96:AG96" si="35">C92*C24</f>
        <v>3.1724453981138803E-4</v>
      </c>
      <c r="D96">
        <f t="shared" si="35"/>
        <v>3.906714559580139E-4</v>
      </c>
      <c r="E96">
        <f t="shared" si="35"/>
        <v>4.5751879091841363E-4</v>
      </c>
      <c r="F96">
        <f t="shared" si="35"/>
        <v>5.1795257447454683E-4</v>
      </c>
      <c r="G96">
        <f t="shared" si="35"/>
        <v>5.7220692466086037E-4</v>
      </c>
      <c r="H96">
        <f t="shared" si="35"/>
        <v>6.1956299312850753E-4</v>
      </c>
      <c r="I96">
        <f t="shared" si="35"/>
        <v>6.5793718574617185E-4</v>
      </c>
      <c r="J96">
        <f t="shared" si="35"/>
        <v>6.8425232144282298E-4</v>
      </c>
      <c r="K96">
        <f t="shared" si="35"/>
        <v>6.9532839921511848E-4</v>
      </c>
      <c r="L96">
        <f t="shared" si="35"/>
        <v>6.888726370276086E-4</v>
      </c>
      <c r="M96">
        <f t="shared" si="35"/>
        <v>6.6421123626808675E-4</v>
      </c>
      <c r="N96">
        <f t="shared" si="35"/>
        <v>6.2257405411415964E-4</v>
      </c>
      <c r="O96">
        <f t="shared" si="35"/>
        <v>5.6692086268511361E-4</v>
      </c>
      <c r="P96">
        <f t="shared" si="35"/>
        <v>5.0142630203087429E-4</v>
      </c>
      <c r="Q96">
        <f t="shared" si="35"/>
        <v>4.3080002813120094E-4</v>
      </c>
      <c r="R96">
        <f t="shared" si="35"/>
        <v>3.596157149699277E-4</v>
      </c>
      <c r="S96">
        <f t="shared" si="35"/>
        <v>2.9177824592739436E-4</v>
      </c>
      <c r="T96">
        <f t="shared" si="35"/>
        <v>2.3019664538355593E-4</v>
      </c>
      <c r="U96">
        <f t="shared" si="35"/>
        <v>1.766711987314965E-4</v>
      </c>
      <c r="V96">
        <f t="shared" si="35"/>
        <v>1.3195955006879419E-4</v>
      </c>
      <c r="W96">
        <f t="shared" si="35"/>
        <v>9.5963249475638514E-5</v>
      </c>
      <c r="X96">
        <f t="shared" si="35"/>
        <v>6.7971824599773477E-5</v>
      </c>
      <c r="Y96">
        <f t="shared" si="35"/>
        <v>4.6910738841949383E-5</v>
      </c>
      <c r="Z96">
        <f t="shared" si="35"/>
        <v>3.1556063103240116E-5</v>
      </c>
      <c r="AA96">
        <f t="shared" si="35"/>
        <v>2.0696504043283223E-5</v>
      </c>
      <c r="AB96">
        <f t="shared" si="35"/>
        <v>1.3238550839387771E-5</v>
      </c>
      <c r="AC96">
        <f t="shared" si="35"/>
        <v>8.2609274105379634E-6</v>
      </c>
      <c r="AD96">
        <f t="shared" si="35"/>
        <v>5.0300060599096204E-6</v>
      </c>
      <c r="AE96">
        <f t="shared" si="35"/>
        <v>2.9892183477520851E-6</v>
      </c>
      <c r="AF96">
        <f t="shared" si="35"/>
        <v>1.7341502309310406E-6</v>
      </c>
      <c r="AG96">
        <f t="shared" si="35"/>
        <v>9.8228933610512416E-7</v>
      </c>
    </row>
  </sheetData>
  <mergeCells count="6">
    <mergeCell ref="J7:L7"/>
    <mergeCell ref="B4:D4"/>
    <mergeCell ref="J3:L3"/>
    <mergeCell ref="J5:L5"/>
    <mergeCell ref="A1:L1"/>
    <mergeCell ref="J6:L6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2304" r:id="rId4">
          <objectPr defaultSize="0" autoPict="0" r:id="rId5">
            <anchor moveWithCells="1" sizeWithCells="1">
              <from>
                <xdr:col>5</xdr:col>
                <xdr:colOff>292100</xdr:colOff>
                <xdr:row>50</xdr:row>
                <xdr:rowOff>38100</xdr:rowOff>
              </from>
              <to>
                <xdr:col>12</xdr:col>
                <xdr:colOff>139700</xdr:colOff>
                <xdr:row>52</xdr:row>
                <xdr:rowOff>114300</xdr:rowOff>
              </to>
            </anchor>
          </objectPr>
        </oleObject>
      </mc:Choice>
      <mc:Fallback>
        <oleObject progId="Equation.3" shapeId="2304" r:id="rId4"/>
      </mc:Fallback>
    </mc:AlternateContent>
    <mc:AlternateContent xmlns:mc="http://schemas.openxmlformats.org/markup-compatibility/2006">
      <mc:Choice Requires="x14">
        <oleObject progId="Equation.3" shapeId="2305" r:id="rId6">
          <objectPr defaultSize="0" autoPict="0" r:id="rId7">
            <anchor moveWithCells="1" sizeWithCells="1">
              <from>
                <xdr:col>16</xdr:col>
                <xdr:colOff>127000</xdr:colOff>
                <xdr:row>50</xdr:row>
                <xdr:rowOff>88900</xdr:rowOff>
              </from>
              <to>
                <xdr:col>20</xdr:col>
                <xdr:colOff>101600</xdr:colOff>
                <xdr:row>53</xdr:row>
                <xdr:rowOff>25400</xdr:rowOff>
              </to>
            </anchor>
          </objectPr>
        </oleObject>
      </mc:Choice>
      <mc:Fallback>
        <oleObject progId="Equation.3" shapeId="230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Z65"/>
  <sheetViews>
    <sheetView topLeftCell="B1" zoomScaleNormal="100" workbookViewId="0">
      <selection activeCell="Q15" sqref="Q15"/>
    </sheetView>
  </sheetViews>
  <sheetFormatPr baseColWidth="10" defaultColWidth="8.83203125" defaultRowHeight="15" x14ac:dyDescent="0.2"/>
  <cols>
    <col min="2" max="2" width="11.5" customWidth="1"/>
    <col min="22" max="22" width="11.33203125" customWidth="1"/>
    <col min="23" max="23" width="12" bestFit="1" customWidth="1"/>
    <col min="26" max="26" width="12" bestFit="1" customWidth="1"/>
  </cols>
  <sheetData>
    <row r="5" spans="1:21" ht="16" thickBot="1" x14ac:dyDescent="0.25"/>
    <row r="6" spans="1:21" ht="16" thickBot="1" x14ac:dyDescent="0.25">
      <c r="G6" s="3" t="s">
        <v>278</v>
      </c>
    </row>
    <row r="7" spans="1:21" ht="16" thickBot="1" x14ac:dyDescent="0.25">
      <c r="G7" s="3">
        <v>200</v>
      </c>
    </row>
    <row r="8" spans="1:21" ht="16" thickBot="1" x14ac:dyDescent="0.25">
      <c r="G8" s="3" t="s">
        <v>280</v>
      </c>
    </row>
    <row r="9" spans="1:21" ht="16" thickBot="1" x14ac:dyDescent="0.25">
      <c r="B9" t="s">
        <v>163</v>
      </c>
      <c r="G9" s="3">
        <f>SUM(C13:H13)</f>
        <v>22</v>
      </c>
    </row>
    <row r="10" spans="1:21" x14ac:dyDescent="0.2">
      <c r="B10" t="s">
        <v>33</v>
      </c>
      <c r="C10">
        <v>100</v>
      </c>
      <c r="D10">
        <v>200</v>
      </c>
      <c r="E10">
        <v>400</v>
      </c>
      <c r="F10">
        <v>700</v>
      </c>
      <c r="G10">
        <v>800</v>
      </c>
      <c r="H10">
        <v>1000</v>
      </c>
    </row>
    <row r="11" spans="1:21" x14ac:dyDescent="0.2">
      <c r="A11" s="59"/>
      <c r="B11" s="60" t="s">
        <v>164</v>
      </c>
      <c r="C11" s="58" t="s">
        <v>166</v>
      </c>
      <c r="D11" s="58" t="s">
        <v>167</v>
      </c>
      <c r="E11" s="58" t="s">
        <v>168</v>
      </c>
      <c r="F11" s="58" t="s">
        <v>170</v>
      </c>
      <c r="G11" s="58" t="s">
        <v>171</v>
      </c>
      <c r="H11" s="58" t="s">
        <v>169</v>
      </c>
    </row>
    <row r="12" spans="1:21" x14ac:dyDescent="0.2">
      <c r="A12" s="59" t="s">
        <v>286</v>
      </c>
      <c r="B12" s="60"/>
      <c r="C12" s="58">
        <v>100</v>
      </c>
      <c r="D12" s="58">
        <v>100</v>
      </c>
      <c r="E12" s="58">
        <v>200</v>
      </c>
      <c r="F12" s="58">
        <v>300</v>
      </c>
      <c r="G12" s="58">
        <v>100</v>
      </c>
      <c r="H12" s="58">
        <v>200</v>
      </c>
    </row>
    <row r="13" spans="1:21" x14ac:dyDescent="0.2">
      <c r="A13" s="59" t="s">
        <v>287</v>
      </c>
      <c r="B13" s="60" t="s">
        <v>165</v>
      </c>
      <c r="C13" s="58">
        <v>5</v>
      </c>
      <c r="D13" s="58">
        <v>7</v>
      </c>
      <c r="E13" s="58">
        <v>5</v>
      </c>
      <c r="F13" s="58">
        <v>2</v>
      </c>
      <c r="G13" s="58">
        <v>1</v>
      </c>
      <c r="H13" s="58">
        <v>2</v>
      </c>
    </row>
    <row r="14" spans="1:21" ht="16" thickBot="1" x14ac:dyDescent="0.25">
      <c r="A14" s="144" t="s">
        <v>288</v>
      </c>
      <c r="B14" s="146"/>
      <c r="C14" s="123">
        <v>200</v>
      </c>
      <c r="D14" s="123">
        <f>C14-C13</f>
        <v>195</v>
      </c>
      <c r="E14" s="123">
        <f>D14-D13</f>
        <v>188</v>
      </c>
      <c r="F14" s="123">
        <f>E14-E13</f>
        <v>183</v>
      </c>
      <c r="G14" s="123">
        <f>F14-F13</f>
        <v>181</v>
      </c>
      <c r="H14" s="123">
        <f>G14-G13</f>
        <v>180</v>
      </c>
    </row>
    <row r="15" spans="1:21" ht="17" thickTop="1" thickBot="1" x14ac:dyDescent="0.25">
      <c r="A15" s="145" t="s">
        <v>256</v>
      </c>
      <c r="B15" s="147"/>
      <c r="C15" s="125">
        <f t="shared" ref="C15:H15" si="0">C13/(C14*C12)</f>
        <v>2.5000000000000001E-4</v>
      </c>
      <c r="D15" s="125">
        <f t="shared" si="0"/>
        <v>3.58974358974359E-4</v>
      </c>
      <c r="E15" s="125">
        <f t="shared" si="0"/>
        <v>1.3297872340425532E-4</v>
      </c>
      <c r="F15" s="125">
        <f t="shared" si="0"/>
        <v>3.6429872495446266E-5</v>
      </c>
      <c r="G15" s="125">
        <f t="shared" si="0"/>
        <v>5.5248618784530387E-5</v>
      </c>
      <c r="H15" s="125">
        <f t="shared" si="0"/>
        <v>5.5555555555555558E-5</v>
      </c>
    </row>
    <row r="16" spans="1:21" ht="17" thickTop="1" thickBot="1" x14ac:dyDescent="0.25">
      <c r="U16" t="s">
        <v>289</v>
      </c>
    </row>
    <row r="17" spans="1:9" ht="17" thickTop="1" thickBot="1" x14ac:dyDescent="0.25">
      <c r="A17" s="148" t="s">
        <v>134</v>
      </c>
      <c r="B17" s="147"/>
      <c r="C17" s="125">
        <f t="shared" ref="C17:H17" si="1">C14/200</f>
        <v>1</v>
      </c>
      <c r="D17" s="125">
        <f t="shared" si="1"/>
        <v>0.97499999999999998</v>
      </c>
      <c r="E17" s="125">
        <f t="shared" si="1"/>
        <v>0.94</v>
      </c>
      <c r="F17" s="125">
        <f t="shared" si="1"/>
        <v>0.91500000000000004</v>
      </c>
      <c r="G17" s="125">
        <f t="shared" si="1"/>
        <v>0.90500000000000003</v>
      </c>
      <c r="H17" s="125">
        <f t="shared" si="1"/>
        <v>0.9</v>
      </c>
    </row>
    <row r="18" spans="1:9" ht="17" thickTop="1" thickBot="1" x14ac:dyDescent="0.25">
      <c r="A18" s="148" t="s">
        <v>133</v>
      </c>
      <c r="B18" s="147"/>
      <c r="C18" s="125">
        <f t="shared" ref="C18:H18" si="2">(200-C14)/200</f>
        <v>0</v>
      </c>
      <c r="D18" s="125">
        <f t="shared" si="2"/>
        <v>2.5000000000000001E-2</v>
      </c>
      <c r="E18" s="125">
        <f t="shared" si="2"/>
        <v>0.06</v>
      </c>
      <c r="F18" s="125">
        <f t="shared" si="2"/>
        <v>8.5000000000000006E-2</v>
      </c>
      <c r="G18" s="125">
        <f t="shared" si="2"/>
        <v>9.5000000000000001E-2</v>
      </c>
      <c r="H18" s="125">
        <f t="shared" si="2"/>
        <v>0.1</v>
      </c>
    </row>
    <row r="19" spans="1:9" ht="17" thickTop="1" thickBot="1" x14ac:dyDescent="0.25">
      <c r="A19" s="148" t="s">
        <v>135</v>
      </c>
      <c r="B19" s="147"/>
      <c r="C19" s="125">
        <f t="shared" ref="C19:H19" si="3">C13/(200*C12)</f>
        <v>2.5000000000000001E-4</v>
      </c>
      <c r="D19" s="125">
        <f t="shared" si="3"/>
        <v>3.5E-4</v>
      </c>
      <c r="E19" s="125">
        <f t="shared" si="3"/>
        <v>1.25E-4</v>
      </c>
      <c r="F19" s="125">
        <f t="shared" si="3"/>
        <v>3.3333333333333335E-5</v>
      </c>
      <c r="G19" s="125">
        <f t="shared" si="3"/>
        <v>5.0000000000000002E-5</v>
      </c>
      <c r="H19" s="125">
        <f t="shared" si="3"/>
        <v>5.0000000000000002E-5</v>
      </c>
    </row>
    <row r="20" spans="1:9" ht="17" thickTop="1" thickBot="1" x14ac:dyDescent="0.25">
      <c r="A20" s="143"/>
    </row>
    <row r="21" spans="1:9" ht="17" thickTop="1" thickBot="1" x14ac:dyDescent="0.25">
      <c r="A21" s="124" t="s">
        <v>298</v>
      </c>
      <c r="B21" s="149">
        <f>(C13*50+D13*150+E13*300+F13*550+G13*750+2*900)/G9</f>
        <v>293.18181818181819</v>
      </c>
      <c r="C21" t="s">
        <v>290</v>
      </c>
      <c r="I21" s="142">
        <f>(C13*50+D13*150+E13*300+F13*550+G13*750+2*900+178*1000)/22</f>
        <v>8384.0909090909099</v>
      </c>
    </row>
    <row r="22" spans="1:9" ht="16" thickTop="1" x14ac:dyDescent="0.2">
      <c r="A22" s="143" t="s">
        <v>291</v>
      </c>
      <c r="B22" s="91"/>
    </row>
    <row r="39" spans="1:26" x14ac:dyDescent="0.2">
      <c r="A39" t="s">
        <v>261</v>
      </c>
    </row>
    <row r="40" spans="1:26" x14ac:dyDescent="0.2">
      <c r="A40" s="4" t="s">
        <v>276</v>
      </c>
      <c r="Q40" s="4" t="s">
        <v>268</v>
      </c>
      <c r="R40" s="4"/>
      <c r="V40" s="86" t="s">
        <v>262</v>
      </c>
    </row>
    <row r="41" spans="1:26" x14ac:dyDescent="0.2">
      <c r="Q41" t="s">
        <v>275</v>
      </c>
      <c r="V41" s="131" t="s">
        <v>264</v>
      </c>
      <c r="W41" s="132"/>
      <c r="X41" s="132"/>
      <c r="Y41" s="132">
        <f>SUM(L42:O42)</f>
        <v>82300</v>
      </c>
      <c r="Z41" s="133" t="s">
        <v>59</v>
      </c>
    </row>
    <row r="42" spans="1:26" x14ac:dyDescent="0.2">
      <c r="K42" s="58" t="s">
        <v>267</v>
      </c>
      <c r="L42" s="58">
        <v>21300</v>
      </c>
      <c r="M42" s="58">
        <v>20800</v>
      </c>
      <c r="N42" s="58">
        <v>21000</v>
      </c>
      <c r="O42" s="58">
        <v>19200</v>
      </c>
      <c r="V42" s="134" t="s">
        <v>265</v>
      </c>
      <c r="Y42">
        <f>SUM(L43:O43)</f>
        <v>23</v>
      </c>
      <c r="Z42" s="135"/>
    </row>
    <row r="43" spans="1:26" x14ac:dyDescent="0.2">
      <c r="K43" s="58" t="s">
        <v>263</v>
      </c>
      <c r="L43" s="58">
        <v>7</v>
      </c>
      <c r="M43" s="58">
        <v>5</v>
      </c>
      <c r="N43" s="58">
        <v>8</v>
      </c>
      <c r="O43" s="58">
        <v>3</v>
      </c>
      <c r="V43" s="134" t="s">
        <v>266</v>
      </c>
      <c r="Y43">
        <f>Y41/Y42</f>
        <v>3578.2608695652175</v>
      </c>
      <c r="Z43" s="135" t="s">
        <v>59</v>
      </c>
    </row>
    <row r="44" spans="1:26" x14ac:dyDescent="0.2">
      <c r="V44" s="134" t="s">
        <v>269</v>
      </c>
      <c r="Y44">
        <f>1/Y43</f>
        <v>2.7946537059538273E-4</v>
      </c>
      <c r="Z44" s="135" t="s">
        <v>10</v>
      </c>
    </row>
    <row r="45" spans="1:26" x14ac:dyDescent="0.2">
      <c r="K45" s="58" t="s">
        <v>66</v>
      </c>
      <c r="L45" s="58">
        <v>10</v>
      </c>
      <c r="V45" s="134" t="s">
        <v>270</v>
      </c>
      <c r="Y45">
        <f>1-EXPONDIST(10,Y44,1)</f>
        <v>0.99720924770350527</v>
      </c>
      <c r="Z45" s="135"/>
    </row>
    <row r="46" spans="1:26" x14ac:dyDescent="0.2">
      <c r="V46" s="134" t="s">
        <v>271</v>
      </c>
      <c r="Y46">
        <f>1-Y45</f>
        <v>2.7907522964947251E-3</v>
      </c>
      <c r="Z46" s="135"/>
    </row>
    <row r="47" spans="1:26" x14ac:dyDescent="0.2">
      <c r="V47" s="136" t="s">
        <v>272</v>
      </c>
      <c r="W47" s="137"/>
      <c r="X47" s="137"/>
      <c r="Y47" s="137">
        <f>Y44*Y45</f>
        <v>2.786854519706029E-4</v>
      </c>
      <c r="Z47" s="138"/>
    </row>
    <row r="59" spans="1:23" x14ac:dyDescent="0.2">
      <c r="A59" s="4" t="s">
        <v>277</v>
      </c>
      <c r="Q59" s="4" t="s">
        <v>268</v>
      </c>
      <c r="R59" s="4"/>
      <c r="V59" s="86" t="s">
        <v>262</v>
      </c>
    </row>
    <row r="60" spans="1:23" x14ac:dyDescent="0.2">
      <c r="K60" s="58" t="s">
        <v>278</v>
      </c>
      <c r="L60" s="58">
        <v>500</v>
      </c>
      <c r="V60" t="s">
        <v>284</v>
      </c>
      <c r="W60">
        <f>L60-N61</f>
        <v>480</v>
      </c>
    </row>
    <row r="61" spans="1:23" x14ac:dyDescent="0.2">
      <c r="K61" s="58" t="s">
        <v>33</v>
      </c>
      <c r="L61" s="58">
        <v>200000</v>
      </c>
      <c r="M61" s="58" t="s">
        <v>280</v>
      </c>
      <c r="N61" s="58">
        <v>20</v>
      </c>
      <c r="V61" t="s">
        <v>285</v>
      </c>
      <c r="W61">
        <f>W60-N62</f>
        <v>478</v>
      </c>
    </row>
    <row r="62" spans="1:23" x14ac:dyDescent="0.2">
      <c r="K62" s="140" t="s">
        <v>279</v>
      </c>
      <c r="L62" s="58">
        <v>10000</v>
      </c>
      <c r="M62" s="141" t="s">
        <v>281</v>
      </c>
      <c r="N62" s="58">
        <v>2</v>
      </c>
    </row>
    <row r="63" spans="1:23" x14ac:dyDescent="0.2">
      <c r="V63" t="s">
        <v>134</v>
      </c>
      <c r="W63">
        <f>W60/L60</f>
        <v>0.96</v>
      </c>
    </row>
    <row r="64" spans="1:23" x14ac:dyDescent="0.2">
      <c r="V64" t="s">
        <v>282</v>
      </c>
      <c r="W64">
        <f>W61/L60</f>
        <v>0.95599999999999996</v>
      </c>
    </row>
    <row r="65" spans="22:26" x14ac:dyDescent="0.2">
      <c r="V65" t="s">
        <v>283</v>
      </c>
      <c r="W65" s="55">
        <f>2/(W60*L62)</f>
        <v>4.1666666666666667E-7</v>
      </c>
      <c r="Y65" t="s">
        <v>292</v>
      </c>
      <c r="Z65" s="55">
        <f>2/(((W60+W61)/2)*L62)</f>
        <v>4.1753653444676408E-7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Equation.3" shapeId="499468" r:id="rId4">
          <objectPr defaultSize="0" autoPict="0" r:id="rId5">
            <anchor moveWithCells="1" sizeWithCells="1">
              <from>
                <xdr:col>15</xdr:col>
                <xdr:colOff>596900</xdr:colOff>
                <xdr:row>51</xdr:row>
                <xdr:rowOff>177800</xdr:rowOff>
              </from>
              <to>
                <xdr:col>19</xdr:col>
                <xdr:colOff>127000</xdr:colOff>
                <xdr:row>54</xdr:row>
                <xdr:rowOff>25400</xdr:rowOff>
              </to>
            </anchor>
          </objectPr>
        </oleObject>
      </mc:Choice>
      <mc:Fallback>
        <oleObject progId="Equation.3" shapeId="499468" r:id="rId4"/>
      </mc:Fallback>
    </mc:AlternateContent>
    <mc:AlternateContent xmlns:mc="http://schemas.openxmlformats.org/markup-compatibility/2006">
      <mc:Choice Requires="x14">
        <oleObject progId="Equation.3" shapeId="499469" r:id="rId6">
          <objectPr defaultSize="0" autoPict="0" r:id="rId7">
            <anchor moveWithCells="1" sizeWithCells="1">
              <from>
                <xdr:col>15</xdr:col>
                <xdr:colOff>596900</xdr:colOff>
                <xdr:row>54</xdr:row>
                <xdr:rowOff>139700</xdr:rowOff>
              </from>
              <to>
                <xdr:col>19</xdr:col>
                <xdr:colOff>165100</xdr:colOff>
                <xdr:row>57</xdr:row>
                <xdr:rowOff>38100</xdr:rowOff>
              </to>
            </anchor>
          </objectPr>
        </oleObject>
      </mc:Choice>
      <mc:Fallback>
        <oleObject progId="Equation.3" shapeId="499469" r:id="rId6"/>
      </mc:Fallback>
    </mc:AlternateContent>
    <mc:AlternateContent xmlns:mc="http://schemas.openxmlformats.org/markup-compatibility/2006">
      <mc:Choice Requires="x14">
        <oleObject progId="Equation.3" shapeId="499479" r:id="rId8">
          <objectPr defaultSize="0" autoPict="0" r:id="rId9">
            <anchor moveWithCells="1" sizeWithCells="1">
              <from>
                <xdr:col>15</xdr:col>
                <xdr:colOff>596900</xdr:colOff>
                <xdr:row>41</xdr:row>
                <xdr:rowOff>0</xdr:rowOff>
              </from>
              <to>
                <xdr:col>18</xdr:col>
                <xdr:colOff>127000</xdr:colOff>
                <xdr:row>45</xdr:row>
                <xdr:rowOff>50800</xdr:rowOff>
              </to>
            </anchor>
          </objectPr>
        </oleObject>
      </mc:Choice>
      <mc:Fallback>
        <oleObject progId="Equation.3" shapeId="499479" r:id="rId8"/>
      </mc:Fallback>
    </mc:AlternateContent>
    <mc:AlternateContent xmlns:mc="http://schemas.openxmlformats.org/markup-compatibility/2006">
      <mc:Choice Requires="x14">
        <oleObject progId="Equation.3" shapeId="499513" r:id="rId10">
          <objectPr defaultSize="0" autoPict="0" r:id="rId11">
            <anchor moveWithCells="1" sizeWithCells="1">
              <from>
                <xdr:col>11</xdr:col>
                <xdr:colOff>469900</xdr:colOff>
                <xdr:row>0</xdr:row>
                <xdr:rowOff>63500</xdr:rowOff>
              </from>
              <to>
                <xdr:col>15</xdr:col>
                <xdr:colOff>88900</xdr:colOff>
                <xdr:row>3</xdr:row>
                <xdr:rowOff>101600</xdr:rowOff>
              </to>
            </anchor>
          </objectPr>
        </oleObject>
      </mc:Choice>
      <mc:Fallback>
        <oleObject progId="Equation.3" shapeId="499513" r:id="rId10"/>
      </mc:Fallback>
    </mc:AlternateContent>
    <mc:AlternateContent xmlns:mc="http://schemas.openxmlformats.org/markup-compatibility/2006">
      <mc:Choice Requires="x14">
        <oleObject progId="Equation.3" shapeId="499514" r:id="rId12">
          <objectPr defaultSize="0" autoPict="0" r:id="rId13">
            <anchor moveWithCells="1" sizeWithCells="1">
              <from>
                <xdr:col>11</xdr:col>
                <xdr:colOff>444500</xdr:colOff>
                <xdr:row>3</xdr:row>
                <xdr:rowOff>152400</xdr:rowOff>
              </from>
              <to>
                <xdr:col>14</xdr:col>
                <xdr:colOff>508000</xdr:colOff>
                <xdr:row>6</xdr:row>
                <xdr:rowOff>177800</xdr:rowOff>
              </to>
            </anchor>
          </objectPr>
        </oleObject>
      </mc:Choice>
      <mc:Fallback>
        <oleObject progId="Equation.3" shapeId="499514" r:id="rId12"/>
      </mc:Fallback>
    </mc:AlternateContent>
    <mc:AlternateContent xmlns:mc="http://schemas.openxmlformats.org/markup-compatibility/2006">
      <mc:Choice Requires="x14">
        <oleObject progId="Equation.3" shapeId="499515" r:id="rId14">
          <objectPr defaultSize="0" autoPict="0" r:id="rId15">
            <anchor moveWithCells="1" sizeWithCells="1">
              <from>
                <xdr:col>19</xdr:col>
                <xdr:colOff>165100</xdr:colOff>
                <xdr:row>7</xdr:row>
                <xdr:rowOff>0</xdr:rowOff>
              </from>
              <to>
                <xdr:col>22</xdr:col>
                <xdr:colOff>228600</xdr:colOff>
                <xdr:row>10</xdr:row>
                <xdr:rowOff>152400</xdr:rowOff>
              </to>
            </anchor>
          </objectPr>
        </oleObject>
      </mc:Choice>
      <mc:Fallback>
        <oleObject progId="Equation.3" shapeId="499515" r:id="rId14"/>
      </mc:Fallback>
    </mc:AlternateContent>
    <mc:AlternateContent xmlns:mc="http://schemas.openxmlformats.org/markup-compatibility/2006">
      <mc:Choice Requires="x14">
        <oleObject progId="Equation.3" shapeId="499516" r:id="rId16">
          <objectPr defaultSize="0" autoPict="0" r:id="rId17">
            <anchor moveWithCells="1" sizeWithCells="1">
              <from>
                <xdr:col>22</xdr:col>
                <xdr:colOff>622300</xdr:colOff>
                <xdr:row>7</xdr:row>
                <xdr:rowOff>12700</xdr:rowOff>
              </from>
              <to>
                <xdr:col>25</xdr:col>
                <xdr:colOff>520700</xdr:colOff>
                <xdr:row>10</xdr:row>
                <xdr:rowOff>12700</xdr:rowOff>
              </to>
            </anchor>
          </objectPr>
        </oleObject>
      </mc:Choice>
      <mc:Fallback>
        <oleObject progId="Equation.3" shapeId="499516" r:id="rId16"/>
      </mc:Fallback>
    </mc:AlternateContent>
    <mc:AlternateContent xmlns:mc="http://schemas.openxmlformats.org/markup-compatibility/2006">
      <mc:Choice Requires="x14">
        <oleObject progId="Equation.3" shapeId="499529" r:id="rId18">
          <objectPr defaultSize="0" autoPict="0" r:id="rId19">
            <anchor moveWithCells="1" sizeWithCells="1">
              <from>
                <xdr:col>11</xdr:col>
                <xdr:colOff>596900</xdr:colOff>
                <xdr:row>7</xdr:row>
                <xdr:rowOff>127000</xdr:rowOff>
              </from>
              <to>
                <xdr:col>15</xdr:col>
                <xdr:colOff>88900</xdr:colOff>
                <xdr:row>11</xdr:row>
                <xdr:rowOff>38100</xdr:rowOff>
              </to>
            </anchor>
          </objectPr>
        </oleObject>
      </mc:Choice>
      <mc:Fallback>
        <oleObject progId="Equation.3" shapeId="499529" r:id="rId18"/>
      </mc:Fallback>
    </mc:AlternateContent>
    <mc:AlternateContent xmlns:mc="http://schemas.openxmlformats.org/markup-compatibility/2006">
      <mc:Choice Requires="x14">
        <oleObject progId="Equation.3" shapeId="499531" r:id="rId20">
          <objectPr defaultSize="0" autoPict="0" r:id="rId21">
            <anchor moveWithCells="1" sizeWithCells="1">
              <from>
                <xdr:col>9</xdr:col>
                <xdr:colOff>25400</xdr:colOff>
                <xdr:row>12</xdr:row>
                <xdr:rowOff>177800</xdr:rowOff>
              </from>
              <to>
                <xdr:col>10</xdr:col>
                <xdr:colOff>596900</xdr:colOff>
                <xdr:row>16</xdr:row>
                <xdr:rowOff>0</xdr:rowOff>
              </to>
            </anchor>
          </objectPr>
        </oleObject>
      </mc:Choice>
      <mc:Fallback>
        <oleObject progId="Equation.3" shapeId="499531" r:id="rId20"/>
      </mc:Fallback>
    </mc:AlternateContent>
    <mc:AlternateContent xmlns:mc="http://schemas.openxmlformats.org/markup-compatibility/2006">
      <mc:Choice Requires="x14">
        <oleObject progId="Equation.3" shapeId="499532" r:id="rId22">
          <objectPr defaultSize="0" autoPict="0" r:id="rId23">
            <anchor moveWithCells="1" sizeWithCells="1">
              <from>
                <xdr:col>12</xdr:col>
                <xdr:colOff>25400</xdr:colOff>
                <xdr:row>12</xdr:row>
                <xdr:rowOff>63500</xdr:rowOff>
              </from>
              <to>
                <xdr:col>15</xdr:col>
                <xdr:colOff>152400</xdr:colOff>
                <xdr:row>15</xdr:row>
                <xdr:rowOff>101600</xdr:rowOff>
              </to>
            </anchor>
          </objectPr>
        </oleObject>
      </mc:Choice>
      <mc:Fallback>
        <oleObject progId="Equation.3" shapeId="499532" r:id="rId22"/>
      </mc:Fallback>
    </mc:AlternateContent>
    <mc:AlternateContent xmlns:mc="http://schemas.openxmlformats.org/markup-compatibility/2006">
      <mc:Choice Requires="x14">
        <oleObject progId="Equation.3" shapeId="499563" r:id="rId24">
          <objectPr defaultSize="0" autoPict="0" r:id="rId25">
            <anchor moveWithCells="1" sizeWithCells="1">
              <from>
                <xdr:col>12</xdr:col>
                <xdr:colOff>12700</xdr:colOff>
                <xdr:row>15</xdr:row>
                <xdr:rowOff>139700</xdr:rowOff>
              </from>
              <to>
                <xdr:col>14</xdr:col>
                <xdr:colOff>368300</xdr:colOff>
                <xdr:row>18</xdr:row>
                <xdr:rowOff>177800</xdr:rowOff>
              </to>
            </anchor>
          </objectPr>
        </oleObject>
      </mc:Choice>
      <mc:Fallback>
        <oleObject progId="Equation.3" shapeId="499563" r:id="rId24"/>
      </mc:Fallback>
    </mc:AlternateContent>
    <mc:AlternateContent xmlns:mc="http://schemas.openxmlformats.org/markup-compatibility/2006">
      <mc:Choice Requires="x14">
        <oleObject progId="Equation.3" shapeId="499564" r:id="rId26">
          <objectPr defaultSize="0" autoPict="0" r:id="rId27">
            <anchor moveWithCells="1" sizeWithCells="1">
              <from>
                <xdr:col>16</xdr:col>
                <xdr:colOff>88900</xdr:colOff>
                <xdr:row>16</xdr:row>
                <xdr:rowOff>25400</xdr:rowOff>
              </from>
              <to>
                <xdr:col>22</xdr:col>
                <xdr:colOff>787400</xdr:colOff>
                <xdr:row>18</xdr:row>
                <xdr:rowOff>88900</xdr:rowOff>
              </to>
            </anchor>
          </objectPr>
        </oleObject>
      </mc:Choice>
      <mc:Fallback>
        <oleObject progId="Equation.3" shapeId="499564" r:id="rId26"/>
      </mc:Fallback>
    </mc:AlternateContent>
    <mc:AlternateContent xmlns:mc="http://schemas.openxmlformats.org/markup-compatibility/2006">
      <mc:Choice Requires="x14">
        <oleObject progId="Equation.3" shapeId="499610" r:id="rId28">
          <objectPr defaultSize="0" autoPict="0" r:id="rId29">
            <anchor moveWithCells="1" sizeWithCells="1">
              <from>
                <xdr:col>15</xdr:col>
                <xdr:colOff>546100</xdr:colOff>
                <xdr:row>59</xdr:row>
                <xdr:rowOff>114300</xdr:rowOff>
              </from>
              <to>
                <xdr:col>19</xdr:col>
                <xdr:colOff>228600</xdr:colOff>
                <xdr:row>63</xdr:row>
                <xdr:rowOff>50800</xdr:rowOff>
              </to>
            </anchor>
          </objectPr>
        </oleObject>
      </mc:Choice>
      <mc:Fallback>
        <oleObject progId="Equation.3" shapeId="499610" r:id="rId28"/>
      </mc:Fallback>
    </mc:AlternateContent>
    <mc:AlternateContent xmlns:mc="http://schemas.openxmlformats.org/markup-compatibility/2006">
      <mc:Choice Requires="x14">
        <oleObject progId="Equation.3" shapeId="499611" r:id="rId30">
          <objectPr defaultSize="0" autoPict="0" r:id="rId31">
            <anchor moveWithCells="1" sizeWithCells="1">
              <from>
                <xdr:col>16</xdr:col>
                <xdr:colOff>38100</xdr:colOff>
                <xdr:row>63</xdr:row>
                <xdr:rowOff>139700</xdr:rowOff>
              </from>
              <to>
                <xdr:col>19</xdr:col>
                <xdr:colOff>558800</xdr:colOff>
                <xdr:row>67</xdr:row>
                <xdr:rowOff>63500</xdr:rowOff>
              </to>
            </anchor>
          </objectPr>
        </oleObject>
      </mc:Choice>
      <mc:Fallback>
        <oleObject progId="Equation.3" shapeId="499611" r:id="rId30"/>
      </mc:Fallback>
    </mc:AlternateContent>
    <mc:AlternateContent xmlns:mc="http://schemas.openxmlformats.org/markup-compatibility/2006">
      <mc:Choice Requires="x14">
        <oleObject progId="Equation.3" shapeId="499702" r:id="rId32">
          <objectPr defaultSize="0" autoPict="0" r:id="rId33">
            <anchor moveWithCells="1" sizeWithCells="1">
              <from>
                <xdr:col>12</xdr:col>
                <xdr:colOff>25400</xdr:colOff>
                <xdr:row>19</xdr:row>
                <xdr:rowOff>25400</xdr:rowOff>
              </from>
              <to>
                <xdr:col>15</xdr:col>
                <xdr:colOff>520700</xdr:colOff>
                <xdr:row>21</xdr:row>
                <xdr:rowOff>177800</xdr:rowOff>
              </to>
            </anchor>
          </objectPr>
        </oleObject>
      </mc:Choice>
      <mc:Fallback>
        <oleObject progId="Equation.3" shapeId="499702" r:id="rId32"/>
      </mc:Fallback>
    </mc:AlternateContent>
    <mc:AlternateContent xmlns:mc="http://schemas.openxmlformats.org/markup-compatibility/2006">
      <mc:Choice Requires="x14">
        <oleObject progId="Equation.3" shapeId="3487750" r:id="rId34">
          <objectPr defaultSize="0" autoPict="0" r:id="rId35">
            <anchor moveWithCells="1" sizeWithCells="1">
              <from>
                <xdr:col>16</xdr:col>
                <xdr:colOff>63500</xdr:colOff>
                <xdr:row>45</xdr:row>
                <xdr:rowOff>0</xdr:rowOff>
              </from>
              <to>
                <xdr:col>17</xdr:col>
                <xdr:colOff>482600</xdr:colOff>
                <xdr:row>48</xdr:row>
                <xdr:rowOff>76200</xdr:rowOff>
              </to>
            </anchor>
          </objectPr>
        </oleObject>
      </mc:Choice>
      <mc:Fallback>
        <oleObject progId="Equation.3" shapeId="3487750" r:id="rId34"/>
      </mc:Fallback>
    </mc:AlternateContent>
    <mc:AlternateContent xmlns:mc="http://schemas.openxmlformats.org/markup-compatibility/2006">
      <mc:Choice Requires="x14">
        <oleObject progId="Equation.3" shapeId="3487751" r:id="rId36">
          <objectPr defaultSize="0" autoPict="0" r:id="rId37">
            <anchor moveWithCells="1" sizeWithCells="1">
              <from>
                <xdr:col>16</xdr:col>
                <xdr:colOff>25400</xdr:colOff>
                <xdr:row>48</xdr:row>
                <xdr:rowOff>152400</xdr:rowOff>
              </from>
              <to>
                <xdr:col>18</xdr:col>
                <xdr:colOff>76200</xdr:colOff>
                <xdr:row>50</xdr:row>
                <xdr:rowOff>177800</xdr:rowOff>
              </to>
            </anchor>
          </objectPr>
        </oleObject>
      </mc:Choice>
      <mc:Fallback>
        <oleObject progId="Equation.3" shapeId="3487751" r:id="rId3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34"/>
  <sheetViews>
    <sheetView workbookViewId="0">
      <selection activeCell="U33" sqref="U33"/>
    </sheetView>
  </sheetViews>
  <sheetFormatPr baseColWidth="10" defaultColWidth="8.83203125" defaultRowHeight="15" x14ac:dyDescent="0.2"/>
  <cols>
    <col min="2" max="3" width="9.33203125" bestFit="1" customWidth="1"/>
    <col min="4" max="4" width="9.5" bestFit="1" customWidth="1"/>
  </cols>
  <sheetData>
    <row r="1" spans="1:107" x14ac:dyDescent="0.2">
      <c r="A1" t="s">
        <v>180</v>
      </c>
      <c r="B1" s="86">
        <v>0.01</v>
      </c>
      <c r="C1" t="s">
        <v>10</v>
      </c>
      <c r="D1" t="s">
        <v>147</v>
      </c>
      <c r="E1" s="86">
        <f>1/B1</f>
        <v>100</v>
      </c>
      <c r="F1" t="s">
        <v>59</v>
      </c>
    </row>
    <row r="2" spans="1:107" x14ac:dyDescent="0.2">
      <c r="A2" s="93" t="s">
        <v>204</v>
      </c>
      <c r="B2" s="93"/>
      <c r="C2" s="93"/>
    </row>
    <row r="3" spans="1:107" x14ac:dyDescent="0.2">
      <c r="A3" t="s">
        <v>33</v>
      </c>
      <c r="B3">
        <v>0</v>
      </c>
      <c r="C3">
        <f>B3+20</f>
        <v>20</v>
      </c>
      <c r="D3">
        <f t="shared" ref="D3:V3" si="0">C3+20</f>
        <v>40</v>
      </c>
      <c r="E3">
        <f t="shared" si="0"/>
        <v>60</v>
      </c>
      <c r="F3">
        <f t="shared" si="0"/>
        <v>80</v>
      </c>
      <c r="G3">
        <f t="shared" si="0"/>
        <v>100</v>
      </c>
      <c r="H3">
        <f t="shared" si="0"/>
        <v>120</v>
      </c>
      <c r="I3">
        <f t="shared" si="0"/>
        <v>140</v>
      </c>
      <c r="J3">
        <f t="shared" si="0"/>
        <v>160</v>
      </c>
      <c r="K3">
        <f t="shared" si="0"/>
        <v>180</v>
      </c>
      <c r="L3">
        <f t="shared" si="0"/>
        <v>200</v>
      </c>
      <c r="M3">
        <f t="shared" si="0"/>
        <v>220</v>
      </c>
      <c r="N3">
        <f t="shared" si="0"/>
        <v>240</v>
      </c>
      <c r="O3">
        <f t="shared" si="0"/>
        <v>260</v>
      </c>
      <c r="P3">
        <f t="shared" si="0"/>
        <v>280</v>
      </c>
      <c r="Q3">
        <f t="shared" si="0"/>
        <v>300</v>
      </c>
      <c r="R3">
        <f t="shared" si="0"/>
        <v>320</v>
      </c>
      <c r="S3">
        <f t="shared" si="0"/>
        <v>340</v>
      </c>
      <c r="T3">
        <f t="shared" si="0"/>
        <v>360</v>
      </c>
      <c r="U3">
        <f t="shared" si="0"/>
        <v>380</v>
      </c>
      <c r="V3">
        <f t="shared" si="0"/>
        <v>400</v>
      </c>
    </row>
    <row r="4" spans="1:107" x14ac:dyDescent="0.2">
      <c r="A4" t="s">
        <v>133</v>
      </c>
      <c r="B4">
        <f>EXPONDIST(B3,0.01,1)</f>
        <v>0</v>
      </c>
      <c r="C4" s="91">
        <f t="shared" ref="C4:V4" si="1">EXPONDIST(C3,0.01,1)</f>
        <v>0.18126924692201815</v>
      </c>
      <c r="D4" s="91">
        <f t="shared" si="1"/>
        <v>0.32967995396436073</v>
      </c>
      <c r="E4" s="91">
        <f t="shared" si="1"/>
        <v>0.4511883639059735</v>
      </c>
      <c r="F4" s="91">
        <f t="shared" si="1"/>
        <v>0.55067103588277844</v>
      </c>
      <c r="G4" s="91">
        <f t="shared" si="1"/>
        <v>0.63212055882855767</v>
      </c>
      <c r="H4" s="91">
        <f t="shared" si="1"/>
        <v>0.69880578808779781</v>
      </c>
      <c r="I4" s="91">
        <f t="shared" si="1"/>
        <v>0.75340303605839354</v>
      </c>
      <c r="J4" s="91">
        <f t="shared" si="1"/>
        <v>0.79810348200534464</v>
      </c>
      <c r="K4" s="91">
        <f t="shared" si="1"/>
        <v>0.83470111177841344</v>
      </c>
      <c r="L4" s="91">
        <f t="shared" si="1"/>
        <v>0.8646647167633873</v>
      </c>
      <c r="M4" s="91">
        <f t="shared" si="1"/>
        <v>0.8891968416376661</v>
      </c>
      <c r="N4" s="91">
        <f t="shared" si="1"/>
        <v>0.90928204671058754</v>
      </c>
      <c r="O4" s="91">
        <f t="shared" si="1"/>
        <v>0.92572642178566611</v>
      </c>
      <c r="P4" s="91">
        <f t="shared" si="1"/>
        <v>0.93918993737478207</v>
      </c>
      <c r="Q4" s="91">
        <f t="shared" si="1"/>
        <v>0.95021293163213605</v>
      </c>
      <c r="R4" s="91">
        <f t="shared" si="1"/>
        <v>0.95923779602163384</v>
      </c>
      <c r="S4" s="91">
        <f t="shared" si="1"/>
        <v>0.96662673003967392</v>
      </c>
      <c r="T4" s="91">
        <f t="shared" si="1"/>
        <v>0.97267627755270747</v>
      </c>
      <c r="U4" s="91">
        <f t="shared" si="1"/>
        <v>0.97762922814383446</v>
      </c>
      <c r="V4" s="91">
        <f t="shared" si="1"/>
        <v>0.98168436111126578</v>
      </c>
    </row>
    <row r="5" spans="1:107" x14ac:dyDescent="0.2">
      <c r="A5" s="86"/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</row>
    <row r="6" spans="1:107" x14ac:dyDescent="0.2">
      <c r="A6" s="93" t="s">
        <v>205</v>
      </c>
      <c r="B6" s="93"/>
      <c r="C6" s="93"/>
      <c r="D6" s="93"/>
      <c r="E6" s="93"/>
    </row>
    <row r="7" spans="1:107" x14ac:dyDescent="0.2">
      <c r="A7" t="s">
        <v>179</v>
      </c>
      <c r="B7">
        <f ca="1">RAND()</f>
        <v>0.50263903983154212</v>
      </c>
      <c r="C7">
        <f t="shared" ref="C7:BN7" ca="1" si="2">RAND()</f>
        <v>0.91747561327521088</v>
      </c>
      <c r="D7">
        <f t="shared" ca="1" si="2"/>
        <v>0.91699587459770393</v>
      </c>
      <c r="E7">
        <f t="shared" ca="1" si="2"/>
        <v>0.15738759885992692</v>
      </c>
      <c r="F7">
        <f t="shared" ca="1" si="2"/>
        <v>0.7198549357854146</v>
      </c>
      <c r="G7">
        <f t="shared" ca="1" si="2"/>
        <v>0.33061084253274786</v>
      </c>
      <c r="H7">
        <f t="shared" ca="1" si="2"/>
        <v>0.48391957398466123</v>
      </c>
      <c r="I7">
        <f t="shared" ca="1" si="2"/>
        <v>0.42843378855042424</v>
      </c>
      <c r="J7">
        <f t="shared" ca="1" si="2"/>
        <v>0.74200691603606683</v>
      </c>
      <c r="K7">
        <f t="shared" ca="1" si="2"/>
        <v>0.9496390687634384</v>
      </c>
      <c r="L7">
        <f t="shared" ca="1" si="2"/>
        <v>0.39632268030773243</v>
      </c>
      <c r="M7">
        <f t="shared" ca="1" si="2"/>
        <v>0.96478943255540528</v>
      </c>
      <c r="N7">
        <f t="shared" ca="1" si="2"/>
        <v>0.83603101515608236</v>
      </c>
      <c r="O7">
        <f t="shared" ca="1" si="2"/>
        <v>0.97714891815023064</v>
      </c>
      <c r="P7">
        <f t="shared" ca="1" si="2"/>
        <v>0.5648069383879597</v>
      </c>
      <c r="Q7">
        <f t="shared" ca="1" si="2"/>
        <v>0.96050722866711502</v>
      </c>
      <c r="R7">
        <f t="shared" ca="1" si="2"/>
        <v>0.94754459973626404</v>
      </c>
      <c r="S7">
        <f t="shared" ca="1" si="2"/>
        <v>0.88802339199420244</v>
      </c>
      <c r="T7">
        <f t="shared" ca="1" si="2"/>
        <v>0.63540045979448445</v>
      </c>
      <c r="U7">
        <f t="shared" ca="1" si="2"/>
        <v>0.33128347726242202</v>
      </c>
      <c r="V7">
        <f t="shared" ca="1" si="2"/>
        <v>0.30902230722736923</v>
      </c>
      <c r="W7">
        <f t="shared" ca="1" si="2"/>
        <v>0.2643045978478441</v>
      </c>
      <c r="X7">
        <f t="shared" ca="1" si="2"/>
        <v>0.96858209734228817</v>
      </c>
      <c r="Y7">
        <f t="shared" ca="1" si="2"/>
        <v>0.62828199080966063</v>
      </c>
      <c r="Z7">
        <f t="shared" ca="1" si="2"/>
        <v>0.65199185818119487</v>
      </c>
      <c r="AA7">
        <f t="shared" ca="1" si="2"/>
        <v>0.30020686192342372</v>
      </c>
      <c r="AB7">
        <f t="shared" ca="1" si="2"/>
        <v>0.92639095712954811</v>
      </c>
      <c r="AC7">
        <f t="shared" ca="1" si="2"/>
        <v>0.3710013821828323</v>
      </c>
      <c r="AD7">
        <f t="shared" ca="1" si="2"/>
        <v>0.15776871668205417</v>
      </c>
      <c r="AE7">
        <f t="shared" ca="1" si="2"/>
        <v>0.91300125586358749</v>
      </c>
      <c r="AF7">
        <f t="shared" ca="1" si="2"/>
        <v>0.23141954743519999</v>
      </c>
      <c r="AG7">
        <f t="shared" ca="1" si="2"/>
        <v>1.2886718663310814E-3</v>
      </c>
      <c r="AH7">
        <f t="shared" ca="1" si="2"/>
        <v>0.38675977851375731</v>
      </c>
      <c r="AI7">
        <f t="shared" ca="1" si="2"/>
        <v>1.5970773149912465E-2</v>
      </c>
      <c r="AJ7">
        <f t="shared" ca="1" si="2"/>
        <v>3.4020277838174739E-2</v>
      </c>
      <c r="AK7">
        <f t="shared" ca="1" si="2"/>
        <v>0.6969702693587545</v>
      </c>
      <c r="AL7">
        <f t="shared" ca="1" si="2"/>
        <v>0.41333325042326041</v>
      </c>
      <c r="AM7">
        <f t="shared" ca="1" si="2"/>
        <v>0.36873146086110731</v>
      </c>
      <c r="AN7">
        <f t="shared" ca="1" si="2"/>
        <v>0.53491930669655829</v>
      </c>
      <c r="AO7">
        <f t="shared" ca="1" si="2"/>
        <v>0.81321026939641305</v>
      </c>
      <c r="AP7">
        <f t="shared" ca="1" si="2"/>
        <v>0.47127002567707388</v>
      </c>
      <c r="AQ7">
        <f t="shared" ca="1" si="2"/>
        <v>0.74926893101601411</v>
      </c>
      <c r="AR7">
        <f t="shared" ca="1" si="2"/>
        <v>0.24648791420798899</v>
      </c>
      <c r="AS7">
        <f t="shared" ca="1" si="2"/>
        <v>0.94004489464481833</v>
      </c>
      <c r="AT7">
        <f t="shared" ca="1" si="2"/>
        <v>0.13268965559648016</v>
      </c>
      <c r="AU7">
        <f t="shared" ca="1" si="2"/>
        <v>0.43145344864555635</v>
      </c>
      <c r="AV7">
        <f t="shared" ca="1" si="2"/>
        <v>7.9180830774266076E-2</v>
      </c>
      <c r="AW7">
        <f t="shared" ca="1" si="2"/>
        <v>0.22324108245560592</v>
      </c>
      <c r="AX7">
        <f t="shared" ca="1" si="2"/>
        <v>0.1754407081147662</v>
      </c>
      <c r="AY7">
        <f t="shared" ca="1" si="2"/>
        <v>5.644817465412566E-3</v>
      </c>
      <c r="AZ7">
        <f t="shared" ca="1" si="2"/>
        <v>0.72328474909054041</v>
      </c>
      <c r="BA7">
        <f t="shared" ca="1" si="2"/>
        <v>0.28250652531341591</v>
      </c>
      <c r="BB7">
        <f t="shared" ca="1" si="2"/>
        <v>0.37004031051972996</v>
      </c>
      <c r="BC7">
        <f t="shared" ca="1" si="2"/>
        <v>0.1915606857812352</v>
      </c>
      <c r="BD7">
        <f t="shared" ca="1" si="2"/>
        <v>0.6693454100962668</v>
      </c>
      <c r="BE7">
        <f t="shared" ca="1" si="2"/>
        <v>0.40169512750602943</v>
      </c>
      <c r="BF7">
        <f t="shared" ca="1" si="2"/>
        <v>0.41750081956219076</v>
      </c>
      <c r="BG7">
        <f t="shared" ca="1" si="2"/>
        <v>0.95023181665891454</v>
      </c>
      <c r="BH7">
        <f t="shared" ca="1" si="2"/>
        <v>0.91206628292810821</v>
      </c>
      <c r="BI7">
        <f t="shared" ca="1" si="2"/>
        <v>0.24131364285300472</v>
      </c>
      <c r="BJ7">
        <f t="shared" ca="1" si="2"/>
        <v>0.3440795559948725</v>
      </c>
      <c r="BK7">
        <f t="shared" ca="1" si="2"/>
        <v>0.56416469576851669</v>
      </c>
      <c r="BL7">
        <f t="shared" ca="1" si="2"/>
        <v>0.40090208455459009</v>
      </c>
      <c r="BM7">
        <f t="shared" ca="1" si="2"/>
        <v>2.7384844739279379E-2</v>
      </c>
      <c r="BN7">
        <f t="shared" ca="1" si="2"/>
        <v>6.194744417765341E-2</v>
      </c>
      <c r="BO7">
        <f t="shared" ref="BO7:DC7" ca="1" si="3">RAND()</f>
        <v>0.69698501683412939</v>
      </c>
      <c r="BP7">
        <f t="shared" ca="1" si="3"/>
        <v>0.44862826535722511</v>
      </c>
      <c r="BQ7">
        <f t="shared" ca="1" si="3"/>
        <v>0.87566948819700374</v>
      </c>
      <c r="BR7">
        <f t="shared" ca="1" si="3"/>
        <v>0.7269857789966383</v>
      </c>
      <c r="BS7">
        <f t="shared" ca="1" si="3"/>
        <v>0.44605953843463919</v>
      </c>
      <c r="BT7">
        <f t="shared" ca="1" si="3"/>
        <v>0.23735950847949561</v>
      </c>
      <c r="BU7">
        <f t="shared" ca="1" si="3"/>
        <v>0.62354356807451528</v>
      </c>
      <c r="BV7">
        <f t="shared" ca="1" si="3"/>
        <v>0.67126672954575139</v>
      </c>
      <c r="BW7">
        <f t="shared" ca="1" si="3"/>
        <v>0.93640883126616503</v>
      </c>
      <c r="BX7">
        <f t="shared" ca="1" si="3"/>
        <v>0.31748288676090164</v>
      </c>
      <c r="BY7">
        <f t="shared" ca="1" si="3"/>
        <v>0.16647834875667489</v>
      </c>
      <c r="BZ7">
        <f t="shared" ca="1" si="3"/>
        <v>0.35862745921262196</v>
      </c>
      <c r="CA7">
        <f t="shared" ca="1" si="3"/>
        <v>0.89867349027367371</v>
      </c>
      <c r="CB7">
        <f t="shared" ca="1" si="3"/>
        <v>3.7917475384683152E-2</v>
      </c>
      <c r="CC7">
        <f t="shared" ca="1" si="3"/>
        <v>1.4100389315188755E-2</v>
      </c>
      <c r="CD7">
        <f t="shared" ca="1" si="3"/>
        <v>0.4069237153831996</v>
      </c>
      <c r="CE7">
        <f t="shared" ca="1" si="3"/>
        <v>0.43230311523788811</v>
      </c>
      <c r="CF7">
        <f t="shared" ca="1" si="3"/>
        <v>0.14799900744704952</v>
      </c>
      <c r="CG7">
        <f t="shared" ca="1" si="3"/>
        <v>0.64721260063581543</v>
      </c>
      <c r="CH7">
        <f t="shared" ca="1" si="3"/>
        <v>0.39373644094268512</v>
      </c>
      <c r="CI7">
        <f t="shared" ca="1" si="3"/>
        <v>0.44894033679745582</v>
      </c>
      <c r="CJ7">
        <f t="shared" ca="1" si="3"/>
        <v>0.58502957306557446</v>
      </c>
      <c r="CK7">
        <f t="shared" ca="1" si="3"/>
        <v>4.6539393167588927E-2</v>
      </c>
      <c r="CL7">
        <f t="shared" ca="1" si="3"/>
        <v>0.29205001009746812</v>
      </c>
      <c r="CM7">
        <f t="shared" ca="1" si="3"/>
        <v>0.10124312185518647</v>
      </c>
      <c r="CN7">
        <f t="shared" ca="1" si="3"/>
        <v>0.83919364584713763</v>
      </c>
      <c r="CO7">
        <f t="shared" ca="1" si="3"/>
        <v>0.62604337081908845</v>
      </c>
      <c r="CP7">
        <f t="shared" ca="1" si="3"/>
        <v>0.62313187565147798</v>
      </c>
      <c r="CQ7">
        <f t="shared" ca="1" si="3"/>
        <v>0.14065321575026168</v>
      </c>
      <c r="CR7">
        <f t="shared" ca="1" si="3"/>
        <v>9.2714465491423592E-2</v>
      </c>
      <c r="CS7">
        <f t="shared" ca="1" si="3"/>
        <v>0.11639498878621901</v>
      </c>
      <c r="CT7">
        <f t="shared" ca="1" si="3"/>
        <v>0.82932750040805425</v>
      </c>
      <c r="CU7">
        <f t="shared" ca="1" si="3"/>
        <v>0.77573031273704696</v>
      </c>
      <c r="CV7">
        <f t="shared" ca="1" si="3"/>
        <v>0.97073974771471183</v>
      </c>
      <c r="CW7">
        <f t="shared" ca="1" si="3"/>
        <v>0.32180471502162977</v>
      </c>
      <c r="CX7">
        <f t="shared" ca="1" si="3"/>
        <v>0.47749242577644591</v>
      </c>
      <c r="CY7">
        <f t="shared" ca="1" si="3"/>
        <v>0.26607901648030574</v>
      </c>
      <c r="CZ7">
        <f t="shared" ca="1" si="3"/>
        <v>0.7844169190722009</v>
      </c>
      <c r="DA7">
        <f t="shared" ca="1" si="3"/>
        <v>0.52539596155824753</v>
      </c>
      <c r="DB7">
        <f t="shared" ca="1" si="3"/>
        <v>0.18997115020483091</v>
      </c>
      <c r="DC7">
        <f t="shared" ca="1" si="3"/>
        <v>4.6030028023637315E-2</v>
      </c>
    </row>
    <row r="8" spans="1:107" x14ac:dyDescent="0.2">
      <c r="A8" t="s">
        <v>184</v>
      </c>
      <c r="B8" s="92">
        <f ca="1">-LN(B7)/0.01</f>
        <v>68.788298114006167</v>
      </c>
      <c r="C8" s="92">
        <f t="shared" ref="C8:BN8" ca="1" si="4">-LN(C7)/0.01</f>
        <v>8.612927894320876</v>
      </c>
      <c r="D8" s="92">
        <f t="shared" ca="1" si="4"/>
        <v>8.6652305538731937</v>
      </c>
      <c r="E8" s="92">
        <f t="shared" ca="1" si="4"/>
        <v>184.90437335237749</v>
      </c>
      <c r="F8" s="92">
        <f t="shared" ca="1" si="4"/>
        <v>32.87055653472833</v>
      </c>
      <c r="G8" s="92">
        <f t="shared" ca="1" si="4"/>
        <v>110.68132976032199</v>
      </c>
      <c r="H8" s="92">
        <f t="shared" ca="1" si="4"/>
        <v>72.583655552635776</v>
      </c>
      <c r="I8" s="92">
        <f t="shared" ca="1" si="4"/>
        <v>84.761907201914681</v>
      </c>
      <c r="J8" s="92">
        <f t="shared" ca="1" si="4"/>
        <v>29.839671505487047</v>
      </c>
      <c r="K8" s="92">
        <f t="shared" ca="1" si="4"/>
        <v>5.1673294195766468</v>
      </c>
      <c r="L8" s="92">
        <f t="shared" ca="1" si="4"/>
        <v>92.552655027512813</v>
      </c>
      <c r="M8" s="92">
        <f t="shared" ca="1" si="4"/>
        <v>3.5845406059037472</v>
      </c>
      <c r="N8" s="92">
        <f t="shared" ca="1" si="4"/>
        <v>17.908956711660569</v>
      </c>
      <c r="O8" s="92">
        <f t="shared" ca="1" si="4"/>
        <v>2.3116214654767653</v>
      </c>
      <c r="P8" s="92">
        <f t="shared" ca="1" si="4"/>
        <v>57.127130819732905</v>
      </c>
      <c r="Q8" s="92">
        <f t="shared" ca="1" si="4"/>
        <v>4.0293770860028681</v>
      </c>
      <c r="R8" s="92">
        <f t="shared" ca="1" si="4"/>
        <v>5.3881272171602355</v>
      </c>
      <c r="S8" s="92">
        <f t="shared" ca="1" si="4"/>
        <v>11.875719400110667</v>
      </c>
      <c r="T8" s="92">
        <f t="shared" ca="1" si="4"/>
        <v>45.34998335170107</v>
      </c>
      <c r="U8" s="92">
        <f t="shared" ca="1" si="4"/>
        <v>110.4780843354543</v>
      </c>
      <c r="V8" s="92">
        <f t="shared" ca="1" si="4"/>
        <v>117.43418130157509</v>
      </c>
      <c r="W8" s="89">
        <f t="shared" ca="1" si="4"/>
        <v>133.06530612014367</v>
      </c>
      <c r="X8" s="89">
        <f t="shared" ca="1" si="4"/>
        <v>3.1922032208508497</v>
      </c>
      <c r="Y8" s="89">
        <f t="shared" ca="1" si="4"/>
        <v>46.476618334602939</v>
      </c>
      <c r="Z8" s="89">
        <f t="shared" ca="1" si="4"/>
        <v>42.772320458560806</v>
      </c>
      <c r="AA8" s="89">
        <f t="shared" ca="1" si="4"/>
        <v>120.32835022044925</v>
      </c>
      <c r="AB8" s="89">
        <f t="shared" ca="1" si="4"/>
        <v>7.6458933513349336</v>
      </c>
      <c r="AC8" s="89">
        <f t="shared" ca="1" si="4"/>
        <v>99.154949082144697</v>
      </c>
      <c r="AD8" s="89">
        <f t="shared" ca="1" si="4"/>
        <v>184.66251368521239</v>
      </c>
      <c r="AE8" s="89">
        <f t="shared" ca="1" si="4"/>
        <v>9.1018022852969516</v>
      </c>
      <c r="AF8" s="89">
        <f t="shared" ca="1" si="4"/>
        <v>146.35229931352009</v>
      </c>
      <c r="AG8" s="89">
        <f t="shared" ca="1" si="4"/>
        <v>665.41431519541811</v>
      </c>
      <c r="AH8" s="89">
        <f t="shared" ca="1" si="4"/>
        <v>94.995150603797157</v>
      </c>
      <c r="AI8" s="89">
        <f t="shared" ca="1" si="4"/>
        <v>413.69949052838348</v>
      </c>
      <c r="AJ8" s="89">
        <f t="shared" ca="1" si="4"/>
        <v>338.07985251408115</v>
      </c>
      <c r="AK8" s="89">
        <f t="shared" ca="1" si="4"/>
        <v>36.101252428380256</v>
      </c>
      <c r="AL8" s="89">
        <f t="shared" ca="1" si="4"/>
        <v>88.350110964007044</v>
      </c>
      <c r="AM8" s="89">
        <f t="shared" ca="1" si="4"/>
        <v>99.768664822286482</v>
      </c>
      <c r="AN8" s="89">
        <f t="shared" ca="1" si="4"/>
        <v>62.563937206647225</v>
      </c>
      <c r="AO8" s="89">
        <f t="shared" ca="1" si="4"/>
        <v>20.676556893039173</v>
      </c>
      <c r="AP8" s="89">
        <f t="shared" ca="1" si="4"/>
        <v>75.232404631733345</v>
      </c>
      <c r="AQ8" s="89">
        <f t="shared" ca="1" si="4"/>
        <v>28.865730648325339</v>
      </c>
      <c r="AR8" s="89">
        <f t="shared" ca="1" si="4"/>
        <v>140.04423162835761</v>
      </c>
      <c r="AS8" s="89">
        <f t="shared" ca="1" si="4"/>
        <v>6.1827644598127369</v>
      </c>
      <c r="AT8" s="89">
        <f t="shared" ca="1" si="4"/>
        <v>201.97422939870876</v>
      </c>
      <c r="AU8" s="89">
        <f t="shared" ca="1" si="4"/>
        <v>84.059565690747377</v>
      </c>
      <c r="AV8" s="89">
        <f t="shared" ca="1" si="4"/>
        <v>253.60210451355772</v>
      </c>
      <c r="AW8" s="89">
        <f t="shared" ca="1" si="4"/>
        <v>149.95030042311319</v>
      </c>
      <c r="AX8" s="89">
        <f t="shared" ca="1" si="4"/>
        <v>174.04541386587721</v>
      </c>
      <c r="AY8" s="89">
        <f t="shared" ca="1" si="4"/>
        <v>517.70174175255397</v>
      </c>
      <c r="AZ8" s="89">
        <f t="shared" ca="1" si="4"/>
        <v>32.395229052749087</v>
      </c>
      <c r="BA8" s="89">
        <f t="shared" ca="1" si="4"/>
        <v>126.40536302078371</v>
      </c>
      <c r="BB8" s="89">
        <f t="shared" ca="1" si="4"/>
        <v>99.414333192757695</v>
      </c>
      <c r="BC8" s="89">
        <f t="shared" ca="1" si="4"/>
        <v>165.25506235327458</v>
      </c>
      <c r="BD8" s="89">
        <f t="shared" ca="1" si="4"/>
        <v>40.145504402888925</v>
      </c>
      <c r="BE8" s="89">
        <f t="shared" ca="1" si="4"/>
        <v>91.206186737423607</v>
      </c>
      <c r="BF8" s="89">
        <f t="shared" ca="1" si="4"/>
        <v>87.346877166994219</v>
      </c>
      <c r="BG8" s="89">
        <f t="shared" ca="1" si="4"/>
        <v>5.104930661928746</v>
      </c>
      <c r="BH8" s="89">
        <f t="shared" ca="1" si="4"/>
        <v>9.2042612899529281</v>
      </c>
      <c r="BI8" s="89">
        <f t="shared" ca="1" si="4"/>
        <v>142.16577689813093</v>
      </c>
      <c r="BJ8" s="89">
        <f t="shared" ca="1" si="4"/>
        <v>106.68823809199728</v>
      </c>
      <c r="BK8" s="89">
        <f t="shared" ca="1" si="4"/>
        <v>57.240905633783612</v>
      </c>
      <c r="BL8" s="89">
        <f t="shared" ca="1" si="4"/>
        <v>91.403805966001499</v>
      </c>
      <c r="BM8" s="89">
        <f t="shared" ca="1" si="4"/>
        <v>359.77655303159526</v>
      </c>
      <c r="BN8" s="89">
        <f t="shared" ca="1" si="4"/>
        <v>278.14689279702594</v>
      </c>
      <c r="BO8" s="89">
        <f t="shared" ref="BO8:DC8" ca="1" si="5">-LN(BO7)/0.01</f>
        <v>36.099136510384682</v>
      </c>
      <c r="BP8" s="89">
        <f t="shared" ca="1" si="5"/>
        <v>80.156065095133073</v>
      </c>
      <c r="BQ8" s="89">
        <f t="shared" ca="1" si="5"/>
        <v>13.276655581877074</v>
      </c>
      <c r="BR8" s="89">
        <f t="shared" ca="1" si="5"/>
        <v>31.884836285501873</v>
      </c>
      <c r="BS8" s="89">
        <f t="shared" ca="1" si="5"/>
        <v>80.730284162356725</v>
      </c>
      <c r="BT8" s="89">
        <f t="shared" ca="1" si="5"/>
        <v>143.8179373782404</v>
      </c>
      <c r="BU8" s="89">
        <f t="shared" ca="1" si="5"/>
        <v>47.233663968018348</v>
      </c>
      <c r="BV8" s="89">
        <f t="shared" ca="1" si="5"/>
        <v>39.858871049644826</v>
      </c>
      <c r="BW8" s="89">
        <f t="shared" ca="1" si="5"/>
        <v>6.5703112326806918</v>
      </c>
      <c r="BX8" s="89">
        <f t="shared" ca="1" si="5"/>
        <v>114.73313620677101</v>
      </c>
      <c r="BY8" s="89">
        <f t="shared" ca="1" si="5"/>
        <v>179.28900155146948</v>
      </c>
      <c r="BZ8" s="89">
        <f t="shared" ca="1" si="5"/>
        <v>102.54711473667284</v>
      </c>
      <c r="CA8" s="89">
        <f t="shared" ca="1" si="5"/>
        <v>10.683550261237263</v>
      </c>
      <c r="CB8" s="89">
        <f t="shared" ca="1" si="5"/>
        <v>327.23431812198351</v>
      </c>
      <c r="CC8" s="89">
        <f t="shared" ca="1" si="5"/>
        <v>426.15528709728966</v>
      </c>
      <c r="CD8" s="89">
        <f t="shared" ca="1" si="5"/>
        <v>89.912954259792926</v>
      </c>
      <c r="CE8" s="89">
        <f t="shared" ca="1" si="5"/>
        <v>83.862828114000209</v>
      </c>
      <c r="CF8" s="89">
        <f t="shared" ca="1" si="5"/>
        <v>191.05497116793649</v>
      </c>
      <c r="CG8" s="89">
        <f t="shared" ca="1" si="5"/>
        <v>43.508044396536867</v>
      </c>
      <c r="CH8" s="89">
        <f t="shared" ca="1" si="5"/>
        <v>93.207352513633381</v>
      </c>
      <c r="CI8" s="89">
        <f t="shared" ca="1" si="5"/>
        <v>80.086528025307658</v>
      </c>
      <c r="CJ8" s="89">
        <f t="shared" ca="1" si="5"/>
        <v>53.609288077915714</v>
      </c>
      <c r="CK8" s="89">
        <f t="shared" ca="1" si="5"/>
        <v>306.74561601360818</v>
      </c>
      <c r="CL8" s="89">
        <f t="shared" ca="1" si="5"/>
        <v>123.08302239213693</v>
      </c>
      <c r="CM8" s="89">
        <f t="shared" ca="1" si="5"/>
        <v>229.02305075974459</v>
      </c>
      <c r="CN8" s="89">
        <f t="shared" ca="1" si="5"/>
        <v>17.531379360753089</v>
      </c>
      <c r="CO8" s="89">
        <f t="shared" ca="1" si="5"/>
        <v>46.833562782334944</v>
      </c>
      <c r="CP8" s="89">
        <f t="shared" ca="1" si="5"/>
        <v>47.299710418211085</v>
      </c>
      <c r="CQ8" s="89">
        <f t="shared" ca="1" si="5"/>
        <v>196.14578808148411</v>
      </c>
      <c r="CR8" s="89">
        <f t="shared" ca="1" si="5"/>
        <v>237.823077229061</v>
      </c>
      <c r="CS8" s="89">
        <f t="shared" ca="1" si="5"/>
        <v>215.07657962763344</v>
      </c>
      <c r="CT8" s="89">
        <f t="shared" ca="1" si="5"/>
        <v>18.714014708594128</v>
      </c>
      <c r="CU8" s="89">
        <f t="shared" ca="1" si="5"/>
        <v>25.395035433591943</v>
      </c>
      <c r="CV8" s="89">
        <f t="shared" ca="1" si="5"/>
        <v>2.9696871626530092</v>
      </c>
      <c r="CW8" s="89">
        <f t="shared" ca="1" si="5"/>
        <v>113.38103925062414</v>
      </c>
      <c r="CX8" s="89">
        <f t="shared" ca="1" si="5"/>
        <v>73.920698143543973</v>
      </c>
      <c r="CY8" s="89">
        <f t="shared" ca="1" si="5"/>
        <v>132.39619598751321</v>
      </c>
      <c r="CZ8" s="89">
        <f t="shared" ca="1" si="5"/>
        <v>24.281461544814569</v>
      </c>
      <c r="DA8" s="89">
        <f t="shared" ca="1" si="5"/>
        <v>64.360308817392777</v>
      </c>
      <c r="DB8" s="89">
        <f t="shared" ca="1" si="5"/>
        <v>166.08830593778725</v>
      </c>
      <c r="DC8" s="89">
        <f t="shared" ca="1" si="5"/>
        <v>307.84613123407172</v>
      </c>
    </row>
    <row r="9" spans="1:107" x14ac:dyDescent="0.2">
      <c r="V9" s="4">
        <f ca="1">AVERAGE(B8:V8)</f>
        <v>51.186459867215866</v>
      </c>
    </row>
    <row r="10" spans="1:107" x14ac:dyDescent="0.2">
      <c r="V10" s="89">
        <f ca="1">AVERAGE(B8:DC8)</f>
        <v>109.76700426820472</v>
      </c>
    </row>
    <row r="11" spans="1:107" x14ac:dyDescent="0.2">
      <c r="B11" t="s">
        <v>181</v>
      </c>
      <c r="C11" t="s">
        <v>182</v>
      </c>
      <c r="D11" t="s">
        <v>183</v>
      </c>
      <c r="F11" t="s">
        <v>185</v>
      </c>
      <c r="G11" t="s">
        <v>186</v>
      </c>
    </row>
    <row r="12" spans="1:107" x14ac:dyDescent="0.2">
      <c r="B12">
        <v>0</v>
      </c>
      <c r="C12">
        <v>20</v>
      </c>
      <c r="D12">
        <f t="array" aca="1" ref="D12:D31" ca="1">FREQUENCY(B8:V8,C12:C31)</f>
        <v>9</v>
      </c>
      <c r="E12">
        <f ca="1">D12</f>
        <v>9</v>
      </c>
      <c r="F12">
        <f ca="1">E12/$D$32</f>
        <v>0.42857142857142855</v>
      </c>
      <c r="G12">
        <f ca="1">1-F12</f>
        <v>0.5714285714285714</v>
      </c>
      <c r="H12">
        <v>1</v>
      </c>
      <c r="I12">
        <f ca="1">G12*H12</f>
        <v>0.5714285714285714</v>
      </c>
    </row>
    <row r="13" spans="1:107" x14ac:dyDescent="0.2">
      <c r="B13">
        <f>B12+20</f>
        <v>20</v>
      </c>
      <c r="C13">
        <f>C12+20</f>
        <v>40</v>
      </c>
      <c r="D13">
        <f ca="1"/>
        <v>2</v>
      </c>
      <c r="E13">
        <f ca="1">E12+D13</f>
        <v>11</v>
      </c>
      <c r="F13">
        <f t="shared" ref="F13:F31" ca="1" si="6">E13/$D$32</f>
        <v>0.52380952380952384</v>
      </c>
      <c r="G13">
        <f t="shared" ref="G13:G31" ca="1" si="7">1-F13</f>
        <v>0.47619047619047616</v>
      </c>
      <c r="H13">
        <v>4</v>
      </c>
      <c r="I13">
        <f t="shared" ref="I13:I31" ca="1" si="8">G13*H13</f>
        <v>1.9047619047619047</v>
      </c>
    </row>
    <row r="14" spans="1:107" x14ac:dyDescent="0.2">
      <c r="B14">
        <f t="shared" ref="B14:B31" si="9">B13+20</f>
        <v>40</v>
      </c>
      <c r="C14">
        <f t="shared" ref="C14:C31" si="10">C13+20</f>
        <v>60</v>
      </c>
      <c r="D14">
        <f ca="1"/>
        <v>2</v>
      </c>
      <c r="E14">
        <f t="shared" ref="E14:E31" ca="1" si="11">E13+D14</f>
        <v>13</v>
      </c>
      <c r="F14">
        <f t="shared" ca="1" si="6"/>
        <v>0.61904761904761907</v>
      </c>
      <c r="G14">
        <f t="shared" ca="1" si="7"/>
        <v>0.38095238095238093</v>
      </c>
      <c r="H14">
        <v>2</v>
      </c>
      <c r="I14">
        <f t="shared" ca="1" si="8"/>
        <v>0.76190476190476186</v>
      </c>
    </row>
    <row r="15" spans="1:107" x14ac:dyDescent="0.2">
      <c r="B15">
        <f t="shared" si="9"/>
        <v>60</v>
      </c>
      <c r="C15">
        <f t="shared" si="10"/>
        <v>80</v>
      </c>
      <c r="D15">
        <f ca="1"/>
        <v>2</v>
      </c>
      <c r="E15">
        <f t="shared" ca="1" si="11"/>
        <v>15</v>
      </c>
      <c r="F15">
        <f t="shared" ca="1" si="6"/>
        <v>0.7142857142857143</v>
      </c>
      <c r="G15">
        <f t="shared" ca="1" si="7"/>
        <v>0.2857142857142857</v>
      </c>
      <c r="H15">
        <v>4</v>
      </c>
      <c r="I15">
        <f t="shared" ca="1" si="8"/>
        <v>1.1428571428571428</v>
      </c>
    </row>
    <row r="16" spans="1:107" x14ac:dyDescent="0.2">
      <c r="B16">
        <f t="shared" si="9"/>
        <v>80</v>
      </c>
      <c r="C16">
        <f t="shared" si="10"/>
        <v>100</v>
      </c>
      <c r="D16">
        <f ca="1"/>
        <v>2</v>
      </c>
      <c r="E16">
        <f t="shared" ca="1" si="11"/>
        <v>17</v>
      </c>
      <c r="F16">
        <f t="shared" ca="1" si="6"/>
        <v>0.80952380952380953</v>
      </c>
      <c r="G16">
        <f t="shared" ca="1" si="7"/>
        <v>0.19047619047619047</v>
      </c>
      <c r="H16">
        <v>2</v>
      </c>
      <c r="I16">
        <f t="shared" ca="1" si="8"/>
        <v>0.38095238095238093</v>
      </c>
    </row>
    <row r="17" spans="2:9" x14ac:dyDescent="0.2">
      <c r="B17">
        <f t="shared" si="9"/>
        <v>100</v>
      </c>
      <c r="C17">
        <f t="shared" si="10"/>
        <v>120</v>
      </c>
      <c r="D17">
        <f ca="1"/>
        <v>3</v>
      </c>
      <c r="E17">
        <f t="shared" ca="1" si="11"/>
        <v>20</v>
      </c>
      <c r="F17">
        <f t="shared" ca="1" si="6"/>
        <v>0.95238095238095233</v>
      </c>
      <c r="G17">
        <f t="shared" ca="1" si="7"/>
        <v>4.7619047619047672E-2</v>
      </c>
      <c r="H17">
        <v>4</v>
      </c>
      <c r="I17">
        <f t="shared" ca="1" si="8"/>
        <v>0.19047619047619069</v>
      </c>
    </row>
    <row r="18" spans="2:9" x14ac:dyDescent="0.2">
      <c r="B18">
        <f t="shared" si="9"/>
        <v>120</v>
      </c>
      <c r="C18">
        <f t="shared" si="10"/>
        <v>140</v>
      </c>
      <c r="D18">
        <f ca="1"/>
        <v>0</v>
      </c>
      <c r="E18">
        <f t="shared" ca="1" si="11"/>
        <v>20</v>
      </c>
      <c r="F18">
        <f t="shared" ca="1" si="6"/>
        <v>0.95238095238095233</v>
      </c>
      <c r="G18">
        <f t="shared" ca="1" si="7"/>
        <v>4.7619047619047672E-2</v>
      </c>
      <c r="H18">
        <v>2</v>
      </c>
      <c r="I18">
        <f t="shared" ca="1" si="8"/>
        <v>9.5238095238095344E-2</v>
      </c>
    </row>
    <row r="19" spans="2:9" x14ac:dyDescent="0.2">
      <c r="B19">
        <f t="shared" si="9"/>
        <v>140</v>
      </c>
      <c r="C19">
        <f t="shared" si="10"/>
        <v>160</v>
      </c>
      <c r="D19">
        <f ca="1"/>
        <v>0</v>
      </c>
      <c r="E19">
        <f t="shared" ca="1" si="11"/>
        <v>20</v>
      </c>
      <c r="F19">
        <f t="shared" ca="1" si="6"/>
        <v>0.95238095238095233</v>
      </c>
      <c r="G19">
        <f t="shared" ca="1" si="7"/>
        <v>4.7619047619047672E-2</v>
      </c>
      <c r="H19">
        <v>4</v>
      </c>
      <c r="I19">
        <f t="shared" ca="1" si="8"/>
        <v>0.19047619047619069</v>
      </c>
    </row>
    <row r="20" spans="2:9" x14ac:dyDescent="0.2">
      <c r="B20">
        <f t="shared" si="9"/>
        <v>160</v>
      </c>
      <c r="C20">
        <f t="shared" si="10"/>
        <v>180</v>
      </c>
      <c r="D20">
        <f ca="1"/>
        <v>0</v>
      </c>
      <c r="E20">
        <f t="shared" ca="1" si="11"/>
        <v>20</v>
      </c>
      <c r="F20">
        <f t="shared" ca="1" si="6"/>
        <v>0.95238095238095233</v>
      </c>
      <c r="G20">
        <f t="shared" ca="1" si="7"/>
        <v>4.7619047619047672E-2</v>
      </c>
      <c r="H20">
        <v>2</v>
      </c>
      <c r="I20">
        <f t="shared" ca="1" si="8"/>
        <v>9.5238095238095344E-2</v>
      </c>
    </row>
    <row r="21" spans="2:9" x14ac:dyDescent="0.2">
      <c r="B21">
        <f t="shared" si="9"/>
        <v>180</v>
      </c>
      <c r="C21">
        <f t="shared" si="10"/>
        <v>200</v>
      </c>
      <c r="D21">
        <f ca="1"/>
        <v>1</v>
      </c>
      <c r="E21">
        <f t="shared" ca="1" si="11"/>
        <v>21</v>
      </c>
      <c r="F21">
        <f t="shared" ca="1" si="6"/>
        <v>1</v>
      </c>
      <c r="G21">
        <f t="shared" ca="1" si="7"/>
        <v>0</v>
      </c>
      <c r="H21">
        <v>4</v>
      </c>
      <c r="I21">
        <f t="shared" ca="1" si="8"/>
        <v>0</v>
      </c>
    </row>
    <row r="22" spans="2:9" x14ac:dyDescent="0.2">
      <c r="B22">
        <f t="shared" si="9"/>
        <v>200</v>
      </c>
      <c r="C22">
        <f t="shared" si="10"/>
        <v>220</v>
      </c>
      <c r="D22">
        <f ca="1"/>
        <v>0</v>
      </c>
      <c r="E22">
        <f t="shared" ca="1" si="11"/>
        <v>21</v>
      </c>
      <c r="F22">
        <f t="shared" ca="1" si="6"/>
        <v>1</v>
      </c>
      <c r="G22">
        <f t="shared" ca="1" si="7"/>
        <v>0</v>
      </c>
      <c r="H22">
        <v>2</v>
      </c>
      <c r="I22">
        <f t="shared" ca="1" si="8"/>
        <v>0</v>
      </c>
    </row>
    <row r="23" spans="2:9" x14ac:dyDescent="0.2">
      <c r="B23">
        <f t="shared" si="9"/>
        <v>220</v>
      </c>
      <c r="C23">
        <f t="shared" si="10"/>
        <v>240</v>
      </c>
      <c r="D23">
        <f ca="1"/>
        <v>0</v>
      </c>
      <c r="E23">
        <f t="shared" ca="1" si="11"/>
        <v>21</v>
      </c>
      <c r="F23">
        <f t="shared" ca="1" si="6"/>
        <v>1</v>
      </c>
      <c r="G23">
        <f t="shared" ca="1" si="7"/>
        <v>0</v>
      </c>
      <c r="H23">
        <v>4</v>
      </c>
      <c r="I23">
        <f t="shared" ca="1" si="8"/>
        <v>0</v>
      </c>
    </row>
    <row r="24" spans="2:9" x14ac:dyDescent="0.2">
      <c r="B24">
        <f t="shared" si="9"/>
        <v>240</v>
      </c>
      <c r="C24">
        <f t="shared" si="10"/>
        <v>260</v>
      </c>
      <c r="D24">
        <f ca="1"/>
        <v>0</v>
      </c>
      <c r="E24">
        <f t="shared" ca="1" si="11"/>
        <v>21</v>
      </c>
      <c r="F24">
        <f t="shared" ca="1" si="6"/>
        <v>1</v>
      </c>
      <c r="G24">
        <f t="shared" ca="1" si="7"/>
        <v>0</v>
      </c>
      <c r="H24">
        <v>2</v>
      </c>
      <c r="I24">
        <f t="shared" ca="1" si="8"/>
        <v>0</v>
      </c>
    </row>
    <row r="25" spans="2:9" x14ac:dyDescent="0.2">
      <c r="B25">
        <f t="shared" si="9"/>
        <v>260</v>
      </c>
      <c r="C25">
        <f t="shared" si="10"/>
        <v>280</v>
      </c>
      <c r="D25">
        <f ca="1"/>
        <v>0</v>
      </c>
      <c r="E25">
        <f t="shared" ca="1" si="11"/>
        <v>21</v>
      </c>
      <c r="F25">
        <f t="shared" ca="1" si="6"/>
        <v>1</v>
      </c>
      <c r="G25">
        <f t="shared" ca="1" si="7"/>
        <v>0</v>
      </c>
      <c r="H25">
        <v>4</v>
      </c>
      <c r="I25">
        <f t="shared" ca="1" si="8"/>
        <v>0</v>
      </c>
    </row>
    <row r="26" spans="2:9" x14ac:dyDescent="0.2">
      <c r="B26">
        <f t="shared" si="9"/>
        <v>280</v>
      </c>
      <c r="C26">
        <f t="shared" si="10"/>
        <v>300</v>
      </c>
      <c r="D26">
        <f ca="1"/>
        <v>0</v>
      </c>
      <c r="E26">
        <f t="shared" ca="1" si="11"/>
        <v>21</v>
      </c>
      <c r="F26">
        <f t="shared" ca="1" si="6"/>
        <v>1</v>
      </c>
      <c r="G26">
        <f t="shared" ca="1" si="7"/>
        <v>0</v>
      </c>
      <c r="H26">
        <v>2</v>
      </c>
      <c r="I26">
        <f t="shared" ca="1" si="8"/>
        <v>0</v>
      </c>
    </row>
    <row r="27" spans="2:9" x14ac:dyDescent="0.2">
      <c r="B27">
        <f t="shared" si="9"/>
        <v>300</v>
      </c>
      <c r="C27">
        <f t="shared" si="10"/>
        <v>320</v>
      </c>
      <c r="D27">
        <f ca="1"/>
        <v>0</v>
      </c>
      <c r="E27">
        <f t="shared" ca="1" si="11"/>
        <v>21</v>
      </c>
      <c r="F27">
        <f t="shared" ca="1" si="6"/>
        <v>1</v>
      </c>
      <c r="G27">
        <f t="shared" ca="1" si="7"/>
        <v>0</v>
      </c>
      <c r="H27">
        <v>4</v>
      </c>
      <c r="I27">
        <f t="shared" ca="1" si="8"/>
        <v>0</v>
      </c>
    </row>
    <row r="28" spans="2:9" x14ac:dyDescent="0.2">
      <c r="B28">
        <f t="shared" si="9"/>
        <v>320</v>
      </c>
      <c r="C28">
        <f t="shared" si="10"/>
        <v>340</v>
      </c>
      <c r="D28">
        <f ca="1"/>
        <v>0</v>
      </c>
      <c r="E28">
        <f t="shared" ca="1" si="11"/>
        <v>21</v>
      </c>
      <c r="F28">
        <f t="shared" ca="1" si="6"/>
        <v>1</v>
      </c>
      <c r="G28">
        <f t="shared" ca="1" si="7"/>
        <v>0</v>
      </c>
      <c r="H28">
        <v>2</v>
      </c>
      <c r="I28">
        <f t="shared" ca="1" si="8"/>
        <v>0</v>
      </c>
    </row>
    <row r="29" spans="2:9" x14ac:dyDescent="0.2">
      <c r="B29">
        <f t="shared" si="9"/>
        <v>340</v>
      </c>
      <c r="C29">
        <f t="shared" si="10"/>
        <v>360</v>
      </c>
      <c r="D29">
        <f ca="1"/>
        <v>0</v>
      </c>
      <c r="E29">
        <f t="shared" ca="1" si="11"/>
        <v>21</v>
      </c>
      <c r="F29">
        <f t="shared" ca="1" si="6"/>
        <v>1</v>
      </c>
      <c r="G29">
        <f t="shared" ca="1" si="7"/>
        <v>0</v>
      </c>
      <c r="H29">
        <v>4</v>
      </c>
      <c r="I29">
        <f t="shared" ca="1" si="8"/>
        <v>0</v>
      </c>
    </row>
    <row r="30" spans="2:9" x14ac:dyDescent="0.2">
      <c r="B30">
        <f t="shared" si="9"/>
        <v>360</v>
      </c>
      <c r="C30">
        <f t="shared" si="10"/>
        <v>380</v>
      </c>
      <c r="D30">
        <f ca="1"/>
        <v>0</v>
      </c>
      <c r="E30">
        <f t="shared" ca="1" si="11"/>
        <v>21</v>
      </c>
      <c r="F30">
        <f t="shared" ca="1" si="6"/>
        <v>1</v>
      </c>
      <c r="G30">
        <f t="shared" ca="1" si="7"/>
        <v>0</v>
      </c>
      <c r="H30">
        <v>2</v>
      </c>
      <c r="I30">
        <f t="shared" ca="1" si="8"/>
        <v>0</v>
      </c>
    </row>
    <row r="31" spans="2:9" x14ac:dyDescent="0.2">
      <c r="B31">
        <f t="shared" si="9"/>
        <v>380</v>
      </c>
      <c r="C31">
        <f t="shared" si="10"/>
        <v>400</v>
      </c>
      <c r="D31">
        <f ca="1"/>
        <v>0</v>
      </c>
      <c r="E31">
        <f t="shared" ca="1" si="11"/>
        <v>21</v>
      </c>
      <c r="F31">
        <f t="shared" ca="1" si="6"/>
        <v>1</v>
      </c>
      <c r="G31">
        <f t="shared" ca="1" si="7"/>
        <v>0</v>
      </c>
      <c r="H31">
        <v>1</v>
      </c>
      <c r="I31">
        <f t="shared" ca="1" si="8"/>
        <v>0</v>
      </c>
    </row>
    <row r="32" spans="2:9" x14ac:dyDescent="0.2">
      <c r="D32">
        <f ca="1">SUM(D12:D31)</f>
        <v>21</v>
      </c>
      <c r="I32">
        <f ca="1">SUM(I12:I31)</f>
        <v>5.3333333333333357</v>
      </c>
    </row>
    <row r="33" spans="8:9" x14ac:dyDescent="0.2">
      <c r="H33" s="86" t="s">
        <v>187</v>
      </c>
      <c r="I33" s="86">
        <f ca="1">I32*C12/3</f>
        <v>35.555555555555571</v>
      </c>
    </row>
    <row r="34" spans="8:9" x14ac:dyDescent="0.2">
      <c r="H34" s="86" t="s">
        <v>188</v>
      </c>
      <c r="I34" s="86">
        <f ca="1">1/I33</f>
        <v>2.8124999999999987E-2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08"/>
  <sheetViews>
    <sheetView topLeftCell="A4" zoomScale="88" zoomScaleNormal="84" zoomScaleSheetLayoutView="100" workbookViewId="0">
      <selection activeCell="H42" sqref="H42"/>
    </sheetView>
  </sheetViews>
  <sheetFormatPr baseColWidth="10" defaultColWidth="8.83203125" defaultRowHeight="15" x14ac:dyDescent="0.2"/>
  <cols>
    <col min="1" max="1" width="11.83203125" customWidth="1"/>
    <col min="3" max="3" width="12" bestFit="1" customWidth="1"/>
    <col min="5" max="5" width="23.1640625" customWidth="1"/>
    <col min="6" max="6" width="21.1640625" customWidth="1"/>
    <col min="7" max="7" width="25" customWidth="1"/>
    <col min="8" max="8" width="24.83203125" customWidth="1"/>
    <col min="9" max="10" width="13" customWidth="1"/>
    <col min="11" max="11" width="7.5" customWidth="1"/>
    <col min="12" max="12" width="12.5" customWidth="1"/>
    <col min="13" max="13" width="10.33203125" customWidth="1"/>
    <col min="14" max="14" width="19.5" customWidth="1"/>
    <col min="22" max="22" width="16.1640625" customWidth="1"/>
    <col min="27" max="27" width="9.1640625" customWidth="1"/>
    <col min="29" max="29" width="8.83203125" customWidth="1"/>
    <col min="46" max="46" width="12.5" bestFit="1" customWidth="1"/>
  </cols>
  <sheetData>
    <row r="1" spans="1:14" x14ac:dyDescent="0.2">
      <c r="A1" s="4"/>
      <c r="B1" s="4" t="s">
        <v>62</v>
      </c>
      <c r="C1" s="4"/>
      <c r="D1" s="4"/>
      <c r="E1" s="4" t="s">
        <v>225</v>
      </c>
      <c r="F1" s="4" t="s">
        <v>199</v>
      </c>
      <c r="G1" s="4" t="s">
        <v>200</v>
      </c>
      <c r="H1" s="4"/>
      <c r="I1" s="4" t="s">
        <v>201</v>
      </c>
      <c r="J1" s="4"/>
      <c r="K1" s="4"/>
      <c r="L1" s="4"/>
      <c r="M1" s="4"/>
      <c r="N1" s="4"/>
    </row>
    <row r="2" spans="1:14" x14ac:dyDescent="0.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</row>
    <row r="3" spans="1:14" ht="16" thickBot="1" x14ac:dyDescent="0.25">
      <c r="A3" s="4" t="s">
        <v>7</v>
      </c>
      <c r="B3" s="4" t="s">
        <v>8</v>
      </c>
      <c r="N3" s="36"/>
    </row>
    <row r="4" spans="1:14" ht="19" thickTop="1" thickBot="1" x14ac:dyDescent="0.3">
      <c r="A4" s="3" t="s">
        <v>0</v>
      </c>
      <c r="B4" s="3" t="s">
        <v>2</v>
      </c>
      <c r="C4" s="3" t="s">
        <v>3</v>
      </c>
      <c r="D4" s="1" t="s">
        <v>4</v>
      </c>
      <c r="E4" s="13" t="s">
        <v>5</v>
      </c>
      <c r="F4" s="13" t="s">
        <v>6</v>
      </c>
      <c r="N4" s="36"/>
    </row>
    <row r="5" spans="1:14" ht="17" thickTop="1" thickBot="1" x14ac:dyDescent="0.25">
      <c r="A5" s="3"/>
      <c r="B5" s="3">
        <v>0.7</v>
      </c>
      <c r="C5" s="3">
        <v>0.9</v>
      </c>
      <c r="D5" s="35">
        <v>0.8</v>
      </c>
      <c r="E5" s="31">
        <f>B5*C5*D5</f>
        <v>0.504</v>
      </c>
      <c r="F5" s="32">
        <f>1-E5</f>
        <v>0.496</v>
      </c>
      <c r="N5" s="36"/>
    </row>
    <row r="6" spans="1:14" x14ac:dyDescent="0.2">
      <c r="E6" s="105"/>
      <c r="F6" s="105"/>
      <c r="N6" s="36"/>
    </row>
    <row r="7" spans="1:14" x14ac:dyDescent="0.2">
      <c r="E7" s="105"/>
      <c r="F7" s="105"/>
      <c r="N7" s="36"/>
    </row>
    <row r="8" spans="1:14" ht="16" thickBot="1" x14ac:dyDescent="0.25">
      <c r="A8" s="36"/>
      <c r="B8" s="36"/>
      <c r="C8" s="36"/>
      <c r="D8" s="36"/>
      <c r="E8" s="39"/>
      <c r="F8" s="39"/>
      <c r="G8" s="36"/>
      <c r="H8" s="36"/>
      <c r="I8" s="36"/>
      <c r="J8" s="36"/>
      <c r="K8" s="36"/>
      <c r="L8" s="36"/>
      <c r="M8" s="36"/>
      <c r="N8" s="36"/>
    </row>
    <row r="9" spans="1:14" ht="17" thickTop="1" thickBot="1" x14ac:dyDescent="0.25">
      <c r="A9" s="4" t="s">
        <v>9</v>
      </c>
      <c r="B9" s="4" t="s">
        <v>8</v>
      </c>
      <c r="E9" t="s">
        <v>160</v>
      </c>
      <c r="G9" s="14" t="s">
        <v>177</v>
      </c>
      <c r="I9" s="65" t="s">
        <v>176</v>
      </c>
      <c r="J9" s="66"/>
      <c r="K9" s="66"/>
      <c r="L9" s="67"/>
      <c r="M9" s="68"/>
      <c r="N9" s="36"/>
    </row>
    <row r="10" spans="1:14" ht="27" customHeight="1" thickTop="1" thickBot="1" x14ac:dyDescent="0.25">
      <c r="A10" s="5" t="s">
        <v>10</v>
      </c>
      <c r="B10" s="3">
        <v>1.0000000000000001E-5</v>
      </c>
      <c r="C10" s="3" t="s">
        <v>11</v>
      </c>
      <c r="D10" s="1">
        <v>10000</v>
      </c>
      <c r="E10" s="14" t="s">
        <v>299</v>
      </c>
      <c r="F10" s="14" t="s">
        <v>12</v>
      </c>
      <c r="G10" s="64" t="s">
        <v>178</v>
      </c>
      <c r="H10" s="19" t="s">
        <v>202</v>
      </c>
      <c r="I10" s="69"/>
      <c r="J10" s="70"/>
      <c r="K10" s="70"/>
      <c r="L10" s="71"/>
      <c r="N10" s="36"/>
    </row>
    <row r="11" spans="1:14" ht="17" thickTop="1" thickBot="1" x14ac:dyDescent="0.25">
      <c r="A11" s="3" t="s">
        <v>13</v>
      </c>
      <c r="B11" s="3">
        <v>1000</v>
      </c>
      <c r="C11" s="3" t="s">
        <v>14</v>
      </c>
      <c r="D11" s="1">
        <v>10000</v>
      </c>
      <c r="E11" s="33">
        <f>EXP(-B10*D10)</f>
        <v>0.90483741803595952</v>
      </c>
      <c r="F11" s="33">
        <f>1-E11</f>
        <v>9.5162581964040482E-2</v>
      </c>
      <c r="G11" s="33">
        <f>EXP(-B10*(D11-B11))</f>
        <v>0.91393118527122819</v>
      </c>
      <c r="H11" s="18">
        <f>EXP(-B10*B11)-EXP(-B10*D11)</f>
        <v>8.5212415713208589E-2</v>
      </c>
      <c r="I11" s="72">
        <f>1-EXPONDIST(D10,B10,1)</f>
        <v>0.90483741803595952</v>
      </c>
      <c r="J11" s="73">
        <f>EXPONDIST(D10,B10,1)</f>
        <v>9.5162581964040427E-2</v>
      </c>
      <c r="K11" s="74">
        <f>(1-EXPONDIST(D11,B10,1))/(1-EXPONDIST(B11,B10,1))</f>
        <v>0.91393118527122807</v>
      </c>
      <c r="L11" s="75">
        <f>EXPONDIST(D11,B10,1)-EXPONDIST(B11,B10,1)</f>
        <v>8.5212415713208478E-2</v>
      </c>
      <c r="N11" s="36"/>
    </row>
    <row r="12" spans="1:14" x14ac:dyDescent="0.2">
      <c r="E12" s="104"/>
      <c r="F12" s="104"/>
      <c r="G12" s="104"/>
      <c r="H12" s="6"/>
      <c r="I12" s="6"/>
      <c r="J12" s="6"/>
      <c r="L12" s="6"/>
      <c r="N12" s="36"/>
    </row>
    <row r="13" spans="1:14" x14ac:dyDescent="0.2">
      <c r="E13" s="104"/>
      <c r="F13" s="104"/>
      <c r="G13" s="104"/>
      <c r="H13" s="6"/>
      <c r="I13" s="6"/>
      <c r="J13" s="6"/>
      <c r="L13" s="6"/>
      <c r="N13" s="36"/>
    </row>
    <row r="14" spans="1:14" x14ac:dyDescent="0.2">
      <c r="E14" s="104"/>
      <c r="F14" s="104"/>
      <c r="G14" s="104"/>
      <c r="H14" s="6"/>
      <c r="I14" s="6"/>
      <c r="J14" s="6"/>
      <c r="L14" s="6"/>
      <c r="N14" s="36"/>
    </row>
    <row r="15" spans="1:14" x14ac:dyDescent="0.2">
      <c r="E15" s="104"/>
      <c r="F15" s="104"/>
      <c r="G15" s="104"/>
      <c r="H15" s="6"/>
      <c r="I15" s="6"/>
      <c r="J15" s="6"/>
      <c r="L15" s="6"/>
      <c r="N15" s="36"/>
    </row>
    <row r="16" spans="1:14" x14ac:dyDescent="0.2">
      <c r="E16" s="104"/>
      <c r="F16" s="104"/>
      <c r="G16" s="104"/>
      <c r="H16" s="6"/>
      <c r="I16" s="6"/>
      <c r="J16" s="6"/>
      <c r="L16" s="6"/>
      <c r="N16" s="36"/>
    </row>
    <row r="17" spans="1:14" x14ac:dyDescent="0.2">
      <c r="A17" s="36"/>
      <c r="B17" s="36"/>
      <c r="C17" s="36"/>
      <c r="D17" s="36"/>
      <c r="E17" s="37"/>
      <c r="F17" s="37"/>
      <c r="G17" s="37"/>
      <c r="H17" s="38"/>
      <c r="I17" s="36"/>
      <c r="J17" s="36"/>
      <c r="K17" s="36"/>
      <c r="L17" s="36"/>
      <c r="M17" s="36"/>
      <c r="N17" s="36"/>
    </row>
    <row r="18" spans="1:14" ht="16" thickBot="1" x14ac:dyDescent="0.25">
      <c r="A18" s="4" t="s">
        <v>15</v>
      </c>
      <c r="B18" s="4" t="s">
        <v>16</v>
      </c>
      <c r="N18" s="36"/>
    </row>
    <row r="19" spans="1:14" ht="16" thickBot="1" x14ac:dyDescent="0.25">
      <c r="A19" s="3" t="s">
        <v>17</v>
      </c>
      <c r="B19" s="3" t="s">
        <v>18</v>
      </c>
      <c r="C19" s="1" t="s">
        <v>19</v>
      </c>
      <c r="D19" s="10"/>
      <c r="E19" s="14" t="s">
        <v>156</v>
      </c>
      <c r="F19" s="14" t="s">
        <v>157</v>
      </c>
      <c r="N19" s="36"/>
    </row>
    <row r="20" spans="1:14" ht="17" thickTop="1" thickBot="1" x14ac:dyDescent="0.25">
      <c r="A20" s="3">
        <v>1</v>
      </c>
      <c r="B20" s="3">
        <v>10</v>
      </c>
      <c r="C20" s="3">
        <v>1.9999999999999999E-6</v>
      </c>
      <c r="E20" s="15">
        <f>C20*B20+C21*B21+C22*B22+C23*B23</f>
        <v>1.9999999999999998E-4</v>
      </c>
      <c r="F20" s="15">
        <f>1/E20</f>
        <v>5000</v>
      </c>
      <c r="N20" s="36"/>
    </row>
    <row r="21" spans="1:14" ht="18" thickBot="1" x14ac:dyDescent="0.25">
      <c r="A21" s="3">
        <v>2</v>
      </c>
      <c r="B21" s="3">
        <v>15</v>
      </c>
      <c r="C21" s="3">
        <v>3.9999999999999998E-6</v>
      </c>
      <c r="E21" s="16" t="s">
        <v>155</v>
      </c>
      <c r="F21" s="16" t="s">
        <v>158</v>
      </c>
      <c r="G21" s="16" t="s">
        <v>21</v>
      </c>
      <c r="H21" s="16" t="s">
        <v>159</v>
      </c>
      <c r="J21" s="101" t="s">
        <v>233</v>
      </c>
      <c r="N21" s="36"/>
    </row>
    <row r="22" spans="1:14" ht="17" thickTop="1" thickBot="1" x14ac:dyDescent="0.25">
      <c r="A22" s="3">
        <v>3</v>
      </c>
      <c r="B22" s="3">
        <v>32</v>
      </c>
      <c r="C22" s="3">
        <v>2.5000000000000002E-6</v>
      </c>
      <c r="E22" s="7">
        <f>EXP(-E20*B24)</f>
        <v>0.98019867330675525</v>
      </c>
      <c r="F22" s="7">
        <f>EXP(-E20*B25)</f>
        <v>0.81873075307798182</v>
      </c>
      <c r="G22" s="7">
        <f>F22/E22</f>
        <v>0.835270211411272</v>
      </c>
      <c r="H22" s="12">
        <f>E20*F22</f>
        <v>1.6374615061559634E-4</v>
      </c>
      <c r="N22" s="36"/>
    </row>
    <row r="23" spans="1:14" ht="17" thickTop="1" thickBot="1" x14ac:dyDescent="0.25">
      <c r="A23" s="3">
        <v>4</v>
      </c>
      <c r="B23" s="3">
        <v>8</v>
      </c>
      <c r="C23" s="3">
        <v>5.0000000000000004E-6</v>
      </c>
      <c r="E23" s="6">
        <f>1-EXPONDIST(B24,E20,1)</f>
        <v>0.98019867330675525</v>
      </c>
      <c r="F23" s="6">
        <f>1-EXPONDIST(B25,E20,1)</f>
        <v>0.81873075307798193</v>
      </c>
      <c r="G23" s="34" t="s">
        <v>61</v>
      </c>
      <c r="H23" s="46">
        <f>EXPONDIST(B25,E20,0)</f>
        <v>1.6374615061559634E-4</v>
      </c>
      <c r="N23" s="36"/>
    </row>
    <row r="24" spans="1:14" ht="17" thickTop="1" thickBot="1" x14ac:dyDescent="0.25">
      <c r="A24" s="3" t="s">
        <v>13</v>
      </c>
      <c r="B24" s="3">
        <v>100</v>
      </c>
      <c r="F24" s="6"/>
      <c r="G24" s="7">
        <f>E22-F22</f>
        <v>0.16146792022877343</v>
      </c>
      <c r="N24" s="36"/>
    </row>
    <row r="25" spans="1:14" ht="16" thickBot="1" x14ac:dyDescent="0.25">
      <c r="A25" s="3" t="s">
        <v>20</v>
      </c>
      <c r="B25" s="3">
        <v>1000</v>
      </c>
      <c r="J25" s="6"/>
      <c r="N25" s="36"/>
    </row>
    <row r="26" spans="1:14" x14ac:dyDescent="0.2">
      <c r="J26" s="6"/>
      <c r="N26" s="36"/>
    </row>
    <row r="27" spans="1:14" x14ac:dyDescent="0.2">
      <c r="J27" s="6"/>
      <c r="N27" s="36"/>
    </row>
    <row r="28" spans="1:14" x14ac:dyDescent="0.2">
      <c r="J28" s="6"/>
      <c r="N28" s="36"/>
    </row>
    <row r="29" spans="1:14" x14ac:dyDescent="0.2">
      <c r="J29" s="6"/>
      <c r="N29" s="36"/>
    </row>
    <row r="30" spans="1:14" ht="16" thickBot="1" x14ac:dyDescent="0.25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</row>
    <row r="31" spans="1:14" ht="18" thickBot="1" x14ac:dyDescent="0.3">
      <c r="A31" s="4" t="s">
        <v>22</v>
      </c>
      <c r="B31" s="4" t="s">
        <v>23</v>
      </c>
      <c r="C31" s="8" t="s">
        <v>28</v>
      </c>
      <c r="D31" s="23">
        <v>0.92</v>
      </c>
      <c r="E31" s="106" t="s">
        <v>27</v>
      </c>
      <c r="F31" s="109" t="s">
        <v>232</v>
      </c>
      <c r="G31" s="110" t="s">
        <v>33</v>
      </c>
      <c r="H31" s="100"/>
      <c r="N31" s="36"/>
    </row>
    <row r="32" spans="1:14" ht="16" thickBot="1" x14ac:dyDescent="0.25">
      <c r="A32" s="3">
        <v>1</v>
      </c>
      <c r="B32" s="3" t="s">
        <v>24</v>
      </c>
      <c r="C32" s="1">
        <v>0.99</v>
      </c>
      <c r="D32" s="99" t="s">
        <v>226</v>
      </c>
      <c r="E32" s="107">
        <f>-LN(C32)/100</f>
        <v>1.005033585350145E-4</v>
      </c>
      <c r="F32" s="154">
        <f>SUM(E32:E36)</f>
        <v>3.86186611762797E-4</v>
      </c>
      <c r="G32" s="108">
        <f>-LN(D31)/F32</f>
        <v>215.91014913345973</v>
      </c>
      <c r="H32" s="49"/>
      <c r="N32" s="36"/>
    </row>
    <row r="33" spans="1:14" ht="16" thickBot="1" x14ac:dyDescent="0.25">
      <c r="A33" s="3">
        <v>2</v>
      </c>
      <c r="B33" s="99" t="s">
        <v>227</v>
      </c>
      <c r="C33" s="1">
        <v>1.0000000000000001E-5</v>
      </c>
      <c r="D33" s="99" t="s">
        <v>227</v>
      </c>
      <c r="E33" s="126">
        <f>C33</f>
        <v>1.0000000000000001E-5</v>
      </c>
      <c r="F33" s="156"/>
      <c r="N33" s="36"/>
    </row>
    <row r="34" spans="1:14" ht="16" thickBot="1" x14ac:dyDescent="0.25">
      <c r="A34" s="3">
        <v>3</v>
      </c>
      <c r="B34" s="3" t="s">
        <v>25</v>
      </c>
      <c r="C34" s="1">
        <v>8100</v>
      </c>
      <c r="D34" s="99" t="s">
        <v>228</v>
      </c>
      <c r="E34" s="107">
        <f>1/C34</f>
        <v>1.2345679012345679E-4</v>
      </c>
      <c r="F34" s="155"/>
      <c r="N34" s="36"/>
    </row>
    <row r="35" spans="1:14" ht="16" thickBot="1" x14ac:dyDescent="0.25">
      <c r="A35" s="3">
        <v>4</v>
      </c>
      <c r="B35" s="3" t="s">
        <v>26</v>
      </c>
      <c r="C35" s="1">
        <v>7860</v>
      </c>
      <c r="D35" s="99" t="s">
        <v>229</v>
      </c>
      <c r="E35" s="107">
        <f>1/C35</f>
        <v>1.272264631043257E-4</v>
      </c>
      <c r="F35" s="155"/>
      <c r="N35" s="36"/>
    </row>
    <row r="36" spans="1:14" ht="16" thickBot="1" x14ac:dyDescent="0.25">
      <c r="A36" s="3">
        <v>5</v>
      </c>
      <c r="B36" s="99" t="s">
        <v>230</v>
      </c>
      <c r="C36" s="3">
        <v>2.5000000000000001E-5</v>
      </c>
      <c r="D36" s="99" t="s">
        <v>230</v>
      </c>
      <c r="E36" s="58">
        <f>C36</f>
        <v>2.5000000000000001E-5</v>
      </c>
      <c r="F36" s="45"/>
      <c r="N36" s="36"/>
    </row>
    <row r="37" spans="1:14" ht="16" thickBot="1" x14ac:dyDescent="0.25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</row>
    <row r="38" spans="1:14" ht="16" thickBot="1" x14ac:dyDescent="0.25">
      <c r="A38" s="4" t="s">
        <v>50</v>
      </c>
      <c r="B38" s="4" t="s">
        <v>23</v>
      </c>
      <c r="C38" s="40" t="s">
        <v>56</v>
      </c>
      <c r="D38" s="115">
        <v>625</v>
      </c>
      <c r="E38" s="116"/>
      <c r="F38" s="117" t="s">
        <v>232</v>
      </c>
      <c r="G38" s="118" t="s">
        <v>231</v>
      </c>
      <c r="H38" s="118" t="s">
        <v>143</v>
      </c>
      <c r="N38" s="36"/>
    </row>
    <row r="39" spans="1:14" ht="17" thickTop="1" thickBot="1" x14ac:dyDescent="0.25">
      <c r="A39" s="3" t="s">
        <v>1</v>
      </c>
      <c r="B39" s="3">
        <v>100</v>
      </c>
      <c r="C39" s="3">
        <v>0.99</v>
      </c>
      <c r="D39" s="99" t="s">
        <v>226</v>
      </c>
      <c r="E39" s="57">
        <f>-LN(C39)/100</f>
        <v>1.005033585350145E-4</v>
      </c>
      <c r="F39" s="112">
        <f>SUM(E39:E43)</f>
        <v>1.3220825236079953E-3</v>
      </c>
      <c r="G39" s="113">
        <f>EXP(-F39*625)</f>
        <v>0.43766496681309819</v>
      </c>
      <c r="H39" s="114">
        <f>1/F39</f>
        <v>756.38243615154647</v>
      </c>
      <c r="I39" s="111"/>
      <c r="J39" s="101" t="s">
        <v>233</v>
      </c>
      <c r="N39" s="36"/>
    </row>
    <row r="40" spans="1:14" ht="17" thickTop="1" thickBot="1" x14ac:dyDescent="0.25">
      <c r="A40" s="3" t="s">
        <v>29</v>
      </c>
      <c r="B40" s="3">
        <v>200</v>
      </c>
      <c r="C40" s="3">
        <v>0.97</v>
      </c>
      <c r="D40" s="99" t="s">
        <v>227</v>
      </c>
      <c r="E40" s="57">
        <f t="shared" ref="E40:E43" si="0">-LN(C40)/100</f>
        <v>3.0459207484708574E-4</v>
      </c>
      <c r="G40" s="187"/>
      <c r="H40" s="187"/>
      <c r="N40" s="36"/>
    </row>
    <row r="41" spans="1:14" ht="17" thickTop="1" thickBot="1" x14ac:dyDescent="0.25">
      <c r="A41" s="3" t="s">
        <v>30</v>
      </c>
      <c r="B41" s="3">
        <v>157</v>
      </c>
      <c r="C41" s="3">
        <v>0.98</v>
      </c>
      <c r="D41" s="99" t="s">
        <v>228</v>
      </c>
      <c r="E41" s="57">
        <f t="shared" si="0"/>
        <v>2.0202707317519466E-4</v>
      </c>
      <c r="N41" s="36"/>
    </row>
    <row r="42" spans="1:14" ht="17" thickTop="1" thickBot="1" x14ac:dyDescent="0.25">
      <c r="A42" s="3" t="s">
        <v>31</v>
      </c>
      <c r="B42" s="3">
        <v>350</v>
      </c>
      <c r="C42" s="3">
        <v>0.95</v>
      </c>
      <c r="D42" s="99" t="s">
        <v>229</v>
      </c>
      <c r="E42" s="57">
        <f t="shared" si="0"/>
        <v>5.1293294387550576E-4</v>
      </c>
      <c r="N42" s="36"/>
    </row>
    <row r="43" spans="1:14" ht="17" thickTop="1" thickBot="1" x14ac:dyDescent="0.25">
      <c r="A43" s="3" t="s">
        <v>32</v>
      </c>
      <c r="B43" s="3">
        <v>120</v>
      </c>
      <c r="C43" s="3">
        <v>0.98</v>
      </c>
      <c r="D43" s="99" t="s">
        <v>230</v>
      </c>
      <c r="E43" s="57">
        <f t="shared" si="0"/>
        <v>2.0202707317519466E-4</v>
      </c>
      <c r="N43" s="36"/>
    </row>
    <row r="44" spans="1:14" ht="16" thickBot="1" x14ac:dyDescent="0.25">
      <c r="A44" s="36"/>
      <c r="B44" s="36"/>
      <c r="C44" s="36"/>
      <c r="D44" s="36"/>
      <c r="E44" s="38"/>
      <c r="F44" s="36"/>
      <c r="G44" s="36"/>
      <c r="H44" s="36"/>
      <c r="I44" s="36"/>
      <c r="J44" s="36"/>
      <c r="K44" s="36"/>
      <c r="L44" s="36"/>
      <c r="M44" s="36"/>
      <c r="N44" s="36"/>
    </row>
    <row r="45" spans="1:14" ht="16" thickBot="1" x14ac:dyDescent="0.25">
      <c r="A45" s="4" t="s">
        <v>51</v>
      </c>
      <c r="B45" s="4" t="s">
        <v>23</v>
      </c>
      <c r="H45" s="19" t="s">
        <v>43</v>
      </c>
      <c r="I45" s="14" t="s">
        <v>44</v>
      </c>
      <c r="L45" s="14" t="s">
        <v>48</v>
      </c>
      <c r="M45" s="16" t="s">
        <v>49</v>
      </c>
      <c r="N45" s="36"/>
    </row>
    <row r="46" spans="1:14" ht="17" thickTop="1" thickBot="1" x14ac:dyDescent="0.25">
      <c r="A46" s="3" t="s">
        <v>34</v>
      </c>
      <c r="B46" s="3">
        <v>1000</v>
      </c>
      <c r="C46" s="1" t="s">
        <v>37</v>
      </c>
      <c r="D46" s="22" t="s">
        <v>39</v>
      </c>
      <c r="E46" s="24" t="s">
        <v>38</v>
      </c>
      <c r="F46" s="1" t="s">
        <v>41</v>
      </c>
      <c r="G46" s="11">
        <f>B46-3*B47</f>
        <v>250</v>
      </c>
      <c r="H46" s="18">
        <f>NORMDIST(G46,B46,B47,1)</f>
        <v>1.3498980316300933E-3</v>
      </c>
      <c r="I46" s="25" t="s">
        <v>45</v>
      </c>
      <c r="J46" s="3" t="s">
        <v>46</v>
      </c>
      <c r="K46" s="1">
        <v>1200</v>
      </c>
      <c r="L46" s="17">
        <f>1-NORMDIST(K46,B46,B47,1)</f>
        <v>0.21185539858339664</v>
      </c>
      <c r="M46" s="7">
        <f>L47/L46</f>
        <v>0.10738518867256359</v>
      </c>
      <c r="N46" s="36"/>
    </row>
    <row r="47" spans="1:14" ht="17" thickTop="1" thickBot="1" x14ac:dyDescent="0.25">
      <c r="A47" s="3" t="s">
        <v>35</v>
      </c>
      <c r="B47" s="3">
        <v>250</v>
      </c>
      <c r="E47" s="18">
        <f>1-NORMDIST(B48,B46,B47,1)</f>
        <v>0.21185539858339664</v>
      </c>
      <c r="F47" s="1" t="s">
        <v>42</v>
      </c>
      <c r="G47" s="11">
        <f>B46+3*B47</f>
        <v>1750</v>
      </c>
      <c r="H47" s="18">
        <f>NORMDIST(G47,B46,B47,1)</f>
        <v>0.9986501019683699</v>
      </c>
      <c r="I47" s="18">
        <f>H47-H46</f>
        <v>0.99730020393673979</v>
      </c>
      <c r="J47" s="3" t="s">
        <v>47</v>
      </c>
      <c r="K47" s="1">
        <v>1500</v>
      </c>
      <c r="L47" s="17">
        <f>1-NORMDIST(K47,B46,B47,1)</f>
        <v>2.2750131948179209E-2</v>
      </c>
      <c r="N47" s="36"/>
    </row>
    <row r="48" spans="1:14" ht="16" thickBot="1" x14ac:dyDescent="0.25">
      <c r="A48" s="3" t="s">
        <v>36</v>
      </c>
      <c r="B48" s="3">
        <v>1200</v>
      </c>
      <c r="H48" s="6"/>
      <c r="N48" s="36"/>
    </row>
    <row r="49" spans="1:14" x14ac:dyDescent="0.2">
      <c r="H49" s="6"/>
      <c r="N49" s="36"/>
    </row>
    <row r="50" spans="1:14" x14ac:dyDescent="0.2">
      <c r="H50" s="6"/>
      <c r="N50" s="36"/>
    </row>
    <row r="51" spans="1:14" x14ac:dyDescent="0.2">
      <c r="H51" s="6"/>
      <c r="N51" s="36"/>
    </row>
    <row r="52" spans="1:14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</row>
    <row r="53" spans="1:14" ht="16" thickBot="1" x14ac:dyDescent="0.25">
      <c r="A53" s="4" t="s">
        <v>52</v>
      </c>
      <c r="B53" s="4" t="s">
        <v>23</v>
      </c>
      <c r="E53" s="28" t="s">
        <v>203</v>
      </c>
      <c r="N53" s="36"/>
    </row>
    <row r="54" spans="1:14" ht="17" thickTop="1" thickBot="1" x14ac:dyDescent="0.25">
      <c r="A54" s="3" t="s">
        <v>34</v>
      </c>
      <c r="B54" s="3">
        <v>4000</v>
      </c>
      <c r="C54" s="1" t="s">
        <v>37</v>
      </c>
      <c r="D54" s="27" t="s">
        <v>56</v>
      </c>
      <c r="E54" s="21">
        <f>NORMINV(C58,B54,B55)</f>
        <v>2718.4484344553994</v>
      </c>
      <c r="F54" s="2" t="s">
        <v>58</v>
      </c>
      <c r="G54" s="30" t="s">
        <v>60</v>
      </c>
      <c r="H54" s="14" t="s">
        <v>44</v>
      </c>
      <c r="N54" s="36"/>
    </row>
    <row r="55" spans="1:14" ht="17" thickTop="1" thickBot="1" x14ac:dyDescent="0.25">
      <c r="A55" s="3" t="s">
        <v>35</v>
      </c>
      <c r="B55" s="3">
        <v>1000</v>
      </c>
      <c r="C55" s="26" t="s">
        <v>55</v>
      </c>
      <c r="D55" s="28" t="s">
        <v>57</v>
      </c>
      <c r="F55" s="1">
        <v>2000</v>
      </c>
      <c r="G55">
        <f>1-NORMDIST(F55,$B$54,$B$55,1)</f>
        <v>0.97724986805182079</v>
      </c>
      <c r="H55" s="20">
        <f>G55-G56</f>
        <v>0.13590512198327775</v>
      </c>
      <c r="N55" s="36"/>
    </row>
    <row r="56" spans="1:14" ht="17" thickTop="1" thickBot="1" x14ac:dyDescent="0.25">
      <c r="A56" s="3" t="s">
        <v>13</v>
      </c>
      <c r="B56" s="3">
        <v>2000</v>
      </c>
      <c r="C56" s="9">
        <v>0.9</v>
      </c>
      <c r="D56" s="29" t="s">
        <v>59</v>
      </c>
      <c r="F56" s="1">
        <v>3000</v>
      </c>
      <c r="G56" s="11">
        <f>1-NORMDIST(F56,$B$54,$B$55,1)</f>
        <v>0.84134474606854304</v>
      </c>
      <c r="N56" s="36"/>
    </row>
    <row r="57" spans="1:14" ht="17" thickTop="1" thickBot="1" x14ac:dyDescent="0.25">
      <c r="A57" s="3" t="s">
        <v>40</v>
      </c>
      <c r="B57" s="1">
        <v>3000</v>
      </c>
      <c r="C57" s="14" t="s">
        <v>54</v>
      </c>
      <c r="F57" s="1">
        <v>4000</v>
      </c>
      <c r="G57" s="11">
        <f>1-NORMDIST(F57,$B$54,$B$55,1)</f>
        <v>0.5</v>
      </c>
      <c r="N57" s="36"/>
    </row>
    <row r="58" spans="1:14" ht="17" thickTop="1" thickBot="1" x14ac:dyDescent="0.25">
      <c r="A58" s="3" t="s">
        <v>53</v>
      </c>
      <c r="B58" s="1">
        <v>4000</v>
      </c>
      <c r="C58" s="11">
        <f>1-C56</f>
        <v>9.9999999999999978E-2</v>
      </c>
      <c r="N58" s="36"/>
    </row>
    <row r="59" spans="1:14" ht="16" thickBo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</row>
    <row r="60" spans="1:14" ht="17" thickTop="1" thickBot="1" x14ac:dyDescent="0.25">
      <c r="A60" s="119" t="s">
        <v>234</v>
      </c>
      <c r="B60" s="120"/>
      <c r="C60" s="120"/>
      <c r="D60" s="120"/>
      <c r="E60" s="120"/>
      <c r="F60" s="121"/>
    </row>
    <row r="61" spans="1:14" ht="16" thickTop="1" x14ac:dyDescent="0.2">
      <c r="B61" s="184" t="s">
        <v>161</v>
      </c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</row>
    <row r="62" spans="1:14" x14ac:dyDescent="0.2">
      <c r="A62" s="58" t="s">
        <v>131</v>
      </c>
      <c r="B62" s="58">
        <v>0.01</v>
      </c>
      <c r="C62" s="76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4" x14ac:dyDescent="0.2">
      <c r="A63" s="58" t="s">
        <v>33</v>
      </c>
      <c r="B63" s="58">
        <v>0</v>
      </c>
      <c r="C63" s="58">
        <v>50</v>
      </c>
      <c r="D63" s="58">
        <f>C63+50</f>
        <v>100</v>
      </c>
      <c r="E63" s="58">
        <f t="shared" ref="E63:M63" si="1">D63+50</f>
        <v>150</v>
      </c>
      <c r="F63" s="58">
        <f t="shared" si="1"/>
        <v>200</v>
      </c>
      <c r="G63" s="58">
        <f t="shared" si="1"/>
        <v>250</v>
      </c>
      <c r="H63" s="58">
        <f t="shared" si="1"/>
        <v>300</v>
      </c>
      <c r="I63" s="58">
        <f t="shared" si="1"/>
        <v>350</v>
      </c>
      <c r="J63" s="58">
        <f t="shared" si="1"/>
        <v>400</v>
      </c>
      <c r="K63" s="58">
        <f t="shared" si="1"/>
        <v>450</v>
      </c>
      <c r="L63" s="58">
        <f t="shared" si="1"/>
        <v>500</v>
      </c>
      <c r="M63" s="58">
        <f t="shared" si="1"/>
        <v>550</v>
      </c>
    </row>
    <row r="64" spans="1:14" x14ac:dyDescent="0.2">
      <c r="A64" s="58" t="s">
        <v>134</v>
      </c>
      <c r="B64" s="58">
        <f>1-EXPONDIST(B63,$B$62,1)</f>
        <v>1</v>
      </c>
      <c r="C64" s="58">
        <f t="shared" ref="C64:L64" si="2">1-EXPONDIST(C63,$B$62,1)</f>
        <v>0.60653065971263342</v>
      </c>
      <c r="D64" s="58">
        <f t="shared" si="2"/>
        <v>0.36787944117144233</v>
      </c>
      <c r="E64" s="58">
        <f t="shared" si="2"/>
        <v>0.22313016014842979</v>
      </c>
      <c r="F64" s="58">
        <f t="shared" si="2"/>
        <v>0.1353352832366127</v>
      </c>
      <c r="G64" s="58">
        <f t="shared" si="2"/>
        <v>8.2084998623898842E-2</v>
      </c>
      <c r="H64" s="58">
        <f t="shared" si="2"/>
        <v>4.9787068367863951E-2</v>
      </c>
      <c r="I64" s="58">
        <f t="shared" si="2"/>
        <v>3.019738342231848E-2</v>
      </c>
      <c r="J64" s="58">
        <f t="shared" si="2"/>
        <v>1.831563888873422E-2</v>
      </c>
      <c r="K64" s="58">
        <f t="shared" si="2"/>
        <v>1.1108996538242266E-2</v>
      </c>
      <c r="L64" s="58">
        <f t="shared" si="2"/>
        <v>6.7379469990854757E-3</v>
      </c>
      <c r="M64" s="58">
        <f>1-EXPONDIST(M63,$B$62,1)</f>
        <v>4.0867714384640319E-3</v>
      </c>
    </row>
    <row r="65" spans="1:16" x14ac:dyDescent="0.2">
      <c r="A65" s="58" t="s">
        <v>133</v>
      </c>
      <c r="B65" s="58">
        <f>EXPONDIST(B63,$B$62,1)</f>
        <v>0</v>
      </c>
      <c r="C65" s="58">
        <f t="shared" ref="C65:M65" si="3">EXPONDIST(C63,$B$62,1)</f>
        <v>0.39346934028736658</v>
      </c>
      <c r="D65" s="58">
        <f t="shared" si="3"/>
        <v>0.63212055882855767</v>
      </c>
      <c r="E65" s="58">
        <f t="shared" si="3"/>
        <v>0.77686983985157021</v>
      </c>
      <c r="F65" s="58">
        <f t="shared" si="3"/>
        <v>0.8646647167633873</v>
      </c>
      <c r="G65" s="58">
        <f t="shared" si="3"/>
        <v>0.91791500137610116</v>
      </c>
      <c r="H65" s="58">
        <f t="shared" si="3"/>
        <v>0.95021293163213605</v>
      </c>
      <c r="I65" s="58">
        <f t="shared" si="3"/>
        <v>0.96980261657768152</v>
      </c>
      <c r="J65" s="58">
        <f t="shared" si="3"/>
        <v>0.98168436111126578</v>
      </c>
      <c r="K65" s="58">
        <f t="shared" si="3"/>
        <v>0.98889100346175773</v>
      </c>
      <c r="L65" s="58">
        <f t="shared" si="3"/>
        <v>0.99326205300091452</v>
      </c>
      <c r="M65" s="58">
        <f t="shared" si="3"/>
        <v>0.99591322856153597</v>
      </c>
    </row>
    <row r="66" spans="1:16" x14ac:dyDescent="0.2">
      <c r="A66" s="58" t="s">
        <v>135</v>
      </c>
      <c r="B66" s="58">
        <f>EXPONDIST(B63,$B$62,0)</f>
        <v>0.01</v>
      </c>
      <c r="C66" s="58">
        <f t="shared" ref="C66:M66" si="4">EXPONDIST(C63,$B$62,0)</f>
        <v>6.065306597126334E-3</v>
      </c>
      <c r="D66" s="58">
        <f t="shared" si="4"/>
        <v>3.6787944117144234E-3</v>
      </c>
      <c r="E66" s="58">
        <f t="shared" si="4"/>
        <v>2.2313016014842983E-3</v>
      </c>
      <c r="F66" s="58">
        <f t="shared" si="4"/>
        <v>1.3533528323661271E-3</v>
      </c>
      <c r="G66" s="58">
        <f t="shared" si="4"/>
        <v>8.2084998623898806E-4</v>
      </c>
      <c r="H66" s="58">
        <f t="shared" si="4"/>
        <v>4.978706836786395E-4</v>
      </c>
      <c r="I66" s="58">
        <f t="shared" si="4"/>
        <v>3.0197383422318503E-4</v>
      </c>
      <c r="J66" s="58">
        <f t="shared" si="4"/>
        <v>1.8315638888734178E-4</v>
      </c>
      <c r="K66" s="58">
        <f t="shared" si="4"/>
        <v>1.1108996538242307E-4</v>
      </c>
      <c r="L66" s="58">
        <f t="shared" si="4"/>
        <v>6.7379469990854672E-5</v>
      </c>
      <c r="M66" s="58">
        <f t="shared" si="4"/>
        <v>4.086771438464067E-5</v>
      </c>
    </row>
    <row r="67" spans="1:16" x14ac:dyDescent="0.2">
      <c r="A67" s="122" t="s">
        <v>173</v>
      </c>
      <c r="B67">
        <v>1</v>
      </c>
      <c r="C67">
        <v>4</v>
      </c>
      <c r="D67">
        <v>2</v>
      </c>
      <c r="E67">
        <v>4</v>
      </c>
      <c r="F67">
        <v>2</v>
      </c>
      <c r="G67">
        <v>4</v>
      </c>
      <c r="H67">
        <v>2</v>
      </c>
      <c r="I67">
        <v>4</v>
      </c>
      <c r="J67">
        <v>2</v>
      </c>
      <c r="K67">
        <v>4</v>
      </c>
      <c r="L67">
        <v>2</v>
      </c>
      <c r="M67">
        <v>1</v>
      </c>
    </row>
    <row r="68" spans="1:16" x14ac:dyDescent="0.2">
      <c r="B68">
        <f>B64*B67</f>
        <v>1</v>
      </c>
      <c r="C68">
        <f t="shared" ref="C68:M68" si="5">C64*C67</f>
        <v>2.4261226388505337</v>
      </c>
      <c r="D68">
        <f t="shared" si="5"/>
        <v>0.73575888234288467</v>
      </c>
      <c r="E68">
        <f t="shared" si="5"/>
        <v>0.89252064059371916</v>
      </c>
      <c r="F68">
        <f t="shared" si="5"/>
        <v>0.2706705664732254</v>
      </c>
      <c r="G68">
        <f t="shared" si="5"/>
        <v>0.32833999449559537</v>
      </c>
      <c r="H68">
        <f t="shared" si="5"/>
        <v>9.9574136735727903E-2</v>
      </c>
      <c r="I68">
        <f t="shared" si="5"/>
        <v>0.12078953368927392</v>
      </c>
      <c r="J68">
        <f t="shared" si="5"/>
        <v>3.6631277777468441E-2</v>
      </c>
      <c r="K68">
        <f t="shared" si="5"/>
        <v>4.4435986152969065E-2</v>
      </c>
      <c r="L68">
        <f t="shared" si="5"/>
        <v>1.3475893998170951E-2</v>
      </c>
      <c r="M68">
        <f t="shared" si="5"/>
        <v>4.0867714384640319E-3</v>
      </c>
      <c r="N68">
        <f>SUM(B68:M68)</f>
        <v>5.9724063225480339</v>
      </c>
      <c r="O68">
        <f>N68*50/3</f>
        <v>99.540105375800565</v>
      </c>
    </row>
    <row r="78" spans="1:16" x14ac:dyDescent="0.2">
      <c r="P78">
        <f>EXP(-0.1)</f>
        <v>0.90483741803595952</v>
      </c>
    </row>
    <row r="83" spans="2:15" x14ac:dyDescent="0.2">
      <c r="B83" s="184" t="s">
        <v>162</v>
      </c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</row>
    <row r="84" spans="2:15" x14ac:dyDescent="0.2">
      <c r="B84" s="58" t="s">
        <v>87</v>
      </c>
      <c r="C84" s="58">
        <v>60</v>
      </c>
      <c r="D84" s="58" t="s">
        <v>132</v>
      </c>
      <c r="E84" s="58">
        <v>20</v>
      </c>
      <c r="F84" s="79"/>
    </row>
    <row r="85" spans="2:15" x14ac:dyDescent="0.2">
      <c r="B85" s="58" t="s">
        <v>33</v>
      </c>
      <c r="C85" s="58">
        <v>0</v>
      </c>
      <c r="D85" s="58">
        <f>C85+10</f>
        <v>10</v>
      </c>
      <c r="E85" s="58">
        <f t="shared" ref="E85:O85" si="6">D85+10</f>
        <v>20</v>
      </c>
      <c r="F85" s="58">
        <f t="shared" si="6"/>
        <v>30</v>
      </c>
      <c r="G85" s="58">
        <f t="shared" si="6"/>
        <v>40</v>
      </c>
      <c r="H85" s="58">
        <f t="shared" si="6"/>
        <v>50</v>
      </c>
      <c r="I85" s="58">
        <f t="shared" si="6"/>
        <v>60</v>
      </c>
      <c r="J85" s="58">
        <f t="shared" si="6"/>
        <v>70</v>
      </c>
      <c r="K85" s="58">
        <f t="shared" si="6"/>
        <v>80</v>
      </c>
      <c r="L85" s="58">
        <f t="shared" si="6"/>
        <v>90</v>
      </c>
      <c r="M85" s="58">
        <f t="shared" si="6"/>
        <v>100</v>
      </c>
      <c r="N85" s="58">
        <f t="shared" si="6"/>
        <v>110</v>
      </c>
      <c r="O85" s="58">
        <f t="shared" si="6"/>
        <v>120</v>
      </c>
    </row>
    <row r="86" spans="2:15" x14ac:dyDescent="0.2">
      <c r="B86" s="58" t="s">
        <v>134</v>
      </c>
      <c r="C86" s="58">
        <f>1- NORMDIST(C85,$C$84,$E$84,1)</f>
        <v>0.9986501019683699</v>
      </c>
      <c r="D86" s="58">
        <f t="shared" ref="D86:O86" si="7">1- NORMDIST(D85,$C$84,$E$84,1)</f>
        <v>0.99379033467422384</v>
      </c>
      <c r="E86" s="58">
        <f t="shared" si="7"/>
        <v>0.97724986805182079</v>
      </c>
      <c r="F86" s="78">
        <f t="shared" si="7"/>
        <v>0.93319279873114191</v>
      </c>
      <c r="G86" s="78">
        <f t="shared" si="7"/>
        <v>0.84134474606854304</v>
      </c>
      <c r="H86" s="78">
        <f t="shared" si="7"/>
        <v>0.69146246127401312</v>
      </c>
      <c r="I86">
        <f t="shared" si="7"/>
        <v>0.5</v>
      </c>
      <c r="J86">
        <f t="shared" si="7"/>
        <v>0.30853753872598688</v>
      </c>
      <c r="K86">
        <f t="shared" si="7"/>
        <v>0.15865525393145696</v>
      </c>
      <c r="L86">
        <f t="shared" si="7"/>
        <v>6.6807201268858085E-2</v>
      </c>
      <c r="M86">
        <f t="shared" si="7"/>
        <v>2.2750131948179209E-2</v>
      </c>
      <c r="N86">
        <f t="shared" si="7"/>
        <v>6.2096653257761592E-3</v>
      </c>
      <c r="O86">
        <f t="shared" si="7"/>
        <v>1.3498980316301035E-3</v>
      </c>
    </row>
    <row r="87" spans="2:15" x14ac:dyDescent="0.2">
      <c r="B87" s="58" t="s">
        <v>133</v>
      </c>
      <c r="C87" s="58">
        <f>NORMDIST(C85,$C$84,$E$84,1)</f>
        <v>1.3498980316300933E-3</v>
      </c>
      <c r="D87" s="58">
        <f t="shared" ref="D87:O87" si="8">NORMDIST(D85,$C$84,$E$84,1)</f>
        <v>6.2096653257761331E-3</v>
      </c>
      <c r="E87" s="58">
        <f t="shared" si="8"/>
        <v>2.2750131948179191E-2</v>
      </c>
      <c r="F87" s="58">
        <f t="shared" si="8"/>
        <v>6.6807201268858057E-2</v>
      </c>
      <c r="G87" s="58">
        <f t="shared" si="8"/>
        <v>0.15865525393145699</v>
      </c>
      <c r="H87" s="58">
        <f t="shared" si="8"/>
        <v>0.30853753872598688</v>
      </c>
      <c r="I87">
        <f t="shared" si="8"/>
        <v>0.5</v>
      </c>
      <c r="J87">
        <f t="shared" si="8"/>
        <v>0.69146246127401312</v>
      </c>
      <c r="K87">
        <f t="shared" si="8"/>
        <v>0.84134474606854304</v>
      </c>
      <c r="L87">
        <f t="shared" si="8"/>
        <v>0.93319279873114191</v>
      </c>
      <c r="M87">
        <f t="shared" si="8"/>
        <v>0.97724986805182079</v>
      </c>
      <c r="N87">
        <f t="shared" si="8"/>
        <v>0.99379033467422384</v>
      </c>
      <c r="O87">
        <f t="shared" si="8"/>
        <v>0.9986501019683699</v>
      </c>
    </row>
    <row r="88" spans="2:15" x14ac:dyDescent="0.2">
      <c r="B88" s="58" t="s">
        <v>135</v>
      </c>
      <c r="C88" s="58">
        <f>NORMDIST(C85,$C$84,$E$84,0)</f>
        <v>2.2159242059690038E-4</v>
      </c>
      <c r="D88" s="58">
        <f t="shared" ref="D88:O88" si="9">NORMDIST(D85,$C$84,$E$84,0)</f>
        <v>8.7641502467842702E-4</v>
      </c>
      <c r="E88" s="58">
        <f t="shared" si="9"/>
        <v>2.6995483256594031E-3</v>
      </c>
      <c r="F88" s="58">
        <f t="shared" si="9"/>
        <v>6.4758797832945867E-3</v>
      </c>
      <c r="G88" s="58">
        <f t="shared" si="9"/>
        <v>1.2098536225957168E-2</v>
      </c>
      <c r="H88" s="58">
        <f t="shared" si="9"/>
        <v>1.7603266338214976E-2</v>
      </c>
      <c r="I88">
        <f t="shared" si="9"/>
        <v>1.9947114020071637E-2</v>
      </c>
      <c r="J88">
        <f t="shared" si="9"/>
        <v>1.7603266338214976E-2</v>
      </c>
      <c r="K88">
        <f t="shared" si="9"/>
        <v>1.2098536225957168E-2</v>
      </c>
      <c r="L88">
        <f t="shared" si="9"/>
        <v>6.4758797832945867E-3</v>
      </c>
      <c r="M88">
        <f t="shared" si="9"/>
        <v>2.6995483256594031E-3</v>
      </c>
      <c r="N88">
        <f t="shared" si="9"/>
        <v>8.7641502467842702E-4</v>
      </c>
      <c r="O88">
        <f t="shared" si="9"/>
        <v>2.2159242059690038E-4</v>
      </c>
    </row>
    <row r="89" spans="2:15" x14ac:dyDescent="0.2">
      <c r="B89" s="58" t="s">
        <v>131</v>
      </c>
      <c r="C89" s="58">
        <f>C88/C86</f>
        <v>2.2189195210628321E-4</v>
      </c>
      <c r="D89" s="58">
        <f t="shared" ref="D89:O89" si="10">D88/D86</f>
        <v>8.8189127434583695E-4</v>
      </c>
      <c r="E89" s="58">
        <f t="shared" si="10"/>
        <v>2.7623931339494983E-3</v>
      </c>
      <c r="F89" s="58">
        <f t="shared" si="10"/>
        <v>6.9394875229425385E-3</v>
      </c>
      <c r="G89" s="58">
        <f t="shared" si="10"/>
        <v>1.4379998546958917E-2</v>
      </c>
      <c r="H89" s="58">
        <f t="shared" si="10"/>
        <v>2.5458021691851677E-2</v>
      </c>
      <c r="I89">
        <f t="shared" si="10"/>
        <v>3.9894228040143274E-2</v>
      </c>
      <c r="J89">
        <f t="shared" si="10"/>
        <v>5.7053888518403234E-2</v>
      </c>
      <c r="K89">
        <f t="shared" si="10"/>
        <v>7.6256763808049105E-2</v>
      </c>
      <c r="L89">
        <f t="shared" si="10"/>
        <v>9.6933858331127137E-2</v>
      </c>
      <c r="M89">
        <f t="shared" si="10"/>
        <v>0.11866077664114205</v>
      </c>
      <c r="N89">
        <f t="shared" si="10"/>
        <v>0.14113723988319485</v>
      </c>
      <c r="O89">
        <f t="shared" si="10"/>
        <v>0.16415493274652077</v>
      </c>
    </row>
    <row r="105" spans="2:16" x14ac:dyDescent="0.2">
      <c r="B105" s="184" t="s">
        <v>136</v>
      </c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</row>
    <row r="106" spans="2:16" x14ac:dyDescent="0.2">
      <c r="B106" t="s">
        <v>137</v>
      </c>
      <c r="C106">
        <v>2000</v>
      </c>
      <c r="D106" t="s">
        <v>138</v>
      </c>
      <c r="E106">
        <v>900</v>
      </c>
      <c r="F106" t="s">
        <v>140</v>
      </c>
      <c r="G106">
        <f>C106/E106</f>
        <v>2.2222222222222223</v>
      </c>
      <c r="H106">
        <v>1000</v>
      </c>
    </row>
    <row r="107" spans="2:16" x14ac:dyDescent="0.2">
      <c r="B107" s="180" t="s">
        <v>139</v>
      </c>
      <c r="C107" s="180"/>
      <c r="D107" s="180"/>
      <c r="E107" s="180"/>
      <c r="F107" t="s">
        <v>141</v>
      </c>
      <c r="G107">
        <f>NORMSDIST(G106)</f>
        <v>0.98686585430897888</v>
      </c>
      <c r="H107">
        <f>G108*(1-NORMDIST(H106,C106,E106,1))</f>
        <v>0.87827513061985629</v>
      </c>
    </row>
    <row r="108" spans="2:16" x14ac:dyDescent="0.2">
      <c r="F108" t="s">
        <v>142</v>
      </c>
      <c r="G108">
        <f>1/G107</f>
        <v>1.013308947344437</v>
      </c>
    </row>
    <row r="109" spans="2:16" x14ac:dyDescent="0.2">
      <c r="B109" t="s">
        <v>143</v>
      </c>
      <c r="C109">
        <v>0</v>
      </c>
      <c r="D109">
        <f>C109+500</f>
        <v>500</v>
      </c>
      <c r="E109">
        <f t="shared" ref="E109:M109" si="11">D109+500</f>
        <v>1000</v>
      </c>
      <c r="F109">
        <f t="shared" si="11"/>
        <v>1500</v>
      </c>
      <c r="G109">
        <f t="shared" si="11"/>
        <v>2000</v>
      </c>
      <c r="H109">
        <f t="shared" si="11"/>
        <v>2500</v>
      </c>
      <c r="I109">
        <f t="shared" si="11"/>
        <v>3000</v>
      </c>
      <c r="J109">
        <f t="shared" si="11"/>
        <v>3500</v>
      </c>
      <c r="K109">
        <f t="shared" si="11"/>
        <v>4000</v>
      </c>
      <c r="L109">
        <f t="shared" si="11"/>
        <v>4500</v>
      </c>
      <c r="M109">
        <f t="shared" si="11"/>
        <v>5000</v>
      </c>
    </row>
    <row r="110" spans="2:16" x14ac:dyDescent="0.2">
      <c r="B110" t="s">
        <v>134</v>
      </c>
      <c r="C110">
        <f>$G$108*(1-NORMDIST(C109,$C$106,$E$106,1))</f>
        <v>0.99999999999999989</v>
      </c>
      <c r="D110">
        <f t="shared" ref="D110:M110" si="12">$G$108*(1-NORMDIST(D109,$C$106,$E$106,1))</f>
        <v>0.96488255578965132</v>
      </c>
      <c r="E110">
        <f t="shared" si="12"/>
        <v>0.87827513061985629</v>
      </c>
      <c r="F110">
        <f t="shared" si="12"/>
        <v>0.72020187560719962</v>
      </c>
      <c r="G110">
        <f t="shared" si="12"/>
        <v>0.5066544736722185</v>
      </c>
      <c r="H110">
        <f t="shared" si="12"/>
        <v>0.29310707173723732</v>
      </c>
      <c r="I110">
        <f t="shared" si="12"/>
        <v>0.13503381672458076</v>
      </c>
      <c r="J110">
        <f t="shared" si="12"/>
        <v>4.8426391554785682E-2</v>
      </c>
      <c r="K110">
        <f t="shared" si="12"/>
        <v>1.3308947344437079E-2</v>
      </c>
      <c r="L110">
        <f t="shared" si="12"/>
        <v>2.7730230753199459E-3</v>
      </c>
      <c r="M110">
        <f t="shared" si="12"/>
        <v>4.3477067457888723E-4</v>
      </c>
    </row>
    <row r="111" spans="2:16" x14ac:dyDescent="0.2">
      <c r="B111" t="s">
        <v>135</v>
      </c>
      <c r="C111">
        <f>$G$108*NORMDIST(C109,$C$106,$E$106,0)</f>
        <v>3.8025714198364934E-5</v>
      </c>
      <c r="D111">
        <f t="shared" ref="D111:M111" si="13">$G$108*NORMDIST(D109,$C$106,$E$106,0)</f>
        <v>1.1200119421657403E-4</v>
      </c>
      <c r="E111">
        <f t="shared" si="13"/>
        <v>2.4228494015048912E-4</v>
      </c>
      <c r="F111">
        <f t="shared" si="13"/>
        <v>3.8493613411850558E-4</v>
      </c>
      <c r="G111">
        <f t="shared" si="13"/>
        <v>4.491686468941833E-4</v>
      </c>
      <c r="H111">
        <f t="shared" si="13"/>
        <v>3.8493613411850558E-4</v>
      </c>
      <c r="I111">
        <f t="shared" si="13"/>
        <v>2.4228494015048912E-4</v>
      </c>
      <c r="J111">
        <f t="shared" si="13"/>
        <v>1.1200119421657403E-4</v>
      </c>
      <c r="K111">
        <f t="shared" si="13"/>
        <v>3.8025714198364934E-5</v>
      </c>
      <c r="L111">
        <f t="shared" si="13"/>
        <v>9.4817958256964932E-6</v>
      </c>
      <c r="M111">
        <f t="shared" si="13"/>
        <v>1.736450118047972E-6</v>
      </c>
    </row>
    <row r="112" spans="2:16" x14ac:dyDescent="0.2">
      <c r="D112">
        <v>4</v>
      </c>
      <c r="E112">
        <v>2</v>
      </c>
      <c r="F112">
        <v>4</v>
      </c>
      <c r="G112">
        <v>2</v>
      </c>
      <c r="H112">
        <v>4</v>
      </c>
      <c r="I112">
        <v>2</v>
      </c>
      <c r="J112">
        <v>4</v>
      </c>
      <c r="K112">
        <v>2</v>
      </c>
      <c r="L112">
        <v>4</v>
      </c>
      <c r="M112">
        <v>2</v>
      </c>
      <c r="O112" t="s">
        <v>147</v>
      </c>
    </row>
    <row r="113" spans="2:15" x14ac:dyDescent="0.2">
      <c r="C113">
        <v>1</v>
      </c>
      <c r="D113">
        <f>D110*D112</f>
        <v>3.8595302231586053</v>
      </c>
      <c r="E113">
        <f t="shared" ref="E113:M113" si="14">E110*E112</f>
        <v>1.7565502612397126</v>
      </c>
      <c r="F113">
        <f t="shared" si="14"/>
        <v>2.8808075024287985</v>
      </c>
      <c r="G113">
        <f t="shared" si="14"/>
        <v>1.013308947344437</v>
      </c>
      <c r="H113">
        <f t="shared" si="14"/>
        <v>1.1724282869489493</v>
      </c>
      <c r="I113">
        <f t="shared" si="14"/>
        <v>0.27006763344916151</v>
      </c>
      <c r="J113">
        <f t="shared" si="14"/>
        <v>0.19370556621914273</v>
      </c>
      <c r="K113">
        <f t="shared" si="14"/>
        <v>2.6617894688874159E-2</v>
      </c>
      <c r="L113">
        <f t="shared" si="14"/>
        <v>1.1092092301279784E-2</v>
      </c>
      <c r="M113">
        <f t="shared" si="14"/>
        <v>8.6954134915777446E-4</v>
      </c>
      <c r="N113">
        <f>SUM(C113:M113)</f>
        <v>12.184977949128116</v>
      </c>
      <c r="O113">
        <f>N113*D109/3</f>
        <v>2030.8296581880195</v>
      </c>
    </row>
    <row r="128" spans="2:15" x14ac:dyDescent="0.2">
      <c r="B128" s="86" t="s">
        <v>118</v>
      </c>
    </row>
    <row r="129" spans="2:13" x14ac:dyDescent="0.2">
      <c r="B129" s="60" t="s">
        <v>144</v>
      </c>
      <c r="C129" s="58">
        <v>2</v>
      </c>
      <c r="D129" s="58" t="s">
        <v>145</v>
      </c>
      <c r="E129" s="58">
        <v>1800</v>
      </c>
    </row>
    <row r="130" spans="2:13" x14ac:dyDescent="0.2">
      <c r="B130" s="58" t="s">
        <v>33</v>
      </c>
      <c r="C130" s="58">
        <v>0</v>
      </c>
      <c r="D130" s="58">
        <f>C130+500</f>
        <v>500</v>
      </c>
      <c r="E130" s="58">
        <f t="shared" ref="E130:M130" si="15">D130+500</f>
        <v>1000</v>
      </c>
      <c r="F130" s="60">
        <f t="shared" si="15"/>
        <v>1500</v>
      </c>
      <c r="G130" s="58">
        <f t="shared" si="15"/>
        <v>2000</v>
      </c>
      <c r="H130" s="58">
        <f t="shared" si="15"/>
        <v>2500</v>
      </c>
      <c r="I130" s="58">
        <f t="shared" si="15"/>
        <v>3000</v>
      </c>
      <c r="J130" s="58">
        <f t="shared" si="15"/>
        <v>3500</v>
      </c>
      <c r="K130" s="58">
        <f t="shared" si="15"/>
        <v>4000</v>
      </c>
      <c r="L130" s="58">
        <f t="shared" si="15"/>
        <v>4500</v>
      </c>
      <c r="M130" s="58">
        <f t="shared" si="15"/>
        <v>5000</v>
      </c>
    </row>
    <row r="131" spans="2:13" x14ac:dyDescent="0.2">
      <c r="B131" s="58" t="s">
        <v>134</v>
      </c>
      <c r="C131" s="58">
        <f>1-WEIBULL(C130,$C$129,$E$129,1)</f>
        <v>1</v>
      </c>
      <c r="D131" s="58">
        <f t="shared" ref="D131:M131" si="16">1-WEIBULL(D130,$C$129,$E$129,1)</f>
        <v>0.92574126592438288</v>
      </c>
      <c r="E131" s="58">
        <f t="shared" si="16"/>
        <v>0.73444367192973115</v>
      </c>
      <c r="F131" s="58">
        <f t="shared" si="16"/>
        <v>0.4993517885992762</v>
      </c>
      <c r="G131" s="58">
        <f t="shared" si="16"/>
        <v>0.29096045886431021</v>
      </c>
      <c r="H131" s="58">
        <f t="shared" si="16"/>
        <v>0.14529162554555941</v>
      </c>
      <c r="I131" s="58">
        <f t="shared" si="16"/>
        <v>6.2176524022116264E-2</v>
      </c>
      <c r="J131" s="58">
        <f t="shared" si="16"/>
        <v>2.2802976631480676E-2</v>
      </c>
      <c r="K131" s="58">
        <f t="shared" si="16"/>
        <v>7.166975037612433E-3</v>
      </c>
      <c r="L131" s="58">
        <f t="shared" si="16"/>
        <v>1.9304541362277217E-3</v>
      </c>
      <c r="M131" s="58">
        <f t="shared" si="16"/>
        <v>4.456175955920294E-4</v>
      </c>
    </row>
    <row r="132" spans="2:13" x14ac:dyDescent="0.2">
      <c r="B132" s="58" t="s">
        <v>135</v>
      </c>
      <c r="C132" s="58">
        <f>WEIBULL(C130,$C$129,$E$129,0)</f>
        <v>0</v>
      </c>
      <c r="D132" s="58">
        <f t="shared" ref="D132:M132" si="17">WEIBULL(D130,$C$129,$E$129,0)</f>
        <v>2.8572261293962405E-4</v>
      </c>
      <c r="E132" s="58">
        <f t="shared" si="17"/>
        <v>4.5336029131464855E-4</v>
      </c>
      <c r="F132" s="58">
        <f t="shared" si="17"/>
        <v>4.6236276722155171E-4</v>
      </c>
      <c r="G132" s="58">
        <f t="shared" si="17"/>
        <v>3.5921044304235801E-4</v>
      </c>
      <c r="H132" s="58">
        <f t="shared" si="17"/>
        <v>2.2421547152092492E-4</v>
      </c>
      <c r="I132" s="58">
        <f t="shared" si="17"/>
        <v>1.1514171115206706E-4</v>
      </c>
      <c r="J132" s="58">
        <f t="shared" si="17"/>
        <v>4.9265690253198996E-5</v>
      </c>
      <c r="K132" s="58">
        <f t="shared" si="17"/>
        <v>1.7696234660771386E-5</v>
      </c>
      <c r="L132" s="58">
        <f t="shared" si="17"/>
        <v>5.3623726006325196E-6</v>
      </c>
      <c r="M132" s="58">
        <f t="shared" si="17"/>
        <v>1.3753629493580778E-6</v>
      </c>
    </row>
    <row r="133" spans="2:13" x14ac:dyDescent="0.2">
      <c r="B133" s="58" t="s">
        <v>146</v>
      </c>
      <c r="C133" s="58">
        <f>C132/C131</f>
        <v>0</v>
      </c>
      <c r="D133" s="58">
        <f t="shared" ref="D133:M133" si="18">D132/D131</f>
        <v>3.0864197530864164E-4</v>
      </c>
      <c r="E133" s="58">
        <f t="shared" si="18"/>
        <v>6.172839506172835E-4</v>
      </c>
      <c r="F133" s="58">
        <f t="shared" si="18"/>
        <v>9.2592592592592531E-4</v>
      </c>
      <c r="G133" s="58">
        <f t="shared" si="18"/>
        <v>1.234567901234567E-3</v>
      </c>
      <c r="H133" s="58">
        <f t="shared" si="18"/>
        <v>1.5432098765432091E-3</v>
      </c>
      <c r="I133" s="58">
        <f t="shared" si="18"/>
        <v>1.8518518518518502E-3</v>
      </c>
      <c r="J133" s="58">
        <f t="shared" si="18"/>
        <v>2.1604938271604941E-3</v>
      </c>
      <c r="K133" s="58">
        <f t="shared" si="18"/>
        <v>2.4691358024691284E-3</v>
      </c>
      <c r="L133" s="58">
        <f t="shared" si="18"/>
        <v>2.7777777777777566E-3</v>
      </c>
      <c r="M133" s="58">
        <f t="shared" si="18"/>
        <v>3.0864197530863354E-3</v>
      </c>
    </row>
    <row r="150" spans="1:17" x14ac:dyDescent="0.2">
      <c r="A150" s="185" t="s">
        <v>148</v>
      </c>
      <c r="B150" s="185"/>
      <c r="C150" s="185"/>
      <c r="D150" s="185"/>
      <c r="E150" s="185"/>
      <c r="F150" s="185"/>
      <c r="G150" s="185"/>
      <c r="H150" s="185"/>
      <c r="I150" s="185"/>
    </row>
    <row r="151" spans="1:17" x14ac:dyDescent="0.2">
      <c r="A151" s="58" t="s">
        <v>144</v>
      </c>
      <c r="B151" s="58">
        <v>2</v>
      </c>
      <c r="C151" s="58" t="s">
        <v>145</v>
      </c>
      <c r="D151" s="58">
        <v>30</v>
      </c>
      <c r="E151" s="58">
        <v>50</v>
      </c>
      <c r="F151" s="58">
        <v>70</v>
      </c>
    </row>
    <row r="152" spans="1:17" x14ac:dyDescent="0.2">
      <c r="A152" s="58" t="s">
        <v>33</v>
      </c>
      <c r="B152" s="58">
        <v>0</v>
      </c>
      <c r="C152" s="58">
        <v>10</v>
      </c>
      <c r="D152" s="58">
        <v>20</v>
      </c>
      <c r="E152" s="58">
        <v>30</v>
      </c>
      <c r="F152" s="58">
        <v>40</v>
      </c>
      <c r="G152" s="58">
        <v>50</v>
      </c>
      <c r="H152" s="58">
        <v>60</v>
      </c>
      <c r="I152" s="58">
        <v>70</v>
      </c>
      <c r="J152" s="58">
        <v>80</v>
      </c>
      <c r="K152" s="58">
        <v>90</v>
      </c>
      <c r="L152" s="58">
        <v>100</v>
      </c>
      <c r="M152" s="58">
        <v>110</v>
      </c>
      <c r="N152" s="58">
        <v>120</v>
      </c>
      <c r="O152" s="58">
        <v>130</v>
      </c>
      <c r="P152" s="58">
        <v>140</v>
      </c>
      <c r="Q152" s="58">
        <v>150</v>
      </c>
    </row>
    <row r="153" spans="1:17" x14ac:dyDescent="0.2">
      <c r="A153" s="58" t="s">
        <v>152</v>
      </c>
      <c r="B153" s="58">
        <f>1-WEIBULL(B152,$B$151,$D$151,1)</f>
        <v>1</v>
      </c>
      <c r="C153" s="58">
        <f t="shared" ref="C153:Q153" si="19">1-WEIBULL(C152,$B$151,$D$151,1)</f>
        <v>0.89483931681436979</v>
      </c>
      <c r="D153" s="58">
        <f t="shared" si="19"/>
        <v>0.64118038842995451</v>
      </c>
      <c r="E153" s="58">
        <f t="shared" si="19"/>
        <v>0.36787944117144233</v>
      </c>
      <c r="F153" s="58">
        <f t="shared" si="19"/>
        <v>0.16901331540606612</v>
      </c>
      <c r="G153" s="58">
        <f t="shared" si="19"/>
        <v>6.2176524022116264E-2</v>
      </c>
      <c r="H153" s="58">
        <f t="shared" si="19"/>
        <v>1.831563888873422E-2</v>
      </c>
      <c r="I153" s="58">
        <f t="shared" si="19"/>
        <v>4.3202394740941008E-3</v>
      </c>
      <c r="J153" s="58">
        <f t="shared" si="19"/>
        <v>8.1598783507219608E-4</v>
      </c>
      <c r="K153" s="58">
        <f t="shared" si="19"/>
        <v>1.2340980408664937E-4</v>
      </c>
      <c r="L153" s="58">
        <f t="shared" si="19"/>
        <v>1.4945338524752216E-5</v>
      </c>
      <c r="M153" s="58">
        <f t="shared" si="19"/>
        <v>1.4492788871223183E-6</v>
      </c>
      <c r="N153" s="58">
        <f t="shared" si="19"/>
        <v>1.1253517473441832E-7</v>
      </c>
      <c r="O153" s="58">
        <f t="shared" si="19"/>
        <v>6.9970459426471621E-9</v>
      </c>
      <c r="P153" s="58">
        <f t="shared" si="19"/>
        <v>3.4836244999780774E-10</v>
      </c>
      <c r="Q153" s="58">
        <f t="shared" si="19"/>
        <v>1.3887890837338546E-11</v>
      </c>
    </row>
    <row r="154" spans="1:17" x14ac:dyDescent="0.2">
      <c r="A154" s="58" t="s">
        <v>153</v>
      </c>
      <c r="B154" s="58">
        <f>1-WEIBULL(B152,$B$151,$E$151,1)</f>
        <v>1</v>
      </c>
      <c r="C154" s="58">
        <f t="shared" ref="C154:Q154" si="20">1-WEIBULL(C152,$B$151,$E$151,1)</f>
        <v>0.96078943915232318</v>
      </c>
      <c r="D154" s="58">
        <f t="shared" si="20"/>
        <v>0.85214378896621135</v>
      </c>
      <c r="E154" s="58">
        <f t="shared" si="20"/>
        <v>0.69767632607103103</v>
      </c>
      <c r="F154" s="58">
        <f t="shared" si="20"/>
        <v>0.52729242404304855</v>
      </c>
      <c r="G154" s="58">
        <f t="shared" si="20"/>
        <v>0.36787944117144233</v>
      </c>
      <c r="H154" s="58">
        <f t="shared" si="20"/>
        <v>0.23692775868212179</v>
      </c>
      <c r="I154" s="58">
        <f t="shared" si="20"/>
        <v>0.14085842092104506</v>
      </c>
      <c r="J154" s="58">
        <f t="shared" si="20"/>
        <v>7.7304740443299713E-2</v>
      </c>
      <c r="K154" s="58">
        <f t="shared" si="20"/>
        <v>3.91638950989871E-2</v>
      </c>
      <c r="L154" s="58">
        <f t="shared" si="20"/>
        <v>1.831563888873422E-2</v>
      </c>
      <c r="M154" s="58">
        <f t="shared" si="20"/>
        <v>7.9070540515934207E-3</v>
      </c>
      <c r="N154" s="58">
        <f t="shared" si="20"/>
        <v>3.1511115984443894E-3</v>
      </c>
      <c r="O154" s="58">
        <f t="shared" si="20"/>
        <v>1.1592291739045413E-3</v>
      </c>
      <c r="P154" s="58">
        <f t="shared" si="20"/>
        <v>3.936690406550758E-4</v>
      </c>
      <c r="Q154" s="58">
        <f t="shared" si="20"/>
        <v>1.2340980408664937E-4</v>
      </c>
    </row>
    <row r="155" spans="1:17" x14ac:dyDescent="0.2">
      <c r="A155" s="58" t="s">
        <v>154</v>
      </c>
      <c r="B155" s="58">
        <f>1-WEIBULL(B152,$B$151,$F$151,1)</f>
        <v>1</v>
      </c>
      <c r="C155" s="58">
        <f t="shared" ref="C155:Q155" si="21">1-WEIBULL(C152,$B$151,$F$151,1)</f>
        <v>0.97979867385370434</v>
      </c>
      <c r="D155" s="58">
        <f t="shared" si="21"/>
        <v>0.9216104472977249</v>
      </c>
      <c r="E155" s="58">
        <f t="shared" si="21"/>
        <v>0.83220750069030125</v>
      </c>
      <c r="F155" s="58">
        <f t="shared" si="21"/>
        <v>0.72142229035475625</v>
      </c>
      <c r="G155" s="58">
        <f t="shared" si="21"/>
        <v>0.60037304119840451</v>
      </c>
      <c r="H155" s="58">
        <f t="shared" si="21"/>
        <v>0.4796522688300443</v>
      </c>
      <c r="I155" s="58">
        <f t="shared" si="21"/>
        <v>0.36787944117144233</v>
      </c>
      <c r="J155" s="58">
        <f t="shared" si="21"/>
        <v>0.27086832847046349</v>
      </c>
      <c r="K155" s="58">
        <f t="shared" si="21"/>
        <v>0.19146289967870533</v>
      </c>
      <c r="L155" s="58">
        <f t="shared" si="21"/>
        <v>0.12992260830505953</v>
      </c>
      <c r="M155" s="58">
        <f t="shared" si="21"/>
        <v>8.4636661506224398E-2</v>
      </c>
      <c r="N155" s="58">
        <f t="shared" si="21"/>
        <v>5.2930501932708762E-2</v>
      </c>
      <c r="O155" s="58">
        <f t="shared" si="21"/>
        <v>3.1778046417498373E-2</v>
      </c>
      <c r="P155" s="58">
        <f t="shared" si="21"/>
        <v>1.831563888873422E-2</v>
      </c>
      <c r="Q155" s="58">
        <f t="shared" si="21"/>
        <v>1.0134227381485728E-2</v>
      </c>
    </row>
    <row r="156" spans="1:17" x14ac:dyDescent="0.2">
      <c r="A156" s="58" t="s">
        <v>149</v>
      </c>
      <c r="B156" s="58">
        <f>WEIBULL(B152,$B$151,$D$151,0)</f>
        <v>0</v>
      </c>
      <c r="C156" s="58">
        <f t="shared" ref="C156:Q156" si="22">WEIBULL(C152,$B$151,$D$151,0)</f>
        <v>1.988531815143044E-2</v>
      </c>
      <c r="D156" s="58">
        <f t="shared" si="22"/>
        <v>2.8496906152442415E-2</v>
      </c>
      <c r="E156" s="58">
        <f t="shared" si="22"/>
        <v>2.4525296078096157E-2</v>
      </c>
      <c r="F156" s="58">
        <f t="shared" si="22"/>
        <v>1.5023405813872542E-2</v>
      </c>
      <c r="G156" s="58">
        <f t="shared" si="22"/>
        <v>6.90850266912403E-3</v>
      </c>
      <c r="H156" s="58">
        <f t="shared" si="22"/>
        <v>2.4420851851645561E-3</v>
      </c>
      <c r="I156" s="58">
        <f t="shared" si="22"/>
        <v>6.720372515257437E-4</v>
      </c>
      <c r="J156" s="58">
        <f t="shared" si="22"/>
        <v>1.4506450401282627E-4</v>
      </c>
      <c r="K156" s="58">
        <f t="shared" si="22"/>
        <v>2.4681960817335859E-5</v>
      </c>
      <c r="L156" s="58">
        <f t="shared" si="22"/>
        <v>3.3211863388403116E-6</v>
      </c>
      <c r="M156" s="58">
        <f t="shared" si="22"/>
        <v>3.5426817241389724E-7</v>
      </c>
      <c r="N156" s="58">
        <f t="shared" si="22"/>
        <v>3.0009379925135803E-8</v>
      </c>
      <c r="O156" s="58">
        <f t="shared" si="22"/>
        <v>2.0213688427876915E-9</v>
      </c>
      <c r="P156" s="58">
        <f t="shared" si="22"/>
        <v>1.0837941560119665E-10</v>
      </c>
      <c r="Q156" s="58">
        <f t="shared" si="22"/>
        <v>4.6293146216546882E-12</v>
      </c>
    </row>
    <row r="157" spans="1:17" x14ac:dyDescent="0.2">
      <c r="A157" s="58" t="s">
        <v>150</v>
      </c>
      <c r="B157" s="58">
        <f>WEIBULL(B152,$B$151,$E$151,0)</f>
        <v>0</v>
      </c>
      <c r="C157" s="58">
        <f t="shared" ref="C157:Q157" si="23">WEIBULL(C152,$B$151,$E$151,0)</f>
        <v>7.6863155132185891E-3</v>
      </c>
      <c r="D157" s="58">
        <f t="shared" si="23"/>
        <v>1.3634300623459382E-2</v>
      </c>
      <c r="E157" s="58">
        <f t="shared" si="23"/>
        <v>1.6744231825704749E-2</v>
      </c>
      <c r="F157" s="58">
        <f t="shared" si="23"/>
        <v>1.6873357569377558E-2</v>
      </c>
      <c r="G157" s="58">
        <f t="shared" si="23"/>
        <v>1.4715177646857694E-2</v>
      </c>
      <c r="H157" s="58">
        <f t="shared" si="23"/>
        <v>1.1372532416741844E-2</v>
      </c>
      <c r="I157" s="58">
        <f t="shared" si="23"/>
        <v>7.8880715715785258E-3</v>
      </c>
      <c r="J157" s="58">
        <f t="shared" si="23"/>
        <v>4.9475033883711805E-3</v>
      </c>
      <c r="K157" s="58">
        <f t="shared" si="23"/>
        <v>2.8198004471270692E-3</v>
      </c>
      <c r="L157" s="58">
        <f t="shared" si="23"/>
        <v>1.4652511110987351E-3</v>
      </c>
      <c r="M157" s="58">
        <f t="shared" si="23"/>
        <v>6.958207565402226E-4</v>
      </c>
      <c r="N157" s="58">
        <f t="shared" si="23"/>
        <v>3.0250671345066657E-4</v>
      </c>
      <c r="O157" s="58">
        <f t="shared" si="23"/>
        <v>1.2055983408607749E-4</v>
      </c>
      <c r="P157" s="58">
        <f t="shared" si="23"/>
        <v>4.4090932553368829E-5</v>
      </c>
      <c r="Q157" s="58">
        <f t="shared" si="23"/>
        <v>1.4809176490401517E-5</v>
      </c>
    </row>
    <row r="158" spans="1:17" x14ac:dyDescent="0.2">
      <c r="A158" s="58" t="s">
        <v>151</v>
      </c>
      <c r="B158" s="58">
        <f>WEIBULL(B152,$B$151,$F$151,0)</f>
        <v>0</v>
      </c>
      <c r="C158" s="58">
        <f t="shared" ref="C158:Q158" si="24">WEIBULL(C152,$B$151,$F$151,0)</f>
        <v>3.9991782606273625E-3</v>
      </c>
      <c r="D158" s="58">
        <f t="shared" si="24"/>
        <v>7.523350590185501E-3</v>
      </c>
      <c r="E158" s="58">
        <f t="shared" si="24"/>
        <v>1.0190295926820008E-2</v>
      </c>
      <c r="F158" s="58">
        <f t="shared" si="24"/>
        <v>1.1778323107832746E-2</v>
      </c>
      <c r="G158" s="58">
        <f t="shared" si="24"/>
        <v>1.2252511044865385E-2</v>
      </c>
      <c r="H158" s="58">
        <f t="shared" si="24"/>
        <v>1.1746586175429645E-2</v>
      </c>
      <c r="I158" s="58">
        <f t="shared" si="24"/>
        <v>1.051084117632692E-2</v>
      </c>
      <c r="J158" s="58">
        <f t="shared" si="24"/>
        <v>8.8446801133212471E-3</v>
      </c>
      <c r="K158" s="58">
        <f t="shared" si="24"/>
        <v>7.0333310086054968E-3</v>
      </c>
      <c r="L158" s="58">
        <f t="shared" si="24"/>
        <v>5.3029636042881403E-3</v>
      </c>
      <c r="M158" s="58">
        <f t="shared" si="24"/>
        <v>3.8000133737488514E-3</v>
      </c>
      <c r="N158" s="58">
        <f t="shared" si="24"/>
        <v>2.5925143803775712E-3</v>
      </c>
      <c r="O158" s="58">
        <f t="shared" si="24"/>
        <v>1.6861820548060341E-3</v>
      </c>
      <c r="P158" s="58">
        <f t="shared" si="24"/>
        <v>1.0466079364990948E-3</v>
      </c>
      <c r="Q158" s="58">
        <f t="shared" si="24"/>
        <v>6.2046290090728997E-4</v>
      </c>
    </row>
    <row r="180" spans="1:17" x14ac:dyDescent="0.2">
      <c r="A180" s="58" t="s">
        <v>144</v>
      </c>
      <c r="B180" s="58">
        <v>0.4</v>
      </c>
      <c r="C180" s="58">
        <v>1</v>
      </c>
      <c r="D180" s="58">
        <v>3</v>
      </c>
      <c r="E180" s="58" t="s">
        <v>145</v>
      </c>
      <c r="F180" s="58">
        <v>50</v>
      </c>
    </row>
    <row r="181" spans="1:17" x14ac:dyDescent="0.2">
      <c r="A181" s="58" t="s">
        <v>33</v>
      </c>
      <c r="B181" s="58">
        <v>0</v>
      </c>
      <c r="C181" s="58">
        <v>10</v>
      </c>
      <c r="D181" s="58">
        <v>20</v>
      </c>
      <c r="E181" s="58">
        <v>30</v>
      </c>
      <c r="F181" s="58">
        <v>40</v>
      </c>
      <c r="G181" s="58">
        <v>50</v>
      </c>
      <c r="H181" s="58">
        <v>60</v>
      </c>
      <c r="I181" s="58">
        <v>70</v>
      </c>
      <c r="J181" s="58">
        <v>80</v>
      </c>
      <c r="K181" s="58">
        <v>90</v>
      </c>
      <c r="L181" s="58">
        <v>100</v>
      </c>
      <c r="M181" s="58">
        <v>110</v>
      </c>
      <c r="N181" s="58">
        <v>120</v>
      </c>
      <c r="O181" s="58">
        <v>130</v>
      </c>
      <c r="P181" s="58">
        <v>140</v>
      </c>
      <c r="Q181" s="58">
        <v>150</v>
      </c>
    </row>
    <row r="182" spans="1:17" x14ac:dyDescent="0.2">
      <c r="A182" s="58" t="s">
        <v>152</v>
      </c>
      <c r="B182" s="58">
        <f>1-WEIBULL(B181,$B$180,$F$180,1)</f>
        <v>1</v>
      </c>
      <c r="C182" s="58">
        <f t="shared" ref="C182:Q182" si="25">1-WEIBULL(C181,$B$180,$F$180,1)</f>
        <v>0.59137463580186067</v>
      </c>
      <c r="D182" s="58">
        <f t="shared" si="25"/>
        <v>0.50000116870376532</v>
      </c>
      <c r="E182" s="58">
        <f t="shared" si="25"/>
        <v>0.44255385770804967</v>
      </c>
      <c r="F182" s="58">
        <f t="shared" si="25"/>
        <v>0.40067281642650543</v>
      </c>
      <c r="G182" s="58">
        <f t="shared" si="25"/>
        <v>0.36787944117144233</v>
      </c>
      <c r="H182" s="58">
        <f t="shared" si="25"/>
        <v>0.34107470244651439</v>
      </c>
      <c r="I182" s="58">
        <f t="shared" si="25"/>
        <v>0.31852116442657619</v>
      </c>
      <c r="J182" s="58">
        <f t="shared" si="25"/>
        <v>0.29914248898735185</v>
      </c>
      <c r="K182" s="58">
        <f t="shared" si="25"/>
        <v>0.28222410670461517</v>
      </c>
      <c r="L182" s="58">
        <f t="shared" si="25"/>
        <v>0.26726678871908149</v>
      </c>
      <c r="M182" s="58">
        <f t="shared" si="25"/>
        <v>0.2539077811510142</v>
      </c>
      <c r="N182" s="58">
        <f t="shared" si="25"/>
        <v>0.24187513875719202</v>
      </c>
      <c r="O182" s="58">
        <f t="shared" si="25"/>
        <v>0.23095974078385861</v>
      </c>
      <c r="P182" s="58">
        <f t="shared" si="25"/>
        <v>0.2209973414875801</v>
      </c>
      <c r="Q182" s="58">
        <f t="shared" si="25"/>
        <v>0.21185661575387105</v>
      </c>
    </row>
    <row r="183" spans="1:17" x14ac:dyDescent="0.2">
      <c r="A183" s="58" t="s">
        <v>153</v>
      </c>
      <c r="B183" s="58">
        <f>1-WEIBULL(B181,$C$180,$F$180,1)</f>
        <v>1</v>
      </c>
      <c r="C183" s="58">
        <f t="shared" ref="C183:Q183" si="26">1-WEIBULL(C181,$C$180,$F$180,1)</f>
        <v>0.81873075307798182</v>
      </c>
      <c r="D183" s="58">
        <f t="shared" si="26"/>
        <v>0.67032004603563933</v>
      </c>
      <c r="E183" s="58">
        <f t="shared" si="26"/>
        <v>0.5488116360940265</v>
      </c>
      <c r="F183" s="58">
        <f t="shared" si="26"/>
        <v>0.44932896411722156</v>
      </c>
      <c r="G183" s="58">
        <f t="shared" si="26"/>
        <v>0.36787944117144233</v>
      </c>
      <c r="H183" s="58">
        <f t="shared" si="26"/>
        <v>0.30119421191220219</v>
      </c>
      <c r="I183" s="58">
        <f t="shared" si="26"/>
        <v>0.24659696394160646</v>
      </c>
      <c r="J183" s="58">
        <f t="shared" si="26"/>
        <v>0.20189651799465536</v>
      </c>
      <c r="K183" s="58">
        <f t="shared" si="26"/>
        <v>0.16529888822158656</v>
      </c>
      <c r="L183" s="58">
        <f t="shared" si="26"/>
        <v>0.1353352832366127</v>
      </c>
      <c r="M183" s="58">
        <f t="shared" si="26"/>
        <v>0.1108031583623339</v>
      </c>
      <c r="N183" s="58">
        <f t="shared" si="26"/>
        <v>9.0717953289412456E-2</v>
      </c>
      <c r="O183" s="58">
        <f t="shared" si="26"/>
        <v>7.4273578214333891E-2</v>
      </c>
      <c r="P183" s="58">
        <f t="shared" si="26"/>
        <v>6.0810062625217931E-2</v>
      </c>
      <c r="Q183" s="58">
        <f t="shared" si="26"/>
        <v>4.9787068367863951E-2</v>
      </c>
    </row>
    <row r="184" spans="1:17" x14ac:dyDescent="0.2">
      <c r="A184" s="58" t="s">
        <v>154</v>
      </c>
      <c r="B184" s="58">
        <f>1-WEIBULL(B181,$D$180,$F$180,1)</f>
        <v>1</v>
      </c>
      <c r="C184" s="58">
        <f t="shared" ref="C184:Q184" si="27">1-WEIBULL(C181,$D$180,$F$180,1)</f>
        <v>0.99203191483706066</v>
      </c>
      <c r="D184" s="58">
        <f t="shared" si="27"/>
        <v>0.93800499953072947</v>
      </c>
      <c r="E184" s="58">
        <f t="shared" si="27"/>
        <v>0.80573530187347964</v>
      </c>
      <c r="F184" s="58">
        <f t="shared" si="27"/>
        <v>0.59929578784553839</v>
      </c>
      <c r="G184" s="58">
        <f t="shared" si="27"/>
        <v>0.36787944117144233</v>
      </c>
      <c r="H184" s="58">
        <f t="shared" si="27"/>
        <v>0.17763933359513495</v>
      </c>
      <c r="I184" s="58">
        <f t="shared" si="27"/>
        <v>6.431258138030882E-2</v>
      </c>
      <c r="J184" s="58">
        <f t="shared" si="27"/>
        <v>1.6639098861723656E-2</v>
      </c>
      <c r="K184" s="58">
        <f t="shared" si="27"/>
        <v>2.9322066985015827E-3</v>
      </c>
      <c r="L184" s="58">
        <f t="shared" si="27"/>
        <v>3.3546262790251635E-4</v>
      </c>
      <c r="M184" s="58">
        <f t="shared" si="27"/>
        <v>2.3748290714276088E-5</v>
      </c>
      <c r="N184" s="58">
        <f t="shared" si="27"/>
        <v>9.9154649146893092E-7</v>
      </c>
      <c r="O184" s="58">
        <f t="shared" si="27"/>
        <v>2.3272347160485651E-8</v>
      </c>
      <c r="P184" s="58">
        <f t="shared" si="27"/>
        <v>2.9266278289696857E-10</v>
      </c>
      <c r="Q184" s="58">
        <f t="shared" si="27"/>
        <v>1.8794965583879275E-12</v>
      </c>
    </row>
    <row r="185" spans="1:17" x14ac:dyDescent="0.2">
      <c r="A185" s="58" t="s">
        <v>149</v>
      </c>
      <c r="B185" s="58">
        <f>WEIBULL(B181,$B$180,$F$180,0)</f>
        <v>0</v>
      </c>
      <c r="C185" s="58">
        <f t="shared" ref="C185:Q185" si="28">WEIBULL(C181,$B$180,$F$180,0)</f>
        <v>1.2426095390021909E-2</v>
      </c>
      <c r="D185" s="58">
        <f t="shared" si="28"/>
        <v>6.9314646331712264E-3</v>
      </c>
      <c r="E185" s="58">
        <f t="shared" si="28"/>
        <v>4.8102247391082938E-3</v>
      </c>
      <c r="F185" s="58">
        <f t="shared" si="28"/>
        <v>3.6645940624358236E-3</v>
      </c>
      <c r="G185" s="58">
        <f t="shared" si="28"/>
        <v>2.943035529371538E-3</v>
      </c>
      <c r="H185" s="58">
        <f t="shared" si="28"/>
        <v>2.4458552338750116E-3</v>
      </c>
      <c r="I185" s="58">
        <f t="shared" si="28"/>
        <v>2.0823391305679431E-3</v>
      </c>
      <c r="J185" s="58">
        <f t="shared" si="28"/>
        <v>1.805078528302701E-3</v>
      </c>
      <c r="K185" s="58">
        <f t="shared" si="28"/>
        <v>1.5867941511489316E-3</v>
      </c>
      <c r="L185" s="58">
        <f t="shared" si="28"/>
        <v>1.4106425680067828E-3</v>
      </c>
      <c r="M185" s="58">
        <f t="shared" si="28"/>
        <v>1.2656464018057634E-3</v>
      </c>
      <c r="N185" s="58">
        <f t="shared" si="28"/>
        <v>1.1443384049554556E-3</v>
      </c>
      <c r="O185" s="58">
        <f t="shared" si="28"/>
        <v>1.04145920209278E-3</v>
      </c>
      <c r="P185" s="58">
        <f t="shared" si="28"/>
        <v>9.5319601384412096E-4</v>
      </c>
      <c r="Q185" s="58">
        <f t="shared" si="28"/>
        <v>8.7671667056621826E-4</v>
      </c>
    </row>
    <row r="186" spans="1:17" x14ac:dyDescent="0.2">
      <c r="A186" s="58" t="s">
        <v>150</v>
      </c>
      <c r="B186" s="58">
        <f>WEIBULL(B181,$C$180,$F$180,0)</f>
        <v>0</v>
      </c>
      <c r="C186" s="58">
        <f t="shared" ref="C186:Q186" si="29">WEIBULL(C181,$C$180,$F$180,0)</f>
        <v>1.6374615061559638E-2</v>
      </c>
      <c r="D186" s="58">
        <f t="shared" si="29"/>
        <v>1.340640092071279E-2</v>
      </c>
      <c r="E186" s="58">
        <f t="shared" si="29"/>
        <v>1.097623272188053E-2</v>
      </c>
      <c r="F186" s="58">
        <f t="shared" si="29"/>
        <v>8.9865792823444323E-3</v>
      </c>
      <c r="G186" s="58">
        <f t="shared" si="29"/>
        <v>7.3575888234288485E-3</v>
      </c>
      <c r="H186" s="58">
        <f t="shared" si="29"/>
        <v>6.0238842382440436E-3</v>
      </c>
      <c r="I186" s="58">
        <f t="shared" si="29"/>
        <v>4.9319392788321308E-3</v>
      </c>
      <c r="J186" s="58">
        <f t="shared" si="29"/>
        <v>4.0379303598931087E-3</v>
      </c>
      <c r="K186" s="58">
        <f t="shared" si="29"/>
        <v>3.3059777644317313E-3</v>
      </c>
      <c r="L186" s="58">
        <f t="shared" si="29"/>
        <v>2.7067056647322547E-3</v>
      </c>
      <c r="M186" s="58">
        <f t="shared" si="29"/>
        <v>2.2160631672466778E-3</v>
      </c>
      <c r="N186" s="58">
        <f t="shared" si="29"/>
        <v>1.8143590657882507E-3</v>
      </c>
      <c r="O186" s="58">
        <f t="shared" si="29"/>
        <v>1.4854715642866779E-3</v>
      </c>
      <c r="P186" s="58">
        <f t="shared" si="29"/>
        <v>1.2162012525043597E-3</v>
      </c>
      <c r="Q186" s="58">
        <f t="shared" si="29"/>
        <v>9.9574136735727857E-4</v>
      </c>
    </row>
    <row r="187" spans="1:17" x14ac:dyDescent="0.2">
      <c r="A187" s="58" t="s">
        <v>151</v>
      </c>
      <c r="B187" s="58">
        <f>WEIBULL(B181,$D$180,$F$180,0)</f>
        <v>0</v>
      </c>
      <c r="C187" s="58">
        <f t="shared" ref="C187:Q187" si="30">WEIBULL(C181,$B$151,$F$151,0)</f>
        <v>3.9991782606273625E-3</v>
      </c>
      <c r="D187" s="58">
        <f t="shared" si="30"/>
        <v>7.523350590185501E-3</v>
      </c>
      <c r="E187" s="58">
        <f t="shared" si="30"/>
        <v>1.0190295926820008E-2</v>
      </c>
      <c r="F187" s="58">
        <f t="shared" si="30"/>
        <v>1.1778323107832746E-2</v>
      </c>
      <c r="G187" s="58">
        <f t="shared" si="30"/>
        <v>1.2252511044865385E-2</v>
      </c>
      <c r="H187" s="58">
        <f t="shared" si="30"/>
        <v>1.1746586175429645E-2</v>
      </c>
      <c r="I187" s="58">
        <f t="shared" si="30"/>
        <v>1.051084117632692E-2</v>
      </c>
      <c r="J187" s="58">
        <f t="shared" si="30"/>
        <v>8.8446801133212471E-3</v>
      </c>
      <c r="K187" s="58">
        <f t="shared" si="30"/>
        <v>7.0333310086054968E-3</v>
      </c>
      <c r="L187" s="58">
        <f t="shared" si="30"/>
        <v>5.3029636042881403E-3</v>
      </c>
      <c r="M187" s="58">
        <f t="shared" si="30"/>
        <v>3.8000133737488514E-3</v>
      </c>
      <c r="N187" s="58">
        <f t="shared" si="30"/>
        <v>2.5925143803775712E-3</v>
      </c>
      <c r="O187" s="58">
        <f t="shared" si="30"/>
        <v>1.6861820548060341E-3</v>
      </c>
      <c r="P187" s="58">
        <f t="shared" si="30"/>
        <v>1.0466079364990948E-3</v>
      </c>
      <c r="Q187" s="58">
        <f t="shared" si="30"/>
        <v>6.2046290090728997E-4</v>
      </c>
    </row>
    <row r="206" spans="1:17" x14ac:dyDescent="0.2">
      <c r="A206" t="s">
        <v>237</v>
      </c>
      <c r="B206" t="s">
        <v>238</v>
      </c>
    </row>
    <row r="207" spans="1:17" x14ac:dyDescent="0.2">
      <c r="A207" t="s">
        <v>240</v>
      </c>
      <c r="B207">
        <f>1-EXPONDIST(B181,1/$F$180,1)</f>
        <v>1</v>
      </c>
      <c r="C207">
        <f t="shared" ref="C207:Q207" si="31">1-EXPONDIST(C181,1/$F$180,1)</f>
        <v>0.81873075307798182</v>
      </c>
      <c r="D207">
        <f t="shared" si="31"/>
        <v>0.67032004603563933</v>
      </c>
      <c r="E207">
        <f t="shared" si="31"/>
        <v>0.5488116360940265</v>
      </c>
      <c r="F207">
        <f t="shared" si="31"/>
        <v>0.44932896411722156</v>
      </c>
      <c r="G207">
        <f t="shared" si="31"/>
        <v>0.36787944117144233</v>
      </c>
      <c r="H207">
        <f t="shared" si="31"/>
        <v>0.30119421191220219</v>
      </c>
      <c r="I207">
        <f t="shared" si="31"/>
        <v>0.24659696394160646</v>
      </c>
      <c r="J207">
        <f t="shared" si="31"/>
        <v>0.20189651799465536</v>
      </c>
      <c r="K207">
        <f t="shared" si="31"/>
        <v>0.16529888822158656</v>
      </c>
      <c r="L207">
        <f t="shared" si="31"/>
        <v>0.1353352832366127</v>
      </c>
      <c r="M207">
        <f t="shared" si="31"/>
        <v>0.1108031583623339</v>
      </c>
      <c r="N207">
        <f t="shared" si="31"/>
        <v>9.0717953289412456E-2</v>
      </c>
      <c r="O207">
        <f t="shared" si="31"/>
        <v>7.4273578214333891E-2</v>
      </c>
      <c r="P207">
        <f t="shared" si="31"/>
        <v>6.0810062625217931E-2</v>
      </c>
      <c r="Q207">
        <f t="shared" si="31"/>
        <v>4.9787068367863951E-2</v>
      </c>
    </row>
    <row r="208" spans="1:17" x14ac:dyDescent="0.2">
      <c r="A208" t="s">
        <v>239</v>
      </c>
      <c r="B208">
        <f>EXPONDIST(B181,1/$F$180,0)</f>
        <v>0.02</v>
      </c>
      <c r="C208">
        <f t="shared" ref="C208:Q208" si="32">EXPONDIST(C181,1/$F$180,0)</f>
        <v>1.6374615061559638E-2</v>
      </c>
      <c r="D208">
        <f t="shared" si="32"/>
        <v>1.3406400920712786E-2</v>
      </c>
      <c r="E208">
        <f t="shared" si="32"/>
        <v>1.0976232721880528E-2</v>
      </c>
      <c r="F208">
        <f t="shared" si="32"/>
        <v>8.9865792823444323E-3</v>
      </c>
      <c r="G208">
        <f t="shared" si="32"/>
        <v>7.3575888234288468E-3</v>
      </c>
      <c r="H208">
        <f t="shared" si="32"/>
        <v>6.0238842382440427E-3</v>
      </c>
      <c r="I208">
        <f t="shared" si="32"/>
        <v>4.931939278832129E-3</v>
      </c>
      <c r="J208">
        <f t="shared" si="32"/>
        <v>4.0379303598931078E-3</v>
      </c>
      <c r="K208">
        <f t="shared" si="32"/>
        <v>3.3059777644317309E-3</v>
      </c>
      <c r="L208">
        <f t="shared" si="32"/>
        <v>2.7067056647322543E-3</v>
      </c>
      <c r="M208">
        <f t="shared" si="32"/>
        <v>2.2160631672466773E-3</v>
      </c>
      <c r="N208">
        <f t="shared" si="32"/>
        <v>1.8143590657882503E-3</v>
      </c>
      <c r="O208">
        <f t="shared" si="32"/>
        <v>1.4854715642866776E-3</v>
      </c>
      <c r="P208">
        <f t="shared" si="32"/>
        <v>1.2162012525043591E-3</v>
      </c>
      <c r="Q208">
        <f t="shared" si="32"/>
        <v>9.95741367357279E-4</v>
      </c>
    </row>
  </sheetData>
  <mergeCells count="5">
    <mergeCell ref="B61:N61"/>
    <mergeCell ref="B83:N83"/>
    <mergeCell ref="B105:P105"/>
    <mergeCell ref="B107:E107"/>
    <mergeCell ref="A150:I150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Equation.3" shapeId="1025" r:id="rId4">
          <objectPr defaultSize="0" autoPict="0" r:id="rId5">
            <anchor moveWithCells="1">
              <from>
                <xdr:col>0</xdr:col>
                <xdr:colOff>50800</xdr:colOff>
                <xdr:row>9</xdr:row>
                <xdr:rowOff>63500</xdr:rowOff>
              </from>
              <to>
                <xdr:col>0</xdr:col>
                <xdr:colOff>254000</xdr:colOff>
                <xdr:row>10</xdr:row>
                <xdr:rowOff>0</xdr:rowOff>
              </to>
            </anchor>
          </objectPr>
        </oleObject>
      </mc:Choice>
      <mc:Fallback>
        <oleObject progId="Equation.3" shapeId="1025" r:id="rId4"/>
      </mc:Fallback>
    </mc:AlternateContent>
    <mc:AlternateContent xmlns:mc="http://schemas.openxmlformats.org/markup-compatibility/2006">
      <mc:Choice Requires="x14">
        <oleObject progId="Equation.3" shapeId="1914" r:id="rId6">
          <objectPr defaultSize="0" autoPict="0" r:id="rId7">
            <anchor moveWithCells="1" sizeWithCells="1">
              <from>
                <xdr:col>8</xdr:col>
                <xdr:colOff>254000</xdr:colOff>
                <xdr:row>30</xdr:row>
                <xdr:rowOff>38100</xdr:rowOff>
              </from>
              <to>
                <xdr:col>9</xdr:col>
                <xdr:colOff>546100</xdr:colOff>
                <xdr:row>31</xdr:row>
                <xdr:rowOff>114300</xdr:rowOff>
              </to>
            </anchor>
          </objectPr>
        </oleObject>
      </mc:Choice>
      <mc:Fallback>
        <oleObject progId="Equation.3" shapeId="1914" r:id="rId6"/>
      </mc:Fallback>
    </mc:AlternateContent>
    <mc:AlternateContent xmlns:mc="http://schemas.openxmlformats.org/markup-compatibility/2006">
      <mc:Choice Requires="x14">
        <oleObject progId="Equation.3" shapeId="1915" r:id="rId8">
          <objectPr defaultSize="0" autoPict="0" r:id="rId9">
            <anchor moveWithCells="1" sizeWithCells="1">
              <from>
                <xdr:col>7</xdr:col>
                <xdr:colOff>685800</xdr:colOff>
                <xdr:row>30</xdr:row>
                <xdr:rowOff>0</xdr:rowOff>
              </from>
              <to>
                <xdr:col>7</xdr:col>
                <xdr:colOff>1485900</xdr:colOff>
                <xdr:row>31</xdr:row>
                <xdr:rowOff>139700</xdr:rowOff>
              </to>
            </anchor>
          </objectPr>
        </oleObject>
      </mc:Choice>
      <mc:Fallback>
        <oleObject progId="Equation.3" shapeId="1915" r:id="rId8"/>
      </mc:Fallback>
    </mc:AlternateContent>
    <mc:AlternateContent xmlns:mc="http://schemas.openxmlformats.org/markup-compatibility/2006">
      <mc:Choice Requires="x14">
        <oleObject progId="Equation.3" shapeId="1916" r:id="rId10">
          <objectPr defaultSize="0" autoPict="0" r:id="rId11">
            <anchor moveWithCells="1" sizeWithCells="1">
              <from>
                <xdr:col>10</xdr:col>
                <xdr:colOff>165100</xdr:colOff>
                <xdr:row>30</xdr:row>
                <xdr:rowOff>25400</xdr:rowOff>
              </from>
              <to>
                <xdr:col>11</xdr:col>
                <xdr:colOff>419100</xdr:colOff>
                <xdr:row>31</xdr:row>
                <xdr:rowOff>25400</xdr:rowOff>
              </to>
            </anchor>
          </objectPr>
        </oleObject>
      </mc:Choice>
      <mc:Fallback>
        <oleObject progId="Equation.3" shapeId="1916" r:id="rId10"/>
      </mc:Fallback>
    </mc:AlternateContent>
    <mc:AlternateContent xmlns:mc="http://schemas.openxmlformats.org/markup-compatibility/2006">
      <mc:Choice Requires="x14">
        <oleObject progId="Equation.3" shapeId="1917" r:id="rId12">
          <objectPr defaultSize="0" autoPict="0" r:id="rId13">
            <anchor moveWithCells="1" sizeWithCells="1">
              <from>
                <xdr:col>8</xdr:col>
                <xdr:colOff>762000</xdr:colOff>
                <xdr:row>33</xdr:row>
                <xdr:rowOff>63500</xdr:rowOff>
              </from>
              <to>
                <xdr:col>10</xdr:col>
                <xdr:colOff>482600</xdr:colOff>
                <xdr:row>35</xdr:row>
                <xdr:rowOff>50800</xdr:rowOff>
              </to>
            </anchor>
          </objectPr>
        </oleObject>
      </mc:Choice>
      <mc:Fallback>
        <oleObject progId="Equation.3" shapeId="1917" r:id="rId1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11"/>
  <sheetViews>
    <sheetView tabSelected="1" zoomScale="125" zoomScaleNormal="100" workbookViewId="0">
      <selection activeCell="K4" sqref="K4"/>
    </sheetView>
  </sheetViews>
  <sheetFormatPr baseColWidth="10" defaultColWidth="8.83203125" defaultRowHeight="15" x14ac:dyDescent="0.2"/>
  <cols>
    <col min="2" max="2" width="17.5" customWidth="1"/>
    <col min="7" max="8" width="13.6640625" bestFit="1" customWidth="1"/>
    <col min="12" max="12" width="12" bestFit="1" customWidth="1"/>
    <col min="13" max="13" width="22" bestFit="1" customWidth="1"/>
  </cols>
  <sheetData>
    <row r="1" spans="1:32" x14ac:dyDescent="0.2">
      <c r="K1" s="199"/>
      <c r="L1" s="199"/>
      <c r="M1" s="199"/>
    </row>
    <row r="2" spans="1:32" ht="16" thickBot="1" x14ac:dyDescent="0.25">
      <c r="B2" s="4" t="s">
        <v>300</v>
      </c>
      <c r="C2" s="4" t="s">
        <v>16</v>
      </c>
      <c r="D2" t="s">
        <v>328</v>
      </c>
      <c r="G2" s="164" t="s">
        <v>87</v>
      </c>
      <c r="H2" s="164" t="s">
        <v>88</v>
      </c>
      <c r="K2" s="199"/>
      <c r="L2" s="199"/>
      <c r="M2" s="199"/>
    </row>
    <row r="3" spans="1:32" ht="16" thickBot="1" x14ac:dyDescent="0.25">
      <c r="A3" s="159" t="s">
        <v>302</v>
      </c>
      <c r="B3" s="160" t="s">
        <v>326</v>
      </c>
      <c r="C3" s="170" t="s">
        <v>312</v>
      </c>
      <c r="D3" s="171">
        <v>400</v>
      </c>
      <c r="E3" s="162" t="s">
        <v>314</v>
      </c>
      <c r="F3" s="171">
        <v>92</v>
      </c>
      <c r="G3" s="173">
        <f>D3</f>
        <v>400</v>
      </c>
      <c r="H3" s="174">
        <f>F3</f>
        <v>92</v>
      </c>
      <c r="K3" s="199"/>
      <c r="L3" s="199"/>
      <c r="M3" s="199"/>
    </row>
    <row r="4" spans="1:32" ht="16" thickBot="1" x14ac:dyDescent="0.25">
      <c r="A4" s="157" t="s">
        <v>303</v>
      </c>
      <c r="B4" s="158"/>
      <c r="C4" s="172" t="s">
        <v>85</v>
      </c>
      <c r="D4" s="161">
        <f>1*10^(-5)</f>
        <v>1.0000000000000001E-5</v>
      </c>
      <c r="E4" s="161"/>
      <c r="F4" s="161"/>
      <c r="G4" s="175">
        <f>SQRT(PI()/(4*D4))</f>
        <v>280.24956081989643</v>
      </c>
      <c r="H4" s="176">
        <f>SQRT(((4-PI())/(4*D4)))</f>
        <v>146.4929474761675</v>
      </c>
    </row>
    <row r="5" spans="1:32" ht="16" thickBot="1" x14ac:dyDescent="0.25">
      <c r="A5" s="159" t="s">
        <v>304</v>
      </c>
      <c r="B5" s="160" t="s">
        <v>325</v>
      </c>
      <c r="C5" s="162" t="s">
        <v>313</v>
      </c>
      <c r="D5" s="188">
        <v>4.5</v>
      </c>
      <c r="E5" s="162" t="s">
        <v>315</v>
      </c>
      <c r="F5" s="171">
        <v>180</v>
      </c>
      <c r="G5" s="173">
        <f>F5* EXP(GAMMALN(1+1/D5))</f>
        <v>164.26318266864246</v>
      </c>
      <c r="H5" s="174">
        <f>F5*SQRT((EXP(GAMMALN(1+2/D5)))-POWER(EXP(GAMMALN(1+1/D5)),2))</f>
        <v>41.415861059114661</v>
      </c>
    </row>
    <row r="6" spans="1:32" ht="16" thickBot="1" x14ac:dyDescent="0.25">
      <c r="A6" s="157" t="s">
        <v>305</v>
      </c>
      <c r="B6" s="158"/>
      <c r="C6" s="172" t="s">
        <v>85</v>
      </c>
      <c r="D6" s="161">
        <f>1*10^(-4)</f>
        <v>1E-4</v>
      </c>
      <c r="E6" s="161"/>
      <c r="F6" s="161"/>
      <c r="G6" s="175">
        <f>1/D6</f>
        <v>10000</v>
      </c>
      <c r="H6" s="176">
        <f>1/D6</f>
        <v>10000</v>
      </c>
    </row>
    <row r="7" spans="1:32" ht="16" thickBot="1" x14ac:dyDescent="0.25">
      <c r="A7" s="165" t="s">
        <v>306</v>
      </c>
      <c r="B7" s="166" t="s">
        <v>327</v>
      </c>
      <c r="C7" s="167" t="s">
        <v>313</v>
      </c>
      <c r="D7" s="168">
        <v>8</v>
      </c>
      <c r="E7" s="167" t="s">
        <v>315</v>
      </c>
      <c r="F7" s="169">
        <v>77</v>
      </c>
      <c r="G7" s="177">
        <f>D7*F7</f>
        <v>616</v>
      </c>
      <c r="H7" s="178">
        <f>SQRT(D7)*F7</f>
        <v>217.78888860545666</v>
      </c>
    </row>
    <row r="8" spans="1:32" x14ac:dyDescent="0.2">
      <c r="AC8" s="111"/>
    </row>
    <row r="9" spans="1:32" x14ac:dyDescent="0.2">
      <c r="AC9" s="111"/>
      <c r="AF9" s="91"/>
    </row>
    <row r="10" spans="1:32" x14ac:dyDescent="0.2">
      <c r="H10" s="58" t="s">
        <v>318</v>
      </c>
      <c r="I10" s="58">
        <v>100</v>
      </c>
    </row>
    <row r="12" spans="1:32" x14ac:dyDescent="0.2">
      <c r="A12" s="58" t="s">
        <v>301</v>
      </c>
      <c r="B12" s="58" t="s">
        <v>307</v>
      </c>
      <c r="C12" s="58" t="s">
        <v>308</v>
      </c>
      <c r="D12" s="58" t="s">
        <v>309</v>
      </c>
      <c r="E12" s="58" t="s">
        <v>310</v>
      </c>
      <c r="F12" s="58" t="s">
        <v>311</v>
      </c>
      <c r="G12" s="163" t="s">
        <v>67</v>
      </c>
      <c r="H12" s="58" t="s">
        <v>316</v>
      </c>
      <c r="I12" s="58" t="s">
        <v>173</v>
      </c>
    </row>
    <row r="13" spans="1:32" x14ac:dyDescent="0.2">
      <c r="A13" s="189">
        <v>0</v>
      </c>
      <c r="B13" s="163">
        <f t="shared" ref="B13:B33" si="0">1-NORMDIST(A13,$D$3,$F$3,1)</f>
        <v>0.99999312532205709</v>
      </c>
      <c r="C13" s="163">
        <f>EXP(-$D$4*(A13^2))</f>
        <v>1</v>
      </c>
      <c r="D13" s="163">
        <f t="shared" ref="D13:D33" si="1">EXP(-(A13/$F$5)^$D$5)</f>
        <v>1</v>
      </c>
      <c r="E13" s="163">
        <f t="shared" ref="E13:E33" si="2">1-EXPONDIST(A13,$D$6,1)</f>
        <v>1</v>
      </c>
      <c r="F13" s="163">
        <f t="shared" ref="F13:F33" si="3">1-GAMMADIST(A13,$D$7,$F$7,1)</f>
        <v>1</v>
      </c>
      <c r="G13" s="163">
        <f t="shared" ref="G13:G33" si="4">PRODUCT(B13:F13)</f>
        <v>0.99999312532205709</v>
      </c>
      <c r="H13" s="58">
        <v>1</v>
      </c>
      <c r="I13" s="163">
        <f>H13*G13</f>
        <v>0.99999312532205709</v>
      </c>
    </row>
    <row r="14" spans="1:32" x14ac:dyDescent="0.2">
      <c r="A14" s="189">
        <v>100</v>
      </c>
      <c r="B14" s="163">
        <f t="shared" si="0"/>
        <v>0.99944464439566871</v>
      </c>
      <c r="C14" s="163">
        <f t="shared" ref="C14:C33" si="5">EXP(-$D$4*(A14^2))</f>
        <v>0.90483741803595952</v>
      </c>
      <c r="D14" s="163">
        <f t="shared" ref="D14:D33" si="6">EXP(-POWER((A14/$F$5),$D$5))</f>
        <v>0.93145955029926752</v>
      </c>
      <c r="E14" s="163">
        <f t="shared" si="2"/>
        <v>0.99004983374916811</v>
      </c>
      <c r="F14" s="163">
        <f t="shared" si="3"/>
        <v>0.99993616569407384</v>
      </c>
      <c r="G14" s="163">
        <f t="shared" si="4"/>
        <v>0.83391661773143921</v>
      </c>
      <c r="H14" s="58">
        <v>4</v>
      </c>
      <c r="I14" s="163">
        <f t="shared" ref="I14:I33" si="7">H14*G14</f>
        <v>3.3356664709257569</v>
      </c>
    </row>
    <row r="15" spans="1:32" x14ac:dyDescent="0.2">
      <c r="A15" s="189">
        <v>200</v>
      </c>
      <c r="B15" s="163">
        <f t="shared" si="0"/>
        <v>0.98514416685602335</v>
      </c>
      <c r="C15" s="163">
        <f t="shared" si="5"/>
        <v>0.67032004603563933</v>
      </c>
      <c r="D15" s="163">
        <f t="shared" si="6"/>
        <v>0.20056768754081619</v>
      </c>
      <c r="E15" s="163">
        <f t="shared" si="2"/>
        <v>0.98019867330675525</v>
      </c>
      <c r="F15" s="163">
        <f t="shared" si="3"/>
        <v>0.99469691480688549</v>
      </c>
      <c r="G15" s="163">
        <f t="shared" si="4"/>
        <v>0.12913615344239512</v>
      </c>
      <c r="H15" s="58">
        <v>2</v>
      </c>
      <c r="I15" s="163">
        <f t="shared" si="7"/>
        <v>0.25827230688479025</v>
      </c>
    </row>
    <row r="16" spans="1:32" x14ac:dyDescent="0.2">
      <c r="A16" s="189">
        <v>300</v>
      </c>
      <c r="B16" s="163">
        <f t="shared" si="0"/>
        <v>0.86147198748368981</v>
      </c>
      <c r="C16" s="163">
        <f t="shared" si="5"/>
        <v>0.40656965974059911</v>
      </c>
      <c r="D16" s="163">
        <f t="shared" si="6"/>
        <v>4.7187717614966779E-5</v>
      </c>
      <c r="E16" s="163">
        <f t="shared" si="2"/>
        <v>0.97044553354850815</v>
      </c>
      <c r="F16" s="163">
        <f t="shared" si="3"/>
        <v>0.95481287236010115</v>
      </c>
      <c r="G16" s="163">
        <f t="shared" si="4"/>
        <v>1.5314207561535152E-5</v>
      </c>
      <c r="H16" s="58">
        <v>4</v>
      </c>
      <c r="I16" s="163">
        <f t="shared" si="7"/>
        <v>6.1256830246140607E-5</v>
      </c>
    </row>
    <row r="17" spans="1:9" x14ac:dyDescent="0.2">
      <c r="A17" s="189">
        <v>400</v>
      </c>
      <c r="B17" s="163">
        <f t="shared" si="0"/>
        <v>0.5</v>
      </c>
      <c r="C17" s="163">
        <f t="shared" si="5"/>
        <v>0.20189651799465538</v>
      </c>
      <c r="D17" s="163">
        <f t="shared" si="6"/>
        <v>1.6291758038188356E-16</v>
      </c>
      <c r="E17" s="163">
        <f t="shared" si="2"/>
        <v>0.96078943915232318</v>
      </c>
      <c r="F17" s="163">
        <f t="shared" si="3"/>
        <v>0.84550562635405468</v>
      </c>
      <c r="G17" s="163">
        <f t="shared" si="4"/>
        <v>1.3360155327381283E-17</v>
      </c>
      <c r="H17" s="58">
        <v>2</v>
      </c>
      <c r="I17" s="163">
        <f t="shared" si="7"/>
        <v>2.6720310654762566E-17</v>
      </c>
    </row>
    <row r="18" spans="1:9" x14ac:dyDescent="0.2">
      <c r="A18" s="189">
        <v>500</v>
      </c>
      <c r="B18" s="163">
        <f t="shared" si="0"/>
        <v>0.13852801251631019</v>
      </c>
      <c r="C18" s="163">
        <f t="shared" si="5"/>
        <v>8.20849986238988E-2</v>
      </c>
      <c r="D18" s="163">
        <f>EXP(-POWER((A18/$F$5),$D$5))</f>
        <v>8.0422907697319079E-44</v>
      </c>
      <c r="E18" s="163">
        <f t="shared" si="2"/>
        <v>0.95122942450071402</v>
      </c>
      <c r="F18" s="163">
        <f t="shared" si="3"/>
        <v>0.67370711436036201</v>
      </c>
      <c r="G18" s="163">
        <f t="shared" si="4"/>
        <v>5.8605392520806763E-46</v>
      </c>
      <c r="H18" s="58">
        <v>4</v>
      </c>
      <c r="I18" s="163">
        <f t="shared" si="7"/>
        <v>2.3442157008322705E-45</v>
      </c>
    </row>
    <row r="19" spans="1:9" x14ac:dyDescent="0.2">
      <c r="A19" s="189">
        <v>600</v>
      </c>
      <c r="B19" s="163">
        <f t="shared" si="0"/>
        <v>1.4855833143976649E-2</v>
      </c>
      <c r="C19" s="163">
        <f t="shared" si="5"/>
        <v>2.7323722447292559E-2</v>
      </c>
      <c r="D19" s="163">
        <f t="shared" si="6"/>
        <v>1.2880245491789832E-98</v>
      </c>
      <c r="E19" s="163">
        <f t="shared" si="2"/>
        <v>0.94176453358424872</v>
      </c>
      <c r="F19" s="163">
        <f t="shared" si="3"/>
        <v>0.48232220453455787</v>
      </c>
      <c r="G19" s="163">
        <f t="shared" si="4"/>
        <v>2.3748741787690623E-102</v>
      </c>
      <c r="H19" s="58">
        <v>2</v>
      </c>
      <c r="I19" s="163">
        <f t="shared" si="7"/>
        <v>4.7497483575381246E-102</v>
      </c>
    </row>
    <row r="20" spans="1:9" x14ac:dyDescent="0.2">
      <c r="A20" s="189">
        <v>700</v>
      </c>
      <c r="B20" s="163">
        <f t="shared" si="0"/>
        <v>5.5535560433128683E-4</v>
      </c>
      <c r="C20" s="163">
        <f t="shared" si="5"/>
        <v>7.4465830709243381E-3</v>
      </c>
      <c r="D20" s="163">
        <f t="shared" si="6"/>
        <v>1.305825612278925E-196</v>
      </c>
      <c r="E20" s="163">
        <f t="shared" si="2"/>
        <v>0.93239381990594827</v>
      </c>
      <c r="F20" s="163">
        <f t="shared" si="3"/>
        <v>0.31335810991582602</v>
      </c>
      <c r="G20" s="163">
        <f t="shared" si="4"/>
        <v>1.5778063710461083E-202</v>
      </c>
      <c r="H20" s="58">
        <v>4</v>
      </c>
      <c r="I20" s="163">
        <f t="shared" si="7"/>
        <v>6.3112254841844333E-202</v>
      </c>
    </row>
    <row r="21" spans="1:9" x14ac:dyDescent="0.2">
      <c r="A21" s="189">
        <v>800</v>
      </c>
      <c r="B21" s="163">
        <f t="shared" si="0"/>
        <v>6.8746779429140759E-6</v>
      </c>
      <c r="C21" s="163">
        <f t="shared" si="5"/>
        <v>1.6615572731739339E-3</v>
      </c>
      <c r="D21" s="163">
        <f t="shared" si="6"/>
        <v>0</v>
      </c>
      <c r="E21" s="163">
        <f t="shared" si="2"/>
        <v>0.92311634638663576</v>
      </c>
      <c r="F21" s="163">
        <f t="shared" si="3"/>
        <v>0.18715405552486786</v>
      </c>
      <c r="G21" s="163">
        <f t="shared" si="4"/>
        <v>0</v>
      </c>
      <c r="H21" s="58">
        <v>2</v>
      </c>
      <c r="I21" s="163">
        <f t="shared" si="7"/>
        <v>0</v>
      </c>
    </row>
    <row r="22" spans="1:9" x14ac:dyDescent="0.2">
      <c r="A22" s="189">
        <v>900</v>
      </c>
      <c r="B22" s="163">
        <f t="shared" si="0"/>
        <v>2.7431639404440489E-8</v>
      </c>
      <c r="C22" s="163">
        <f t="shared" si="5"/>
        <v>3.0353913807886623E-4</v>
      </c>
      <c r="D22" s="163">
        <f t="shared" si="6"/>
        <v>0</v>
      </c>
      <c r="E22" s="163">
        <f t="shared" si="2"/>
        <v>0.91393118527122819</v>
      </c>
      <c r="F22" s="163">
        <f t="shared" si="3"/>
        <v>0.10403141450827069</v>
      </c>
      <c r="G22" s="163">
        <f t="shared" si="4"/>
        <v>0</v>
      </c>
      <c r="H22" s="58">
        <v>4</v>
      </c>
      <c r="I22" s="163">
        <f t="shared" si="7"/>
        <v>0</v>
      </c>
    </row>
    <row r="23" spans="1:9" x14ac:dyDescent="0.2">
      <c r="A23" s="189">
        <v>1000</v>
      </c>
      <c r="B23" s="163">
        <f t="shared" si="0"/>
        <v>3.4748426358532924E-11</v>
      </c>
      <c r="C23" s="163">
        <f t="shared" si="5"/>
        <v>4.5399929762484854E-5</v>
      </c>
      <c r="D23" s="163">
        <f t="shared" si="6"/>
        <v>0</v>
      </c>
      <c r="E23" s="163">
        <f t="shared" si="2"/>
        <v>0.90483741803595952</v>
      </c>
      <c r="F23" s="163">
        <f t="shared" si="3"/>
        <v>5.4394817332111267E-2</v>
      </c>
      <c r="G23" s="163">
        <f t="shared" si="4"/>
        <v>0</v>
      </c>
      <c r="H23" s="58">
        <v>2</v>
      </c>
      <c r="I23" s="163">
        <f t="shared" si="7"/>
        <v>0</v>
      </c>
    </row>
    <row r="24" spans="1:9" x14ac:dyDescent="0.2">
      <c r="A24" s="189">
        <v>1100</v>
      </c>
      <c r="B24" s="163">
        <f t="shared" si="0"/>
        <v>1.3877787807814457E-14</v>
      </c>
      <c r="C24" s="163">
        <f t="shared" si="5"/>
        <v>5.5595132416501367E-6</v>
      </c>
      <c r="D24" s="163">
        <f t="shared" si="6"/>
        <v>0</v>
      </c>
      <c r="E24" s="163">
        <f t="shared" si="2"/>
        <v>0.89583413529652822</v>
      </c>
      <c r="F24" s="163">
        <f t="shared" si="3"/>
        <v>2.6991353840025711E-2</v>
      </c>
      <c r="G24" s="163">
        <f t="shared" si="4"/>
        <v>0</v>
      </c>
      <c r="H24" s="58">
        <v>4</v>
      </c>
      <c r="I24" s="163">
        <f t="shared" si="7"/>
        <v>0</v>
      </c>
    </row>
    <row r="25" spans="1:9" x14ac:dyDescent="0.2">
      <c r="A25" s="189">
        <v>1200</v>
      </c>
      <c r="B25" s="163">
        <f t="shared" si="0"/>
        <v>0</v>
      </c>
      <c r="C25" s="163">
        <f t="shared" si="5"/>
        <v>5.5739036926945956E-7</v>
      </c>
      <c r="D25" s="163">
        <f t="shared" si="6"/>
        <v>0</v>
      </c>
      <c r="E25" s="163">
        <f t="shared" si="2"/>
        <v>0.88692043671715748</v>
      </c>
      <c r="F25" s="163">
        <f t="shared" si="3"/>
        <v>1.2803537699461076E-2</v>
      </c>
      <c r="G25" s="163">
        <f t="shared" si="4"/>
        <v>0</v>
      </c>
      <c r="H25" s="58">
        <v>2</v>
      </c>
      <c r="I25" s="163">
        <f t="shared" si="7"/>
        <v>0</v>
      </c>
    </row>
    <row r="26" spans="1:9" x14ac:dyDescent="0.2">
      <c r="A26" s="189">
        <v>1300</v>
      </c>
      <c r="B26" s="163">
        <f t="shared" si="0"/>
        <v>0</v>
      </c>
      <c r="C26" s="163">
        <f t="shared" si="5"/>
        <v>4.5753387694457955E-8</v>
      </c>
      <c r="D26" s="163">
        <f t="shared" si="6"/>
        <v>0</v>
      </c>
      <c r="E26" s="163">
        <f t="shared" si="2"/>
        <v>0.8780954309205613</v>
      </c>
      <c r="F26" s="163">
        <f t="shared" si="3"/>
        <v>5.8408203781128432E-3</v>
      </c>
      <c r="G26" s="163">
        <f t="shared" si="4"/>
        <v>0</v>
      </c>
      <c r="H26" s="58">
        <v>4</v>
      </c>
      <c r="I26" s="163">
        <f t="shared" si="7"/>
        <v>0</v>
      </c>
    </row>
    <row r="27" spans="1:9" x14ac:dyDescent="0.2">
      <c r="A27" s="189">
        <v>1400</v>
      </c>
      <c r="B27" s="163">
        <f t="shared" si="0"/>
        <v>0</v>
      </c>
      <c r="C27" s="163">
        <f t="shared" si="5"/>
        <v>3.0748798795866061E-9</v>
      </c>
      <c r="D27" s="163">
        <f t="shared" si="6"/>
        <v>0</v>
      </c>
      <c r="E27" s="163">
        <f t="shared" si="2"/>
        <v>0.86935823539880586</v>
      </c>
      <c r="F27" s="163">
        <f t="shared" si="3"/>
        <v>2.5751483122982144E-3</v>
      </c>
      <c r="G27" s="163">
        <f t="shared" si="4"/>
        <v>0</v>
      </c>
      <c r="H27" s="58">
        <v>2</v>
      </c>
      <c r="I27" s="163">
        <f t="shared" si="7"/>
        <v>0</v>
      </c>
    </row>
    <row r="28" spans="1:9" x14ac:dyDescent="0.2">
      <c r="A28" s="189">
        <v>1500</v>
      </c>
      <c r="B28" s="163">
        <f t="shared" si="0"/>
        <v>0</v>
      </c>
      <c r="C28" s="163">
        <f t="shared" si="5"/>
        <v>1.6918979226151242E-10</v>
      </c>
      <c r="D28" s="163">
        <f t="shared" si="6"/>
        <v>0</v>
      </c>
      <c r="E28" s="163">
        <f t="shared" si="2"/>
        <v>0.86070797642505781</v>
      </c>
      <c r="F28" s="163">
        <f t="shared" si="3"/>
        <v>1.1017867848022167E-3</v>
      </c>
      <c r="G28" s="163">
        <f t="shared" si="4"/>
        <v>0</v>
      </c>
      <c r="H28" s="58">
        <v>4</v>
      </c>
      <c r="I28" s="163">
        <f t="shared" si="7"/>
        <v>0</v>
      </c>
    </row>
    <row r="29" spans="1:9" x14ac:dyDescent="0.2">
      <c r="A29" s="189">
        <v>1600</v>
      </c>
      <c r="B29" s="163">
        <f t="shared" si="0"/>
        <v>0</v>
      </c>
      <c r="C29" s="163">
        <f t="shared" si="5"/>
        <v>7.6218651945128903E-12</v>
      </c>
      <c r="D29" s="163">
        <f t="shared" si="6"/>
        <v>0</v>
      </c>
      <c r="E29" s="163">
        <f t="shared" si="2"/>
        <v>0.85214378896621135</v>
      </c>
      <c r="F29" s="163">
        <f t="shared" si="3"/>
        <v>4.5904058839818518E-4</v>
      </c>
      <c r="G29" s="163">
        <f t="shared" si="4"/>
        <v>0</v>
      </c>
      <c r="H29" s="58">
        <v>2</v>
      </c>
      <c r="I29" s="163">
        <f t="shared" si="7"/>
        <v>0</v>
      </c>
    </row>
    <row r="30" spans="1:9" x14ac:dyDescent="0.2">
      <c r="A30" s="189">
        <v>1700</v>
      </c>
      <c r="B30" s="163">
        <f t="shared" si="0"/>
        <v>0</v>
      </c>
      <c r="C30" s="163">
        <f t="shared" si="5"/>
        <v>2.8111852987890343E-13</v>
      </c>
      <c r="D30" s="163">
        <f t="shared" si="6"/>
        <v>0</v>
      </c>
      <c r="E30" s="163">
        <f t="shared" si="2"/>
        <v>0.8436648165963837</v>
      </c>
      <c r="F30" s="163">
        <f t="shared" si="3"/>
        <v>1.8677556500035219E-4</v>
      </c>
      <c r="G30" s="163">
        <f t="shared" si="4"/>
        <v>0</v>
      </c>
      <c r="H30" s="58">
        <v>4</v>
      </c>
      <c r="I30" s="163">
        <f t="shared" si="7"/>
        <v>0</v>
      </c>
    </row>
    <row r="31" spans="1:9" x14ac:dyDescent="0.2">
      <c r="A31" s="189">
        <v>1800</v>
      </c>
      <c r="B31" s="163">
        <f t="shared" si="0"/>
        <v>0</v>
      </c>
      <c r="C31" s="163">
        <f t="shared" si="5"/>
        <v>8.4890440338717171E-15</v>
      </c>
      <c r="D31" s="163">
        <f t="shared" si="6"/>
        <v>0</v>
      </c>
      <c r="E31" s="163">
        <f t="shared" si="2"/>
        <v>0.835270211411272</v>
      </c>
      <c r="F31" s="163">
        <f t="shared" si="3"/>
        <v>7.4399887060261349E-5</v>
      </c>
      <c r="G31" s="163">
        <f t="shared" si="4"/>
        <v>0</v>
      </c>
      <c r="H31" s="58">
        <v>2</v>
      </c>
      <c r="I31" s="163">
        <f t="shared" si="7"/>
        <v>0</v>
      </c>
    </row>
    <row r="32" spans="1:9" x14ac:dyDescent="0.2">
      <c r="A32" s="189">
        <v>1900</v>
      </c>
      <c r="B32" s="163">
        <f t="shared" si="0"/>
        <v>0</v>
      </c>
      <c r="C32" s="163">
        <f t="shared" si="5"/>
        <v>2.0987910487930498E-16</v>
      </c>
      <c r="D32" s="163">
        <f t="shared" si="6"/>
        <v>0</v>
      </c>
      <c r="E32" s="163">
        <f t="shared" si="2"/>
        <v>0.82695913394336229</v>
      </c>
      <c r="F32" s="163">
        <f t="shared" si="3"/>
        <v>2.9075095630437531E-5</v>
      </c>
      <c r="G32" s="163">
        <f t="shared" si="4"/>
        <v>0</v>
      </c>
      <c r="H32" s="58">
        <v>4</v>
      </c>
      <c r="I32" s="163">
        <f t="shared" si="7"/>
        <v>0</v>
      </c>
    </row>
    <row r="33" spans="1:9" x14ac:dyDescent="0.2">
      <c r="A33" s="189">
        <v>2000</v>
      </c>
      <c r="B33" s="163">
        <f t="shared" si="0"/>
        <v>0</v>
      </c>
      <c r="C33" s="163">
        <f t="shared" si="5"/>
        <v>4.2483542552915889E-18</v>
      </c>
      <c r="D33" s="163">
        <f t="shared" si="6"/>
        <v>0</v>
      </c>
      <c r="E33" s="163">
        <f t="shared" si="2"/>
        <v>0.81873075307798182</v>
      </c>
      <c r="F33" s="163">
        <f t="shared" si="3"/>
        <v>1.1167432079961515E-5</v>
      </c>
      <c r="G33" s="163">
        <f t="shared" si="4"/>
        <v>0</v>
      </c>
      <c r="H33" s="58">
        <v>2</v>
      </c>
      <c r="I33" s="163">
        <f t="shared" si="7"/>
        <v>0</v>
      </c>
    </row>
    <row r="34" spans="1:9" x14ac:dyDescent="0.2">
      <c r="A34" s="186" t="s">
        <v>317</v>
      </c>
      <c r="B34" s="186"/>
      <c r="C34" s="186"/>
      <c r="D34" s="186"/>
      <c r="E34" s="186"/>
      <c r="F34" s="186"/>
      <c r="G34" s="186"/>
      <c r="H34" s="186"/>
      <c r="I34" s="191">
        <f>SUM(I13:I33)</f>
        <v>4.5939931599628503</v>
      </c>
    </row>
    <row r="37" spans="1:9" x14ac:dyDescent="0.2">
      <c r="B37" s="195" t="s">
        <v>319</v>
      </c>
      <c r="C37" s="195"/>
      <c r="D37" s="195"/>
      <c r="E37" s="195"/>
      <c r="F37" s="190">
        <f>(I10/3)*I34</f>
        <v>153.13310533209503</v>
      </c>
      <c r="G37" s="58" t="s">
        <v>117</v>
      </c>
    </row>
    <row r="39" spans="1:9" x14ac:dyDescent="0.2">
      <c r="A39" s="196" t="s">
        <v>320</v>
      </c>
      <c r="B39" s="196"/>
      <c r="C39" s="196"/>
      <c r="D39" s="196"/>
      <c r="E39" s="196"/>
    </row>
    <row r="40" spans="1:9" x14ac:dyDescent="0.2">
      <c r="A40" s="58" t="s">
        <v>301</v>
      </c>
      <c r="B40" s="58">
        <v>1</v>
      </c>
      <c r="C40" s="58">
        <v>2</v>
      </c>
      <c r="D40" s="58">
        <v>3</v>
      </c>
      <c r="E40" s="58">
        <v>4</v>
      </c>
      <c r="F40" s="58">
        <v>5</v>
      </c>
    </row>
    <row r="41" spans="1:9" x14ac:dyDescent="0.2">
      <c r="A41" s="192">
        <v>0</v>
      </c>
      <c r="B41" s="179">
        <f>NORMDIST(A41,$D$3,$F$3,0)</f>
        <v>3.4061162053503729E-7</v>
      </c>
      <c r="C41" s="179">
        <f>WEIBULL(A41,2,SQRT(1/$D$4),0)</f>
        <v>0</v>
      </c>
      <c r="D41" s="179">
        <f>WEIBULL(A41,$D$5,$F$5,0)</f>
        <v>0</v>
      </c>
      <c r="E41" s="179">
        <f>EXPONDIST(A41,$D$6,0)</f>
        <v>1E-4</v>
      </c>
      <c r="F41" s="179">
        <f>GAMMADIST(A41,$D$7,$F$7,0)</f>
        <v>0</v>
      </c>
    </row>
    <row r="42" spans="1:9" x14ac:dyDescent="0.2">
      <c r="A42" s="192">
        <v>100</v>
      </c>
      <c r="B42" s="179">
        <f t="shared" ref="B42:B61" si="8">NORMDIST(A42,$D$3,$F$3,0)</f>
        <v>2.1288101189654156E-5</v>
      </c>
      <c r="C42" s="179">
        <f t="shared" ref="C42:C61" si="9">WEIBULL(A42,2,SQRT(1/$D$4),0)</f>
        <v>1.8096748360719194E-3</v>
      </c>
      <c r="D42" s="179">
        <f t="shared" ref="D42:D61" si="10">WEIBULL(A42,$D$5,$F$5,0)</f>
        <v>2.9761186453482881E-3</v>
      </c>
      <c r="E42" s="179">
        <f t="shared" ref="E42:E61" si="11">EXPONDIST(A42,$D$6,0)</f>
        <v>9.9004983374916818E-5</v>
      </c>
      <c r="F42" s="179">
        <f t="shared" ref="F42:F61" si="12">GAMMADIST(A42,$D$7,$F$7,0)</f>
        <v>4.3815205658057319E-6</v>
      </c>
    </row>
    <row r="43" spans="1:9" x14ac:dyDescent="0.2">
      <c r="A43" s="192">
        <v>200</v>
      </c>
      <c r="B43" s="179">
        <f t="shared" si="8"/>
        <v>4.0823152937421103E-4</v>
      </c>
      <c r="C43" s="179">
        <f t="shared" si="9"/>
        <v>2.6812801841425561E-3</v>
      </c>
      <c r="D43" s="179">
        <f t="shared" si="10"/>
        <v>7.2502368274114572E-3</v>
      </c>
      <c r="E43" s="179">
        <f t="shared" si="11"/>
        <v>9.8019867330675526E-5</v>
      </c>
      <c r="F43" s="179">
        <f t="shared" si="12"/>
        <v>1.5304389727000816E-4</v>
      </c>
    </row>
    <row r="44" spans="1:9" x14ac:dyDescent="0.2">
      <c r="A44" s="192">
        <v>300</v>
      </c>
      <c r="B44" s="179">
        <f t="shared" si="8"/>
        <v>2.4019740705379876E-3</v>
      </c>
      <c r="C44" s="179">
        <f t="shared" si="9"/>
        <v>2.4394179584435937E-3</v>
      </c>
      <c r="D44" s="179">
        <f t="shared" si="10"/>
        <v>7.050819616832732E-6</v>
      </c>
      <c r="E44" s="179">
        <f t="shared" si="11"/>
        <v>9.704455335485082E-5</v>
      </c>
      <c r="F44" s="179">
        <f t="shared" si="12"/>
        <v>7.1356907845031932E-4</v>
      </c>
    </row>
    <row r="45" spans="1:9" x14ac:dyDescent="0.2">
      <c r="A45" s="192">
        <v>400</v>
      </c>
      <c r="B45" s="179">
        <f t="shared" si="8"/>
        <v>4.3363291347981812E-3</v>
      </c>
      <c r="C45" s="179">
        <f t="shared" si="9"/>
        <v>1.6151721439572424E-3</v>
      </c>
      <c r="D45" s="179">
        <f t="shared" si="10"/>
        <v>6.6629132960892027E-17</v>
      </c>
      <c r="E45" s="179">
        <f t="shared" si="11"/>
        <v>9.6078943915232324E-5</v>
      </c>
      <c r="F45" s="179">
        <f t="shared" si="12"/>
        <v>1.4587751978180328E-3</v>
      </c>
    </row>
    <row r="46" spans="1:9" x14ac:dyDescent="0.2">
      <c r="A46" s="192">
        <v>500</v>
      </c>
      <c r="B46" s="179">
        <f t="shared" si="8"/>
        <v>2.4019740705379876E-3</v>
      </c>
      <c r="C46" s="179">
        <f t="shared" si="9"/>
        <v>8.2084998623898719E-4</v>
      </c>
      <c r="D46" s="179">
        <f t="shared" si="10"/>
        <v>7.1822584177561101E-44</v>
      </c>
      <c r="E46" s="179">
        <f t="shared" si="11"/>
        <v>9.5122942450071409E-5</v>
      </c>
      <c r="F46" s="179">
        <f t="shared" si="12"/>
        <v>1.8981898822827926E-3</v>
      </c>
    </row>
    <row r="47" spans="1:9" x14ac:dyDescent="0.2">
      <c r="A47" s="192">
        <v>600</v>
      </c>
      <c r="B47" s="179">
        <f t="shared" si="8"/>
        <v>4.0823152937421103E-4</v>
      </c>
      <c r="C47" s="179">
        <f t="shared" si="9"/>
        <v>3.278846693675105E-4</v>
      </c>
      <c r="D47" s="179">
        <f t="shared" si="10"/>
        <v>2.1774077166844129E-98</v>
      </c>
      <c r="E47" s="179">
        <f t="shared" si="11"/>
        <v>9.4176453358424872E-5</v>
      </c>
      <c r="F47" s="179">
        <f t="shared" si="12"/>
        <v>1.8560495614825688E-3</v>
      </c>
    </row>
    <row r="48" spans="1:9" x14ac:dyDescent="0.2">
      <c r="A48" s="192">
        <v>700</v>
      </c>
      <c r="B48" s="179">
        <f t="shared" si="8"/>
        <v>2.1288101189654156E-5</v>
      </c>
      <c r="C48" s="179">
        <f t="shared" si="9"/>
        <v>1.042521629929407E-4</v>
      </c>
      <c r="D48" s="179">
        <f t="shared" si="10"/>
        <v>3.786296006565154E-196</v>
      </c>
      <c r="E48" s="179">
        <f t="shared" si="11"/>
        <v>9.3239381990594829E-5</v>
      </c>
      <c r="F48" s="179">
        <f t="shared" si="12"/>
        <v>1.4900412400824016E-3</v>
      </c>
    </row>
    <row r="49" spans="1:9" x14ac:dyDescent="0.2">
      <c r="A49" s="192">
        <v>800</v>
      </c>
      <c r="B49" s="179">
        <f t="shared" si="8"/>
        <v>3.4061162053503729E-7</v>
      </c>
      <c r="C49" s="179">
        <f t="shared" si="9"/>
        <v>2.6584916370782937E-5</v>
      </c>
      <c r="D49" s="179">
        <f t="shared" si="10"/>
        <v>0</v>
      </c>
      <c r="E49" s="179">
        <f t="shared" si="11"/>
        <v>9.2311634638663579E-5</v>
      </c>
      <c r="F49" s="179">
        <f t="shared" si="12"/>
        <v>1.035435640807095E-3</v>
      </c>
    </row>
    <row r="50" spans="1:9" x14ac:dyDescent="0.2">
      <c r="A50" s="192">
        <v>900</v>
      </c>
      <c r="B50" s="179">
        <f t="shared" si="8"/>
        <v>1.6721458217122672E-9</v>
      </c>
      <c r="C50" s="179">
        <f t="shared" si="9"/>
        <v>5.463704485419593E-6</v>
      </c>
      <c r="D50" s="179">
        <f t="shared" si="10"/>
        <v>0</v>
      </c>
      <c r="E50" s="179">
        <f t="shared" si="11"/>
        <v>9.139311852712282E-5</v>
      </c>
      <c r="F50" s="179">
        <f t="shared" si="12"/>
        <v>6.4442437535823125E-4</v>
      </c>
    </row>
    <row r="51" spans="1:9" x14ac:dyDescent="0.2">
      <c r="A51" s="192">
        <v>1000</v>
      </c>
      <c r="B51" s="179">
        <f t="shared" si="8"/>
        <v>2.5187263647650483E-12</v>
      </c>
      <c r="C51" s="179">
        <f t="shared" si="9"/>
        <v>9.0799859524969516E-7</v>
      </c>
      <c r="D51" s="179">
        <f t="shared" si="10"/>
        <v>0</v>
      </c>
      <c r="E51" s="179">
        <f t="shared" si="11"/>
        <v>9.0483741803595961E-5</v>
      </c>
      <c r="F51" s="179">
        <f t="shared" si="12"/>
        <v>3.676677907525862E-4</v>
      </c>
    </row>
    <row r="52" spans="1:9" x14ac:dyDescent="0.2">
      <c r="A52" s="192">
        <v>1100</v>
      </c>
      <c r="B52" s="179">
        <f t="shared" si="8"/>
        <v>1.1640723700416713E-15</v>
      </c>
      <c r="C52" s="179">
        <f t="shared" si="9"/>
        <v>1.2230929131630316E-7</v>
      </c>
      <c r="D52" s="179">
        <f t="shared" si="10"/>
        <v>0</v>
      </c>
      <c r="E52" s="179">
        <f t="shared" si="11"/>
        <v>8.9583413529652821E-5</v>
      </c>
      <c r="F52" s="179">
        <f t="shared" si="12"/>
        <v>1.9551747230975105E-4</v>
      </c>
    </row>
    <row r="53" spans="1:9" x14ac:dyDescent="0.2">
      <c r="A53" s="192">
        <v>1200</v>
      </c>
      <c r="B53" s="179">
        <f t="shared" si="8"/>
        <v>1.6507113096818292E-19</v>
      </c>
      <c r="C53" s="179">
        <f t="shared" si="9"/>
        <v>1.3377368862466982E-8</v>
      </c>
      <c r="D53" s="179">
        <f t="shared" si="10"/>
        <v>0</v>
      </c>
      <c r="E53" s="179">
        <f t="shared" si="11"/>
        <v>8.869204367171575E-5</v>
      </c>
      <c r="F53" s="179">
        <f t="shared" si="12"/>
        <v>9.8103994861972106E-5</v>
      </c>
    </row>
    <row r="54" spans="1:9" x14ac:dyDescent="0.2">
      <c r="A54" s="192">
        <v>1300</v>
      </c>
      <c r="B54" s="179">
        <f t="shared" si="8"/>
        <v>7.1821492411744692E-24</v>
      </c>
      <c r="C54" s="179">
        <f t="shared" si="9"/>
        <v>1.1895880800559153E-9</v>
      </c>
      <c r="D54" s="179">
        <f t="shared" si="10"/>
        <v>0</v>
      </c>
      <c r="E54" s="179">
        <f t="shared" si="11"/>
        <v>8.7809543092056135E-5</v>
      </c>
      <c r="F54" s="179">
        <f t="shared" si="12"/>
        <v>4.6881621974382365E-5</v>
      </c>
    </row>
    <row r="55" spans="1:9" x14ac:dyDescent="0.2">
      <c r="A55" s="192">
        <v>1400</v>
      </c>
      <c r="B55" s="179">
        <f t="shared" si="8"/>
        <v>9.5880408683621622E-29</v>
      </c>
      <c r="C55" s="179">
        <f t="shared" si="9"/>
        <v>8.6096636628425269E-11</v>
      </c>
      <c r="D55" s="179">
        <f t="shared" si="10"/>
        <v>0</v>
      </c>
      <c r="E55" s="179">
        <f t="shared" si="11"/>
        <v>8.6935823539880584E-5</v>
      </c>
      <c r="F55" s="179">
        <f t="shared" si="12"/>
        <v>2.1491988751263839E-5</v>
      </c>
    </row>
    <row r="56" spans="1:9" x14ac:dyDescent="0.2">
      <c r="A56" s="192">
        <v>1500</v>
      </c>
      <c r="B56" s="179">
        <f t="shared" si="8"/>
        <v>3.9273307725679722E-34</v>
      </c>
      <c r="C56" s="179">
        <f t="shared" si="9"/>
        <v>5.0756937678453723E-12</v>
      </c>
      <c r="D56" s="179">
        <f t="shared" si="10"/>
        <v>0</v>
      </c>
      <c r="E56" s="179">
        <f t="shared" si="11"/>
        <v>8.6070797642505791E-5</v>
      </c>
      <c r="F56" s="179">
        <f t="shared" si="12"/>
        <v>9.5060558288088036E-6</v>
      </c>
    </row>
    <row r="57" spans="1:9" x14ac:dyDescent="0.2">
      <c r="A57" s="192">
        <v>1600</v>
      </c>
      <c r="B57" s="179">
        <f t="shared" si="8"/>
        <v>4.9357964041527383E-40</v>
      </c>
      <c r="C57" s="179">
        <f t="shared" si="9"/>
        <v>2.4389968622441244E-13</v>
      </c>
      <c r="D57" s="179">
        <f t="shared" si="10"/>
        <v>0</v>
      </c>
      <c r="E57" s="179">
        <f t="shared" si="11"/>
        <v>8.5214378896621138E-5</v>
      </c>
      <c r="F57" s="179">
        <f t="shared" si="12"/>
        <v>4.0755161467201568E-6</v>
      </c>
    </row>
    <row r="58" spans="1:9" x14ac:dyDescent="0.2">
      <c r="A58" s="192">
        <v>1700</v>
      </c>
      <c r="B58" s="179">
        <f t="shared" si="8"/>
        <v>1.9033083231147599E-46</v>
      </c>
      <c r="C58" s="179">
        <f t="shared" si="9"/>
        <v>9.558030015882746E-15</v>
      </c>
      <c r="D58" s="179">
        <f t="shared" si="10"/>
        <v>0</v>
      </c>
      <c r="E58" s="179">
        <f t="shared" si="11"/>
        <v>8.4366481659638374E-5</v>
      </c>
      <c r="F58" s="179">
        <f t="shared" si="12"/>
        <v>1.7000683471458812E-6</v>
      </c>
    </row>
    <row r="59" spans="1:9" x14ac:dyDescent="0.2">
      <c r="A59" s="192">
        <v>1800</v>
      </c>
      <c r="B59" s="179">
        <f t="shared" si="8"/>
        <v>2.2519213014807096E-53</v>
      </c>
      <c r="C59" s="179">
        <f t="shared" si="9"/>
        <v>3.05605585219384E-16</v>
      </c>
      <c r="D59" s="179">
        <f t="shared" si="10"/>
        <v>0</v>
      </c>
      <c r="E59" s="179">
        <f t="shared" si="11"/>
        <v>8.3527021141127208E-5</v>
      </c>
      <c r="F59" s="179">
        <f t="shared" si="12"/>
        <v>6.9216982102633724E-7</v>
      </c>
    </row>
    <row r="60" spans="1:9" x14ac:dyDescent="0.2">
      <c r="A60" s="192">
        <v>1900</v>
      </c>
      <c r="B60" s="179">
        <f t="shared" si="8"/>
        <v>8.1750312987545796E-61</v>
      </c>
      <c r="C60" s="179">
        <f t="shared" si="9"/>
        <v>7.9754059854135336E-18</v>
      </c>
      <c r="D60" s="179">
        <f t="shared" si="10"/>
        <v>0</v>
      </c>
      <c r="E60" s="179">
        <f t="shared" si="11"/>
        <v>8.2695913394336234E-5</v>
      </c>
      <c r="F60" s="179">
        <f t="shared" si="12"/>
        <v>2.7577921000035887E-7</v>
      </c>
    </row>
    <row r="61" spans="1:9" x14ac:dyDescent="0.2">
      <c r="A61" s="192">
        <v>2000</v>
      </c>
      <c r="B61" s="179">
        <f t="shared" si="8"/>
        <v>9.1057933878011569E-69</v>
      </c>
      <c r="C61" s="179">
        <f t="shared" si="9"/>
        <v>1.6993417021166353E-19</v>
      </c>
      <c r="D61" s="179">
        <f t="shared" si="10"/>
        <v>0</v>
      </c>
      <c r="E61" s="179">
        <f t="shared" si="11"/>
        <v>8.1873075307798185E-5</v>
      </c>
      <c r="F61" s="179">
        <f t="shared" si="12"/>
        <v>1.0776493678381428E-7</v>
      </c>
    </row>
    <row r="64" spans="1:9" x14ac:dyDescent="0.2">
      <c r="A64" s="196" t="s">
        <v>321</v>
      </c>
      <c r="B64" s="196"/>
      <c r="C64" s="196"/>
      <c r="D64" s="196"/>
      <c r="E64" s="196"/>
      <c r="H64" t="s">
        <v>121</v>
      </c>
      <c r="I64" t="s">
        <v>120</v>
      </c>
    </row>
    <row r="65" spans="1:7" x14ac:dyDescent="0.2">
      <c r="A65" s="58" t="s">
        <v>301</v>
      </c>
      <c r="B65" s="58" t="s">
        <v>322</v>
      </c>
      <c r="C65" s="58" t="s">
        <v>227</v>
      </c>
      <c r="D65" s="58" t="s">
        <v>228</v>
      </c>
      <c r="E65" s="58" t="s">
        <v>229</v>
      </c>
      <c r="F65" s="58" t="s">
        <v>230</v>
      </c>
      <c r="G65" s="58" t="s">
        <v>324</v>
      </c>
    </row>
    <row r="66" spans="1:7" x14ac:dyDescent="0.2">
      <c r="A66" s="192">
        <v>0</v>
      </c>
      <c r="B66" s="179">
        <f>B41/B13</f>
        <v>3.4061396214632992E-7</v>
      </c>
      <c r="C66" s="179">
        <f>C41/C13</f>
        <v>0</v>
      </c>
      <c r="D66" s="179">
        <f>D41/D13</f>
        <v>0</v>
      </c>
      <c r="E66" s="179">
        <f>E41/E13</f>
        <v>1E-4</v>
      </c>
      <c r="F66" s="179">
        <f>F41/F13</f>
        <v>0</v>
      </c>
      <c r="G66" s="179">
        <f>SUM(B66:F66)</f>
        <v>1.0034061396214633E-4</v>
      </c>
    </row>
    <row r="67" spans="1:7" x14ac:dyDescent="0.2">
      <c r="A67" s="192">
        <v>100</v>
      </c>
      <c r="B67" s="179">
        <f>B42/B14</f>
        <v>2.129993022527663E-5</v>
      </c>
      <c r="C67" s="179">
        <f>C42/C14</f>
        <v>2.0000000000000005E-3</v>
      </c>
      <c r="D67" s="179">
        <f>D42/D14</f>
        <v>3.1951131365737721E-3</v>
      </c>
      <c r="E67" s="179">
        <f>E42/E14</f>
        <v>1E-4</v>
      </c>
      <c r="F67" s="179">
        <f>F42/F14</f>
        <v>4.3818002749849927E-6</v>
      </c>
      <c r="G67" s="179">
        <f t="shared" ref="G67:G86" si="13">SUM(B67:F67)</f>
        <v>5.3207948670740343E-3</v>
      </c>
    </row>
    <row r="68" spans="1:7" x14ac:dyDescent="0.2">
      <c r="A68" s="192">
        <v>200</v>
      </c>
      <c r="B68" s="179">
        <f>B43/B15</f>
        <v>4.1438760245318814E-4</v>
      </c>
      <c r="C68" s="179">
        <f>C43/C15</f>
        <v>3.9999999999999983E-3</v>
      </c>
      <c r="D68" s="179">
        <f>D43/D15</f>
        <v>3.6148578648472526E-2</v>
      </c>
      <c r="E68" s="179">
        <f>E43/E15</f>
        <v>1E-4</v>
      </c>
      <c r="F68" s="179">
        <f>F43/F15</f>
        <v>1.5385982905126506E-4</v>
      </c>
      <c r="G68" s="179">
        <f t="shared" si="13"/>
        <v>4.0816826079976984E-2</v>
      </c>
    </row>
    <row r="69" spans="1:7" x14ac:dyDescent="0.2">
      <c r="A69" s="192">
        <v>300</v>
      </c>
      <c r="B69" s="179">
        <f>B44/B16</f>
        <v>2.788220749410571E-3</v>
      </c>
      <c r="C69" s="179">
        <f>C44/C16</f>
        <v>5.9999999999999975E-3</v>
      </c>
      <c r="D69" s="179">
        <f>D44/D16</f>
        <v>0.14942065378886615</v>
      </c>
      <c r="E69" s="179">
        <f>E44/E16</f>
        <v>1E-4</v>
      </c>
      <c r="F69" s="179">
        <f>F44/F16</f>
        <v>7.4733918981058898E-4</v>
      </c>
      <c r="G69" s="179">
        <f t="shared" si="13"/>
        <v>0.15905621372808731</v>
      </c>
    </row>
    <row r="70" spans="1:7" x14ac:dyDescent="0.2">
      <c r="A70" s="192">
        <v>400</v>
      </c>
      <c r="B70" s="179">
        <f>B45/B17</f>
        <v>8.6726582695963624E-3</v>
      </c>
      <c r="C70" s="179">
        <f>C45/C17</f>
        <v>7.9999999999999967E-3</v>
      </c>
      <c r="D70" s="179">
        <f>D45/D17</f>
        <v>0.40897448148144233</v>
      </c>
      <c r="E70" s="179">
        <f>E45/E17</f>
        <v>1E-4</v>
      </c>
      <c r="F70" s="179">
        <f>F45/F17</f>
        <v>1.7253287882997151E-3</v>
      </c>
      <c r="G70" s="179">
        <f t="shared" si="13"/>
        <v>0.4274724685393384</v>
      </c>
    </row>
    <row r="71" spans="1:7" x14ac:dyDescent="0.2">
      <c r="A71" s="192">
        <v>500</v>
      </c>
      <c r="B71" s="179">
        <f>B46/B18</f>
        <v>1.7339266094322844E-2</v>
      </c>
      <c r="C71" s="179">
        <f>C46/C18</f>
        <v>9.9999999999999898E-3</v>
      </c>
      <c r="D71" s="179">
        <f>D46/D18</f>
        <v>0.89306127114768974</v>
      </c>
      <c r="E71" s="179">
        <f>E46/E18</f>
        <v>1E-4</v>
      </c>
      <c r="F71" s="179">
        <f>F46/F18</f>
        <v>2.8175298164766923E-3</v>
      </c>
      <c r="G71" s="179">
        <f t="shared" si="13"/>
        <v>0.92331806705848918</v>
      </c>
    </row>
    <row r="72" spans="1:7" x14ac:dyDescent="0.2">
      <c r="A72" s="192">
        <v>600</v>
      </c>
      <c r="B72" s="179">
        <f>B47/B19</f>
        <v>2.7479544594894025E-2</v>
      </c>
      <c r="C72" s="179">
        <f>C47/C19</f>
        <v>1.1999999999999992E-2</v>
      </c>
      <c r="D72" s="179">
        <f>D47/D19</f>
        <v>1.6905017206949535</v>
      </c>
      <c r="E72" s="179">
        <f>E47/E19</f>
        <v>1E-4</v>
      </c>
      <c r="F72" s="179">
        <f>F47/F19</f>
        <v>3.8481528406382644E-3</v>
      </c>
      <c r="G72" s="179">
        <f t="shared" si="13"/>
        <v>1.7339294181304858</v>
      </c>
    </row>
    <row r="73" spans="1:7" x14ac:dyDescent="0.2">
      <c r="A73" s="192">
        <v>700</v>
      </c>
      <c r="B73" s="179">
        <f>B48/B20</f>
        <v>3.8332378432171445E-2</v>
      </c>
      <c r="C73" s="179">
        <f>C48/C20</f>
        <v>1.3999999999999995E-2</v>
      </c>
      <c r="D73" s="179">
        <f>D48/D20</f>
        <v>2.8995418461407843</v>
      </c>
      <c r="E73" s="179">
        <f>E48/E20</f>
        <v>1E-4</v>
      </c>
      <c r="F73" s="179">
        <f>F48/F20</f>
        <v>4.7550747624902868E-3</v>
      </c>
      <c r="G73" s="179">
        <f t="shared" si="13"/>
        <v>2.9567292993354464</v>
      </c>
    </row>
    <row r="74" spans="1:7" x14ac:dyDescent="0.2">
      <c r="A74" s="192">
        <v>800</v>
      </c>
      <c r="B74" s="179">
        <f>B49/B21</f>
        <v>4.9545829399341573E-2</v>
      </c>
      <c r="C74" s="179">
        <f>C49/C21</f>
        <v>1.5999999999999997E-2</v>
      </c>
      <c r="D74" s="179"/>
      <c r="E74" s="179">
        <f>E49/E21</f>
        <v>1E-4</v>
      </c>
      <c r="F74" s="179">
        <f>F49/F21</f>
        <v>5.5325311434114921E-3</v>
      </c>
      <c r="G74" s="179">
        <f t="shared" si="13"/>
        <v>7.1178360542753075E-2</v>
      </c>
    </row>
    <row r="75" spans="1:7" x14ac:dyDescent="0.2">
      <c r="A75" s="192">
        <v>900</v>
      </c>
      <c r="B75" s="179">
        <f>B50/B22</f>
        <v>6.0956831527961435E-2</v>
      </c>
      <c r="C75" s="179">
        <f>C50/C22</f>
        <v>1.8000000000000002E-2</v>
      </c>
      <c r="D75" s="179"/>
      <c r="E75" s="179">
        <f>E50/E22</f>
        <v>1E-4</v>
      </c>
      <c r="F75" s="179">
        <f>F50/F22</f>
        <v>6.1945170927864132E-3</v>
      </c>
      <c r="G75" s="179">
        <f t="shared" si="13"/>
        <v>8.5251348620747847E-2</v>
      </c>
    </row>
    <row r="76" spans="1:7" x14ac:dyDescent="0.2">
      <c r="A76" s="192">
        <v>1000</v>
      </c>
      <c r="B76" s="179">
        <f>B51/B23</f>
        <v>7.2484616678088573E-2</v>
      </c>
      <c r="C76" s="179">
        <f>C51/C23</f>
        <v>1.9999999999999959E-2</v>
      </c>
      <c r="D76" s="179"/>
      <c r="E76" s="179">
        <f>E51/E23</f>
        <v>1E-4</v>
      </c>
      <c r="F76" s="179">
        <f>F51/F23</f>
        <v>6.7592430453027432E-3</v>
      </c>
      <c r="G76" s="179">
        <f t="shared" si="13"/>
        <v>9.9343859723391284E-2</v>
      </c>
    </row>
    <row r="77" spans="1:7" x14ac:dyDescent="0.2">
      <c r="A77" s="192">
        <v>1100</v>
      </c>
      <c r="B77" s="179">
        <f>B52/B24</f>
        <v>8.3880254271231386E-2</v>
      </c>
      <c r="C77" s="179">
        <f>C52/C24</f>
        <v>2.2000000000000026E-2</v>
      </c>
      <c r="D77" s="179"/>
      <c r="E77" s="179">
        <f>E52/E24</f>
        <v>1E-4</v>
      </c>
      <c r="F77" s="179">
        <f>F52/F24</f>
        <v>7.2437075023564215E-3</v>
      </c>
      <c r="G77" s="179">
        <f t="shared" si="13"/>
        <v>0.11322396177358783</v>
      </c>
    </row>
    <row r="78" spans="1:7" x14ac:dyDescent="0.2">
      <c r="A78" s="192">
        <v>1200</v>
      </c>
      <c r="B78" s="179"/>
      <c r="C78" s="179">
        <f>C53/C25</f>
        <v>2.3999999999999914E-2</v>
      </c>
      <c r="D78" s="179"/>
      <c r="E78" s="179">
        <f>E53/E25</f>
        <v>1E-4</v>
      </c>
      <c r="F78" s="179">
        <f>F53/F25</f>
        <v>7.6622568828068104E-3</v>
      </c>
      <c r="G78" s="179">
        <f t="shared" si="13"/>
        <v>3.1762256882806726E-2</v>
      </c>
    </row>
    <row r="79" spans="1:7" x14ac:dyDescent="0.2">
      <c r="A79" s="192">
        <v>1300</v>
      </c>
      <c r="B79" s="179"/>
      <c r="C79" s="179">
        <f>C54/C26</f>
        <v>2.6000000000000186E-2</v>
      </c>
      <c r="D79" s="179"/>
      <c r="E79" s="179">
        <f>E54/E26</f>
        <v>1E-4</v>
      </c>
      <c r="F79" s="179">
        <f>F54/F26</f>
        <v>8.0265474607061488E-3</v>
      </c>
      <c r="G79" s="179">
        <f t="shared" si="13"/>
        <v>3.4126547460706334E-2</v>
      </c>
    </row>
    <row r="80" spans="1:7" x14ac:dyDescent="0.2">
      <c r="A80" s="192">
        <v>1400</v>
      </c>
      <c r="B80" s="179"/>
      <c r="C80" s="179">
        <f>C55/C27</f>
        <v>2.8000000000000098E-2</v>
      </c>
      <c r="D80" s="179"/>
      <c r="E80" s="179">
        <f>E55/E27</f>
        <v>1E-4</v>
      </c>
      <c r="F80" s="179">
        <f>F55/F27</f>
        <v>8.3459226983641655E-3</v>
      </c>
      <c r="G80" s="179">
        <f t="shared" si="13"/>
        <v>3.6445922698364261E-2</v>
      </c>
    </row>
    <row r="81" spans="1:7" x14ac:dyDescent="0.2">
      <c r="A81" s="192">
        <v>1500</v>
      </c>
      <c r="B81" s="179"/>
      <c r="C81" s="179">
        <f>C56/C28</f>
        <v>0.03</v>
      </c>
      <c r="D81" s="179"/>
      <c r="E81" s="179">
        <f>E56/E28</f>
        <v>1.0000000000000002E-4</v>
      </c>
      <c r="F81" s="179">
        <f>F56/F28</f>
        <v>8.6278542817295172E-3</v>
      </c>
      <c r="G81" s="179">
        <f t="shared" si="13"/>
        <v>3.8727854281729514E-2</v>
      </c>
    </row>
    <row r="82" spans="1:7" x14ac:dyDescent="0.2">
      <c r="A82" s="192">
        <v>1600</v>
      </c>
      <c r="B82" s="179"/>
      <c r="C82" s="179">
        <f>C57/C29</f>
        <v>3.1999999999999994E-2</v>
      </c>
      <c r="D82" s="179"/>
      <c r="E82" s="179">
        <f>E57/E29</f>
        <v>1E-4</v>
      </c>
      <c r="F82" s="179">
        <f>F57/F29</f>
        <v>8.8783350529886805E-3</v>
      </c>
      <c r="G82" s="179">
        <f t="shared" si="13"/>
        <v>4.0978335052988674E-2</v>
      </c>
    </row>
    <row r="83" spans="1:7" x14ac:dyDescent="0.2">
      <c r="A83" s="192">
        <v>1700</v>
      </c>
      <c r="B83" s="179"/>
      <c r="C83" s="179">
        <f>C58/C30</f>
        <v>3.4000000000000107E-2</v>
      </c>
      <c r="D83" s="179"/>
      <c r="E83" s="179">
        <f>E58/E30</f>
        <v>1E-4</v>
      </c>
      <c r="F83" s="179">
        <f>F58/F30</f>
        <v>9.1021989259819688E-3</v>
      </c>
      <c r="G83" s="179">
        <f t="shared" si="13"/>
        <v>4.320219892598208E-2</v>
      </c>
    </row>
    <row r="84" spans="1:7" x14ac:dyDescent="0.2">
      <c r="A84" s="192">
        <v>1800</v>
      </c>
      <c r="B84" s="179"/>
      <c r="C84" s="179">
        <f>C59/C31</f>
        <v>3.6000000000000254E-2</v>
      </c>
      <c r="D84" s="179"/>
      <c r="E84" s="179">
        <f>E59/E31</f>
        <v>1E-4</v>
      </c>
      <c r="F84" s="179">
        <f>F59/F31</f>
        <v>9.3033719320797289E-3</v>
      </c>
      <c r="G84" s="179">
        <f t="shared" si="13"/>
        <v>4.5403371932079988E-2</v>
      </c>
    </row>
    <row r="85" spans="1:7" x14ac:dyDescent="0.2">
      <c r="A85" s="192">
        <v>1900</v>
      </c>
      <c r="B85" s="179"/>
      <c r="C85" s="179">
        <f>C60/C32</f>
        <v>3.7999999999999735E-2</v>
      </c>
      <c r="D85" s="179"/>
      <c r="E85" s="179">
        <f>E60/E32</f>
        <v>1E-4</v>
      </c>
      <c r="F85" s="179">
        <f>F60/F32</f>
        <v>9.4850663091768771E-3</v>
      </c>
      <c r="G85" s="179">
        <f t="shared" si="13"/>
        <v>4.7585066309176617E-2</v>
      </c>
    </row>
    <row r="86" spans="1:7" x14ac:dyDescent="0.2">
      <c r="A86" s="192">
        <v>2000</v>
      </c>
      <c r="B86" s="179"/>
      <c r="C86" s="179">
        <f>C61/C33</f>
        <v>3.9999999999999994E-2</v>
      </c>
      <c r="D86" s="179"/>
      <c r="E86" s="179">
        <f>E61/E33</f>
        <v>1E-4</v>
      </c>
      <c r="F86" s="179">
        <f>F61/F33</f>
        <v>9.6499299044033818E-3</v>
      </c>
      <c r="G86" s="179">
        <f t="shared" si="13"/>
        <v>4.9749929904403377E-2</v>
      </c>
    </row>
    <row r="89" spans="1:7" x14ac:dyDescent="0.2">
      <c r="A89" s="197" t="s">
        <v>323</v>
      </c>
      <c r="B89" s="198"/>
      <c r="C89" s="194"/>
      <c r="D89" s="193"/>
      <c r="E89" s="193"/>
    </row>
    <row r="90" spans="1:7" x14ac:dyDescent="0.2">
      <c r="A90" s="78" t="s">
        <v>301</v>
      </c>
      <c r="B90" s="58" t="s">
        <v>130</v>
      </c>
    </row>
    <row r="91" spans="1:7" x14ac:dyDescent="0.2">
      <c r="A91" s="192">
        <v>0</v>
      </c>
      <c r="B91" s="58">
        <f>G66*G13</f>
        <v>1.0033992415274075E-4</v>
      </c>
    </row>
    <row r="92" spans="1:7" x14ac:dyDescent="0.2">
      <c r="A92" s="192">
        <v>100</v>
      </c>
      <c r="B92" s="58">
        <f>G67*G14</f>
        <v>4.4370992591931816E-3</v>
      </c>
      <c r="D92" s="56" t="s">
        <v>128</v>
      </c>
      <c r="E92" t="s">
        <v>129</v>
      </c>
    </row>
    <row r="93" spans="1:7" x14ac:dyDescent="0.2">
      <c r="A93" s="192">
        <v>200</v>
      </c>
      <c r="B93" s="58">
        <f>G68*G15</f>
        <v>5.2709279156954629E-3</v>
      </c>
    </row>
    <row r="94" spans="1:7" x14ac:dyDescent="0.2">
      <c r="A94" s="192">
        <v>300</v>
      </c>
      <c r="B94" s="58">
        <f>G69*G16</f>
        <v>2.4358198709838261E-6</v>
      </c>
    </row>
    <row r="95" spans="1:7" x14ac:dyDescent="0.2">
      <c r="A95" s="192">
        <v>400</v>
      </c>
      <c r="B95" s="58">
        <f>G70*G17</f>
        <v>5.7110985778646701E-18</v>
      </c>
    </row>
    <row r="96" spans="1:7" x14ac:dyDescent="0.2">
      <c r="A96" s="192">
        <v>500</v>
      </c>
      <c r="B96" s="58">
        <f>G71*G18</f>
        <v>5.4111417741515339E-46</v>
      </c>
    </row>
    <row r="97" spans="1:2" x14ac:dyDescent="0.2">
      <c r="A97" s="192">
        <v>600</v>
      </c>
      <c r="B97" s="58">
        <f>G72*G19</f>
        <v>4.1178642029261559E-102</v>
      </c>
    </row>
    <row r="98" spans="1:2" x14ac:dyDescent="0.2">
      <c r="A98" s="192">
        <v>700</v>
      </c>
      <c r="B98" s="58">
        <f>G73*G20</f>
        <v>4.6651463259501634E-202</v>
      </c>
    </row>
    <row r="99" spans="1:2" x14ac:dyDescent="0.2">
      <c r="A99" s="192">
        <v>800</v>
      </c>
      <c r="B99" s="58">
        <f>G74*G21</f>
        <v>0</v>
      </c>
    </row>
    <row r="100" spans="1:2" x14ac:dyDescent="0.2">
      <c r="A100" s="192">
        <v>900</v>
      </c>
      <c r="B100" s="58">
        <f>G75*G22</f>
        <v>0</v>
      </c>
    </row>
    <row r="101" spans="1:2" x14ac:dyDescent="0.2">
      <c r="A101" s="192">
        <v>1000</v>
      </c>
      <c r="B101" s="58">
        <f>G76*G23</f>
        <v>0</v>
      </c>
    </row>
    <row r="102" spans="1:2" x14ac:dyDescent="0.2">
      <c r="A102" s="192">
        <v>1100</v>
      </c>
      <c r="B102" s="58">
        <f>G77*G24</f>
        <v>0</v>
      </c>
    </row>
    <row r="103" spans="1:2" x14ac:dyDescent="0.2">
      <c r="A103" s="192">
        <v>1200</v>
      </c>
      <c r="B103" s="58">
        <f>G78*G25</f>
        <v>0</v>
      </c>
    </row>
    <row r="104" spans="1:2" x14ac:dyDescent="0.2">
      <c r="A104" s="192">
        <v>1300</v>
      </c>
      <c r="B104" s="58">
        <f>G79*G26</f>
        <v>0</v>
      </c>
    </row>
    <row r="105" spans="1:2" x14ac:dyDescent="0.2">
      <c r="A105" s="192">
        <v>1400</v>
      </c>
      <c r="B105" s="58">
        <f>G80*G27</f>
        <v>0</v>
      </c>
    </row>
    <row r="106" spans="1:2" x14ac:dyDescent="0.2">
      <c r="A106" s="192">
        <v>1500</v>
      </c>
      <c r="B106" s="58">
        <f>G81*G28</f>
        <v>0</v>
      </c>
    </row>
    <row r="107" spans="1:2" x14ac:dyDescent="0.2">
      <c r="A107" s="192">
        <v>1600</v>
      </c>
      <c r="B107" s="58">
        <f>G82*G29</f>
        <v>0</v>
      </c>
    </row>
    <row r="108" spans="1:2" x14ac:dyDescent="0.2">
      <c r="A108" s="192">
        <v>1700</v>
      </c>
      <c r="B108" s="58">
        <f>G83*G30</f>
        <v>0</v>
      </c>
    </row>
    <row r="109" spans="1:2" x14ac:dyDescent="0.2">
      <c r="A109" s="192">
        <v>1800</v>
      </c>
      <c r="B109" s="58">
        <f>G84*G31</f>
        <v>0</v>
      </c>
    </row>
    <row r="110" spans="1:2" x14ac:dyDescent="0.2">
      <c r="A110" s="192">
        <v>1900</v>
      </c>
      <c r="B110" s="58">
        <f>G85*G32</f>
        <v>0</v>
      </c>
    </row>
    <row r="111" spans="1:2" x14ac:dyDescent="0.2">
      <c r="A111" s="192">
        <v>2000</v>
      </c>
      <c r="B111" s="58">
        <f>G86*G33</f>
        <v>0</v>
      </c>
    </row>
  </sheetData>
  <mergeCells count="5">
    <mergeCell ref="A39:E39"/>
    <mergeCell ref="A64:E64"/>
    <mergeCell ref="A34:H34"/>
    <mergeCell ref="B37:E37"/>
    <mergeCell ref="A89:B8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Лист1</vt:lpstr>
      <vt:lpstr>Пример1.1</vt:lpstr>
      <vt:lpstr>Пример1.2</vt:lpstr>
      <vt:lpstr>стат</vt:lpstr>
      <vt:lpstr>Модель</vt:lpstr>
      <vt:lpstr>Задачи</vt:lpstr>
      <vt:lpstr>1.4</vt:lpstr>
    </vt:vector>
  </TitlesOfParts>
  <Company>Krokoz™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Мама</dc:creator>
  <cp:lastModifiedBy>Microsoft Office User</cp:lastModifiedBy>
  <dcterms:created xsi:type="dcterms:W3CDTF">2015-02-12T13:04:01Z</dcterms:created>
  <dcterms:modified xsi:type="dcterms:W3CDTF">2023-03-09T08:44:37Z</dcterms:modified>
</cp:coreProperties>
</file>