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charts/chart1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 defaultThemeVersion="124226"/>
  <xr:revisionPtr revIDLastSave="0" documentId="13_ncr:1_{59431F47-5534-5A4B-86C6-586F3C381E6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Нагр" sheetId="1" r:id="rId1"/>
    <sheet name="1-2" sheetId="4" r:id="rId2"/>
    <sheet name="2.4" sheetId="2" r:id="rId3"/>
    <sheet name="2.18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3" l="1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7" i="3"/>
  <c r="L47" i="2"/>
  <c r="N49" i="2"/>
  <c r="L51" i="2"/>
  <c r="N53" i="2"/>
  <c r="L55" i="2"/>
  <c r="N57" i="2"/>
  <c r="L59" i="2"/>
  <c r="N61" i="2"/>
  <c r="L63" i="2"/>
  <c r="N65" i="2"/>
  <c r="N46" i="2"/>
  <c r="L46" i="2"/>
  <c r="B23" i="2"/>
  <c r="H47" i="2"/>
  <c r="I47" i="2" s="1"/>
  <c r="H48" i="2"/>
  <c r="N48" i="2" s="1"/>
  <c r="H49" i="2"/>
  <c r="L49" i="2" s="1"/>
  <c r="H50" i="2"/>
  <c r="L50" i="2" s="1"/>
  <c r="H51" i="2"/>
  <c r="I51" i="2" s="1"/>
  <c r="H52" i="2"/>
  <c r="N52" i="2" s="1"/>
  <c r="H53" i="2"/>
  <c r="L53" i="2" s="1"/>
  <c r="H54" i="2"/>
  <c r="L54" i="2" s="1"/>
  <c r="H55" i="2"/>
  <c r="I55" i="2" s="1"/>
  <c r="H56" i="2"/>
  <c r="N56" i="2" s="1"/>
  <c r="H57" i="2"/>
  <c r="L57" i="2" s="1"/>
  <c r="H58" i="2"/>
  <c r="L58" i="2" s="1"/>
  <c r="H59" i="2"/>
  <c r="I59" i="2" s="1"/>
  <c r="H60" i="2"/>
  <c r="N60" i="2" s="1"/>
  <c r="H61" i="2"/>
  <c r="L61" i="2" s="1"/>
  <c r="H62" i="2"/>
  <c r="L62" i="2" s="1"/>
  <c r="H63" i="2"/>
  <c r="I63" i="2" s="1"/>
  <c r="H64" i="2"/>
  <c r="N64" i="2" s="1"/>
  <c r="H65" i="2"/>
  <c r="L65" i="2" s="1"/>
  <c r="H66" i="2"/>
  <c r="L66" i="2" s="1"/>
  <c r="H46" i="2"/>
  <c r="K46" i="2" s="1"/>
  <c r="B17" i="2"/>
  <c r="B24" i="2" s="1"/>
  <c r="K65" i="2" l="1"/>
  <c r="K63" i="2"/>
  <c r="K61" i="2"/>
  <c r="K59" i="2"/>
  <c r="K57" i="2"/>
  <c r="K55" i="2"/>
  <c r="K53" i="2"/>
  <c r="K51" i="2"/>
  <c r="K49" i="2"/>
  <c r="K47" i="2"/>
  <c r="I65" i="2"/>
  <c r="I61" i="2"/>
  <c r="I57" i="2"/>
  <c r="I53" i="2"/>
  <c r="I49" i="2"/>
  <c r="N66" i="2"/>
  <c r="L64" i="2"/>
  <c r="N62" i="2"/>
  <c r="L60" i="2"/>
  <c r="N58" i="2"/>
  <c r="L56" i="2"/>
  <c r="N54" i="2"/>
  <c r="L52" i="2"/>
  <c r="N50" i="2"/>
  <c r="L48" i="2"/>
  <c r="I58" i="2"/>
  <c r="I64" i="2"/>
  <c r="I60" i="2"/>
  <c r="I56" i="2"/>
  <c r="I52" i="2"/>
  <c r="I48" i="2"/>
  <c r="N63" i="2"/>
  <c r="N59" i="2"/>
  <c r="N55" i="2"/>
  <c r="N51" i="2"/>
  <c r="N47" i="2"/>
  <c r="I66" i="2"/>
  <c r="I62" i="2"/>
  <c r="I54" i="2"/>
  <c r="I50" i="2"/>
  <c r="K66" i="2"/>
  <c r="K64" i="2"/>
  <c r="K62" i="2"/>
  <c r="K60" i="2"/>
  <c r="K58" i="2"/>
  <c r="K56" i="2"/>
  <c r="K54" i="2"/>
  <c r="K52" i="2"/>
  <c r="K50" i="2"/>
  <c r="K48" i="2"/>
  <c r="I46" i="2"/>
  <c r="B10" i="4"/>
  <c r="B5" i="4"/>
  <c r="B6" i="4" s="1"/>
  <c r="X17" i="4" l="1"/>
  <c r="L17" i="4"/>
  <c r="D17" i="4"/>
  <c r="U18" i="4"/>
  <c r="M18" i="4"/>
  <c r="E18" i="4"/>
  <c r="S19" i="4"/>
  <c r="Z17" i="4"/>
  <c r="V17" i="4"/>
  <c r="R17" i="4"/>
  <c r="N17" i="4"/>
  <c r="J17" i="4"/>
  <c r="F17" i="4"/>
  <c r="B18" i="4"/>
  <c r="W18" i="4"/>
  <c r="S18" i="4"/>
  <c r="O18" i="4"/>
  <c r="K18" i="4"/>
  <c r="G18" i="4"/>
  <c r="C18" i="4"/>
  <c r="Y19" i="4"/>
  <c r="U19" i="4"/>
  <c r="Q19" i="4"/>
  <c r="M19" i="4"/>
  <c r="I19" i="4"/>
  <c r="E19" i="4"/>
  <c r="F39" i="4"/>
  <c r="Y17" i="4"/>
  <c r="U17" i="4"/>
  <c r="Q17" i="4"/>
  <c r="M17" i="4"/>
  <c r="I17" i="4"/>
  <c r="E17" i="4"/>
  <c r="Z18" i="4"/>
  <c r="V18" i="4"/>
  <c r="R18" i="4"/>
  <c r="N18" i="4"/>
  <c r="J18" i="4"/>
  <c r="F18" i="4"/>
  <c r="B20" i="4"/>
  <c r="F38" i="4" s="1"/>
  <c r="X19" i="4"/>
  <c r="T19" i="4"/>
  <c r="P19" i="4"/>
  <c r="L19" i="4"/>
  <c r="H19" i="4"/>
  <c r="D19" i="4"/>
  <c r="T17" i="4"/>
  <c r="P17" i="4"/>
  <c r="H17" i="4"/>
  <c r="Y18" i="4"/>
  <c r="Q18" i="4"/>
  <c r="I18" i="4"/>
  <c r="B19" i="4"/>
  <c r="W19" i="4"/>
  <c r="O19" i="4"/>
  <c r="K19" i="4"/>
  <c r="G19" i="4"/>
  <c r="C19" i="4"/>
  <c r="B17" i="4"/>
  <c r="W17" i="4"/>
  <c r="S17" i="4"/>
  <c r="O17" i="4"/>
  <c r="K17" i="4"/>
  <c r="G17" i="4"/>
  <c r="C17" i="4"/>
  <c r="X18" i="4"/>
  <c r="T18" i="4"/>
  <c r="P18" i="4"/>
  <c r="L18" i="4"/>
  <c r="H18" i="4"/>
  <c r="D18" i="4"/>
  <c r="Z19" i="4"/>
  <c r="V19" i="4"/>
  <c r="R19" i="4"/>
  <c r="N19" i="4"/>
  <c r="J19" i="4"/>
  <c r="F19" i="4"/>
  <c r="B26" i="1"/>
  <c r="B8" i="3"/>
  <c r="B9" i="3" l="1"/>
  <c r="B11" i="3" s="1"/>
  <c r="B12" i="3"/>
  <c r="B19" i="2" l="1"/>
  <c r="B18" i="2"/>
  <c r="C17" i="2"/>
  <c r="O7" i="1"/>
  <c r="P7" i="1" s="1"/>
  <c r="Q7" i="1" s="1"/>
  <c r="Q8" i="1" s="1"/>
  <c r="B92" i="1"/>
  <c r="B94" i="1" s="1"/>
  <c r="B89" i="1"/>
  <c r="B91" i="1" s="1"/>
  <c r="B101" i="1" s="1"/>
  <c r="C88" i="1"/>
  <c r="D88" i="1" s="1"/>
  <c r="D92" i="1" s="1"/>
  <c r="C6" i="3"/>
  <c r="P14" i="2"/>
  <c r="O14" i="2"/>
  <c r="N14" i="2"/>
  <c r="M14" i="2"/>
  <c r="I12" i="2"/>
  <c r="K12" i="2"/>
  <c r="J12" i="2"/>
  <c r="D16" i="2"/>
  <c r="D17" i="2" s="1"/>
  <c r="C16" i="2"/>
  <c r="C18" i="2" s="1"/>
  <c r="N12" i="1"/>
  <c r="N16" i="1" s="1"/>
  <c r="C8" i="1"/>
  <c r="B8" i="1"/>
  <c r="N8" i="1" s="1"/>
  <c r="B10" i="1"/>
  <c r="B11" i="1" s="1"/>
  <c r="F10" i="1"/>
  <c r="F11" i="1" s="1"/>
  <c r="J10" i="1"/>
  <c r="J11" i="1" s="1"/>
  <c r="C13" i="1"/>
  <c r="G13" i="1"/>
  <c r="K13" i="1"/>
  <c r="A29" i="1"/>
  <c r="B29" i="1"/>
  <c r="C29" i="1"/>
  <c r="D42" i="1"/>
  <c r="F42" i="1" s="1"/>
  <c r="D43" i="1"/>
  <c r="F43" i="1" s="1"/>
  <c r="L43" i="1"/>
  <c r="L44" i="1" s="1"/>
  <c r="D44" i="1"/>
  <c r="F44" i="1"/>
  <c r="K44" i="1"/>
  <c r="D45" i="1"/>
  <c r="F45" i="1" s="1"/>
  <c r="K45" i="1"/>
  <c r="K46" i="1"/>
  <c r="K47" i="1"/>
  <c r="B69" i="1"/>
  <c r="C69" i="1"/>
  <c r="D69" i="1"/>
  <c r="G74" i="1"/>
  <c r="J74" i="1" s="1"/>
  <c r="L74" i="1" s="1"/>
  <c r="G78" i="1"/>
  <c r="J78" i="1" s="1"/>
  <c r="L78" i="1" s="1"/>
  <c r="P8" i="1"/>
  <c r="P10" i="1" s="1"/>
  <c r="P23" i="1" s="1"/>
  <c r="P12" i="1"/>
  <c r="P16" i="1" s="1"/>
  <c r="P11" i="1"/>
  <c r="P24" i="1" s="1"/>
  <c r="D89" i="1"/>
  <c r="D99" i="1" s="1"/>
  <c r="E88" i="1"/>
  <c r="E92" i="1" s="1"/>
  <c r="C89" i="1"/>
  <c r="P14" i="1"/>
  <c r="P18" i="1" s="1"/>
  <c r="D91" i="1"/>
  <c r="D101" i="1" s="1"/>
  <c r="D90" i="1"/>
  <c r="D100" i="1" s="1"/>
  <c r="F88" i="1"/>
  <c r="F92" i="1" s="1"/>
  <c r="D23" i="2" l="1"/>
  <c r="D24" i="2"/>
  <c r="D19" i="2"/>
  <c r="M47" i="2"/>
  <c r="M51" i="2"/>
  <c r="M55" i="2"/>
  <c r="M59" i="2"/>
  <c r="M63" i="2"/>
  <c r="M48" i="2"/>
  <c r="M60" i="2"/>
  <c r="M50" i="2"/>
  <c r="M54" i="2"/>
  <c r="M58" i="2"/>
  <c r="M62" i="2"/>
  <c r="M66" i="2"/>
  <c r="M46" i="2"/>
  <c r="M52" i="2"/>
  <c r="M56" i="2"/>
  <c r="M49" i="2"/>
  <c r="M53" i="2"/>
  <c r="M57" i="2"/>
  <c r="M61" i="2"/>
  <c r="M65" i="2"/>
  <c r="B21" i="2"/>
  <c r="M64" i="2"/>
  <c r="D6" i="3"/>
  <c r="C8" i="3"/>
  <c r="C23" i="2"/>
  <c r="C24" i="2"/>
  <c r="P13" i="1"/>
  <c r="P17" i="1" s="1"/>
  <c r="L45" i="1"/>
  <c r="G42" i="1"/>
  <c r="H42" i="1" s="1"/>
  <c r="O8" i="1"/>
  <c r="D20" i="2"/>
  <c r="D21" i="2"/>
  <c r="P15" i="1"/>
  <c r="P19" i="1" s="1"/>
  <c r="D18" i="2"/>
  <c r="F89" i="1"/>
  <c r="F99" i="1" s="1"/>
  <c r="P21" i="1"/>
  <c r="P9" i="1"/>
  <c r="P22" i="1" s="1"/>
  <c r="N15" i="1"/>
  <c r="N11" i="1"/>
  <c r="N24" i="1" s="1"/>
  <c r="N9" i="1"/>
  <c r="C19" i="2"/>
  <c r="C20" i="2" s="1"/>
  <c r="C21" i="2"/>
  <c r="N13" i="1"/>
  <c r="O12" i="1"/>
  <c r="O16" i="1" s="1"/>
  <c r="E16" i="2"/>
  <c r="J48" i="2"/>
  <c r="J52" i="2"/>
  <c r="J54" i="2"/>
  <c r="J58" i="2"/>
  <c r="J62" i="2"/>
  <c r="J66" i="2"/>
  <c r="J47" i="2"/>
  <c r="J49" i="2"/>
  <c r="J51" i="2"/>
  <c r="J53" i="2"/>
  <c r="J55" i="2"/>
  <c r="J57" i="2"/>
  <c r="J59" i="2"/>
  <c r="J61" i="2"/>
  <c r="J63" i="2"/>
  <c r="J65" i="2"/>
  <c r="J46" i="2"/>
  <c r="J50" i="2"/>
  <c r="J56" i="2"/>
  <c r="J60" i="2"/>
  <c r="J64" i="2"/>
  <c r="B20" i="2"/>
  <c r="Q10" i="1"/>
  <c r="Q23" i="1" s="1"/>
  <c r="Q13" i="1"/>
  <c r="Q17" i="1" s="1"/>
  <c r="Q21" i="1"/>
  <c r="Q9" i="1"/>
  <c r="Q22" i="1" s="1"/>
  <c r="Q11" i="1"/>
  <c r="Q24" i="1" s="1"/>
  <c r="E89" i="1"/>
  <c r="E93" i="1" s="1"/>
  <c r="C99" i="1"/>
  <c r="C91" i="1"/>
  <c r="C101" i="1" s="1"/>
  <c r="Q12" i="1"/>
  <c r="Q16" i="1" s="1"/>
  <c r="R7" i="1"/>
  <c r="O10" i="1"/>
  <c r="O23" i="1" s="1"/>
  <c r="N22" i="1"/>
  <c r="N10" i="1"/>
  <c r="N23" i="1" s="1"/>
  <c r="N21" i="1"/>
  <c r="N14" i="1"/>
  <c r="C90" i="1"/>
  <c r="C100" i="1" s="1"/>
  <c r="F93" i="1"/>
  <c r="F95" i="1"/>
  <c r="F94" i="1"/>
  <c r="F90" i="1"/>
  <c r="F100" i="1" s="1"/>
  <c r="G88" i="1"/>
  <c r="O11" i="1"/>
  <c r="O24" i="1" s="1"/>
  <c r="L47" i="1"/>
  <c r="K48" i="1"/>
  <c r="K49" i="1"/>
  <c r="B97" i="1"/>
  <c r="F91" i="1"/>
  <c r="F101" i="1" s="1"/>
  <c r="L46" i="1"/>
  <c r="M43" i="1"/>
  <c r="O21" i="1"/>
  <c r="D95" i="1"/>
  <c r="D94" i="1"/>
  <c r="D97" i="1" s="1"/>
  <c r="D93" i="1"/>
  <c r="D96" i="1" s="1"/>
  <c r="B95" i="1"/>
  <c r="C92" i="1"/>
  <c r="B99" i="1"/>
  <c r="B90" i="1"/>
  <c r="B100" i="1" s="1"/>
  <c r="B93" i="1"/>
  <c r="B96" i="1" s="1"/>
  <c r="O15" i="1" l="1"/>
  <c r="O19" i="1" s="1"/>
  <c r="N19" i="1"/>
  <c r="L48" i="1"/>
  <c r="K50" i="1"/>
  <c r="O13" i="1"/>
  <c r="O17" i="1" s="1"/>
  <c r="F16" i="2"/>
  <c r="E18" i="2"/>
  <c r="E17" i="2"/>
  <c r="E6" i="3"/>
  <c r="D8" i="3"/>
  <c r="E95" i="1"/>
  <c r="O14" i="1"/>
  <c r="O18" i="1" s="1"/>
  <c r="O9" i="1"/>
  <c r="O22" i="1" s="1"/>
  <c r="C12" i="3"/>
  <c r="C9" i="3"/>
  <c r="C11" i="3" s="1"/>
  <c r="C94" i="1"/>
  <c r="C97" i="1" s="1"/>
  <c r="C93" i="1"/>
  <c r="C96" i="1" s="1"/>
  <c r="C95" i="1"/>
  <c r="G92" i="1"/>
  <c r="H88" i="1"/>
  <c r="G89" i="1"/>
  <c r="F96" i="1"/>
  <c r="N17" i="1"/>
  <c r="S7" i="1"/>
  <c r="R8" i="1"/>
  <c r="R12" i="1"/>
  <c r="E99" i="1"/>
  <c r="E91" i="1"/>
  <c r="E101" i="1" s="1"/>
  <c r="E90" i="1"/>
  <c r="E100" i="1" s="1"/>
  <c r="Q15" i="1"/>
  <c r="Q19" i="1" s="1"/>
  <c r="Q14" i="1"/>
  <c r="Q18" i="1" s="1"/>
  <c r="N43" i="1"/>
  <c r="M44" i="1"/>
  <c r="M45" i="1"/>
  <c r="M46" i="1"/>
  <c r="M47" i="1"/>
  <c r="L49" i="1"/>
  <c r="L50" i="1" s="1"/>
  <c r="F97" i="1"/>
  <c r="N18" i="1"/>
  <c r="E94" i="1"/>
  <c r="E23" i="2" l="1"/>
  <c r="E24" i="2"/>
  <c r="E19" i="2"/>
  <c r="E20" i="2" s="1"/>
  <c r="E21" i="2"/>
  <c r="D12" i="3"/>
  <c r="D9" i="3"/>
  <c r="D11" i="3" s="1"/>
  <c r="F6" i="3"/>
  <c r="E8" i="3"/>
  <c r="E97" i="1"/>
  <c r="G16" i="2"/>
  <c r="F18" i="2"/>
  <c r="F17" i="2"/>
  <c r="T7" i="1"/>
  <c r="S12" i="1"/>
  <c r="S8" i="1"/>
  <c r="G94" i="1"/>
  <c r="G93" i="1"/>
  <c r="G95" i="1"/>
  <c r="G99" i="1"/>
  <c r="G91" i="1"/>
  <c r="G101" i="1" s="1"/>
  <c r="G90" i="1"/>
  <c r="G100" i="1" s="1"/>
  <c r="E96" i="1"/>
  <c r="R14" i="1"/>
  <c r="R10" i="1"/>
  <c r="R23" i="1" s="1"/>
  <c r="R13" i="1"/>
  <c r="R9" i="1"/>
  <c r="R22" i="1" s="1"/>
  <c r="R11" i="1"/>
  <c r="R24" i="1" s="1"/>
  <c r="R21" i="1"/>
  <c r="R15" i="1"/>
  <c r="M48" i="1"/>
  <c r="M49" i="1"/>
  <c r="N45" i="1"/>
  <c r="N46" i="1"/>
  <c r="N47" i="1"/>
  <c r="O43" i="1"/>
  <c r="N44" i="1"/>
  <c r="R16" i="1"/>
  <c r="H92" i="1"/>
  <c r="I88" i="1"/>
  <c r="H89" i="1"/>
  <c r="F23" i="2" l="1"/>
  <c r="F24" i="2"/>
  <c r="F19" i="2"/>
  <c r="F21" i="2"/>
  <c r="F20" i="2"/>
  <c r="M50" i="1"/>
  <c r="E12" i="3"/>
  <c r="E9" i="3"/>
  <c r="E11" i="3" s="1"/>
  <c r="H16" i="2"/>
  <c r="G17" i="2"/>
  <c r="G18" i="2"/>
  <c r="G6" i="3"/>
  <c r="F8" i="3"/>
  <c r="R19" i="1"/>
  <c r="R17" i="1"/>
  <c r="H99" i="1"/>
  <c r="H91" i="1"/>
  <c r="H101" i="1" s="1"/>
  <c r="H90" i="1"/>
  <c r="H100" i="1" s="1"/>
  <c r="N48" i="1"/>
  <c r="N49" i="1"/>
  <c r="G97" i="1"/>
  <c r="G96" i="1"/>
  <c r="T8" i="1"/>
  <c r="T12" i="1"/>
  <c r="U7" i="1"/>
  <c r="I92" i="1"/>
  <c r="J88" i="1"/>
  <c r="I89" i="1"/>
  <c r="O45" i="1"/>
  <c r="O46" i="1"/>
  <c r="O47" i="1"/>
  <c r="P43" i="1"/>
  <c r="O44" i="1"/>
  <c r="R18" i="1"/>
  <c r="S21" i="1"/>
  <c r="S15" i="1"/>
  <c r="S9" i="1"/>
  <c r="S22" i="1" s="1"/>
  <c r="S11" i="1"/>
  <c r="S24" i="1" s="1"/>
  <c r="S14" i="1"/>
  <c r="S10" i="1"/>
  <c r="S23" i="1" s="1"/>
  <c r="S13" i="1"/>
  <c r="S17" i="1" s="1"/>
  <c r="H95" i="1"/>
  <c r="H94" i="1"/>
  <c r="H93" i="1"/>
  <c r="H96" i="1" s="1"/>
  <c r="S16" i="1"/>
  <c r="I16" i="2" l="1"/>
  <c r="H17" i="2"/>
  <c r="H18" i="2"/>
  <c r="H6" i="3"/>
  <c r="G8" i="3"/>
  <c r="G23" i="2"/>
  <c r="G24" i="2"/>
  <c r="G19" i="2"/>
  <c r="G20" i="2"/>
  <c r="G21" i="2"/>
  <c r="F12" i="3"/>
  <c r="F9" i="3"/>
  <c r="F11" i="3" s="1"/>
  <c r="T14" i="1"/>
  <c r="T10" i="1"/>
  <c r="T23" i="1" s="1"/>
  <c r="T13" i="1"/>
  <c r="T21" i="1"/>
  <c r="T15" i="1"/>
  <c r="T9" i="1"/>
  <c r="T22" i="1" s="1"/>
  <c r="T11" i="1"/>
  <c r="T24" i="1" s="1"/>
  <c r="I93" i="1"/>
  <c r="I95" i="1"/>
  <c r="I94" i="1"/>
  <c r="N50" i="1"/>
  <c r="J92" i="1"/>
  <c r="J89" i="1"/>
  <c r="K88" i="1"/>
  <c r="O48" i="1"/>
  <c r="O49" i="1"/>
  <c r="U12" i="1"/>
  <c r="V7" i="1"/>
  <c r="U8" i="1"/>
  <c r="S19" i="1"/>
  <c r="H97" i="1"/>
  <c r="S18" i="1"/>
  <c r="P44" i="1"/>
  <c r="P45" i="1"/>
  <c r="Q43" i="1"/>
  <c r="P46" i="1"/>
  <c r="P47" i="1"/>
  <c r="I99" i="1"/>
  <c r="I91" i="1"/>
  <c r="I101" i="1" s="1"/>
  <c r="I90" i="1"/>
  <c r="I100" i="1" s="1"/>
  <c r="T16" i="1"/>
  <c r="T19" i="1" l="1"/>
  <c r="G12" i="3"/>
  <c r="G9" i="3"/>
  <c r="G11" i="3" s="1"/>
  <c r="H24" i="2"/>
  <c r="H23" i="2"/>
  <c r="H19" i="2"/>
  <c r="H21" i="2" s="1"/>
  <c r="H20" i="2"/>
  <c r="O50" i="1"/>
  <c r="J16" i="2"/>
  <c r="I18" i="2"/>
  <c r="I17" i="2"/>
  <c r="I6" i="3"/>
  <c r="H8" i="3"/>
  <c r="I97" i="1"/>
  <c r="R43" i="1"/>
  <c r="Q44" i="1"/>
  <c r="Q47" i="1"/>
  <c r="Q45" i="1"/>
  <c r="Q46" i="1"/>
  <c r="U16" i="1"/>
  <c r="J99" i="1"/>
  <c r="J91" i="1"/>
  <c r="J101" i="1" s="1"/>
  <c r="J90" i="1"/>
  <c r="J100" i="1" s="1"/>
  <c r="T18" i="1"/>
  <c r="J93" i="1"/>
  <c r="J95" i="1"/>
  <c r="J94" i="1"/>
  <c r="I96" i="1"/>
  <c r="W7" i="1"/>
  <c r="V8" i="1"/>
  <c r="V12" i="1"/>
  <c r="V16" i="1" s="1"/>
  <c r="K92" i="1"/>
  <c r="L88" i="1"/>
  <c r="K89" i="1"/>
  <c r="P48" i="1"/>
  <c r="P49" i="1"/>
  <c r="U21" i="1"/>
  <c r="U15" i="1"/>
  <c r="U9" i="1"/>
  <c r="U22" i="1" s="1"/>
  <c r="U11" i="1"/>
  <c r="U24" i="1" s="1"/>
  <c r="U14" i="1"/>
  <c r="U10" i="1"/>
  <c r="U23" i="1" s="1"/>
  <c r="U13" i="1"/>
  <c r="U17" i="1" s="1"/>
  <c r="T17" i="1"/>
  <c r="J6" i="3" l="1"/>
  <c r="I8" i="3"/>
  <c r="I23" i="2"/>
  <c r="I24" i="2"/>
  <c r="I19" i="2"/>
  <c r="I20" i="2" s="1"/>
  <c r="J96" i="1"/>
  <c r="H9" i="3"/>
  <c r="H11" i="3" s="1"/>
  <c r="H12" i="3"/>
  <c r="P50" i="1"/>
  <c r="K16" i="2"/>
  <c r="J18" i="2"/>
  <c r="J17" i="2"/>
  <c r="K94" i="1"/>
  <c r="K93" i="1"/>
  <c r="K95" i="1"/>
  <c r="L92" i="1"/>
  <c r="M88" i="1"/>
  <c r="L89" i="1"/>
  <c r="Q48" i="1"/>
  <c r="Q49" i="1"/>
  <c r="Q50" i="1" s="1"/>
  <c r="X7" i="1"/>
  <c r="W12" i="1"/>
  <c r="W16" i="1" s="1"/>
  <c r="W8" i="1"/>
  <c r="U19" i="1"/>
  <c r="U18" i="1"/>
  <c r="K99" i="1"/>
  <c r="K91" i="1"/>
  <c r="K101" i="1" s="1"/>
  <c r="K90" i="1"/>
  <c r="K100" i="1" s="1"/>
  <c r="V14" i="1"/>
  <c r="V10" i="1"/>
  <c r="V23" i="1" s="1"/>
  <c r="V13" i="1"/>
  <c r="V21" i="1"/>
  <c r="V15" i="1"/>
  <c r="V9" i="1"/>
  <c r="V22" i="1" s="1"/>
  <c r="V11" i="1"/>
  <c r="V24" i="1" s="1"/>
  <c r="J97" i="1"/>
  <c r="R45" i="1"/>
  <c r="R46" i="1"/>
  <c r="R47" i="1"/>
  <c r="S43" i="1"/>
  <c r="R44" i="1"/>
  <c r="L16" i="2" l="1"/>
  <c r="K17" i="2"/>
  <c r="K18" i="2"/>
  <c r="K6" i="3"/>
  <c r="J8" i="3"/>
  <c r="I21" i="2"/>
  <c r="J23" i="2"/>
  <c r="J24" i="2"/>
  <c r="J19" i="2"/>
  <c r="J21" i="2" s="1"/>
  <c r="J20" i="2"/>
  <c r="I12" i="3"/>
  <c r="I9" i="3"/>
  <c r="I11" i="3" s="1"/>
  <c r="V17" i="1"/>
  <c r="W21" i="1"/>
  <c r="W15" i="1"/>
  <c r="W14" i="1"/>
  <c r="W18" i="1" s="1"/>
  <c r="W9" i="1"/>
  <c r="W22" i="1" s="1"/>
  <c r="W11" i="1"/>
  <c r="W24" i="1" s="1"/>
  <c r="W10" i="1"/>
  <c r="W23" i="1" s="1"/>
  <c r="W13" i="1"/>
  <c r="S45" i="1"/>
  <c r="S46" i="1"/>
  <c r="S47" i="1"/>
  <c r="S44" i="1"/>
  <c r="T43" i="1"/>
  <c r="L95" i="1"/>
  <c r="L94" i="1"/>
  <c r="L93" i="1"/>
  <c r="L96" i="1" s="1"/>
  <c r="L99" i="1"/>
  <c r="L91" i="1"/>
  <c r="L101" i="1" s="1"/>
  <c r="L90" i="1"/>
  <c r="L100" i="1" s="1"/>
  <c r="K96" i="1"/>
  <c r="R48" i="1"/>
  <c r="R49" i="1"/>
  <c r="V19" i="1"/>
  <c r="V18" i="1"/>
  <c r="X8" i="1"/>
  <c r="X12" i="1"/>
  <c r="Y7" i="1"/>
  <c r="M92" i="1"/>
  <c r="N88" i="1"/>
  <c r="M89" i="1"/>
  <c r="K97" i="1"/>
  <c r="X16" i="1" l="1"/>
  <c r="R50" i="1"/>
  <c r="L6" i="3"/>
  <c r="K8" i="3"/>
  <c r="W17" i="1"/>
  <c r="K23" i="2"/>
  <c r="K24" i="2"/>
  <c r="K19" i="2"/>
  <c r="K20" i="2" s="1"/>
  <c r="K21" i="2"/>
  <c r="J12" i="3"/>
  <c r="J9" i="3"/>
  <c r="J11" i="3" s="1"/>
  <c r="M16" i="2"/>
  <c r="L17" i="2"/>
  <c r="L18" i="2"/>
  <c r="Y12" i="1"/>
  <c r="Z7" i="1"/>
  <c r="Y8" i="1"/>
  <c r="L97" i="1"/>
  <c r="W19" i="1"/>
  <c r="M93" i="1"/>
  <c r="M95" i="1"/>
  <c r="M94" i="1"/>
  <c r="S48" i="1"/>
  <c r="S49" i="1"/>
  <c r="S50" i="1" s="1"/>
  <c r="M99" i="1"/>
  <c r="M91" i="1"/>
  <c r="M101" i="1" s="1"/>
  <c r="M90" i="1"/>
  <c r="M100" i="1" s="1"/>
  <c r="N92" i="1"/>
  <c r="N89" i="1"/>
  <c r="O88" i="1"/>
  <c r="X14" i="1"/>
  <c r="X10" i="1"/>
  <c r="X23" i="1" s="1"/>
  <c r="X13" i="1"/>
  <c r="X11" i="1"/>
  <c r="X24" i="1" s="1"/>
  <c r="X21" i="1"/>
  <c r="X15" i="1"/>
  <c r="X9" i="1"/>
  <c r="X22" i="1" s="1"/>
  <c r="T44" i="1"/>
  <c r="U43" i="1"/>
  <c r="T46" i="1"/>
  <c r="T47" i="1"/>
  <c r="T45" i="1"/>
  <c r="L23" i="2" l="1"/>
  <c r="L24" i="2"/>
  <c r="L19" i="2"/>
  <c r="L21" i="2"/>
  <c r="L20" i="2"/>
  <c r="M6" i="3"/>
  <c r="L8" i="3"/>
  <c r="N16" i="2"/>
  <c r="M18" i="2"/>
  <c r="M17" i="2"/>
  <c r="K12" i="3"/>
  <c r="K9" i="3"/>
  <c r="K11" i="3" s="1"/>
  <c r="T48" i="1"/>
  <c r="T49" i="1"/>
  <c r="O92" i="1"/>
  <c r="P88" i="1"/>
  <c r="O89" i="1"/>
  <c r="M97" i="1"/>
  <c r="X17" i="1"/>
  <c r="N99" i="1"/>
  <c r="N91" i="1"/>
  <c r="N101" i="1" s="1"/>
  <c r="N90" i="1"/>
  <c r="N100" i="1" s="1"/>
  <c r="Y21" i="1"/>
  <c r="Y15" i="1"/>
  <c r="Y9" i="1"/>
  <c r="Y22" i="1" s="1"/>
  <c r="Y11" i="1"/>
  <c r="Y24" i="1" s="1"/>
  <c r="Y14" i="1"/>
  <c r="Y10" i="1"/>
  <c r="Y23" i="1" s="1"/>
  <c r="Y13" i="1"/>
  <c r="Y17" i="1" s="1"/>
  <c r="M96" i="1"/>
  <c r="AA7" i="1"/>
  <c r="Z8" i="1"/>
  <c r="Z12" i="1"/>
  <c r="X19" i="1"/>
  <c r="N93" i="1"/>
  <c r="N95" i="1"/>
  <c r="N94" i="1"/>
  <c r="N97" i="1" s="1"/>
  <c r="V43" i="1"/>
  <c r="U44" i="1"/>
  <c r="U45" i="1"/>
  <c r="U46" i="1"/>
  <c r="U47" i="1"/>
  <c r="X18" i="1"/>
  <c r="Y16" i="1"/>
  <c r="L9" i="3" l="1"/>
  <c r="L11" i="3" s="1"/>
  <c r="L12" i="3"/>
  <c r="N6" i="3"/>
  <c r="M8" i="3"/>
  <c r="T50" i="1"/>
  <c r="M23" i="2"/>
  <c r="M24" i="2"/>
  <c r="M19" i="2"/>
  <c r="M20" i="2" s="1"/>
  <c r="O16" i="2"/>
  <c r="N18" i="2"/>
  <c r="N17" i="2"/>
  <c r="Z14" i="1"/>
  <c r="Z10" i="1"/>
  <c r="Z23" i="1" s="1"/>
  <c r="Z13" i="1"/>
  <c r="Z9" i="1"/>
  <c r="Z22" i="1" s="1"/>
  <c r="Z21" i="1"/>
  <c r="Z15" i="1"/>
  <c r="Z11" i="1"/>
  <c r="Z24" i="1" s="1"/>
  <c r="Y19" i="1"/>
  <c r="P92" i="1"/>
  <c r="Q88" i="1"/>
  <c r="P89" i="1"/>
  <c r="U48" i="1"/>
  <c r="U49" i="1"/>
  <c r="N96" i="1"/>
  <c r="AB7" i="1"/>
  <c r="AA12" i="1"/>
  <c r="AA16" i="1" s="1"/>
  <c r="AA8" i="1"/>
  <c r="Y18" i="1"/>
  <c r="O94" i="1"/>
  <c r="O93" i="1"/>
  <c r="O96" i="1" s="1"/>
  <c r="O95" i="1"/>
  <c r="V45" i="1"/>
  <c r="V46" i="1"/>
  <c r="V47" i="1"/>
  <c r="W43" i="1"/>
  <c r="V44" i="1"/>
  <c r="Z16" i="1"/>
  <c r="O99" i="1"/>
  <c r="O91" i="1"/>
  <c r="O101" i="1" s="1"/>
  <c r="O90" i="1"/>
  <c r="O100" i="1" s="1"/>
  <c r="N23" i="2" l="1"/>
  <c r="N24" i="2"/>
  <c r="N19" i="2"/>
  <c r="N21" i="2" s="1"/>
  <c r="N20" i="2"/>
  <c r="Z19" i="1"/>
  <c r="P16" i="2"/>
  <c r="O17" i="2"/>
  <c r="O18" i="2"/>
  <c r="M12" i="3"/>
  <c r="M9" i="3"/>
  <c r="M11" i="3" s="1"/>
  <c r="M21" i="2"/>
  <c r="O6" i="3"/>
  <c r="N8" i="3"/>
  <c r="O97" i="1"/>
  <c r="AB8" i="1"/>
  <c r="AB12" i="1"/>
  <c r="AC7" i="1"/>
  <c r="P99" i="1"/>
  <c r="P91" i="1"/>
  <c r="P101" i="1" s="1"/>
  <c r="P90" i="1"/>
  <c r="P100" i="1" s="1"/>
  <c r="Z17" i="1"/>
  <c r="V48" i="1"/>
  <c r="V49" i="1"/>
  <c r="V50" i="1" s="1"/>
  <c r="Q92" i="1"/>
  <c r="R88" i="1"/>
  <c r="Q89" i="1"/>
  <c r="W45" i="1"/>
  <c r="W46" i="1"/>
  <c r="W47" i="1"/>
  <c r="X43" i="1"/>
  <c r="W44" i="1"/>
  <c r="AA21" i="1"/>
  <c r="AA15" i="1"/>
  <c r="AA14" i="1"/>
  <c r="AA9" i="1"/>
  <c r="AA22" i="1" s="1"/>
  <c r="AA11" i="1"/>
  <c r="AA24" i="1" s="1"/>
  <c r="AA10" i="1"/>
  <c r="AA23" i="1" s="1"/>
  <c r="AA13" i="1"/>
  <c r="U50" i="1"/>
  <c r="P95" i="1"/>
  <c r="P94" i="1"/>
  <c r="P97" i="1" s="1"/>
  <c r="P93" i="1"/>
  <c r="Z18" i="1"/>
  <c r="P96" i="1" l="1"/>
  <c r="O23" i="2"/>
  <c r="O24" i="2"/>
  <c r="O19" i="2"/>
  <c r="O20" i="2"/>
  <c r="O21" i="2"/>
  <c r="AA19" i="1"/>
  <c r="Q16" i="2"/>
  <c r="P17" i="2"/>
  <c r="P18" i="2"/>
  <c r="N12" i="3"/>
  <c r="N9" i="3"/>
  <c r="N11" i="3" s="1"/>
  <c r="P6" i="3"/>
  <c r="O8" i="3"/>
  <c r="S88" i="1"/>
  <c r="R92" i="1"/>
  <c r="R89" i="1"/>
  <c r="AC12" i="1"/>
  <c r="AD7" i="1"/>
  <c r="AC8" i="1"/>
  <c r="Q93" i="1"/>
  <c r="Q95" i="1"/>
  <c r="Q94" i="1"/>
  <c r="AB16" i="1"/>
  <c r="AB14" i="1"/>
  <c r="AB10" i="1"/>
  <c r="AB23" i="1" s="1"/>
  <c r="AB13" i="1"/>
  <c r="AB11" i="1"/>
  <c r="AB24" i="1" s="1"/>
  <c r="AB21" i="1"/>
  <c r="AB15" i="1"/>
  <c r="AB9" i="1"/>
  <c r="AB22" i="1" s="1"/>
  <c r="W48" i="1"/>
  <c r="W49" i="1"/>
  <c r="W50" i="1" s="1"/>
  <c r="AA17" i="1"/>
  <c r="AA18" i="1"/>
  <c r="X44" i="1"/>
  <c r="X45" i="1"/>
  <c r="Y43" i="1"/>
  <c r="X46" i="1"/>
  <c r="X47" i="1"/>
  <c r="Q99" i="1"/>
  <c r="Q91" i="1"/>
  <c r="Q101" i="1" s="1"/>
  <c r="Q90" i="1"/>
  <c r="Q100" i="1" s="1"/>
  <c r="O12" i="3" l="1"/>
  <c r="O9" i="3"/>
  <c r="O11" i="3" s="1"/>
  <c r="R16" i="2"/>
  <c r="Q18" i="2"/>
  <c r="Q17" i="2"/>
  <c r="AB19" i="1"/>
  <c r="AC16" i="1"/>
  <c r="Q6" i="3"/>
  <c r="P8" i="3"/>
  <c r="P23" i="2"/>
  <c r="P24" i="2"/>
  <c r="P19" i="2"/>
  <c r="P21" i="2" s="1"/>
  <c r="P20" i="2"/>
  <c r="AB18" i="1"/>
  <c r="Q96" i="1"/>
  <c r="R99" i="1"/>
  <c r="R90" i="1"/>
  <c r="R100" i="1" s="1"/>
  <c r="R91" i="1"/>
  <c r="R101" i="1" s="1"/>
  <c r="AC21" i="1"/>
  <c r="AC15" i="1"/>
  <c r="AC19" i="1" s="1"/>
  <c r="AC9" i="1"/>
  <c r="AC22" i="1" s="1"/>
  <c r="AC11" i="1"/>
  <c r="AC24" i="1" s="1"/>
  <c r="AC14" i="1"/>
  <c r="AC10" i="1"/>
  <c r="AC23" i="1" s="1"/>
  <c r="AC13" i="1"/>
  <c r="AC17" i="1" s="1"/>
  <c r="R93" i="1"/>
  <c r="R95" i="1"/>
  <c r="R94" i="1"/>
  <c r="R97" i="1" s="1"/>
  <c r="Z43" i="1"/>
  <c r="Y44" i="1"/>
  <c r="Y47" i="1"/>
  <c r="Y45" i="1"/>
  <c r="Y46" i="1"/>
  <c r="X49" i="1"/>
  <c r="X50" i="1" s="1"/>
  <c r="X48" i="1"/>
  <c r="AB17" i="1"/>
  <c r="Q97" i="1"/>
  <c r="AE7" i="1"/>
  <c r="AD8" i="1"/>
  <c r="AD12" i="1"/>
  <c r="S92" i="1"/>
  <c r="S89" i="1"/>
  <c r="R6" i="3" l="1"/>
  <c r="Q8" i="3"/>
  <c r="S16" i="2"/>
  <c r="R18" i="2"/>
  <c r="R17" i="2"/>
  <c r="P9" i="3"/>
  <c r="P11" i="3" s="1"/>
  <c r="P12" i="3"/>
  <c r="AC18" i="1"/>
  <c r="Q23" i="2"/>
  <c r="Q24" i="2"/>
  <c r="Q19" i="2"/>
  <c r="Q20" i="2" s="1"/>
  <c r="Z45" i="1"/>
  <c r="Z46" i="1"/>
  <c r="Z47" i="1"/>
  <c r="Z44" i="1"/>
  <c r="AD16" i="1"/>
  <c r="S95" i="1"/>
  <c r="S94" i="1"/>
  <c r="S93" i="1"/>
  <c r="AD14" i="1"/>
  <c r="AD10" i="1"/>
  <c r="AD23" i="1" s="1"/>
  <c r="AD13" i="1"/>
  <c r="AD9" i="1"/>
  <c r="AD22" i="1" s="1"/>
  <c r="AD21" i="1"/>
  <c r="AD15" i="1"/>
  <c r="AD19" i="1" s="1"/>
  <c r="AD11" i="1"/>
  <c r="AD24" i="1" s="1"/>
  <c r="S99" i="1"/>
  <c r="T99" i="1" s="1"/>
  <c r="S91" i="1"/>
  <c r="S101" i="1" s="1"/>
  <c r="T101" i="1" s="1"/>
  <c r="S90" i="1"/>
  <c r="S100" i="1" s="1"/>
  <c r="T100" i="1" s="1"/>
  <c r="AF7" i="1"/>
  <c r="AE12" i="1"/>
  <c r="AE8" i="1"/>
  <c r="Y48" i="1"/>
  <c r="Y49" i="1"/>
  <c r="R96" i="1"/>
  <c r="AE16" i="1" l="1"/>
  <c r="R23" i="2"/>
  <c r="R24" i="2"/>
  <c r="R19" i="2"/>
  <c r="R20" i="2"/>
  <c r="R21" i="2"/>
  <c r="Q12" i="3"/>
  <c r="Q9" i="3"/>
  <c r="Q11" i="3" s="1"/>
  <c r="T16" i="2"/>
  <c r="S17" i="2"/>
  <c r="S18" i="2"/>
  <c r="S96" i="1"/>
  <c r="Q21" i="2"/>
  <c r="Y50" i="1"/>
  <c r="S6" i="3"/>
  <c r="R8" i="3"/>
  <c r="AF12" i="1"/>
  <c r="AG7" i="1"/>
  <c r="AF8" i="1"/>
  <c r="AD17" i="1"/>
  <c r="S97" i="1"/>
  <c r="Z48" i="1"/>
  <c r="Z49" i="1"/>
  <c r="Z50" i="1" s="1"/>
  <c r="AE9" i="1"/>
  <c r="AE22" i="1" s="1"/>
  <c r="AE11" i="1"/>
  <c r="AE24" i="1" s="1"/>
  <c r="AE14" i="1"/>
  <c r="AE10" i="1"/>
  <c r="AE23" i="1" s="1"/>
  <c r="AE13" i="1"/>
  <c r="AE17" i="1" s="1"/>
  <c r="AE15" i="1"/>
  <c r="AE19" i="1" s="1"/>
  <c r="AE21" i="1"/>
  <c r="AD18" i="1"/>
  <c r="R12" i="3" l="1"/>
  <c r="R9" i="3"/>
  <c r="R11" i="3" s="1"/>
  <c r="T6" i="3"/>
  <c r="S8" i="3"/>
  <c r="U16" i="2"/>
  <c r="T17" i="2"/>
  <c r="T18" i="2"/>
  <c r="S23" i="2"/>
  <c r="S24" i="2"/>
  <c r="S19" i="2"/>
  <c r="S20" i="2"/>
  <c r="S21" i="2"/>
  <c r="AF14" i="1"/>
  <c r="AF10" i="1"/>
  <c r="AF23" i="1" s="1"/>
  <c r="AF13" i="1"/>
  <c r="AF11" i="1"/>
  <c r="AF24" i="1" s="1"/>
  <c r="AF21" i="1"/>
  <c r="AF15" i="1"/>
  <c r="AF9" i="1"/>
  <c r="AF22" i="1" s="1"/>
  <c r="AG8" i="1"/>
  <c r="AH7" i="1"/>
  <c r="AG12" i="1"/>
  <c r="AE18" i="1"/>
  <c r="AF16" i="1"/>
  <c r="S12" i="3" l="1"/>
  <c r="T12" i="3" s="1"/>
  <c r="J15" i="3" s="1"/>
  <c r="S9" i="3"/>
  <c r="S11" i="3" s="1"/>
  <c r="T11" i="3" s="1"/>
  <c r="J14" i="3" s="1"/>
  <c r="T24" i="2"/>
  <c r="T23" i="2"/>
  <c r="T19" i="2"/>
  <c r="T21" i="2" s="1"/>
  <c r="T20" i="2"/>
  <c r="U6" i="3"/>
  <c r="T8" i="3"/>
  <c r="V16" i="2"/>
  <c r="U18" i="2"/>
  <c r="U17" i="2"/>
  <c r="AF17" i="1"/>
  <c r="AG16" i="1"/>
  <c r="AG13" i="1"/>
  <c r="AG14" i="1"/>
  <c r="AG21" i="1"/>
  <c r="AI21" i="1" s="1"/>
  <c r="AG11" i="1"/>
  <c r="AG24" i="1" s="1"/>
  <c r="AI24" i="1" s="1"/>
  <c r="AG9" i="1"/>
  <c r="AG22" i="1" s="1"/>
  <c r="AI22" i="1" s="1"/>
  <c r="AG10" i="1"/>
  <c r="AG23" i="1" s="1"/>
  <c r="AI23" i="1" s="1"/>
  <c r="AG15" i="1"/>
  <c r="AF19" i="1"/>
  <c r="AH8" i="1"/>
  <c r="AH12" i="1"/>
  <c r="AH16" i="1" s="1"/>
  <c r="AF18" i="1"/>
  <c r="J16" i="3" l="1"/>
  <c r="V6" i="3"/>
  <c r="U8" i="3"/>
  <c r="V18" i="2"/>
  <c r="V17" i="2"/>
  <c r="U23" i="2"/>
  <c r="U24" i="2"/>
  <c r="U19" i="2"/>
  <c r="U21" i="2" s="1"/>
  <c r="T9" i="3"/>
  <c r="AG17" i="1"/>
  <c r="AH9" i="1"/>
  <c r="AH15" i="1"/>
  <c r="AH19" i="1" s="1"/>
  <c r="AH10" i="1"/>
  <c r="AH11" i="1"/>
  <c r="AH13" i="1"/>
  <c r="AH17" i="1" s="1"/>
  <c r="AH14" i="1"/>
  <c r="AG18" i="1"/>
  <c r="AG19" i="1"/>
  <c r="U9" i="3" l="1"/>
  <c r="V23" i="2"/>
  <c r="V24" i="2"/>
  <c r="V19" i="2"/>
  <c r="V20" i="2" s="1"/>
  <c r="V21" i="2"/>
  <c r="W6" i="3"/>
  <c r="V8" i="3"/>
  <c r="U20" i="2"/>
  <c r="AH18" i="1"/>
  <c r="V9" i="3" l="1"/>
  <c r="X6" i="3"/>
  <c r="W8" i="3"/>
  <c r="W9" i="3" l="1"/>
  <c r="Y6" i="3"/>
  <c r="X9" i="3"/>
  <c r="X8" i="3"/>
  <c r="Z6" i="3" l="1"/>
  <c r="Y8" i="3"/>
  <c r="Y9" i="3" l="1"/>
  <c r="Z8" i="3"/>
  <c r="AA6" i="3"/>
  <c r="Z9" i="3" l="1"/>
  <c r="AB6" i="3"/>
  <c r="AA8" i="3"/>
  <c r="AA9" i="3" l="1"/>
  <c r="AC6" i="3"/>
  <c r="AB8" i="3"/>
  <c r="AB9" i="3" l="1"/>
  <c r="AD6" i="3"/>
  <c r="AC8" i="3"/>
  <c r="AC9" i="3" l="1"/>
  <c r="AE6" i="3"/>
  <c r="AD8" i="3"/>
  <c r="AD9" i="3" l="1"/>
  <c r="AF6" i="3"/>
  <c r="AE8" i="3"/>
  <c r="AG6" i="3" l="1"/>
  <c r="AF8" i="3"/>
  <c r="AE9" i="3"/>
  <c r="AF9" i="3" l="1"/>
  <c r="AH6" i="3"/>
  <c r="AG8" i="3"/>
  <c r="AG9" i="3" l="1"/>
  <c r="AI6" i="3"/>
  <c r="AH8" i="3"/>
  <c r="AJ6" i="3" l="1"/>
  <c r="AI8" i="3"/>
  <c r="AH9" i="3"/>
  <c r="AI9" i="3" l="1"/>
  <c r="AK6" i="3"/>
  <c r="AJ8" i="3"/>
  <c r="AJ9" i="3" l="1"/>
  <c r="AL6" i="3"/>
  <c r="AK8" i="3"/>
  <c r="AK9" i="3"/>
  <c r="AM6" i="3" l="1"/>
  <c r="AL8" i="3"/>
  <c r="AL9" i="3" l="1"/>
  <c r="AN6" i="3"/>
  <c r="AM8" i="3"/>
  <c r="AM9" i="3" l="1"/>
  <c r="AO6" i="3"/>
  <c r="AN8" i="3"/>
  <c r="AN9" i="3" l="1"/>
  <c r="AP6" i="3"/>
  <c r="AO8" i="3"/>
  <c r="AO9" i="3" l="1"/>
  <c r="AQ6" i="3"/>
  <c r="AP8" i="3"/>
  <c r="AP9" i="3" l="1"/>
  <c r="AR6" i="3"/>
  <c r="AQ9" i="3"/>
  <c r="AQ8" i="3"/>
  <c r="AS6" i="3" l="1"/>
  <c r="AR8" i="3"/>
  <c r="AR9" i="3" l="1"/>
  <c r="AT6" i="3"/>
  <c r="AS8" i="3"/>
  <c r="AS9" i="3" l="1"/>
  <c r="AU6" i="3"/>
  <c r="AT8" i="3"/>
  <c r="AV6" i="3" l="1"/>
  <c r="AU8" i="3"/>
  <c r="AT9" i="3"/>
  <c r="AU9" i="3" l="1"/>
  <c r="AW6" i="3"/>
  <c r="AV8" i="3"/>
  <c r="AV9" i="3" l="1"/>
  <c r="AX6" i="3"/>
  <c r="AW8" i="3"/>
  <c r="AW9" i="3" l="1"/>
  <c r="AY6" i="3"/>
  <c r="AX8" i="3"/>
  <c r="AX9" i="3" l="1"/>
  <c r="AZ6" i="3"/>
  <c r="AY8" i="3"/>
  <c r="AY9" i="3" l="1"/>
  <c r="BA6" i="3"/>
  <c r="AZ8" i="3"/>
  <c r="AZ9" i="3" l="1"/>
  <c r="BB6" i="3"/>
  <c r="BA8" i="3"/>
  <c r="BA9" i="3" l="1"/>
  <c r="BC6" i="3"/>
  <c r="BB8" i="3"/>
  <c r="BB9" i="3" l="1"/>
  <c r="BC8" i="3"/>
  <c r="BC9" i="3"/>
</calcChain>
</file>

<file path=xl/sharedStrings.xml><?xml version="1.0" encoding="utf-8"?>
<sst xmlns="http://schemas.openxmlformats.org/spreadsheetml/2006/main" count="254" uniqueCount="203">
  <si>
    <t>t</t>
  </si>
  <si>
    <t>sys</t>
  </si>
  <si>
    <t>1+1</t>
  </si>
  <si>
    <t>Tэл</t>
  </si>
  <si>
    <t>1 рез</t>
  </si>
  <si>
    <t>2 рез</t>
  </si>
  <si>
    <t>3 рез</t>
  </si>
  <si>
    <t>пост.рез.</t>
  </si>
  <si>
    <t>m=</t>
  </si>
  <si>
    <t>1-p</t>
  </si>
  <si>
    <t>qc=П qi</t>
  </si>
  <si>
    <t>pc=1-qc</t>
  </si>
  <si>
    <t>m</t>
  </si>
  <si>
    <t>p(200)</t>
  </si>
  <si>
    <t>Pc(200)</t>
  </si>
  <si>
    <t>Qc(200)</t>
  </si>
  <si>
    <t>1-(1-p(200))^2</t>
  </si>
  <si>
    <t>1+1/2</t>
  </si>
  <si>
    <t>…+1/3</t>
  </si>
  <si>
    <t>…+1/4</t>
  </si>
  <si>
    <t>f(t)</t>
  </si>
  <si>
    <t>Двукратное резервирование</t>
  </si>
  <si>
    <t>постоянное, нагруженный</t>
  </si>
  <si>
    <t>1-(1-p(200))^3</t>
  </si>
  <si>
    <t>постоянное</t>
  </si>
  <si>
    <t>нагруженный</t>
  </si>
  <si>
    <t>Трехкратное резервирование</t>
  </si>
  <si>
    <t>Tcp=</t>
  </si>
  <si>
    <t>P(t)</t>
  </si>
  <si>
    <t>P21(t)</t>
  </si>
  <si>
    <t>P31(t)</t>
  </si>
  <si>
    <t>P41(t)</t>
  </si>
  <si>
    <t>1-(1-p(200))^4</t>
  </si>
  <si>
    <t>f21(t)</t>
  </si>
  <si>
    <t>f31(t)</t>
  </si>
  <si>
    <t>f41(t)</t>
  </si>
  <si>
    <t>λ(t)</t>
  </si>
  <si>
    <t>λ21(t)</t>
  </si>
  <si>
    <t>λ31(t)</t>
  </si>
  <si>
    <t>λ41(t)</t>
  </si>
  <si>
    <t>Элемент</t>
  </si>
  <si>
    <t>Система</t>
  </si>
  <si>
    <t>Pc(t)</t>
  </si>
  <si>
    <t>fc(t)</t>
  </si>
  <si>
    <t>λc(t)</t>
  </si>
  <si>
    <t>(ч)</t>
  </si>
  <si>
    <t>эксп</t>
  </si>
  <si>
    <t>Тср</t>
  </si>
  <si>
    <t>Элемент1</t>
  </si>
  <si>
    <t>Элемент2</t>
  </si>
  <si>
    <t>Рэлея</t>
  </si>
  <si>
    <t>λ=1/Tcp</t>
  </si>
  <si>
    <t>1+2</t>
  </si>
  <si>
    <t>1+3</t>
  </si>
  <si>
    <t xml:space="preserve">2) заданы закон распределения и Тср элемента, определить число резервных секций чтобы обеспечить Pc(t*) системы </t>
  </si>
  <si>
    <r>
      <t>p(t*)=exp(-</t>
    </r>
    <r>
      <rPr>
        <sz val="11"/>
        <color indexed="8"/>
        <rFont val="Calibri"/>
        <family val="2"/>
        <charset val="204"/>
      </rPr>
      <t>λt*)</t>
    </r>
  </si>
  <si>
    <t>t*=</t>
  </si>
  <si>
    <t>p(t*)=exp(-λ2t*^2)</t>
  </si>
  <si>
    <r>
      <rPr>
        <sz val="11"/>
        <color indexed="8"/>
        <rFont val="Calibri"/>
        <family val="2"/>
        <charset val="204"/>
      </rPr>
      <t>λ2=</t>
    </r>
    <r>
      <rPr>
        <sz val="11"/>
        <color theme="1"/>
        <rFont val="Calibri"/>
        <family val="2"/>
        <charset val="204"/>
        <scheme val="minor"/>
      </rPr>
      <t>π/4T^2</t>
    </r>
  </si>
  <si>
    <t>если Элемент1</t>
  </si>
  <si>
    <t>если Элемент2</t>
  </si>
  <si>
    <t>1+3рез</t>
  </si>
  <si>
    <t>1+1рез</t>
  </si>
  <si>
    <t>Увеличить t* в 3 раза,  оценить возможность практической реализации такой системы</t>
  </si>
  <si>
    <t>Pc(150)=</t>
  </si>
  <si>
    <t>…</t>
  </si>
  <si>
    <t>задача 2.1 стр.68</t>
  </si>
  <si>
    <t>кратность=?</t>
  </si>
  <si>
    <t>задача 2.2 стр.68</t>
  </si>
  <si>
    <t>Резервирование при экспоненциальном распределении</t>
  </si>
  <si>
    <t>Задача 2.4</t>
  </si>
  <si>
    <t>стр.69</t>
  </si>
  <si>
    <t>a=0</t>
  </si>
  <si>
    <t>b=1000</t>
  </si>
  <si>
    <t>Элемент с равномерным распределением</t>
  </si>
  <si>
    <t>t=0…1000</t>
  </si>
  <si>
    <t>Система 2: всего 9 элементов, из них 3 резервных</t>
  </si>
  <si>
    <t>Система 1: всего 6 элементов, из них 2 резервных</t>
  </si>
  <si>
    <t>p(t)</t>
  </si>
  <si>
    <t>q(t)</t>
  </si>
  <si>
    <t>Формула 2.16.</t>
  </si>
  <si>
    <t>В данной задаче:</t>
  </si>
  <si>
    <t>система 1</t>
  </si>
  <si>
    <t>С60</t>
  </si>
  <si>
    <t>С61</t>
  </si>
  <si>
    <t>С62</t>
  </si>
  <si>
    <t>система2</t>
  </si>
  <si>
    <t>С90</t>
  </si>
  <si>
    <t>С91</t>
  </si>
  <si>
    <t>С92</t>
  </si>
  <si>
    <t>С93</t>
  </si>
  <si>
    <t>Формулы для равномерного распределения</t>
  </si>
  <si>
    <t>p1(t)</t>
  </si>
  <si>
    <t>p2(t)</t>
  </si>
  <si>
    <t>основная подсистема</t>
  </si>
  <si>
    <t>резервная подсистема</t>
  </si>
  <si>
    <t>К-ты</t>
  </si>
  <si>
    <t>Симпсона</t>
  </si>
  <si>
    <t>t(ч)</t>
  </si>
  <si>
    <t>дублирование, λ=const</t>
  </si>
  <si>
    <t>Pc(200)=?</t>
  </si>
  <si>
    <t>Qc(200)=?</t>
  </si>
  <si>
    <t>Tcp=?</t>
  </si>
  <si>
    <r>
      <rPr>
        <sz val="11"/>
        <color indexed="8"/>
        <rFont val="Calibri"/>
        <family val="2"/>
        <charset val="204"/>
      </rPr>
      <t>λ</t>
    </r>
    <r>
      <rPr>
        <sz val="11"/>
        <color theme="1"/>
        <rFont val="Calibri"/>
        <family val="2"/>
        <charset val="204"/>
        <scheme val="minor"/>
      </rPr>
      <t>=?</t>
    </r>
  </si>
  <si>
    <r>
      <t>3/2*</t>
    </r>
    <r>
      <rPr>
        <sz val="11"/>
        <color indexed="8"/>
        <rFont val="Calibri"/>
        <family val="2"/>
        <charset val="204"/>
      </rPr>
      <t>λ</t>
    </r>
  </si>
  <si>
    <r>
      <t>11/6*</t>
    </r>
    <r>
      <rPr>
        <sz val="11"/>
        <color indexed="8"/>
        <rFont val="Calibri"/>
        <family val="2"/>
        <charset val="204"/>
      </rPr>
      <t>λ</t>
    </r>
  </si>
  <si>
    <r>
      <t>?/?*</t>
    </r>
    <r>
      <rPr>
        <sz val="11"/>
        <color indexed="8"/>
        <rFont val="Calibri"/>
        <family val="2"/>
        <charset val="204"/>
      </rPr>
      <t>λ</t>
    </r>
  </si>
  <si>
    <t>λ(1/ч)</t>
  </si>
  <si>
    <t>нужно Tcp с (ч)</t>
  </si>
  <si>
    <t>система</t>
  </si>
  <si>
    <t>&lt;800</t>
  </si>
  <si>
    <t>&gt;800</t>
  </si>
  <si>
    <r>
      <rPr>
        <sz val="11"/>
        <color indexed="8"/>
        <rFont val="Calibri"/>
        <family val="2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1"/>
        <color indexed="8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  <scheme val="minor"/>
      </rPr>
      <t xml:space="preserve"> (1/ч)</t>
    </r>
  </si>
  <si>
    <r>
      <rPr>
        <sz val="11"/>
        <color indexed="8"/>
        <rFont val="Calibri"/>
        <family val="2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1"/>
        <color indexed="8"/>
        <rFont val="Calibri"/>
        <family val="2"/>
        <charset val="204"/>
      </rPr>
      <t xml:space="preserve">1 </t>
    </r>
    <r>
      <rPr>
        <sz val="11"/>
        <color theme="1"/>
        <rFont val="Calibri"/>
        <family val="2"/>
        <charset val="204"/>
        <scheme val="minor"/>
      </rPr>
      <t>(1/ч)</t>
    </r>
  </si>
  <si>
    <r>
      <rPr>
        <sz val="11"/>
        <color indexed="8"/>
        <rFont val="Calibri"/>
        <family val="2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1"/>
        <color indexed="8"/>
        <rFont val="Calibri"/>
        <family val="2"/>
        <charset val="204"/>
      </rPr>
      <t xml:space="preserve">2 </t>
    </r>
    <r>
      <rPr>
        <sz val="11"/>
        <color theme="1"/>
        <rFont val="Calibri"/>
        <family val="2"/>
        <charset val="204"/>
        <scheme val="minor"/>
      </rPr>
      <t>(1/ч)</t>
    </r>
  </si>
  <si>
    <r>
      <rPr>
        <sz val="11"/>
        <color indexed="8"/>
        <rFont val="Calibri"/>
        <family val="2"/>
        <charset val="204"/>
      </rPr>
      <t>λ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vertAlign val="subscript"/>
        <sz val="11"/>
        <color indexed="8"/>
        <rFont val="Calibri"/>
        <family val="2"/>
        <charset val="204"/>
      </rPr>
      <t xml:space="preserve">3 </t>
    </r>
    <r>
      <rPr>
        <sz val="11"/>
        <color theme="1"/>
        <rFont val="Calibri"/>
        <family val="2"/>
        <charset val="204"/>
        <scheme val="minor"/>
      </rPr>
      <t>(1/ч)</t>
    </r>
  </si>
  <si>
    <r>
      <t>p</t>
    </r>
    <r>
      <rPr>
        <vertAlign val="subscript"/>
        <sz val="11"/>
        <color indexed="8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  <scheme val="minor"/>
      </rPr>
      <t>(120)=</t>
    </r>
  </si>
  <si>
    <r>
      <t>p</t>
    </r>
    <r>
      <rPr>
        <vertAlign val="sub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>(120)=</t>
    </r>
  </si>
  <si>
    <r>
      <t>p</t>
    </r>
    <r>
      <rPr>
        <vertAlign val="subscript"/>
        <sz val="11"/>
        <color indexed="8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(120)=</t>
    </r>
  </si>
  <si>
    <r>
      <t>p</t>
    </r>
    <r>
      <rPr>
        <vertAlign val="subscript"/>
        <sz val="11"/>
        <color indexed="8"/>
        <rFont val="Calibri"/>
        <family val="2"/>
        <charset val="204"/>
      </rPr>
      <t>3</t>
    </r>
    <r>
      <rPr>
        <sz val="11"/>
        <color theme="1"/>
        <rFont val="Calibri"/>
        <family val="2"/>
        <charset val="204"/>
        <scheme val="minor"/>
      </rPr>
      <t>(120)=</t>
    </r>
  </si>
  <si>
    <r>
      <t>q</t>
    </r>
    <r>
      <rPr>
        <vertAlign val="subscript"/>
        <sz val="11"/>
        <color indexed="8"/>
        <rFont val="Calibri"/>
        <family val="2"/>
        <charset val="204"/>
      </rPr>
      <t>0</t>
    </r>
    <r>
      <rPr>
        <sz val="11"/>
        <color theme="1"/>
        <rFont val="Calibri"/>
        <family val="2"/>
        <charset val="204"/>
        <scheme val="minor"/>
      </rPr>
      <t>(120)=</t>
    </r>
  </si>
  <si>
    <r>
      <t>q</t>
    </r>
    <r>
      <rPr>
        <vertAlign val="subscript"/>
        <sz val="11"/>
        <color indexed="8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>(120)=</t>
    </r>
  </si>
  <si>
    <r>
      <t>q</t>
    </r>
    <r>
      <rPr>
        <vertAlign val="subscript"/>
        <sz val="11"/>
        <color indexed="8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  <scheme val="minor"/>
      </rPr>
      <t>(120)=</t>
    </r>
  </si>
  <si>
    <r>
      <t>q</t>
    </r>
    <r>
      <rPr>
        <vertAlign val="subscript"/>
        <sz val="11"/>
        <color indexed="8"/>
        <rFont val="Calibri"/>
        <family val="2"/>
        <charset val="204"/>
      </rPr>
      <t>3</t>
    </r>
    <r>
      <rPr>
        <sz val="11"/>
        <color theme="1"/>
        <rFont val="Calibri"/>
        <family val="2"/>
        <charset val="204"/>
        <scheme val="minor"/>
      </rPr>
      <t>(120)=</t>
    </r>
  </si>
  <si>
    <t>m=2</t>
  </si>
  <si>
    <t>m=3</t>
  </si>
  <si>
    <t>m=4</t>
  </si>
  <si>
    <t>Сравнить две системы (постоянное, нагруженное, дробная кратность)</t>
  </si>
  <si>
    <t>n=6</t>
  </si>
  <si>
    <t>n=9</t>
  </si>
  <si>
    <r>
      <t>P</t>
    </r>
    <r>
      <rPr>
        <vertAlign val="subscript"/>
        <sz val="11"/>
        <color indexed="8"/>
        <rFont val="Calibri"/>
        <family val="2"/>
        <charset val="204"/>
      </rPr>
      <t>c1</t>
    </r>
    <r>
      <rPr>
        <sz val="11"/>
        <color theme="1"/>
        <rFont val="Calibri"/>
        <family val="2"/>
        <charset val="204"/>
        <scheme val="minor"/>
      </rPr>
      <t>(t)</t>
    </r>
  </si>
  <si>
    <r>
      <t>P</t>
    </r>
    <r>
      <rPr>
        <vertAlign val="subscript"/>
        <sz val="11"/>
        <color indexed="8"/>
        <rFont val="Calibri"/>
        <family val="2"/>
        <charset val="204"/>
      </rPr>
      <t>c2</t>
    </r>
    <r>
      <rPr>
        <sz val="11"/>
        <color theme="1"/>
        <rFont val="Calibri"/>
        <family val="2"/>
        <charset val="204"/>
        <scheme val="minor"/>
      </rPr>
      <t>(t)</t>
    </r>
  </si>
  <si>
    <t>4 осн.эл.</t>
  </si>
  <si>
    <t>6 осн. Эл</t>
  </si>
  <si>
    <t>С1: биномрасп()</t>
  </si>
  <si>
    <t>С2: биномрасп()</t>
  </si>
  <si>
    <t>элемент</t>
  </si>
  <si>
    <t>Постоянно включенный резерв</t>
  </si>
  <si>
    <t>Задача 2.18 стр.71 по вариантам</t>
  </si>
  <si>
    <t>одинаковые элементы</t>
  </si>
  <si>
    <t>задача 2.3 стр.68</t>
  </si>
  <si>
    <t>разные элементы (exp)</t>
  </si>
  <si>
    <t>осн.+3рез</t>
  </si>
  <si>
    <r>
      <t>e</t>
    </r>
    <r>
      <rPr>
        <vertAlign val="superscript"/>
        <sz val="11"/>
        <color indexed="8"/>
        <rFont val="Calibri"/>
        <family val="2"/>
        <charset val="204"/>
      </rPr>
      <t>-λ*t</t>
    </r>
  </si>
  <si>
    <r>
      <t>exp(-λ</t>
    </r>
    <r>
      <rPr>
        <vertAlign val="subscript"/>
        <sz val="11"/>
        <color indexed="8"/>
        <rFont val="Calibri"/>
        <family val="2"/>
        <charset val="204"/>
      </rPr>
      <t>0</t>
    </r>
    <r>
      <rPr>
        <sz val="11"/>
        <color indexed="8"/>
        <rFont val="Calibri"/>
        <family val="2"/>
        <charset val="204"/>
      </rPr>
      <t>t)</t>
    </r>
  </si>
  <si>
    <r>
      <t>exp(-λ</t>
    </r>
    <r>
      <rPr>
        <vertAlign val="subscript"/>
        <sz val="11"/>
        <color indexed="8"/>
        <rFont val="Calibri"/>
        <family val="2"/>
        <charset val="204"/>
      </rPr>
      <t>1</t>
    </r>
    <r>
      <rPr>
        <sz val="11"/>
        <color indexed="8"/>
        <rFont val="Calibri"/>
        <family val="2"/>
        <charset val="204"/>
      </rPr>
      <t>t)</t>
    </r>
  </si>
  <si>
    <r>
      <t>exp(-λ</t>
    </r>
    <r>
      <rPr>
        <vertAlign val="subscript"/>
        <sz val="11"/>
        <color indexed="8"/>
        <rFont val="Calibri"/>
        <family val="2"/>
        <charset val="204"/>
      </rPr>
      <t>2</t>
    </r>
    <r>
      <rPr>
        <sz val="11"/>
        <color indexed="8"/>
        <rFont val="Calibri"/>
        <family val="2"/>
        <charset val="204"/>
      </rPr>
      <t>t)</t>
    </r>
  </si>
  <si>
    <r>
      <t>exp(-λ</t>
    </r>
    <r>
      <rPr>
        <vertAlign val="subscript"/>
        <sz val="11"/>
        <color indexed="8"/>
        <rFont val="Calibri"/>
        <family val="2"/>
        <charset val="204"/>
      </rPr>
      <t>3</t>
    </r>
    <r>
      <rPr>
        <sz val="11"/>
        <color indexed="8"/>
        <rFont val="Calibri"/>
        <family val="2"/>
        <charset val="204"/>
      </rPr>
      <t>t)</t>
    </r>
  </si>
  <si>
    <t xml:space="preserve">Определить кратность резервирования </t>
  </si>
  <si>
    <t xml:space="preserve">1)для некоторого t *заданы  p(t*)  элемента и желаемая Pc(t*). Определить число резервных секций чтобы обеспечить Pc(t*) </t>
  </si>
  <si>
    <t>m резервных</t>
  </si>
  <si>
    <t>m+1</t>
  </si>
  <si>
    <t>Равнонадежные неэкспоненциальные</t>
  </si>
  <si>
    <t>Вейбулла</t>
  </si>
  <si>
    <r>
      <rPr>
        <sz val="11"/>
        <color theme="1"/>
        <rFont val="Calibri"/>
        <family val="2"/>
        <charset val="204"/>
        <scheme val="minor"/>
      </rPr>
      <t>λ</t>
    </r>
    <r>
      <rPr>
        <sz val="11.65"/>
        <color indexed="8"/>
        <rFont val="Calibri"/>
        <family val="2"/>
        <charset val="204"/>
      </rPr>
      <t>21</t>
    </r>
  </si>
  <si>
    <r>
      <t>λ3</t>
    </r>
    <r>
      <rPr>
        <sz val="11.65"/>
        <color indexed="8"/>
        <rFont val="Calibri"/>
        <family val="2"/>
        <charset val="204"/>
      </rPr>
      <t>1</t>
    </r>
  </si>
  <si>
    <t>λ</t>
  </si>
  <si>
    <t>сравнить со значениями в строках 20,21</t>
  </si>
  <si>
    <t>kp(t)</t>
  </si>
  <si>
    <t>kP21(t)</t>
  </si>
  <si>
    <t>kP31(t)</t>
  </si>
  <si>
    <t>k</t>
  </si>
  <si>
    <t xml:space="preserve"> </t>
  </si>
  <si>
    <t>kp21()</t>
  </si>
  <si>
    <t>kp31(t)</t>
  </si>
  <si>
    <t>kp41(t)</t>
  </si>
  <si>
    <t>α</t>
  </si>
  <si>
    <t>β</t>
  </si>
  <si>
    <t>T</t>
  </si>
  <si>
    <t>a</t>
  </si>
  <si>
    <t>b</t>
  </si>
  <si>
    <t>n</t>
  </si>
  <si>
    <t>Exp</t>
  </si>
  <si>
    <t>h</t>
  </si>
  <si>
    <t>ч</t>
  </si>
  <si>
    <t>Среднее время безотказной работы с резерв.</t>
  </si>
  <si>
    <t>Симпсона p1</t>
  </si>
  <si>
    <t>Среднее время безотказной работы без резерв.</t>
  </si>
  <si>
    <t>Выигрыш</t>
  </si>
  <si>
    <t>Задача 1</t>
  </si>
  <si>
    <t>Tср.</t>
  </si>
  <si>
    <t xml:space="preserve">вероятность безотказной работы в течении: </t>
  </si>
  <si>
    <t>наработка</t>
  </si>
  <si>
    <t>среднее время безотказной работы (приближенная формула)</t>
  </si>
  <si>
    <t>Задача 2</t>
  </si>
  <si>
    <t>at (1/ч)</t>
  </si>
  <si>
    <t>λ(t)=</t>
  </si>
  <si>
    <r>
      <t>t</t>
    </r>
    <r>
      <rPr>
        <sz val="8"/>
        <color theme="1"/>
        <rFont val="Calibri"/>
        <family val="2"/>
        <charset val="204"/>
      </rPr>
      <t>1</t>
    </r>
  </si>
  <si>
    <r>
      <t>t</t>
    </r>
    <r>
      <rPr>
        <sz val="8"/>
        <color theme="1"/>
        <rFont val="Calibri"/>
        <family val="2"/>
        <charset val="204"/>
      </rPr>
      <t>2</t>
    </r>
  </si>
  <si>
    <t>Tср</t>
  </si>
  <si>
    <t>Вероятность безотказной работы в течение Tср</t>
  </si>
  <si>
    <t>Вероятность безотказной работы на (t1;t2)</t>
  </si>
  <si>
    <t>Без резерва (4 элемента)</t>
  </si>
  <si>
    <t>Формула (2.16)</t>
  </si>
  <si>
    <t>БИНОМ-РАСП()</t>
  </si>
  <si>
    <t>Без резерва     (6 элементов)</t>
  </si>
  <si>
    <t xml:space="preserve">Формула (2.16) </t>
  </si>
  <si>
    <t>p(t) (элемента)</t>
  </si>
  <si>
    <r>
      <t>Система_1</t>
    </r>
    <r>
      <rPr>
        <b/>
        <sz val="11"/>
        <color theme="1"/>
        <rFont val="Calibri"/>
        <family val="2"/>
        <charset val="204"/>
        <scheme val="minor"/>
      </rPr>
      <t xml:space="preserve">  (6,2)    Pc(t)</t>
    </r>
  </si>
  <si>
    <r>
      <t>Система_2</t>
    </r>
    <r>
      <rPr>
        <b/>
        <sz val="11"/>
        <color theme="1"/>
        <rFont val="Calibri"/>
        <family val="2"/>
        <charset val="204"/>
        <scheme val="minor"/>
      </rPr>
      <t xml:space="preserve">  (9,3)    Pc(t)</t>
    </r>
  </si>
  <si>
    <t>Можно "доверять" рекомендации на стр.55</t>
  </si>
  <si>
    <t>Вариант 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</si>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</sst>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0000"/>
    <numFmt numFmtId="167" formatCode="0.0"/>
    <numFmt numFmtId="168" formatCode="0.000000"/>
    <numFmt numFmtId="169" formatCode="0.00000"/>
  </numFmts>
  <fonts count="10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vertAlign val="subscript"/>
      <sz val="11"/>
      <color indexed="8"/>
      <name val="Calibri"/>
      <family val="2"/>
      <charset val="204"/>
    </font>
    <font>
      <sz val="11.65"/>
      <color indexed="8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thick">
        <color theme="9" tint="-0.24994659260841701"/>
      </top>
      <bottom/>
      <diagonal/>
    </border>
    <border>
      <left/>
      <right/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rgb="FF00B050"/>
      </left>
      <right style="medium">
        <color theme="8" tint="-0.24994659260841701"/>
      </right>
      <top style="medium">
        <color rgb="FF00B050"/>
      </top>
      <bottom style="medium">
        <color theme="8" tint="-0.24994659260841701"/>
      </bottom>
      <diagonal/>
    </border>
    <border>
      <left style="medium">
        <color rgb="FF00B050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 style="medium">
        <color theme="8" tint="-0.24994659260841701"/>
      </left>
      <right/>
      <top style="medium">
        <color rgb="FF00B050"/>
      </top>
      <bottom style="medium">
        <color theme="8" tint="-0.24994659260841701"/>
      </bottom>
      <diagonal/>
    </border>
    <border>
      <left style="medium">
        <color theme="8" tint="-0.24994659260841701"/>
      </left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/>
      <bottom/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9" tint="-0.24994659260841701"/>
      </top>
      <bottom style="thick">
        <color theme="0" tint="-0.49998474074526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theme="7" tint="-0.24994659260841701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theme="7" tint="-0.24994659260841701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theme="7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rgb="FF00B0F0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2" borderId="10" xfId="0" applyFill="1" applyBorder="1"/>
    <xf numFmtId="0" fontId="0" fillId="3" borderId="11" xfId="0" applyFill="1" applyBorder="1"/>
    <xf numFmtId="1" fontId="0" fillId="2" borderId="10" xfId="0" applyNumberFormat="1" applyFill="1" applyBorder="1"/>
    <xf numFmtId="0" fontId="0" fillId="3" borderId="12" xfId="0" applyFill="1" applyBorder="1"/>
    <xf numFmtId="166" fontId="0" fillId="2" borderId="10" xfId="0" applyNumberForma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164" fontId="0" fillId="3" borderId="15" xfId="0" applyNumberFormat="1" applyFill="1" applyBorder="1" applyAlignment="1">
      <alignment horizontal="left"/>
    </xf>
    <xf numFmtId="0" fontId="0" fillId="0" borderId="16" xfId="0" applyBorder="1"/>
    <xf numFmtId="165" fontId="0" fillId="3" borderId="17" xfId="0" applyNumberFormat="1" applyFill="1" applyBorder="1" applyAlignment="1">
      <alignment horizontal="left" indent="1"/>
    </xf>
    <xf numFmtId="164" fontId="0" fillId="3" borderId="18" xfId="0" applyNumberFormat="1" applyFill="1" applyBorder="1" applyAlignment="1">
      <alignment horizontal="left"/>
    </xf>
    <xf numFmtId="0" fontId="0" fillId="4" borderId="19" xfId="0" applyFill="1" applyBorder="1"/>
    <xf numFmtId="0" fontId="0" fillId="5" borderId="0" xfId="0" applyFill="1"/>
    <xf numFmtId="0" fontId="0" fillId="6" borderId="0" xfId="0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0" xfId="0" applyFill="1"/>
    <xf numFmtId="0" fontId="0" fillId="0" borderId="23" xfId="0" applyBorder="1"/>
    <xf numFmtId="0" fontId="0" fillId="7" borderId="0" xfId="0" applyFill="1"/>
    <xf numFmtId="16" fontId="0" fillId="0" borderId="0" xfId="0" applyNumberFormat="1"/>
    <xf numFmtId="168" fontId="0" fillId="0" borderId="0" xfId="0" applyNumberFormat="1"/>
    <xf numFmtId="0" fontId="0" fillId="3" borderId="15" xfId="0" applyFill="1" applyBorder="1"/>
    <xf numFmtId="49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8" borderId="2" xfId="0" applyFill="1" applyBorder="1"/>
    <xf numFmtId="0" fontId="0" fillId="8" borderId="3" xfId="0" applyFill="1" applyBorder="1"/>
    <xf numFmtId="165" fontId="0" fillId="8" borderId="3" xfId="0" applyNumberFormat="1" applyFill="1" applyBorder="1" applyAlignment="1">
      <alignment horizontal="left" indent="1"/>
    </xf>
    <xf numFmtId="1" fontId="0" fillId="0" borderId="4" xfId="0" applyNumberFormat="1" applyBorder="1"/>
    <xf numFmtId="0" fontId="0" fillId="9" borderId="10" xfId="0" applyFill="1" applyBorder="1"/>
    <xf numFmtId="1" fontId="0" fillId="0" borderId="24" xfId="0" applyNumberFormat="1" applyBorder="1"/>
    <xf numFmtId="165" fontId="0" fillId="8" borderId="0" xfId="0" applyNumberFormat="1" applyFill="1" applyAlignment="1">
      <alignment horizontal="left" indent="1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/>
    </xf>
    <xf numFmtId="0" fontId="0" fillId="3" borderId="25" xfId="0" applyFill="1" applyBorder="1"/>
    <xf numFmtId="0" fontId="0" fillId="3" borderId="25" xfId="0" applyFill="1" applyBorder="1" applyAlignment="1">
      <alignment horizontal="center"/>
    </xf>
    <xf numFmtId="0" fontId="0" fillId="3" borderId="25" xfId="0" applyFill="1" applyBorder="1" applyAlignment="1">
      <alignment horizontal="left"/>
    </xf>
    <xf numFmtId="164" fontId="0" fillId="3" borderId="25" xfId="0" applyNumberFormat="1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26" xfId="0" applyFill="1" applyBorder="1"/>
    <xf numFmtId="0" fontId="0" fillId="4" borderId="10" xfId="0" applyFill="1" applyBorder="1"/>
    <xf numFmtId="1" fontId="0" fillId="4" borderId="10" xfId="0" applyNumberFormat="1" applyFill="1" applyBorder="1"/>
    <xf numFmtId="0" fontId="0" fillId="10" borderId="0" xfId="0" applyFill="1"/>
    <xf numFmtId="0" fontId="0" fillId="8" borderId="0" xfId="0" applyFill="1"/>
    <xf numFmtId="0" fontId="5" fillId="0" borderId="0" xfId="0" applyFo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/>
    </xf>
    <xf numFmtId="0" fontId="0" fillId="11" borderId="0" xfId="0" applyFill="1"/>
    <xf numFmtId="164" fontId="0" fillId="0" borderId="0" xfId="0" applyNumberFormat="1" applyAlignment="1">
      <alignment horizontal="center"/>
    </xf>
    <xf numFmtId="0" fontId="0" fillId="0" borderId="27" xfId="0" applyBorder="1"/>
    <xf numFmtId="0" fontId="0" fillId="12" borderId="27" xfId="0" applyFill="1" applyBorder="1" applyAlignment="1">
      <alignment horizontal="center"/>
    </xf>
    <xf numFmtId="0" fontId="0" fillId="0" borderId="28" xfId="0" applyBorder="1"/>
    <xf numFmtId="0" fontId="0" fillId="13" borderId="28" xfId="0" applyFill="1" applyBorder="1" applyAlignment="1">
      <alignment horizontal="center"/>
    </xf>
    <xf numFmtId="0" fontId="0" fillId="4" borderId="29" xfId="0" applyFill="1" applyBorder="1"/>
    <xf numFmtId="0" fontId="0" fillId="4" borderId="30" xfId="0" applyFill="1" applyBorder="1"/>
    <xf numFmtId="0" fontId="0" fillId="4" borderId="23" xfId="0" applyFill="1" applyBorder="1"/>
    <xf numFmtId="0" fontId="0" fillId="4" borderId="30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13" borderId="0" xfId="0" applyFill="1"/>
    <xf numFmtId="0" fontId="6" fillId="8" borderId="0" xfId="0" applyFont="1" applyFill="1"/>
    <xf numFmtId="0" fontId="0" fillId="0" borderId="29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15" borderId="0" xfId="0" applyFill="1"/>
    <xf numFmtId="0" fontId="0" fillId="16" borderId="31" xfId="0" applyFill="1" applyBorder="1"/>
    <xf numFmtId="0" fontId="0" fillId="11" borderId="32" xfId="0" applyFill="1" applyBorder="1" applyAlignment="1">
      <alignment horizontal="right"/>
    </xf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5" fillId="17" borderId="33" xfId="0" applyFont="1" applyFill="1" applyBorder="1"/>
    <xf numFmtId="0" fontId="0" fillId="17" borderId="33" xfId="0" applyFill="1" applyBorder="1"/>
    <xf numFmtId="0" fontId="0" fillId="17" borderId="34" xfId="0" applyFill="1" applyBorder="1"/>
    <xf numFmtId="0" fontId="0" fillId="17" borderId="33" xfId="0" applyFill="1" applyBorder="1" applyAlignment="1">
      <alignment horizontal="right"/>
    </xf>
    <xf numFmtId="0" fontId="0" fillId="17" borderId="33" xfId="0" applyFill="1" applyBorder="1" applyAlignment="1">
      <alignment horizontal="left"/>
    </xf>
    <xf numFmtId="0" fontId="0" fillId="17" borderId="33" xfId="0" applyFill="1" applyBorder="1" applyAlignment="1">
      <alignment horizontal="center"/>
    </xf>
    <xf numFmtId="0" fontId="0" fillId="17" borderId="35" xfId="0" applyFill="1" applyBorder="1" applyAlignment="1">
      <alignment horizontal="right"/>
    </xf>
    <xf numFmtId="0" fontId="0" fillId="17" borderId="36" xfId="0" applyFill="1" applyBorder="1" applyAlignment="1">
      <alignment horizontal="left"/>
    </xf>
    <xf numFmtId="0" fontId="0" fillId="17" borderId="37" xfId="0" applyFill="1" applyBorder="1" applyAlignment="1">
      <alignment horizontal="left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4" borderId="42" xfId="0" applyFill="1" applyBorder="1" applyAlignment="1">
      <alignment horizontal="right"/>
    </xf>
    <xf numFmtId="0" fontId="0" fillId="4" borderId="43" xfId="0" applyFill="1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5" borderId="2" xfId="0" applyFill="1" applyBorder="1"/>
    <xf numFmtId="16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18" borderId="0" xfId="0" applyNumberFormat="1" applyFill="1"/>
    <xf numFmtId="1" fontId="0" fillId="0" borderId="1" xfId="0" applyNumberFormat="1" applyBorder="1"/>
    <xf numFmtId="2" fontId="0" fillId="19" borderId="0" xfId="0" applyNumberFormat="1" applyFill="1"/>
    <xf numFmtId="167" fontId="0" fillId="0" borderId="1" xfId="0" applyNumberFormat="1" applyBorder="1"/>
    <xf numFmtId="2" fontId="0" fillId="0" borderId="1" xfId="0" applyNumberFormat="1" applyBorder="1"/>
    <xf numFmtId="164" fontId="0" fillId="0" borderId="0" xfId="0" applyNumberFormat="1"/>
    <xf numFmtId="0" fontId="0" fillId="0" borderId="49" xfId="0" applyBorder="1" applyAlignment="1">
      <alignment vertical="center" wrapText="1"/>
    </xf>
    <xf numFmtId="169" fontId="0" fillId="0" borderId="49" xfId="0" applyNumberFormat="1" applyBorder="1" applyAlignment="1">
      <alignment vertical="center" wrapText="1"/>
    </xf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167" fontId="0" fillId="21" borderId="0" xfId="0" applyNumberFormat="1" applyFill="1"/>
    <xf numFmtId="165" fontId="0" fillId="18" borderId="0" xfId="0" applyNumberFormat="1" applyFill="1"/>
    <xf numFmtId="164" fontId="0" fillId="18" borderId="0" xfId="0" applyNumberFormat="1" applyFill="1"/>
    <xf numFmtId="0" fontId="0" fillId="18" borderId="46" xfId="0" applyFill="1" applyBorder="1" applyAlignment="1">
      <alignment vertical="center" wrapText="1"/>
    </xf>
    <xf numFmtId="0" fontId="0" fillId="16" borderId="49" xfId="0" applyFill="1" applyBorder="1" applyAlignment="1">
      <alignment vertical="center" wrapText="1"/>
    </xf>
    <xf numFmtId="0" fontId="0" fillId="18" borderId="49" xfId="0" applyFill="1" applyBorder="1" applyAlignment="1">
      <alignment vertical="center" wrapText="1"/>
    </xf>
    <xf numFmtId="0" fontId="0" fillId="0" borderId="0" xfId="0"/>
    <xf numFmtId="16" fontId="5" fillId="15" borderId="0" xfId="0" applyNumberFormat="1" applyFont="1" applyFill="1"/>
    <xf numFmtId="16" fontId="0" fillId="15" borderId="0" xfId="0" applyNumberFormat="1" applyFill="1"/>
    <xf numFmtId="0" fontId="0" fillId="10" borderId="0" xfId="0" applyFill="1"/>
    <xf numFmtId="0" fontId="0" fillId="15" borderId="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16" fontId="0" fillId="10" borderId="0" xfId="0" applyNumberFormat="1" applyFill="1"/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52" xfId="0" applyFill="1" applyBorder="1" applyAlignment="1">
      <alignment horizontal="center" wrapText="1"/>
    </xf>
    <xf numFmtId="0" fontId="0" fillId="6" borderId="50" xfId="0" applyFill="1" applyBorder="1" applyAlignment="1">
      <alignment horizontal="center" wrapText="1"/>
    </xf>
    <xf numFmtId="0" fontId="0" fillId="6" borderId="47" xfId="0" applyFill="1" applyBorder="1" applyAlignment="1">
      <alignment horizontal="center" wrapText="1"/>
    </xf>
    <xf numFmtId="0" fontId="0" fillId="6" borderId="54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48" xfId="0" applyFill="1" applyBorder="1" applyAlignment="1">
      <alignment horizontal="center" wrapText="1"/>
    </xf>
    <xf numFmtId="0" fontId="0" fillId="6" borderId="53" xfId="0" applyFill="1" applyBorder="1" applyAlignment="1">
      <alignment horizontal="center" wrapText="1"/>
    </xf>
    <xf numFmtId="0" fontId="0" fillId="6" borderId="51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22" borderId="44" xfId="0" applyFill="1" applyBorder="1" applyAlignment="1">
      <alignment vertical="center" wrapText="1"/>
    </xf>
    <xf numFmtId="0" fontId="0" fillId="22" borderId="45" xfId="0" applyFill="1" applyBorder="1" applyAlignment="1">
      <alignment vertical="center" wrapText="1"/>
    </xf>
    <xf numFmtId="0" fontId="0" fillId="22" borderId="46" xfId="0" applyFill="1" applyBorder="1" applyAlignment="1">
      <alignment vertical="center" wrapText="1"/>
    </xf>
    <xf numFmtId="0" fontId="9" fillId="22" borderId="52" xfId="0" applyFont="1" applyFill="1" applyBorder="1" applyAlignment="1">
      <alignment vertical="center" wrapText="1"/>
    </xf>
    <xf numFmtId="0" fontId="9" fillId="22" borderId="50" xfId="0" applyFont="1" applyFill="1" applyBorder="1" applyAlignment="1">
      <alignment vertical="center" wrapText="1"/>
    </xf>
    <xf numFmtId="0" fontId="9" fillId="22" borderId="47" xfId="0" applyFont="1" applyFill="1" applyBorder="1" applyAlignment="1">
      <alignment vertical="center" wrapText="1"/>
    </xf>
    <xf numFmtId="0" fontId="9" fillId="22" borderId="53" xfId="0" applyFont="1" applyFill="1" applyBorder="1" applyAlignment="1">
      <alignment vertical="center" wrapText="1"/>
    </xf>
    <xf numFmtId="0" fontId="9" fillId="22" borderId="51" xfId="0" applyFont="1" applyFill="1" applyBorder="1" applyAlignment="1">
      <alignment vertical="center" wrapText="1"/>
    </xf>
    <xf numFmtId="0" fontId="9" fillId="22" borderId="49" xfId="0" applyFont="1" applyFill="1" applyBorder="1" applyAlignment="1">
      <alignment vertical="center" wrapText="1"/>
    </xf>
    <xf numFmtId="0" fontId="0" fillId="22" borderId="44" xfId="0" applyFill="1" applyBorder="1" applyAlignment="1">
      <alignment horizontal="center" vertical="center" wrapText="1"/>
    </xf>
    <xf numFmtId="0" fontId="0" fillId="22" borderId="45" xfId="0" applyFill="1" applyBorder="1" applyAlignment="1">
      <alignment horizontal="center" vertical="center" wrapText="1"/>
    </xf>
    <xf numFmtId="0" fontId="0" fillId="22" borderId="46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2" borderId="1" xfId="0" applyFill="1" applyBorder="1" applyAlignment="1">
      <alignment horizontal="center"/>
    </xf>
    <xf numFmtId="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8573658022476923E-2"/>
          <c:y val="5.1400554097404488E-2"/>
          <c:w val="0.71618176106365083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Нагр!$M$8</c:f>
              <c:strCache>
                <c:ptCount val="1"/>
                <c:pt idx="0">
                  <c:v>P(t)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Нагр!$N$8:$AH$8</c:f>
              <c:numCache>
                <c:formatCode>General</c:formatCode>
                <c:ptCount val="21"/>
                <c:pt idx="0">
                  <c:v>1</c:v>
                </c:pt>
                <c:pt idx="1">
                  <c:v>0.75659328720254071</c:v>
                </c:pt>
                <c:pt idx="2">
                  <c:v>0.57243340223994621</c:v>
                </c:pt>
                <c:pt idx="3">
                  <c:v>0.43309926950525512</c:v>
                </c:pt>
                <c:pt idx="4">
                  <c:v>0.32768000000000008</c:v>
                </c:pt>
                <c:pt idx="5">
                  <c:v>0.2479204883505286</c:v>
                </c:pt>
                <c:pt idx="6">
                  <c:v>0.1875749772459856</c:v>
                </c:pt>
                <c:pt idx="7">
                  <c:v>0.14191796863148209</c:v>
                </c:pt>
                <c:pt idx="8">
                  <c:v>0.10737418240000007</c:v>
                </c:pt>
                <c:pt idx="9">
                  <c:v>8.1238585622701254E-2</c:v>
                </c:pt>
                <c:pt idx="10">
                  <c:v>6.1464568543964648E-2</c:v>
                </c:pt>
                <c:pt idx="11">
                  <c:v>4.6503679961164002E-2</c:v>
                </c:pt>
                <c:pt idx="12">
                  <c:v>3.5184372088832072E-2</c:v>
                </c:pt>
                <c:pt idx="13">
                  <c:v>2.6620259736846785E-2</c:v>
                </c:pt>
                <c:pt idx="14">
                  <c:v>2.0140709820486324E-2</c:v>
                </c:pt>
                <c:pt idx="15">
                  <c:v>1.5238325849674217E-2</c:v>
                </c:pt>
                <c:pt idx="16">
                  <c:v>1.1529215046068519E-2</c:v>
                </c:pt>
                <c:pt idx="17">
                  <c:v>8.7229267105699559E-3</c:v>
                </c:pt>
                <c:pt idx="18">
                  <c:v>6.5997077939770055E-3</c:v>
                </c:pt>
                <c:pt idx="19">
                  <c:v>4.9932946144212176E-3</c:v>
                </c:pt>
                <c:pt idx="20">
                  <c:v>3.7778931862957332E-3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51-4530-A2C9-4CE2DE7B8D04}"/>
            </c:ext>
          </c:extLst>
        </c:ser>
        <c:ser>
          <c:idx val="1"/>
          <c:order val="1"/>
          <c:tx>
            <c:strRef>
              <c:f>Нагр!$M$9</c:f>
              <c:strCache>
                <c:ptCount val="1"/>
                <c:pt idx="0">
                  <c:v>P21(t)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Нагр!$N$9:$AH$9</c:f>
              <c:numCache>
                <c:formatCode>General</c:formatCode>
                <c:ptCount val="21"/>
                <c:pt idx="0">
                  <c:v>1</c:v>
                </c:pt>
                <c:pt idx="1">
                  <c:v>0.94075317216513521</c:v>
                </c:pt>
                <c:pt idx="2">
                  <c:v>0.81718680447989234</c:v>
                </c:pt>
                <c:pt idx="3">
                  <c:v>0.67862356176452465</c:v>
                </c:pt>
                <c:pt idx="4">
                  <c:v>0.54798581760000009</c:v>
                </c:pt>
                <c:pt idx="5">
                  <c:v>0.43437640815709266</c:v>
                </c:pt>
                <c:pt idx="6">
                  <c:v>0.33996558240313923</c:v>
                </c:pt>
                <c:pt idx="7">
                  <c:v>0.26369522744247786</c:v>
                </c:pt>
                <c:pt idx="8">
                  <c:v>0.20321914975393163</c:v>
                </c:pt>
                <c:pt idx="9">
                  <c:v>0.1558774634514255</c:v>
                </c:pt>
                <c:pt idx="10">
                  <c:v>0.11915124390163356</c:v>
                </c:pt>
                <c:pt idx="11">
                  <c:v>9.0844767672397686E-2</c:v>
                </c:pt>
                <c:pt idx="12">
                  <c:v>6.9130804138378799E-2</c:v>
                </c:pt>
                <c:pt idx="13">
                  <c:v>5.2531881245236334E-2</c:v>
                </c:pt>
                <c:pt idx="14">
                  <c:v>3.9875771448899644E-2</c:v>
                </c:pt>
                <c:pt idx="15">
                  <c:v>3.0244445124647634E-2</c:v>
                </c:pt>
                <c:pt idx="16">
                  <c:v>2.29255072925586E-2</c:v>
                </c:pt>
                <c:pt idx="17">
                  <c:v>1.7369763970741969E-2</c:v>
                </c:pt>
                <c:pt idx="18">
                  <c:v>1.3155859444988094E-2</c:v>
                </c:pt>
                <c:pt idx="19">
                  <c:v>9.9616562377360385E-3</c:v>
                </c:pt>
                <c:pt idx="20">
                  <c:v>7.5415138956643757E-3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51-4530-A2C9-4CE2DE7B8D04}"/>
            </c:ext>
          </c:extLst>
        </c:ser>
        <c:ser>
          <c:idx val="2"/>
          <c:order val="2"/>
          <c:tx>
            <c:strRef>
              <c:f>Нагр!$M$10</c:f>
              <c:strCache>
                <c:ptCount val="1"/>
                <c:pt idx="0">
                  <c:v>P31(t)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Нагр!$N$10:$AH$10</c:f>
              <c:numCache>
                <c:formatCode>General</c:formatCode>
                <c:ptCount val="21"/>
                <c:pt idx="0">
                  <c:v>1</c:v>
                </c:pt>
                <c:pt idx="1">
                  <c:v>0.98557892439303851</c:v>
                </c:pt>
                <c:pt idx="2">
                  <c:v>0.92183518396582409</c:v>
                </c:pt>
                <c:pt idx="3">
                  <c:v>0.81781146240050973</c:v>
                </c:pt>
                <c:pt idx="4">
                  <c:v>0.6961018248888321</c:v>
                </c:pt>
                <c:pt idx="5">
                  <c:v>0.5746060852693663</c:v>
                </c:pt>
                <c:pt idx="6">
                  <c:v>0.4637715232654378</c:v>
                </c:pt>
                <c:pt idx="7">
                  <c:v>0.36819010505750682</c:v>
                </c:pt>
                <c:pt idx="8">
                  <c:v>0.28877284210108012</c:v>
                </c:pt>
                <c:pt idx="9">
                  <c:v>0.22445278441287864</c:v>
                </c:pt>
                <c:pt idx="10">
                  <c:v>0.17329223264770766</c:v>
                </c:pt>
                <c:pt idx="11">
                  <c:v>0.13312383163157826</c:v>
                </c:pt>
                <c:pt idx="12">
                  <c:v>0.10188285229160599</c:v>
                </c:pt>
                <c:pt idx="13">
                  <c:v>7.7753728658869758E-2</c:v>
                </c:pt>
                <c:pt idx="14">
                  <c:v>5.9213354927765693E-2</c:v>
                </c:pt>
                <c:pt idx="15">
                  <c:v>4.5021896264369921E-2</c:v>
                </c:pt>
                <c:pt idx="16">
                  <c:v>3.4190409235011043E-2</c:v>
                </c:pt>
                <c:pt idx="17">
                  <c:v>2.5941175503215286E-2</c:v>
                </c:pt>
                <c:pt idx="18">
                  <c:v>1.9668742410849593E-2</c:v>
                </c:pt>
                <c:pt idx="19">
                  <c:v>1.4905209367714667E-2</c:v>
                </c:pt>
                <c:pt idx="20">
                  <c:v>1.1290916047999366E-2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51-4530-A2C9-4CE2DE7B8D04}"/>
            </c:ext>
          </c:extLst>
        </c:ser>
        <c:ser>
          <c:idx val="3"/>
          <c:order val="3"/>
          <c:tx>
            <c:strRef>
              <c:f>Нагр!$M$11</c:f>
              <c:strCache>
                <c:ptCount val="1"/>
                <c:pt idx="0">
                  <c:v>P41(t)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Нагр!$N$11:$AH$11</c:f>
              <c:numCache>
                <c:formatCode>General</c:formatCode>
                <c:ptCount val="21"/>
                <c:pt idx="0">
                  <c:v>1</c:v>
                </c:pt>
                <c:pt idx="1">
                  <c:v>0.99648981339150589</c:v>
                </c:pt>
                <c:pt idx="2">
                  <c:v>0.96657933554372688</c:v>
                </c:pt>
                <c:pt idx="3">
                  <c:v>0.89671718494707964</c:v>
                </c:pt>
                <c:pt idx="4">
                  <c:v>0.79568317890925955</c:v>
                </c:pt>
                <c:pt idx="5">
                  <c:v>0.68006995235072809</c:v>
                </c:pt>
                <c:pt idx="6">
                  <c:v>0.56435456758757274</c:v>
                </c:pt>
                <c:pt idx="7">
                  <c:v>0.45785528190901559</c:v>
                </c:pt>
                <c:pt idx="8">
                  <c:v>0.36514027668115234</c:v>
                </c:pt>
                <c:pt idx="9">
                  <c:v>0.28745714329080052</c:v>
                </c:pt>
                <c:pt idx="10">
                  <c:v>0.22410546887996052</c:v>
                </c:pt>
                <c:pt idx="11">
                  <c:v>0.17343676353134341</c:v>
                </c:pt>
                <c:pt idx="12">
                  <c:v>0.13348254019593875</c:v>
                </c:pt>
                <c:pt idx="13">
                  <c:v>0.1023041639433091</c:v>
                </c:pt>
                <c:pt idx="14">
                  <c:v>7.8161465749154391E-2</c:v>
                </c:pt>
                <c:pt idx="15">
                  <c:v>5.9574163788397416E-2</c:v>
                </c:pt>
                <c:pt idx="16">
                  <c:v>4.5325435700496075E-2</c:v>
                </c:pt>
                <c:pt idx="17">
                  <c:v>3.4437819241084688E-2</c:v>
                </c:pt>
                <c:pt idx="18">
                  <c:v>2.6138642252239941E-2</c:v>
                </c:pt>
                <c:pt idx="19">
                  <c:v>1.9824077880473245E-2</c:v>
                </c:pt>
                <c:pt idx="20">
                  <c:v>1.5026153359490202E-2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51-4530-A2C9-4CE2DE7B8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83536"/>
        <c:axId val="1"/>
      </c:scatterChart>
      <c:valAx>
        <c:axId val="42748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4835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Нагр!$M$12</c:f>
              <c:strCache>
                <c:ptCount val="1"/>
                <c:pt idx="0">
                  <c:v>f(t)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Нагр!$N$12:$AH$12</c:f>
              <c:numCache>
                <c:formatCode>General</c:formatCode>
                <c:ptCount val="21"/>
                <c:pt idx="0">
                  <c:v>1.1157177565710484E-3</c:v>
                </c:pt>
                <c:pt idx="1">
                  <c:v>8.4414456503433368E-4</c:v>
                </c:pt>
                <c:pt idx="2">
                  <c:v>6.3867411133348539E-4</c:v>
                </c:pt>
                <c:pt idx="3">
                  <c:v>4.8321654534496321E-4</c:v>
                </c:pt>
                <c:pt idx="4">
                  <c:v>3.6559839447320125E-4</c:v>
                </c:pt>
                <c:pt idx="5">
                  <c:v>2.766092910704506E-4</c:v>
                </c:pt>
                <c:pt idx="6">
                  <c:v>2.0928073280175656E-4</c:v>
                </c:pt>
                <c:pt idx="7">
                  <c:v>1.5834039757863761E-4</c:v>
                </c:pt>
                <c:pt idx="8">
                  <c:v>1.197992819009786E-4</c:v>
                </c:pt>
                <c:pt idx="9">
                  <c:v>9.0639332497965261E-5</c:v>
                </c:pt>
                <c:pt idx="10">
                  <c:v>6.8577110524479628E-5</c:v>
                </c:pt>
                <c:pt idx="11">
                  <c:v>5.1884981478567981E-5</c:v>
                </c:pt>
                <c:pt idx="12">
                  <c:v>3.9255828693312698E-5</c:v>
                </c:pt>
                <c:pt idx="13">
                  <c:v>2.9700696472933264E-5</c:v>
                </c:pt>
                <c:pt idx="14">
                  <c:v>2.2471347576661489E-5</c:v>
                </c:pt>
                <c:pt idx="15">
                  <c:v>1.7001670730897166E-5</c:v>
                </c:pt>
                <c:pt idx="16">
                  <c:v>1.2863349946224703E-5</c:v>
                </c:pt>
                <c:pt idx="17">
                  <c:v>9.7323242202507744E-6</c:v>
                </c:pt>
                <c:pt idx="18">
                  <c:v>7.363411173920438E-6</c:v>
                </c:pt>
                <c:pt idx="19">
                  <c:v>5.5711074651003846E-6</c:v>
                </c:pt>
                <c:pt idx="20">
                  <c:v>4.2150625103789154E-6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13E-8DFD-D77C6CC4F7D9}"/>
            </c:ext>
          </c:extLst>
        </c:ser>
        <c:ser>
          <c:idx val="1"/>
          <c:order val="1"/>
          <c:tx>
            <c:strRef>
              <c:f>Нагр!$M$13</c:f>
              <c:strCache>
                <c:ptCount val="1"/>
                <c:pt idx="0">
                  <c:v>f21(t)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Нагр!$N$13:$AH$13</c:f>
              <c:numCache>
                <c:formatCode>General</c:formatCode>
                <c:ptCount val="21"/>
                <c:pt idx="0">
                  <c:v>0</c:v>
                </c:pt>
                <c:pt idx="1">
                  <c:v>4.1094090740169653E-4</c:v>
                </c:pt>
                <c:pt idx="2">
                  <c:v>5.4615143372056829E-4</c:v>
                </c:pt>
                <c:pt idx="3">
                  <c:v>5.4787162508641331E-4</c:v>
                </c:pt>
                <c:pt idx="4">
                  <c:v>4.9159822514444529E-4</c:v>
                </c:pt>
                <c:pt idx="5">
                  <c:v>4.1606436109194194E-4</c:v>
                </c:pt>
                <c:pt idx="6">
                  <c:v>3.4004980821688777E-4</c:v>
                </c:pt>
                <c:pt idx="7">
                  <c:v>2.7173810000395221E-4</c:v>
                </c:pt>
                <c:pt idx="8">
                  <c:v>2.1387186390950779E-4</c:v>
                </c:pt>
                <c:pt idx="9">
                  <c:v>1.6655184264808965E-4</c:v>
                </c:pt>
                <c:pt idx="10">
                  <c:v>1.2872409602820143E-4</c:v>
                </c:pt>
                <c:pt idx="11">
                  <c:v>9.8944277810195469E-5</c:v>
                </c:pt>
                <c:pt idx="12">
                  <c:v>7.574927401982347E-5</c:v>
                </c:pt>
                <c:pt idx="13">
                  <c:v>5.7820112436917062E-5</c:v>
                </c:pt>
                <c:pt idx="14">
                  <c:v>4.4037517371689319E-5</c:v>
                </c:pt>
                <c:pt idx="15">
                  <c:v>3.348518746462177E-5</c:v>
                </c:pt>
                <c:pt idx="16">
                  <c:v>2.5430091236963689E-5</c:v>
                </c:pt>
                <c:pt idx="17">
                  <c:v>1.9294859738708043E-5</c:v>
                </c:pt>
                <c:pt idx="18">
                  <c:v>1.4629629623611316E-5</c:v>
                </c:pt>
                <c:pt idx="19">
                  <c:v>1.1086578568397075E-5</c:v>
                </c:pt>
                <c:pt idx="20">
                  <c:v>8.3982769088822884E-6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F8-413E-8DFD-D77C6CC4F7D9}"/>
            </c:ext>
          </c:extLst>
        </c:ser>
        <c:ser>
          <c:idx val="2"/>
          <c:order val="2"/>
          <c:tx>
            <c:strRef>
              <c:f>Нагр!$M$14</c:f>
              <c:strCache>
                <c:ptCount val="1"/>
                <c:pt idx="0">
                  <c:v>f31(t)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Нагр!$N$14:$AH$14</c:f>
              <c:numCache>
                <c:formatCode>General</c:formatCode>
                <c:ptCount val="21"/>
                <c:pt idx="0">
                  <c:v>0</c:v>
                </c:pt>
                <c:pt idx="1">
                  <c:v>1.5003866313697807E-4</c:v>
                </c:pt>
                <c:pt idx="2">
                  <c:v>3.5027416556651837E-4</c:v>
                </c:pt>
                <c:pt idx="3">
                  <c:v>4.6588323671824602E-4</c:v>
                </c:pt>
                <c:pt idx="4">
                  <c:v>4.957669780936701E-4</c:v>
                </c:pt>
                <c:pt idx="5">
                  <c:v>4.6937022225716551E-4</c:v>
                </c:pt>
                <c:pt idx="6">
                  <c:v>4.143974597671549E-4</c:v>
                </c:pt>
                <c:pt idx="7">
                  <c:v>3.4976037127741919E-4</c:v>
                </c:pt>
                <c:pt idx="8">
                  <c:v>2.8636132107579053E-4</c:v>
                </c:pt>
                <c:pt idx="9">
                  <c:v>2.2953210977775623E-4</c:v>
                </c:pt>
                <c:pt idx="10">
                  <c:v>1.8121818750692421E-4</c:v>
                </c:pt>
                <c:pt idx="11">
                  <c:v>1.4151450717138245E-4</c:v>
                </c:pt>
                <c:pt idx="12">
                  <c:v>1.0962612506587665E-4</c:v>
                </c:pt>
                <c:pt idx="13">
                  <c:v>8.442138903874898E-5</c:v>
                </c:pt>
                <c:pt idx="14">
                  <c:v>6.4725855769637256E-5</c:v>
                </c:pt>
                <c:pt idx="15">
                  <c:v>4.9462393900347657E-5</c:v>
                </c:pt>
                <c:pt idx="16">
                  <c:v>3.7705353369677384E-5</c:v>
                </c:pt>
                <c:pt idx="17">
                  <c:v>2.8689828136974851E-5</c:v>
                </c:pt>
                <c:pt idx="18">
                  <c:v>2.1799617514442059E-5</c:v>
                </c:pt>
                <c:pt idx="19">
                  <c:v>1.6546830023008709E-5</c:v>
                </c:pt>
                <c:pt idx="20">
                  <c:v>1.2549823673657396E-5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F8-413E-8DFD-D77C6CC4F7D9}"/>
            </c:ext>
          </c:extLst>
        </c:ser>
        <c:ser>
          <c:idx val="3"/>
          <c:order val="3"/>
          <c:tx>
            <c:strRef>
              <c:f>Нагр!$M$15</c:f>
              <c:strCache>
                <c:ptCount val="1"/>
                <c:pt idx="0">
                  <c:v>f41(t)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Нагр!$N$15:$AH$15</c:f>
              <c:numCache>
                <c:formatCode>General</c:formatCode>
                <c:ptCount val="21"/>
                <c:pt idx="0">
                  <c:v>0</c:v>
                </c:pt>
                <c:pt idx="1">
                  <c:v>4.8693890382262883E-5</c:v>
                </c:pt>
                <c:pt idx="2">
                  <c:v>1.9968737767269072E-4</c:v>
                </c:pt>
                <c:pt idx="3">
                  <c:v>3.5214606296110639E-4</c:v>
                </c:pt>
                <c:pt idx="4">
                  <c:v>4.4441873961591498E-4</c:v>
                </c:pt>
                <c:pt idx="5">
                  <c:v>4.7067163671729719E-4</c:v>
                </c:pt>
                <c:pt idx="6">
                  <c:v>4.4888915424071537E-4</c:v>
                </c:pt>
                <c:pt idx="7">
                  <c:v>4.0016411983724652E-4</c:v>
                </c:pt>
                <c:pt idx="8">
                  <c:v>3.408180111390581E-4</c:v>
                </c:pt>
                <c:pt idx="9">
                  <c:v>2.8118032776588894E-4</c:v>
                </c:pt>
                <c:pt idx="10">
                  <c:v>2.2677291973265576E-4</c:v>
                </c:pt>
                <c:pt idx="11">
                  <c:v>1.7991141576003016E-4</c:v>
                </c:pt>
                <c:pt idx="12">
                  <c:v>1.4102533158786933E-4</c:v>
                </c:pt>
                <c:pt idx="13">
                  <c:v>1.0956542631358945E-4</c:v>
                </c:pt>
                <c:pt idx="14">
                  <c:v>8.4562974787597776E-5</c:v>
                </c:pt>
                <c:pt idx="15">
                  <c:v>6.4944893099718956E-5</c:v>
                </c:pt>
                <c:pt idx="16">
                  <c:v>4.9694186989720497E-5</c:v>
                </c:pt>
                <c:pt idx="17">
                  <c:v>3.7919425158396228E-5</c:v>
                </c:pt>
                <c:pt idx="18">
                  <c:v>2.8874328545101699E-5</c:v>
                </c:pt>
                <c:pt idx="19">
                  <c:v>2.1952275767692101E-5</c:v>
                </c:pt>
                <c:pt idx="20">
                  <c:v>1.6669882373748631E-5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F8-413E-8DFD-D77C6CC4F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68112"/>
        <c:axId val="1"/>
      </c:scatterChart>
      <c:valAx>
        <c:axId val="427668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66811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Нагр!$M$16</c:f>
              <c:strCache>
                <c:ptCount val="1"/>
                <c:pt idx="0">
                  <c:v>λ(t)</c:v>
                </c:pt>
              </c:strCache>
            </c:strRef>
          </c:tx>
          <c:marker>
            <c:symbol val="none"/>
          </c:marker>
          <c:xVal>
            <c:numRef>
              <c:f>Нагр!$N$7:$AG$7</c:f>
              <c:numCache>
                <c:formatCode>General</c:formatCode>
                <c:ptCount val="20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</c:numCache>
            </c:numRef>
          </c:xVal>
          <c:yVal>
            <c:numRef>
              <c:f>Нагр!$N$16:$AH$16</c:f>
              <c:numCache>
                <c:formatCode>General</c:formatCode>
                <c:ptCount val="21"/>
                <c:pt idx="0">
                  <c:v>1.1157177565710484E-3</c:v>
                </c:pt>
                <c:pt idx="1">
                  <c:v>1.1157177565710484E-3</c:v>
                </c:pt>
                <c:pt idx="2">
                  <c:v>1.1157177565710484E-3</c:v>
                </c:pt>
                <c:pt idx="3">
                  <c:v>1.1157177565710487E-3</c:v>
                </c:pt>
                <c:pt idx="4">
                  <c:v>1.1157177565710484E-3</c:v>
                </c:pt>
                <c:pt idx="5">
                  <c:v>1.1157177565710487E-3</c:v>
                </c:pt>
                <c:pt idx="6">
                  <c:v>1.1157177565710487E-3</c:v>
                </c:pt>
                <c:pt idx="7">
                  <c:v>1.1157177565710482E-3</c:v>
                </c:pt>
                <c:pt idx="8">
                  <c:v>1.1157177565710482E-3</c:v>
                </c:pt>
                <c:pt idx="9">
                  <c:v>1.1157177565710482E-3</c:v>
                </c:pt>
                <c:pt idx="10">
                  <c:v>1.1157177565710478E-3</c:v>
                </c:pt>
                <c:pt idx="11">
                  <c:v>1.1157177565710497E-3</c:v>
                </c:pt>
                <c:pt idx="12">
                  <c:v>1.1157177565710474E-3</c:v>
                </c:pt>
                <c:pt idx="13">
                  <c:v>1.1157177565710469E-3</c:v>
                </c:pt>
                <c:pt idx="14">
                  <c:v>1.1157177565710487E-3</c:v>
                </c:pt>
                <c:pt idx="15">
                  <c:v>1.1157177565710506E-3</c:v>
                </c:pt>
                <c:pt idx="16">
                  <c:v>1.1157177565710448E-3</c:v>
                </c:pt>
                <c:pt idx="17">
                  <c:v>1.1157177565710471E-3</c:v>
                </c:pt>
                <c:pt idx="18">
                  <c:v>1.1157177565710409E-3</c:v>
                </c:pt>
                <c:pt idx="19">
                  <c:v>1.1157177565710575E-3</c:v>
                </c:pt>
                <c:pt idx="20">
                  <c:v>1.1157177565710458E-3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E9-41FA-BD06-FED46BB7FDAB}"/>
            </c:ext>
          </c:extLst>
        </c:ser>
        <c:ser>
          <c:idx val="1"/>
          <c:order val="1"/>
          <c:tx>
            <c:strRef>
              <c:f>Нагр!$M$17</c:f>
              <c:strCache>
                <c:ptCount val="1"/>
                <c:pt idx="0">
                  <c:v>λ21(t)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Нагр!$N$17:$AH$17</c:f>
              <c:numCache>
                <c:formatCode>General</c:formatCode>
                <c:ptCount val="21"/>
                <c:pt idx="0">
                  <c:v>0</c:v>
                </c:pt>
                <c:pt idx="1">
                  <c:v>4.3682117643666259E-4</c:v>
                </c:pt>
                <c:pt idx="2">
                  <c:v>6.6833119517656977E-4</c:v>
                </c:pt>
                <c:pt idx="3">
                  <c:v>8.0732773801997623E-4</c:v>
                </c:pt>
                <c:pt idx="4">
                  <c:v>8.9710027040021921E-4</c:v>
                </c:pt>
                <c:pt idx="5">
                  <c:v>9.5784290601130405E-4</c:v>
                </c:pt>
                <c:pt idx="6">
                  <c:v>1.0002477480607101E-3</c:v>
                </c:pt>
                <c:pt idx="7">
                  <c:v>1.0305006375711855E-3</c:v>
                </c:pt>
                <c:pt idx="8">
                  <c:v>1.052419834294529E-3</c:v>
                </c:pt>
                <c:pt idx="9">
                  <c:v>1.0684792975219955E-3</c:v>
                </c:pt>
                <c:pt idx="10">
                  <c:v>1.0803420242466862E-3</c:v>
                </c:pt>
                <c:pt idx="11">
                  <c:v>1.0891576955428632E-3</c:v>
                </c:pt>
                <c:pt idx="12">
                  <c:v>1.0957383609800995E-3</c:v>
                </c:pt>
                <c:pt idx="13">
                  <c:v>1.1006670819001037E-3</c:v>
                </c:pt>
                <c:pt idx="14">
                  <c:v>1.1043677845361038E-3</c:v>
                </c:pt>
                <c:pt idx="15">
                  <c:v>1.1071516546796588E-3</c:v>
                </c:pt>
                <c:pt idx="16">
                  <c:v>1.1092487905477256E-3</c:v>
                </c:pt>
                <c:pt idx="17">
                  <c:v>1.1108302779018039E-3</c:v>
                </c:pt>
                <c:pt idx="18">
                  <c:v>1.1120238616706016E-3</c:v>
                </c:pt>
                <c:pt idx="19">
                  <c:v>1.1129252308867761E-3</c:v>
                </c:pt>
                <c:pt idx="20">
                  <c:v>1.113606236767722E-3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E9-41FA-BD06-FED46BB7FDAB}"/>
            </c:ext>
          </c:extLst>
        </c:ser>
        <c:ser>
          <c:idx val="2"/>
          <c:order val="2"/>
          <c:tx>
            <c:strRef>
              <c:f>Нагр!$M$18</c:f>
              <c:strCache>
                <c:ptCount val="1"/>
                <c:pt idx="0">
                  <c:v>λ31(t)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Нагр!$N$18:$AH$18</c:f>
              <c:numCache>
                <c:formatCode>General</c:formatCode>
                <c:ptCount val="21"/>
                <c:pt idx="0">
                  <c:v>0</c:v>
                </c:pt>
                <c:pt idx="1">
                  <c:v>1.5223404176319848E-4</c:v>
                </c:pt>
                <c:pt idx="2">
                  <c:v>3.799748281027906E-4</c:v>
                </c:pt>
                <c:pt idx="3">
                  <c:v>5.696707103502144E-4</c:v>
                </c:pt>
                <c:pt idx="4">
                  <c:v>7.1220468093564384E-4</c:v>
                </c:pt>
                <c:pt idx="5">
                  <c:v>8.1685564126445355E-4</c:v>
                </c:pt>
                <c:pt idx="6">
                  <c:v>8.935379577628274E-4</c:v>
                </c:pt>
                <c:pt idx="7">
                  <c:v>9.4994505955772735E-4</c:v>
                </c:pt>
                <c:pt idx="8">
                  <c:v>9.9164907264913263E-4</c:v>
                </c:pt>
                <c:pt idx="9">
                  <c:v>1.0226298166813304E-3</c:v>
                </c:pt>
                <c:pt idx="10">
                  <c:v>1.0457375078970189E-3</c:v>
                </c:pt>
                <c:pt idx="11">
                  <c:v>1.0630291018292313E-3</c:v>
                </c:pt>
                <c:pt idx="12">
                  <c:v>1.0760017274752782E-3</c:v>
                </c:pt>
                <c:pt idx="13">
                  <c:v>1.0857535772867224E-3</c:v>
                </c:pt>
                <c:pt idx="14">
                  <c:v>1.0930955668463011E-3</c:v>
                </c:pt>
                <c:pt idx="15">
                  <c:v>1.0986297336278996E-3</c:v>
                </c:pt>
                <c:pt idx="16">
                  <c:v>1.102804974064687E-3</c:v>
                </c:pt>
                <c:pt idx="17">
                  <c:v>1.1059571349578542E-3</c:v>
                </c:pt>
                <c:pt idx="18">
                  <c:v>1.1083381468464928E-3</c:v>
                </c:pt>
                <c:pt idx="19">
                  <c:v>1.1101373764564398E-3</c:v>
                </c:pt>
                <c:pt idx="20">
                  <c:v>1.1114973860673683E-3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E9-41FA-BD06-FED46BB7FDAB}"/>
            </c:ext>
          </c:extLst>
        </c:ser>
        <c:ser>
          <c:idx val="3"/>
          <c:order val="3"/>
          <c:tx>
            <c:strRef>
              <c:f>Нагр!$M$19</c:f>
              <c:strCache>
                <c:ptCount val="1"/>
                <c:pt idx="0">
                  <c:v>λ41(t)</c:v>
                </c:pt>
              </c:strCache>
            </c:strRef>
          </c:tx>
          <c:marker>
            <c:symbol val="none"/>
          </c:marker>
          <c:xVal>
            <c:numRef>
              <c:f>Нагр!$N$7:$AH$7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xVal>
          <c:yVal>
            <c:numRef>
              <c:f>Нагр!$N$19:$AH$19</c:f>
              <c:numCache>
                <c:formatCode>General</c:formatCode>
                <c:ptCount val="21"/>
                <c:pt idx="0">
                  <c:v>0</c:v>
                </c:pt>
                <c:pt idx="1">
                  <c:v>4.8865417115038568E-5</c:v>
                </c:pt>
                <c:pt idx="2">
                  <c:v>2.0659181334593832E-4</c:v>
                </c:pt>
                <c:pt idx="3">
                  <c:v>3.9270582617627488E-4</c:v>
                </c:pt>
                <c:pt idx="4">
                  <c:v>5.5853730655099965E-4</c:v>
                </c:pt>
                <c:pt idx="5">
                  <c:v>6.9209297527463877E-4</c:v>
                </c:pt>
                <c:pt idx="6">
                  <c:v>7.9540271315525367E-4</c:v>
                </c:pt>
                <c:pt idx="7">
                  <c:v>8.7399694979770179E-4</c:v>
                </c:pt>
                <c:pt idx="8">
                  <c:v>9.3338925586855233E-4</c:v>
                </c:pt>
                <c:pt idx="9">
                  <c:v>9.7816434320241691E-4</c:v>
                </c:pt>
                <c:pt idx="10">
                  <c:v>1.0119026584492858E-3</c:v>
                </c:pt>
                <c:pt idx="11">
                  <c:v>1.0373314866863083E-3</c:v>
                </c:pt>
                <c:pt idx="12">
                  <c:v>1.0565077004142903E-3</c:v>
                </c:pt>
                <c:pt idx="13">
                  <c:v>1.0709771928179199E-3</c:v>
                </c:pt>
                <c:pt idx="14">
                  <c:v>1.0819010874103603E-3</c:v>
                </c:pt>
                <c:pt idx="15">
                  <c:v>1.0901519882074709E-3</c:v>
                </c:pt>
                <c:pt idx="16">
                  <c:v>1.0963863054310719E-3</c:v>
                </c:pt>
                <c:pt idx="17">
                  <c:v>1.1010983271890209E-3</c:v>
                </c:pt>
                <c:pt idx="18">
                  <c:v>1.1046606119194016E-3</c:v>
                </c:pt>
                <c:pt idx="19">
                  <c:v>1.1073541932215235E-3</c:v>
                </c:pt>
                <c:pt idx="20">
                  <c:v>1.1093912044508906E-3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DE9-41FA-BD06-FED46BB7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669424"/>
        <c:axId val="1"/>
      </c:scatterChart>
      <c:valAx>
        <c:axId val="42766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66942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Нагр!$J$48</c:f>
              <c:strCache>
                <c:ptCount val="1"/>
                <c:pt idx="0">
                  <c:v>Pc(t)</c:v>
                </c:pt>
              </c:strCache>
            </c:strRef>
          </c:tx>
          <c:marker>
            <c:symbol val="none"/>
          </c:marker>
          <c:xVal>
            <c:numRef>
              <c:f>Нагр!$K$43:$Z$43</c:f>
              <c:numCache>
                <c:formatCode>General</c:formatCode>
                <c:ptCount val="16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</c:numCache>
            </c:numRef>
          </c:xVal>
          <c:yVal>
            <c:numRef>
              <c:f>Нагр!$K$48:$Z$48</c:f>
              <c:numCache>
                <c:formatCode>0.00000</c:formatCode>
                <c:ptCount val="16"/>
                <c:pt idx="0" formatCode="General">
                  <c:v>1</c:v>
                </c:pt>
                <c:pt idx="1">
                  <c:v>0.98941127784442606</c:v>
                </c:pt>
                <c:pt idx="2">
                  <c:v>0.92828870909337569</c:v>
                </c:pt>
                <c:pt idx="3">
                  <c:v>0.82819562121660983</c:v>
                </c:pt>
                <c:pt idx="4">
                  <c:v>0.71760878551051677</c:v>
                </c:pt>
                <c:pt idx="5">
                  <c:v>0.61254921313341193</c:v>
                </c:pt>
                <c:pt idx="6">
                  <c:v>0.51908222122584402</c:v>
                </c:pt>
                <c:pt idx="7">
                  <c:v>0.43845747146458425</c:v>
                </c:pt>
                <c:pt idx="8">
                  <c:v>0.36995942654571923</c:v>
                </c:pt>
                <c:pt idx="9">
                  <c:v>0.3121983775650603</c:v>
                </c:pt>
                <c:pt idx="10">
                  <c:v>0.2636583032240214</c:v>
                </c:pt>
                <c:pt idx="11">
                  <c:v>0.22291572602395104</c:v>
                </c:pt>
                <c:pt idx="12">
                  <c:v>0.18871491391727357</c:v>
                </c:pt>
                <c:pt idx="13">
                  <c:v>0.15998140158500829</c:v>
                </c:pt>
                <c:pt idx="14">
                  <c:v>0.13581042892654271</c:v>
                </c:pt>
                <c:pt idx="15">
                  <c:v>0.11544664534091709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C-409C-88FA-1BCE11DADAA4}"/>
            </c:ext>
          </c:extLst>
        </c:ser>
        <c:ser>
          <c:idx val="1"/>
          <c:order val="1"/>
          <c:tx>
            <c:v>элемент 0</c:v>
          </c:tx>
          <c:marker>
            <c:symbol val="none"/>
          </c:marker>
          <c:xVal>
            <c:numRef>
              <c:f>Нагр!$K$43:$Z$43</c:f>
              <c:numCache>
                <c:formatCode>General</c:formatCode>
                <c:ptCount val="16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</c:numCache>
            </c:numRef>
          </c:xVal>
          <c:yVal>
            <c:numRef>
              <c:f>Нагр!$K$45:$Z$45</c:f>
              <c:numCache>
                <c:formatCode>0.00000</c:formatCode>
                <c:ptCount val="16"/>
                <c:pt idx="0" formatCode="General">
                  <c:v>1</c:v>
                </c:pt>
                <c:pt idx="1">
                  <c:v>0.34993774911115533</c:v>
                </c:pt>
                <c:pt idx="2">
                  <c:v>0.12245642825298191</c:v>
                </c:pt>
                <c:pt idx="3">
                  <c:v>4.2852126867040187E-2</c:v>
                </c:pt>
                <c:pt idx="4">
                  <c:v>1.4995576820477703E-2</c:v>
                </c:pt>
                <c:pt idx="5">
                  <c:v>5.2475183991813846E-3</c:v>
                </c:pt>
                <c:pt idx="6">
                  <c:v>1.8363047770289071E-3</c:v>
                </c:pt>
                <c:pt idx="7">
                  <c:v>6.4259236035555734E-4</c:v>
                </c:pt>
                <c:pt idx="8">
                  <c:v>2.2486732417884819E-4</c:v>
                </c:pt>
                <c:pt idx="9">
                  <c:v>7.868956527179456E-5</c:v>
                </c:pt>
                <c:pt idx="10">
                  <c:v>2.7536449349747158E-5</c:v>
                </c:pt>
                <c:pt idx="11">
                  <c:v>9.6360431039638514E-6</c:v>
                </c:pt>
                <c:pt idx="12">
                  <c:v>3.3720152341391845E-6</c:v>
                </c:pt>
                <c:pt idx="13">
                  <c:v>1.1799954210031909E-6</c:v>
                </c:pt>
                <c:pt idx="14">
                  <c:v>4.1292494158732645E-7</c:v>
                </c:pt>
                <c:pt idx="15">
                  <c:v>1.4449802461092448E-7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C-409C-88FA-1BCE11DA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45336"/>
        <c:axId val="1"/>
      </c:scatterChart>
      <c:valAx>
        <c:axId val="42774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74533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Нагр!$J$50</c:f>
              <c:strCache>
                <c:ptCount val="1"/>
                <c:pt idx="0">
                  <c:v>λc(t)</c:v>
                </c:pt>
              </c:strCache>
            </c:strRef>
          </c:tx>
          <c:marker>
            <c:symbol val="none"/>
          </c:marker>
          <c:xVal>
            <c:numRef>
              <c:f>Нагр!$K$43:$Z$43</c:f>
              <c:numCache>
                <c:formatCode>General</c:formatCode>
                <c:ptCount val="16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</c:numCache>
            </c:numRef>
          </c:xVal>
          <c:yVal>
            <c:numRef>
              <c:f>Нагр!$K$50:$Z$50</c:f>
              <c:numCache>
                <c:formatCode>0.00000</c:formatCode>
                <c:ptCount val="16"/>
                <c:pt idx="0" formatCode="General">
                  <c:v>0</c:v>
                </c:pt>
                <c:pt idx="1">
                  <c:v>2.1970684675003038E-4</c:v>
                </c:pt>
                <c:pt idx="2">
                  <c:v>6.173825719531002E-4</c:v>
                </c:pt>
                <c:pt idx="3">
                  <c:v>8.7860103291856665E-4</c:v>
                </c:pt>
                <c:pt idx="4">
                  <c:v>1.0168622966656193E-3</c:v>
                </c:pt>
                <c:pt idx="5">
                  <c:v>1.0855329028319355E-3</c:v>
                </c:pt>
                <c:pt idx="6">
                  <c:v>1.1177278008488174E-3</c:v>
                </c:pt>
                <c:pt idx="7">
                  <c:v>1.1306219723921985E-3</c:v>
                </c:pt>
                <c:pt idx="8">
                  <c:v>1.1330340556463807E-3</c:v>
                </c:pt>
                <c:pt idx="9">
                  <c:v>1.1296562393666928E-3</c:v>
                </c:pt>
                <c:pt idx="10">
                  <c:v>1.1230936942578287E-3</c:v>
                </c:pt>
                <c:pt idx="11">
                  <c:v>1.1148501141007398E-3</c:v>
                </c:pt>
                <c:pt idx="12">
                  <c:v>1.1058243005357159E-3</c:v>
                </c:pt>
                <c:pt idx="13">
                  <c:v>1.0965705416455316E-3</c:v>
                </c:pt>
                <c:pt idx="14">
                  <c:v>1.0874389478062218E-3</c:v>
                </c:pt>
                <c:pt idx="15">
                  <c:v>1.0786527714844766E-3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D4-4CCB-8CAE-A3F5112C3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47960"/>
        <c:axId val="1"/>
      </c:scatterChart>
      <c:valAx>
        <c:axId val="42774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747960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Нагр!$J$49</c:f>
              <c:strCache>
                <c:ptCount val="1"/>
                <c:pt idx="0">
                  <c:v>fc(t)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Нагр!$K$43:$Z$43</c:f>
              <c:numCache>
                <c:formatCode>General</c:formatCode>
                <c:ptCount val="16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</c:numCache>
            </c:numRef>
          </c:xVal>
          <c:yVal>
            <c:numRef>
              <c:f>Нагр!$K$49:$Z$49</c:f>
              <c:numCache>
                <c:formatCode>0.00000</c:formatCode>
                <c:ptCount val="16"/>
                <c:pt idx="0" formatCode="General">
                  <c:v>0</c:v>
                </c:pt>
                <c:pt idx="1">
                  <c:v>2.1738043199411703E-4</c:v>
                </c:pt>
                <c:pt idx="2">
                  <c:v>5.731092707350915E-4</c:v>
                </c:pt>
                <c:pt idx="3">
                  <c:v>7.2765352825954741E-4</c:v>
                </c:pt>
                <c:pt idx="4">
                  <c:v>7.2970931774164987E-4</c:v>
                </c:pt>
                <c:pt idx="5">
                  <c:v>6.649423254601306E-4</c:v>
                </c:pt>
                <c:pt idx="6">
                  <c:v>5.8019262959048195E-4</c:v>
                </c:pt>
                <c:pt idx="7">
                  <c:v>4.957296511973843E-4</c:v>
                </c:pt>
                <c:pt idx="8">
                  <c:v>4.1917662948370556E-4</c:v>
                </c:pt>
                <c:pt idx="9">
                  <c:v>3.5267684513652891E-4</c:v>
                </c:pt>
                <c:pt idx="10">
                  <c:v>2.9611297778961697E-4</c:v>
                </c:pt>
                <c:pt idx="11">
                  <c:v>2.4851762259265106E-4</c:v>
                </c:pt>
                <c:pt idx="12">
                  <c:v>2.0868553768322689E-4</c:v>
                </c:pt>
                <c:pt idx="13">
                  <c:v>1.7543089218928384E-4</c:v>
                </c:pt>
                <c:pt idx="14">
                  <c:v>1.4768554993299128E-4</c:v>
                </c:pt>
                <c:pt idx="15">
                  <c:v>1.2452684395556566E-4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87-4641-9B20-A60F54311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08712"/>
        <c:axId val="1"/>
      </c:scatterChart>
      <c:valAx>
        <c:axId val="427808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808712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Нагр!$B$89:$R$89</c:f>
              <c:numCache>
                <c:formatCode>General</c:formatCode>
                <c:ptCount val="17"/>
                <c:pt idx="0">
                  <c:v>1</c:v>
                </c:pt>
                <c:pt idx="1">
                  <c:v>0.99990000499983334</c:v>
                </c:pt>
                <c:pt idx="2">
                  <c:v>0.99840127931760636</c:v>
                </c:pt>
                <c:pt idx="3">
                  <c:v>0.99193271660557114</c:v>
                </c:pt>
                <c:pt idx="4">
                  <c:v>0.97472490160179392</c:v>
                </c:pt>
                <c:pt idx="5">
                  <c:v>0.93941306281347581</c:v>
                </c:pt>
                <c:pt idx="6">
                  <c:v>0.87844673934993134</c:v>
                </c:pt>
                <c:pt idx="7">
                  <c:v>0.78654920221345503</c:v>
                </c:pt>
                <c:pt idx="8">
                  <c:v>0.66391576333547353</c:v>
                </c:pt>
                <c:pt idx="9">
                  <c:v>0.51887099046545238</c:v>
                </c:pt>
                <c:pt idx="10">
                  <c:v>0.36787944117144233</c:v>
                </c:pt>
                <c:pt idx="11">
                  <c:v>0.23128605528432855</c:v>
                </c:pt>
                <c:pt idx="12">
                  <c:v>0.12573232959442793</c:v>
                </c:pt>
                <c:pt idx="13">
                  <c:v>5.7492544526164591E-2</c:v>
                </c:pt>
                <c:pt idx="14">
                  <c:v>2.1459239080080406E-2</c:v>
                </c:pt>
                <c:pt idx="15">
                  <c:v>6.329715427485727E-3</c:v>
                </c:pt>
                <c:pt idx="16">
                  <c:v>1.4249764381925045E-3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8-4ACA-BDF0-96DCA7A74C89}"/>
            </c:ext>
          </c:extLst>
        </c:ser>
        <c:ser>
          <c:idx val="1"/>
          <c:order val="1"/>
          <c:tx>
            <c:v>p21(t)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Нагр!$B$90:$R$90</c:f>
              <c:numCache>
                <c:formatCode>General</c:formatCode>
                <c:ptCount val="17"/>
                <c:pt idx="0">
                  <c:v>1</c:v>
                </c:pt>
                <c:pt idx="1">
                  <c:v>0.99999999000099993</c:v>
                </c:pt>
                <c:pt idx="2">
                  <c:v>0.99999744409217972</c:v>
                </c:pt>
                <c:pt idx="3">
                  <c:v>0.99993491893863395</c:v>
                </c:pt>
                <c:pt idx="4">
                  <c:v>0.99936116940096098</c:v>
                </c:pt>
                <c:pt idx="5">
                  <c:v>0.99632922304235616</c:v>
                </c:pt>
                <c:pt idx="6">
                  <c:v>0.98522480482533648</c:v>
                </c:pt>
                <c:pt idx="7">
                  <c:v>0.95443875692428748</c:v>
                </c:pt>
                <c:pt idx="8">
                  <c:v>0.8870473858656226</c:v>
                </c:pt>
                <c:pt idx="9">
                  <c:v>0.76851487618430514</c:v>
                </c:pt>
                <c:pt idx="10">
                  <c:v>0.60042359910627197</c:v>
                </c:pt>
                <c:pt idx="11">
                  <c:v>0.40907887119967157</c:v>
                </c:pt>
                <c:pt idx="12">
                  <c:v>0.23565604048361399</c:v>
                </c:pt>
                <c:pt idx="13">
                  <c:v>0.1116796963762362</c:v>
                </c:pt>
                <c:pt idx="14">
                  <c:v>4.2457979218264774E-2</c:v>
                </c:pt>
                <c:pt idx="15">
                  <c:v>1.2619365557578477E-2</c:v>
                </c:pt>
                <c:pt idx="16">
                  <c:v>2.8479223185355895E-3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88-4ACA-BDF0-96DCA7A74C89}"/>
            </c:ext>
          </c:extLst>
        </c:ser>
        <c:ser>
          <c:idx val="2"/>
          <c:order val="2"/>
          <c:tx>
            <c:v>P31(t)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Нагр!$B$91:$R$91</c:f>
              <c:numCache>
                <c:formatCode>General</c:formatCode>
                <c:ptCount val="17"/>
                <c:pt idx="0">
                  <c:v>1</c:v>
                </c:pt>
                <c:pt idx="1">
                  <c:v>0.99999999999900013</c:v>
                </c:pt>
                <c:pt idx="2">
                  <c:v>0.99999999591381727</c:v>
                </c:pt>
                <c:pt idx="3">
                  <c:v>0.99999947497263431</c:v>
                </c:pt>
                <c:pt idx="4">
                  <c:v>0.99998385349374952</c:v>
                </c:pt>
                <c:pt idx="5">
                  <c:v>0.99977759886704154</c:v>
                </c:pt>
                <c:pt idx="6">
                  <c:v>0.99820402684977849</c:v>
                </c:pt>
                <c:pt idx="7">
                  <c:v>0.99027491631734244</c:v>
                </c:pt>
                <c:pt idx="8">
                  <c:v>0.96203840689938491</c:v>
                </c:pt>
                <c:pt idx="9">
                  <c:v>0.88862579165657263</c:v>
                </c:pt>
                <c:pt idx="10">
                  <c:v>0.74741954217235285</c:v>
                </c:pt>
                <c:pt idx="11">
                  <c:v>0.54575068806406213</c:v>
                </c:pt>
                <c:pt idx="12">
                  <c:v>0.33175878712503837</c:v>
                </c:pt>
                <c:pt idx="13">
                  <c:v>0.16275149098582153</c:v>
                </c:pt>
                <c:pt idx="14">
                  <c:v>6.3006102371443329E-2</c:v>
                </c:pt>
                <c:pt idx="15">
                  <c:v>1.8869203992209371E-2</c:v>
                </c:pt>
                <c:pt idx="16">
                  <c:v>4.2688405345263636E-3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88-4ACA-BDF0-96DCA7A74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78776"/>
        <c:axId val="1"/>
      </c:scatterChart>
      <c:valAx>
        <c:axId val="427878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87877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f(t)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Нагр!$B$92:$R$92</c:f>
              <c:numCache>
                <c:formatCode>General</c:formatCode>
                <c:ptCount val="17"/>
                <c:pt idx="0">
                  <c:v>0</c:v>
                </c:pt>
                <c:pt idx="1">
                  <c:v>7.9992000399986707E-6</c:v>
                </c:pt>
                <c:pt idx="2">
                  <c:v>6.3897681876326983E-5</c:v>
                </c:pt>
                <c:pt idx="3">
                  <c:v>2.1425746678680352E-4</c:v>
                </c:pt>
                <c:pt idx="4">
                  <c:v>4.990591496201181E-4</c:v>
                </c:pt>
                <c:pt idx="5">
                  <c:v>9.3941306281347605E-4</c:v>
                </c:pt>
                <c:pt idx="6">
                  <c:v>1.5179559655966828E-3</c:v>
                </c:pt>
                <c:pt idx="7">
                  <c:v>2.158291010873723E-3</c:v>
                </c:pt>
                <c:pt idx="8">
                  <c:v>2.7193989666221036E-3</c:v>
                </c:pt>
                <c:pt idx="9">
                  <c:v>3.0260556163945263E-3</c:v>
                </c:pt>
                <c:pt idx="10">
                  <c:v>2.943035529371545E-3</c:v>
                </c:pt>
                <c:pt idx="11">
                  <c:v>2.462733916667533E-3</c:v>
                </c:pt>
                <c:pt idx="12">
                  <c:v>1.7381237243133704E-3</c:v>
                </c:pt>
                <c:pt idx="13">
                  <c:v>1.0104889625918694E-3</c:v>
                </c:pt>
                <c:pt idx="14">
                  <c:v>4.7107321628592512E-4</c:v>
                </c:pt>
                <c:pt idx="15">
                  <c:v>1.709023165421152E-4</c:v>
                </c:pt>
                <c:pt idx="16">
                  <c:v>4.6693627926690599E-5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FB-4A58-B13C-377E79469BF3}"/>
            </c:ext>
          </c:extLst>
        </c:ser>
        <c:ser>
          <c:idx val="1"/>
          <c:order val="1"/>
          <c:tx>
            <c:v>f21(t)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Нагр!$B$93:$R$93</c:f>
              <c:numCache>
                <c:formatCode>General</c:formatCode>
                <c:ptCount val="17"/>
                <c:pt idx="0">
                  <c:v>0</c:v>
                </c:pt>
                <c:pt idx="1">
                  <c:v>1.5997600186656892E-9</c:v>
                </c:pt>
                <c:pt idx="2">
                  <c:v>2.0430909114538634E-7</c:v>
                </c:pt>
                <c:pt idx="3">
                  <c:v>3.4569514078831459E-6</c:v>
                </c:pt>
                <c:pt idx="4">
                  <c:v>2.5227538226347067E-5</c:v>
                </c:pt>
                <c:pt idx="5">
                  <c:v>1.1383232045776075E-4</c:v>
                </c:pt>
                <c:pt idx="6">
                  <c:v>3.6902499428300047E-4</c:v>
                </c:pt>
                <c:pt idx="7">
                  <c:v>9.2137787625304953E-4</c:v>
                </c:pt>
                <c:pt idx="8">
                  <c:v>1.8278942517669836E-3</c:v>
                </c:pt>
                <c:pt idx="9">
                  <c:v>2.911846283024707E-3</c:v>
                </c:pt>
                <c:pt idx="10">
                  <c:v>3.7207065269572819E-3</c:v>
                </c:pt>
                <c:pt idx="11">
                  <c:v>3.7862758077331499E-3</c:v>
                </c:pt>
                <c:pt idx="12">
                  <c:v>3.0391707586642142E-3</c:v>
                </c:pt>
                <c:pt idx="13">
                  <c:v>1.9047867618337171E-3</c:v>
                </c:pt>
                <c:pt idx="14">
                  <c:v>9.2192868702684603E-4</c:v>
                </c:pt>
                <c:pt idx="15">
                  <c:v>3.3964110702501104E-4</c:v>
                </c:pt>
                <c:pt idx="16">
                  <c:v>9.3254181214162679E-5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FB-4A58-B13C-377E79469BF3}"/>
            </c:ext>
          </c:extLst>
        </c:ser>
        <c:ser>
          <c:idx val="2"/>
          <c:order val="2"/>
          <c:tx>
            <c:v>f31(t)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Нагр!$B$94:$R$94</c:f>
              <c:numCache>
                <c:formatCode>General</c:formatCode>
                <c:ptCount val="17"/>
                <c:pt idx="0">
                  <c:v>0</c:v>
                </c:pt>
                <c:pt idx="1">
                  <c:v>2.3995200499964663E-13</c:v>
                </c:pt>
                <c:pt idx="2">
                  <c:v>4.8994975442276451E-10</c:v>
                </c:pt>
                <c:pt idx="3">
                  <c:v>4.1832310032244751E-8</c:v>
                </c:pt>
                <c:pt idx="4">
                  <c:v>9.5644276652314108E-7</c:v>
                </c:pt>
                <c:pt idx="5">
                  <c:v>1.0345127474055967E-5</c:v>
                </c:pt>
                <c:pt idx="6">
                  <c:v>6.7284286974707481E-5</c:v>
                </c:pt>
                <c:pt idx="7">
                  <c:v>2.9500326412362885E-4</c:v>
                </c:pt>
                <c:pt idx="8">
                  <c:v>9.2148966646287366E-4</c:v>
                </c:pt>
                <c:pt idx="9">
                  <c:v>2.1014605771027973E-3</c:v>
                </c:pt>
                <c:pt idx="10">
                  <c:v>3.5279026335859488E-3</c:v>
                </c:pt>
                <c:pt idx="11">
                  <c:v>4.3658445179160978E-3</c:v>
                </c:pt>
                <c:pt idx="12">
                  <c:v>3.9855731087131462E-3</c:v>
                </c:pt>
                <c:pt idx="13">
                  <c:v>2.6929135861742145E-3</c:v>
                </c:pt>
                <c:pt idx="14">
                  <c:v>1.3532171983757285E-3</c:v>
                </c:pt>
                <c:pt idx="15">
                  <c:v>5.0623691320509972E-4</c:v>
                </c:pt>
                <c:pt idx="16">
                  <c:v>1.3968194430475435E-4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FB-4A58-B13C-377E79469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80088"/>
        <c:axId val="1"/>
      </c:scatterChart>
      <c:valAx>
        <c:axId val="42788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88008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l(t)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Нагр!$B$95:$R$95</c:f>
              <c:numCache>
                <c:formatCode>General</c:formatCode>
                <c:ptCount val="17"/>
                <c:pt idx="0">
                  <c:v>0</c:v>
                </c:pt>
                <c:pt idx="1">
                  <c:v>8.0000000000000047E-6</c:v>
                </c:pt>
                <c:pt idx="2">
                  <c:v>6.4000000000000173E-5</c:v>
                </c:pt>
                <c:pt idx="3">
                  <c:v>2.1600000000000015E-4</c:v>
                </c:pt>
                <c:pt idx="4">
                  <c:v>5.1199999999999965E-4</c:v>
                </c:pt>
                <c:pt idx="5">
                  <c:v>1.0000000000000002E-3</c:v>
                </c:pt>
                <c:pt idx="6">
                  <c:v>1.7280000000000017E-3</c:v>
                </c:pt>
                <c:pt idx="7">
                  <c:v>2.7440000000000029E-3</c:v>
                </c:pt>
                <c:pt idx="8">
                  <c:v>4.0960000000000059E-3</c:v>
                </c:pt>
                <c:pt idx="9">
                  <c:v>5.8320000000000151E-3</c:v>
                </c:pt>
                <c:pt idx="10">
                  <c:v>8.0000000000000175E-3</c:v>
                </c:pt>
                <c:pt idx="11">
                  <c:v>1.0648000000000012E-2</c:v>
                </c:pt>
                <c:pt idx="12">
                  <c:v>1.3823999999999991E-2</c:v>
                </c:pt>
                <c:pt idx="13">
                  <c:v>1.7576000000000008E-2</c:v>
                </c:pt>
                <c:pt idx="14">
                  <c:v>2.1952000000000003E-2</c:v>
                </c:pt>
                <c:pt idx="15">
                  <c:v>2.700000000000009E-2</c:v>
                </c:pt>
                <c:pt idx="16">
                  <c:v>3.2767999999999027E-2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55-425A-8365-CF0F5AB74373}"/>
            </c:ext>
          </c:extLst>
        </c:ser>
        <c:ser>
          <c:idx val="1"/>
          <c:order val="1"/>
          <c:tx>
            <c:v>l21(t)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Нагр!$B$96:$R$96</c:f>
              <c:numCache>
                <c:formatCode>General</c:formatCode>
                <c:ptCount val="17"/>
                <c:pt idx="0">
                  <c:v>0</c:v>
                </c:pt>
                <c:pt idx="1">
                  <c:v>1.5997600346616899E-9</c:v>
                </c:pt>
                <c:pt idx="2">
                  <c:v>2.0430961334192484E-7</c:v>
                </c:pt>
                <c:pt idx="3">
                  <c:v>3.4571764045928863E-6</c:v>
                </c:pt>
                <c:pt idx="4">
                  <c:v>2.5243664651758492E-5</c:v>
                </c:pt>
                <c:pt idx="5">
                  <c:v>1.1425171301326117E-4</c:v>
                </c:pt>
                <c:pt idx="6">
                  <c:v>3.7455917926104416E-4</c:v>
                </c:pt>
                <c:pt idx="7">
                  <c:v>9.6536091977469799E-4</c:v>
                </c:pt>
                <c:pt idx="8">
                  <c:v>2.0606500632243431E-3</c:v>
                </c:pt>
                <c:pt idx="9">
                  <c:v>3.7889263737900481E-3</c:v>
                </c:pt>
                <c:pt idx="10">
                  <c:v>6.1968026115155001E-3</c:v>
                </c:pt>
                <c:pt idx="11">
                  <c:v>9.2556132186183415E-3</c:v>
                </c:pt>
                <c:pt idx="12">
                  <c:v>1.2896638475411958E-2</c:v>
                </c:pt>
                <c:pt idx="13">
                  <c:v>1.705580175842086E-2</c:v>
                </c:pt>
                <c:pt idx="14">
                  <c:v>2.1713908763473285E-2</c:v>
                </c:pt>
                <c:pt idx="15">
                  <c:v>2.6914277542347747E-2</c:v>
                </c:pt>
                <c:pt idx="16">
                  <c:v>3.2744636539845745E-2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55-425A-8365-CF0F5AB74373}"/>
            </c:ext>
          </c:extLst>
        </c:ser>
        <c:ser>
          <c:idx val="2"/>
          <c:order val="2"/>
          <c:tx>
            <c:v>l31(t)</c:v>
          </c:tx>
          <c:marker>
            <c:symbol val="none"/>
          </c:marker>
          <c:xVal>
            <c:numRef>
              <c:f>Нагр!$B$88:$R$88</c:f>
              <c:numCache>
                <c:formatCode>General</c:formatCode>
                <c:ptCount val="1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</c:numCache>
            </c:numRef>
          </c:xVal>
          <c:yVal>
            <c:numRef>
              <c:f>Нагр!$B$97:$R$97</c:f>
              <c:numCache>
                <c:formatCode>General</c:formatCode>
                <c:ptCount val="17"/>
                <c:pt idx="0">
                  <c:v>0</c:v>
                </c:pt>
                <c:pt idx="1">
                  <c:v>2.3995200499988654E-13</c:v>
                </c:pt>
                <c:pt idx="2">
                  <c:v>4.8994975642478872E-10</c:v>
                </c:pt>
                <c:pt idx="3">
                  <c:v>4.1832331995363818E-8</c:v>
                </c:pt>
                <c:pt idx="4">
                  <c:v>9.5645820998160678E-7</c:v>
                </c:pt>
                <c:pt idx="5">
                  <c:v>1.034742875393405E-5</c:v>
                </c:pt>
                <c:pt idx="6">
                  <c:v>6.7405345164804883E-5</c:v>
                </c:pt>
                <c:pt idx="7">
                  <c:v>2.9790037015245613E-4</c:v>
                </c:pt>
                <c:pt idx="8">
                  <c:v>9.5785122491398404E-4</c:v>
                </c:pt>
                <c:pt idx="9">
                  <c:v>2.3648431058761674E-3</c:v>
                </c:pt>
                <c:pt idx="10">
                  <c:v>4.7201102386648921E-3</c:v>
                </c:pt>
                <c:pt idx="11">
                  <c:v>7.9997050180605905E-3</c:v>
                </c:pt>
                <c:pt idx="12">
                  <c:v>1.2013466600994662E-2</c:v>
                </c:pt>
                <c:pt idx="13">
                  <c:v>1.654616845512533E-2</c:v>
                </c:pt>
                <c:pt idx="14">
                  <c:v>2.1477557687952717E-2</c:v>
                </c:pt>
                <c:pt idx="15">
                  <c:v>2.6828737100627692E-2</c:v>
                </c:pt>
                <c:pt idx="16">
                  <c:v>3.2721284192981065E-2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55-425A-8365-CF0F5AB74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938144"/>
        <c:axId val="1"/>
      </c:scatterChart>
      <c:valAx>
        <c:axId val="42793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u-RU"/>
          </a:p>
        </c:txPr>
        <c:crossAx val="427938144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'1-2'!$A$17</c:f>
              <c:strCache>
                <c:ptCount val="1"/>
                <c:pt idx="0">
                  <c:v>p(t)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'1-2'!$B$16:$Z$16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</c:numCache>
            </c:numRef>
          </c:cat>
          <c:val>
            <c:numRef>
              <c:f>'1-2'!$B$17:$Z$17</c:f>
              <c:numCache>
                <c:formatCode>0.000</c:formatCode>
                <c:ptCount val="25"/>
                <c:pt idx="0">
                  <c:v>1</c:v>
                </c:pt>
                <c:pt idx="1">
                  <c:v>0.98757780049388144</c:v>
                </c:pt>
                <c:pt idx="2">
                  <c:v>0.95122942450071402</c:v>
                </c:pt>
                <c:pt idx="3">
                  <c:v>0.89359734710851568</c:v>
                </c:pt>
                <c:pt idx="4">
                  <c:v>0.81873075307798182</c:v>
                </c:pt>
                <c:pt idx="5">
                  <c:v>0.73161562894664178</c:v>
                </c:pt>
                <c:pt idx="6">
                  <c:v>0.63762815162177333</c:v>
                </c:pt>
                <c:pt idx="7">
                  <c:v>0.54199418845918712</c:v>
                </c:pt>
                <c:pt idx="8">
                  <c:v>0.44932896411722156</c:v>
                </c:pt>
                <c:pt idx="9">
                  <c:v>0.36330956935901121</c:v>
                </c:pt>
                <c:pt idx="10">
                  <c:v>0.28650479686019009</c:v>
                </c:pt>
                <c:pt idx="11">
                  <c:v>0.2203583927832338</c:v>
                </c:pt>
                <c:pt idx="12">
                  <c:v>0.16529888822158653</c:v>
                </c:pt>
                <c:pt idx="13">
                  <c:v>0.12093525007041664</c:v>
                </c:pt>
                <c:pt idx="14">
                  <c:v>8.6293586499370495E-2</c:v>
                </c:pt>
                <c:pt idx="15">
                  <c:v>6.0054667895307917E-2</c:v>
                </c:pt>
                <c:pt idx="16">
                  <c:v>4.0762203978366211E-2</c:v>
                </c:pt>
                <c:pt idx="17">
                  <c:v>2.6984301715802475E-2</c:v>
                </c:pt>
                <c:pt idx="18">
                  <c:v>1.7422374639493501E-2</c:v>
                </c:pt>
                <c:pt idx="19">
                  <c:v>1.0970998366931477E-2</c:v>
                </c:pt>
                <c:pt idx="20">
                  <c:v>6.737946999085467E-3</c:v>
                </c:pt>
                <c:pt idx="21">
                  <c:v>4.0360047483195584E-3</c:v>
                </c:pt>
                <c:pt idx="22">
                  <c:v>2.3578620064902307E-3</c:v>
                </c:pt>
                <c:pt idx="23">
                  <c:v>1.3434692743837255E-3</c:v>
                </c:pt>
                <c:pt idx="24">
                  <c:v>7.465858083766792E-4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3-494A-897C-9F20BCD7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90104"/>
        <c:axId val="441381248"/>
      </c:lineChart>
      <c:catAx>
        <c:axId val="441390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81248"/>
        <c:crosses val="autoZero"/>
        <c:auto val="1"/>
        <c:lblAlgn val="ctr"/>
        <c:lblOffset val="100"/>
        <c:noMultiLvlLbl val="0"/>
      </c:catAx>
      <c:valAx>
        <c:axId val="4413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9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'1-2'!$A$18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'1-2'!$B$16:$Z$16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</c:numCache>
            </c:numRef>
          </c:cat>
          <c:val>
            <c:numRef>
              <c:f>'1-2'!$B$18:$Z$18</c:f>
              <c:numCache>
                <c:formatCode>0.0000</c:formatCode>
                <c:ptCount val="25"/>
                <c:pt idx="0">
                  <c:v>0</c:v>
                </c:pt>
                <c:pt idx="1">
                  <c:v>4.9378890024694068E-4</c:v>
                </c:pt>
                <c:pt idx="2">
                  <c:v>9.5122942450071404E-4</c:v>
                </c:pt>
                <c:pt idx="3">
                  <c:v>1.3403960206627736E-3</c:v>
                </c:pt>
                <c:pt idx="4">
                  <c:v>1.6374615061559637E-3</c:v>
                </c:pt>
                <c:pt idx="5">
                  <c:v>1.8290390723666044E-3</c:v>
                </c:pt>
                <c:pt idx="6">
                  <c:v>1.91288445486532E-3</c:v>
                </c:pt>
                <c:pt idx="7">
                  <c:v>1.8969796596071549E-3</c:v>
                </c:pt>
                <c:pt idx="8">
                  <c:v>1.7973158564688863E-3</c:v>
                </c:pt>
                <c:pt idx="9">
                  <c:v>1.6348930621155507E-3</c:v>
                </c:pt>
                <c:pt idx="10">
                  <c:v>1.4325239843009504E-3</c:v>
                </c:pt>
                <c:pt idx="11">
                  <c:v>1.211971160307786E-3</c:v>
                </c:pt>
                <c:pt idx="12">
                  <c:v>9.9179332932951931E-4</c:v>
                </c:pt>
                <c:pt idx="13">
                  <c:v>7.8607912545770821E-4</c:v>
                </c:pt>
                <c:pt idx="14">
                  <c:v>6.0405510549559342E-4</c:v>
                </c:pt>
                <c:pt idx="15">
                  <c:v>4.5041000921480941E-4</c:v>
                </c:pt>
                <c:pt idx="16">
                  <c:v>3.2609763182692972E-4</c:v>
                </c:pt>
                <c:pt idx="17">
                  <c:v>2.2936656458432105E-4</c:v>
                </c:pt>
                <c:pt idx="18">
                  <c:v>1.5680137175544151E-4</c:v>
                </c:pt>
                <c:pt idx="19">
                  <c:v>1.0422448448584905E-4</c:v>
                </c:pt>
                <c:pt idx="20">
                  <c:v>6.7379469990854672E-5</c:v>
                </c:pt>
                <c:pt idx="21">
                  <c:v>4.2378049857355366E-5</c:v>
                </c:pt>
                <c:pt idx="22">
                  <c:v>2.593648207139254E-5</c:v>
                </c:pt>
                <c:pt idx="23">
                  <c:v>1.5449896655412846E-5</c:v>
                </c:pt>
                <c:pt idx="24">
                  <c:v>8.9590297005201501E-6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65-4E88-8E02-3A5BF28CD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384856"/>
        <c:axId val="441381904"/>
      </c:lineChart>
      <c:catAx>
        <c:axId val="44138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81904"/>
        <c:crosses val="autoZero"/>
        <c:auto val="1"/>
        <c:lblAlgn val="ctr"/>
        <c:lblOffset val="100"/>
        <c:noMultiLvlLbl val="0"/>
      </c:catAx>
      <c:valAx>
        <c:axId val="4413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138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'1-2'!$A$19</c:f>
              <c:strCache>
                <c:ptCount val="1"/>
                <c:pt idx="0">
                  <c:v>λ(t)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'1-2'!$B$16:$Z$16</c:f>
              <c:numCache>
                <c:formatCode>General</c:formatCode>
                <c:ptCount val="25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</c:numCache>
            </c:numRef>
          </c:cat>
          <c:val>
            <c:numRef>
              <c:f>'1-2'!$B$19:$Z$19</c:f>
              <c:numCache>
                <c:formatCode>General</c:formatCode>
                <c:ptCount val="25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3.5000000000000001E-3</c:v>
                </c:pt>
                <c:pt idx="8">
                  <c:v>4.0000000000000001E-3</c:v>
                </c:pt>
                <c:pt idx="9">
                  <c:v>4.5000000000000005E-3</c:v>
                </c:pt>
                <c:pt idx="10">
                  <c:v>5.0000000000000001E-3</c:v>
                </c:pt>
                <c:pt idx="11">
                  <c:v>5.5000000000000005E-3</c:v>
                </c:pt>
                <c:pt idx="12">
                  <c:v>6.0000000000000001E-3</c:v>
                </c:pt>
                <c:pt idx="13">
                  <c:v>6.5000000000000006E-3</c:v>
                </c:pt>
                <c:pt idx="14">
                  <c:v>7.0000000000000001E-3</c:v>
                </c:pt>
                <c:pt idx="15">
                  <c:v>7.5000000000000006E-3</c:v>
                </c:pt>
                <c:pt idx="16">
                  <c:v>8.0000000000000002E-3</c:v>
                </c:pt>
                <c:pt idx="17">
                  <c:v>8.5000000000000006E-3</c:v>
                </c:pt>
                <c:pt idx="18">
                  <c:v>9.0000000000000011E-3</c:v>
                </c:pt>
                <c:pt idx="19">
                  <c:v>9.5000000000000015E-3</c:v>
                </c:pt>
                <c:pt idx="20">
                  <c:v>0.01</c:v>
                </c:pt>
                <c:pt idx="21">
                  <c:v>1.0500000000000001E-2</c:v>
                </c:pt>
                <c:pt idx="22">
                  <c:v>1.1000000000000001E-2</c:v>
                </c:pt>
                <c:pt idx="23">
                  <c:v>1.1500000000000002E-2</c:v>
                </c:pt>
                <c:pt idx="24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7-4E5C-9667-404CBEFDE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2677352"/>
        <c:axId val="442683256"/>
      </c:lineChart>
      <c:catAx>
        <c:axId val="44267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683256"/>
        <c:crosses val="autoZero"/>
        <c:auto val="1"/>
        <c:lblAlgn val="ctr"/>
        <c:lblOffset val="100"/>
        <c:noMultiLvlLbl val="0"/>
      </c:catAx>
      <c:valAx>
        <c:axId val="44268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2677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Вероятности безотказной 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'2.4'!$A$20</c:f>
              <c:strCache>
                <c:ptCount val="1"/>
                <c:pt idx="0">
                  <c:v>Pc1(t)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'2.4'!$B$16:$V$16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'2.4'!$B$20:$V$20</c:f>
              <c:numCache>
                <c:formatCode>0.000</c:formatCode>
                <c:ptCount val="21"/>
                <c:pt idx="0" formatCode="General">
                  <c:v>1</c:v>
                </c:pt>
                <c:pt idx="1">
                  <c:v>0.99777015625000021</c:v>
                </c:pt>
                <c:pt idx="2">
                  <c:v>0.98415000000000008</c:v>
                </c:pt>
                <c:pt idx="3">
                  <c:v>0.95266140624999984</c:v>
                </c:pt>
                <c:pt idx="4">
                  <c:v>0.90112000000000025</c:v>
                </c:pt>
                <c:pt idx="5">
                  <c:v>0.83056640625</c:v>
                </c:pt>
                <c:pt idx="6">
                  <c:v>0.74430999999999981</c:v>
                </c:pt>
                <c:pt idx="7">
                  <c:v>0.64708515625000007</c:v>
                </c:pt>
                <c:pt idx="8">
                  <c:v>0.54432000000000003</c:v>
                </c:pt>
                <c:pt idx="9">
                  <c:v>0.44151765625000006</c:v>
                </c:pt>
                <c:pt idx="10">
                  <c:v>0.34375</c:v>
                </c:pt>
                <c:pt idx="11">
                  <c:v>0.25526390625000006</c:v>
                </c:pt>
                <c:pt idx="12">
                  <c:v>0.17920000000000008</c:v>
                </c:pt>
                <c:pt idx="13">
                  <c:v>0.11742390624999997</c:v>
                </c:pt>
                <c:pt idx="14">
                  <c:v>7.0469999999999977E-2</c:v>
                </c:pt>
                <c:pt idx="15">
                  <c:v>3.759765625E-2</c:v>
                </c:pt>
                <c:pt idx="16">
                  <c:v>1.696000000000001E-2</c:v>
                </c:pt>
                <c:pt idx="17">
                  <c:v>5.8851562499999989E-3</c:v>
                </c:pt>
                <c:pt idx="18">
                  <c:v>1.2700000000000007E-3</c:v>
                </c:pt>
                <c:pt idx="19">
                  <c:v>8.640625000000003E-5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FE-4695-AB87-5E03C5F7F522}"/>
            </c:ext>
          </c:extLst>
        </c:ser>
        <c:ser>
          <c:idx val="1"/>
          <c:order val="1"/>
          <c:tx>
            <c:strRef>
              <c:f>'2.4'!$A$21</c:f>
              <c:strCache>
                <c:ptCount val="1"/>
                <c:pt idx="0">
                  <c:v>Pc2(t)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'2.4'!$B$16:$V$16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'2.4'!$B$21:$V$21</c:f>
              <c:numCache>
                <c:formatCode>0.000</c:formatCode>
                <c:ptCount val="21"/>
                <c:pt idx="0" formatCode="General">
                  <c:v>1</c:v>
                </c:pt>
                <c:pt idx="1">
                  <c:v>0.99935742530468785</c:v>
                </c:pt>
                <c:pt idx="2">
                  <c:v>0.99166890600000013</c:v>
                </c:pt>
                <c:pt idx="3">
                  <c:v>0.96606848427343717</c:v>
                </c:pt>
                <c:pt idx="4">
                  <c:v>0.91435827200000042</c:v>
                </c:pt>
                <c:pt idx="5">
                  <c:v>0.8342742919921875</c:v>
                </c:pt>
                <c:pt idx="6">
                  <c:v>0.72965909799999973</c:v>
                </c:pt>
                <c:pt idx="7">
                  <c:v>0.60889441346093764</c:v>
                </c:pt>
                <c:pt idx="8">
                  <c:v>0.48260966400000005</c:v>
                </c:pt>
                <c:pt idx="9">
                  <c:v>0.36138460367968761</c:v>
                </c:pt>
                <c:pt idx="10">
                  <c:v>0.25390625</c:v>
                </c:pt>
                <c:pt idx="11">
                  <c:v>0.16582204764843758</c:v>
                </c:pt>
                <c:pt idx="12">
                  <c:v>9.9352576000000054E-2</c:v>
                </c:pt>
                <c:pt idx="13">
                  <c:v>5.3588200367187484E-2</c:v>
                </c:pt>
                <c:pt idx="14">
                  <c:v>2.5294841999999994E-2</c:v>
                </c:pt>
                <c:pt idx="15">
                  <c:v>9.9945068359375E-3</c:v>
                </c:pt>
                <c:pt idx="16">
                  <c:v>3.0663680000000025E-3</c:v>
                </c:pt>
                <c:pt idx="17">
                  <c:v>6.3404205468749989E-4</c:v>
                </c:pt>
                <c:pt idx="18">
                  <c:v>6.4234000000000036E-5</c:v>
                </c:pt>
                <c:pt idx="19">
                  <c:v>1.1510234375000007E-6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E-4695-AB87-5E03C5F7F522}"/>
            </c:ext>
          </c:extLst>
        </c:ser>
        <c:ser>
          <c:idx val="2"/>
          <c:order val="2"/>
          <c:tx>
            <c:strRef>
              <c:f>'2.4'!$A$23</c:f>
              <c:strCache>
                <c:ptCount val="1"/>
                <c:pt idx="0">
                  <c:v>4 осн.эл.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'2.4'!$B$16:$V$16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'2.4'!$B$23:$V$23</c:f>
              <c:numCache>
                <c:formatCode>0.000</c:formatCode>
                <c:ptCount val="21"/>
                <c:pt idx="0">
                  <c:v>1</c:v>
                </c:pt>
                <c:pt idx="1">
                  <c:v>0.81450624999999999</c:v>
                </c:pt>
                <c:pt idx="2">
                  <c:v>0.65610000000000013</c:v>
                </c:pt>
                <c:pt idx="3">
                  <c:v>0.52200624999999989</c:v>
                </c:pt>
                <c:pt idx="4">
                  <c:v>0.40960000000000019</c:v>
                </c:pt>
                <c:pt idx="5">
                  <c:v>0.31640625</c:v>
                </c:pt>
                <c:pt idx="6">
                  <c:v>0.24009999999999992</c:v>
                </c:pt>
                <c:pt idx="7">
                  <c:v>0.17850625000000003</c:v>
                </c:pt>
                <c:pt idx="8">
                  <c:v>0.12959999999999999</c:v>
                </c:pt>
                <c:pt idx="9">
                  <c:v>9.1506250000000025E-2</c:v>
                </c:pt>
                <c:pt idx="10">
                  <c:v>6.25E-2</c:v>
                </c:pt>
                <c:pt idx="11">
                  <c:v>4.1006250000000008E-2</c:v>
                </c:pt>
                <c:pt idx="12">
                  <c:v>2.5600000000000012E-2</c:v>
                </c:pt>
                <c:pt idx="13">
                  <c:v>1.5006249999999995E-2</c:v>
                </c:pt>
                <c:pt idx="14">
                  <c:v>8.0999999999999996E-3</c:v>
                </c:pt>
                <c:pt idx="15">
                  <c:v>3.90625E-3</c:v>
                </c:pt>
                <c:pt idx="16">
                  <c:v>1.6000000000000007E-3</c:v>
                </c:pt>
                <c:pt idx="17">
                  <c:v>5.0624999999999997E-4</c:v>
                </c:pt>
                <c:pt idx="18">
                  <c:v>1.0000000000000005E-4</c:v>
                </c:pt>
                <c:pt idx="19">
                  <c:v>6.2500000000000028E-6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FE-4695-AB87-5E03C5F7F522}"/>
            </c:ext>
          </c:extLst>
        </c:ser>
        <c:ser>
          <c:idx val="3"/>
          <c:order val="3"/>
          <c:tx>
            <c:strRef>
              <c:f>'2.4'!$A$24</c:f>
              <c:strCache>
                <c:ptCount val="1"/>
                <c:pt idx="0">
                  <c:v>6 осн. Эл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'2.4'!$B$16:$V$16</c:f>
              <c:numCache>
                <c:formatCode>General</c:formatCode>
                <c:ptCount val="2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</c:numCache>
            </c:numRef>
          </c:cat>
          <c:val>
            <c:numRef>
              <c:f>'2.4'!$B$24:$V$24</c:f>
              <c:numCache>
                <c:formatCode>0.000</c:formatCode>
                <c:ptCount val="21"/>
                <c:pt idx="0">
                  <c:v>1</c:v>
                </c:pt>
                <c:pt idx="1">
                  <c:v>0.73509189062499991</c:v>
                </c:pt>
                <c:pt idx="2">
                  <c:v>0.53144100000000016</c:v>
                </c:pt>
                <c:pt idx="3">
                  <c:v>0.37714951562499988</c:v>
                </c:pt>
                <c:pt idx="4">
                  <c:v>0.26214400000000015</c:v>
                </c:pt>
                <c:pt idx="5">
                  <c:v>0.177978515625</c:v>
                </c:pt>
                <c:pt idx="6">
                  <c:v>0.11764899999999995</c:v>
                </c:pt>
                <c:pt idx="7">
                  <c:v>7.5418890625000026E-2</c:v>
                </c:pt>
                <c:pt idx="8">
                  <c:v>4.6655999999999996E-2</c:v>
                </c:pt>
                <c:pt idx="9">
                  <c:v>2.7680640625000013E-2</c:v>
                </c:pt>
                <c:pt idx="10">
                  <c:v>1.5625E-2</c:v>
                </c:pt>
                <c:pt idx="11">
                  <c:v>8.3037656250000026E-3</c:v>
                </c:pt>
                <c:pt idx="12">
                  <c:v>4.0960000000000024E-3</c:v>
                </c:pt>
                <c:pt idx="13">
                  <c:v>1.8382656249999992E-3</c:v>
                </c:pt>
                <c:pt idx="14">
                  <c:v>7.2899999999999994E-4</c:v>
                </c:pt>
                <c:pt idx="15">
                  <c:v>2.44140625E-4</c:v>
                </c:pt>
                <c:pt idx="16">
                  <c:v>6.4000000000000038E-5</c:v>
                </c:pt>
                <c:pt idx="17">
                  <c:v>1.1390624999999999E-5</c:v>
                </c:pt>
                <c:pt idx="18">
                  <c:v>1.0000000000000006E-6</c:v>
                </c:pt>
                <c:pt idx="19">
                  <c:v>1.5625000000000009E-8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FE-4695-AB87-5E03C5F7F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844952"/>
        <c:axId val="437702736"/>
      </c:lineChart>
      <c:catAx>
        <c:axId val="43484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7702736"/>
        <c:crosses val="autoZero"/>
        <c:auto val="1"/>
        <c:lblAlgn val="ctr"/>
        <c:lblOffset val="100"/>
        <c:noMultiLvlLbl val="0"/>
      </c:catAx>
      <c:valAx>
        <c:axId val="4377027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484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'2.18'!$A$9</c:f>
              <c:strCache>
                <c:ptCount val="1"/>
                <c:pt idx="0">
                  <c:v>Pc(t)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'2.18'!$B$6:$BC$6</c:f>
              <c:numCache>
                <c:formatCode>General</c:formatCode>
                <c:ptCount val="5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</c:numCache>
            </c:numRef>
          </c:cat>
          <c:val>
            <c:numRef>
              <c:f>'2.18'!$B$9:$BC$9</c:f>
              <c:numCache>
                <c:formatCode>0.00</c:formatCode>
                <c:ptCount val="54"/>
                <c:pt idx="0">
                  <c:v>1</c:v>
                </c:pt>
                <c:pt idx="1">
                  <c:v>0.91296489004302361</c:v>
                </c:pt>
                <c:pt idx="2">
                  <c:v>0.65978094432534728</c:v>
                </c:pt>
                <c:pt idx="3">
                  <c:v>0.47822803088007559</c:v>
                </c:pt>
                <c:pt idx="4">
                  <c:v>0.3680914939952582</c:v>
                </c:pt>
                <c:pt idx="5">
                  <c:v>0.28650745580935222</c:v>
                </c:pt>
                <c:pt idx="6">
                  <c:v>0.22313017198014173</c:v>
                </c:pt>
                <c:pt idx="7">
                  <c:v>0.17377394346936359</c:v>
                </c:pt>
                <c:pt idx="8">
                  <c:v>0.13533528323662369</c:v>
                </c:pt>
                <c:pt idx="9">
                  <c:v>0.10539922456186435</c:v>
                </c:pt>
                <c:pt idx="10">
                  <c:v>8.2084998623898842E-2</c:v>
                </c:pt>
                <c:pt idx="11">
                  <c:v>6.392786120670757E-2</c:v>
                </c:pt>
                <c:pt idx="12">
                  <c:v>4.9787068367863951E-2</c:v>
                </c:pt>
                <c:pt idx="13">
                  <c:v>3.877420783172203E-2</c:v>
                </c:pt>
                <c:pt idx="14">
                  <c:v>3.019738342231848E-2</c:v>
                </c:pt>
                <c:pt idx="15">
                  <c:v>2.3517745856009076E-2</c:v>
                </c:pt>
                <c:pt idx="16">
                  <c:v>1.831563888873422E-2</c:v>
                </c:pt>
                <c:pt idx="17">
                  <c:v>1.4264233908999224E-2</c:v>
                </c:pt>
                <c:pt idx="18">
                  <c:v>1.1108996538242266E-2</c:v>
                </c:pt>
                <c:pt idx="19">
                  <c:v>8.6516952031205907E-3</c:v>
                </c:pt>
                <c:pt idx="20">
                  <c:v>6.7379469990854757E-3</c:v>
                </c:pt>
                <c:pt idx="21">
                  <c:v>5.2475183991813612E-3</c:v>
                </c:pt>
                <c:pt idx="22">
                  <c:v>4.0867714384640319E-3</c:v>
                </c:pt>
                <c:pt idx="23">
                  <c:v>3.1827807965096877E-3</c:v>
                </c:pt>
                <c:pt idx="24">
                  <c:v>2.4787521766663767E-3</c:v>
                </c:pt>
                <c:pt idx="25">
                  <c:v>1.9304541362277217E-3</c:v>
                </c:pt>
                <c:pt idx="26">
                  <c:v>1.5034391929775737E-3</c:v>
                </c:pt>
                <c:pt idx="27">
                  <c:v>1.1708796207912098E-3</c:v>
                </c:pt>
                <c:pt idx="28">
                  <c:v>9.1188196555447298E-4</c:v>
                </c:pt>
                <c:pt idx="29">
                  <c:v>7.1017438884257711E-4</c:v>
                </c:pt>
                <c:pt idx="30">
                  <c:v>5.5308437014778278E-4</c:v>
                </c:pt>
                <c:pt idx="31">
                  <c:v>4.307425405757348E-4</c:v>
                </c:pt>
                <c:pt idx="32">
                  <c:v>3.3546262790251635E-4</c:v>
                </c:pt>
                <c:pt idx="33">
                  <c:v>2.6125855730163572E-4</c:v>
                </c:pt>
                <c:pt idx="34">
                  <c:v>2.034683690106398E-4</c:v>
                </c:pt>
                <c:pt idx="35">
                  <c:v>1.5846132511576627E-4</c:v>
                </c:pt>
                <c:pt idx="36">
                  <c:v>1.2340980408664937E-4</c:v>
                </c:pt>
                <c:pt idx="37">
                  <c:v>9.6111652061359187E-5</c:v>
                </c:pt>
                <c:pt idx="38">
                  <c:v>7.4851829887645493E-5</c:v>
                </c:pt>
                <c:pt idx="39">
                  <c:v>5.8294663730862339E-5</c:v>
                </c:pt>
                <c:pt idx="40">
                  <c:v>4.5399929762490743E-5</c:v>
                </c:pt>
                <c:pt idx="41">
                  <c:v>3.5357500850374812E-5</c:v>
                </c:pt>
                <c:pt idx="42">
                  <c:v>2.7536449349718772E-5</c:v>
                </c:pt>
                <c:pt idx="43">
                  <c:v>2.1445408316611569E-5</c:v>
                </c:pt>
                <c:pt idx="44">
                  <c:v>1.6701700790267004E-5</c:v>
                </c:pt>
                <c:pt idx="45">
                  <c:v>1.3007297654077377E-5</c:v>
                </c:pt>
                <c:pt idx="46">
                  <c:v>1.0130093598625933E-5</c:v>
                </c:pt>
                <c:pt idx="47">
                  <c:v>7.8893248272038363E-6</c:v>
                </c:pt>
                <c:pt idx="48">
                  <c:v>6.1442123533428372E-6</c:v>
                </c:pt>
                <c:pt idx="49">
                  <c:v>4.7851173921031886E-6</c:v>
                </c:pt>
                <c:pt idx="50">
                  <c:v>3.7266531720536733E-6</c:v>
                </c:pt>
                <c:pt idx="51">
                  <c:v>2.9023204086708887E-6</c:v>
                </c:pt>
                <c:pt idx="52">
                  <c:v>2.2603294069778457E-6</c:v>
                </c:pt>
                <c:pt idx="53">
                  <c:v>1.7603463121629304E-6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4EA9-B227-07A2DF324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472384"/>
        <c:axId val="532478944"/>
      </c:lineChart>
      <c:catAx>
        <c:axId val="5324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78944"/>
        <c:crosses val="autoZero"/>
        <c:auto val="1"/>
        <c:lblAlgn val="ctr"/>
        <c:lblOffset val="100"/>
        <c:noMultiLvlLbl val="0"/>
      </c:catAx>
      <c:valAx>
        <c:axId val="5324789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47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wmf"/><Relationship Id="rId2" Type="http://schemas.openxmlformats.org/officeDocument/2006/relationships/image" Target="../media/image12.emf"/><Relationship Id="rId1" Type="http://schemas.openxmlformats.org/officeDocument/2006/relationships/image" Target="../media/image11.emf"/><Relationship Id="rId6" Type="http://schemas.openxmlformats.org/officeDocument/2006/relationships/image" Target="../media/image16.emf"/><Relationship Id="rId5" Type="http://schemas.openxmlformats.org/officeDocument/2006/relationships/image" Target="../media/image15.emf"/><Relationship Id="rId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133350</xdr:rowOff>
    </xdr:from>
    <xdr:to>
      <xdr:col>3</xdr:col>
      <xdr:colOff>571500</xdr:colOff>
      <xdr:row>4</xdr:row>
      <xdr:rowOff>133351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V="1">
          <a:off x="2838450" y="133350"/>
          <a:ext cx="514350" cy="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4</xdr:row>
      <xdr:rowOff>123825</xdr:rowOff>
    </xdr:from>
    <xdr:to>
      <xdr:col>7</xdr:col>
      <xdr:colOff>590550</xdr:colOff>
      <xdr:row>4</xdr:row>
      <xdr:rowOff>123826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362575" y="123825"/>
          <a:ext cx="514350" cy="1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13</xdr:row>
      <xdr:rowOff>152400</xdr:rowOff>
    </xdr:from>
    <xdr:to>
      <xdr:col>2</xdr:col>
      <xdr:colOff>47625</xdr:colOff>
      <xdr:row>18</xdr:row>
      <xdr:rowOff>104775</xdr:rowOff>
    </xdr:to>
    <xdr:grpSp>
      <xdr:nvGrpSpPr>
        <xdr:cNvPr id="894459" name="Group 136">
          <a:extLst>
            <a:ext uri="{FF2B5EF4-FFF2-40B4-BE49-F238E27FC236}">
              <a16:creationId xmlns:a16="http://schemas.microsoft.com/office/drawing/2014/main" id="{00000000-0008-0000-0000-0000FBA50D00}"/>
            </a:ext>
          </a:extLst>
        </xdr:cNvPr>
        <xdr:cNvGrpSpPr>
          <a:grpSpLocks/>
        </xdr:cNvGrpSpPr>
      </xdr:nvGrpSpPr>
      <xdr:grpSpPr bwMode="auto">
        <a:xfrm>
          <a:off x="666750" y="2824192"/>
          <a:ext cx="1489554" cy="1042658"/>
          <a:chOff x="1860" y="3135"/>
          <a:chExt cx="1935" cy="1440"/>
        </a:xfrm>
      </xdr:grpSpPr>
      <xdr:grpSp>
        <xdr:nvGrpSpPr>
          <xdr:cNvPr id="894582" name="Group 137">
            <a:extLst>
              <a:ext uri="{FF2B5EF4-FFF2-40B4-BE49-F238E27FC236}">
                <a16:creationId xmlns:a16="http://schemas.microsoft.com/office/drawing/2014/main" id="{00000000-0008-0000-0000-000076A60D00}"/>
              </a:ext>
            </a:extLst>
          </xdr:cNvPr>
          <xdr:cNvGrpSpPr>
            <a:grpSpLocks/>
          </xdr:cNvGrpSpPr>
        </xdr:nvGrpSpPr>
        <xdr:grpSpPr bwMode="auto">
          <a:xfrm>
            <a:off x="2205" y="3600"/>
            <a:ext cx="1245" cy="240"/>
            <a:chOff x="1935" y="1170"/>
            <a:chExt cx="1245" cy="240"/>
          </a:xfrm>
        </xdr:grpSpPr>
        <xdr:sp macro="" textlink="">
          <xdr:nvSpPr>
            <xdr:cNvPr id="894593" name="Rectangle 138">
              <a:extLst>
                <a:ext uri="{FF2B5EF4-FFF2-40B4-BE49-F238E27FC236}">
                  <a16:creationId xmlns:a16="http://schemas.microsoft.com/office/drawing/2014/main" id="{00000000-0008-0000-0000-000081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94" name="AutoShape 139">
              <a:extLst>
                <a:ext uri="{FF2B5EF4-FFF2-40B4-BE49-F238E27FC236}">
                  <a16:creationId xmlns:a16="http://schemas.microsoft.com/office/drawing/2014/main" id="{00000000-0008-0000-0000-000082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95" name="AutoShape 140">
              <a:extLst>
                <a:ext uri="{FF2B5EF4-FFF2-40B4-BE49-F238E27FC236}">
                  <a16:creationId xmlns:a16="http://schemas.microsoft.com/office/drawing/2014/main" id="{00000000-0008-0000-0000-000083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583" name="Group 141">
            <a:extLst>
              <a:ext uri="{FF2B5EF4-FFF2-40B4-BE49-F238E27FC236}">
                <a16:creationId xmlns:a16="http://schemas.microsoft.com/office/drawing/2014/main" id="{00000000-0008-0000-0000-000077A60D00}"/>
              </a:ext>
            </a:extLst>
          </xdr:cNvPr>
          <xdr:cNvGrpSpPr>
            <a:grpSpLocks/>
          </xdr:cNvGrpSpPr>
        </xdr:nvGrpSpPr>
        <xdr:grpSpPr bwMode="auto">
          <a:xfrm>
            <a:off x="2205" y="4335"/>
            <a:ext cx="1245" cy="240"/>
            <a:chOff x="1935" y="1170"/>
            <a:chExt cx="1245" cy="240"/>
          </a:xfrm>
        </xdr:grpSpPr>
        <xdr:sp macro="" textlink="">
          <xdr:nvSpPr>
            <xdr:cNvPr id="894590" name="Rectangle 142">
              <a:extLst>
                <a:ext uri="{FF2B5EF4-FFF2-40B4-BE49-F238E27FC236}">
                  <a16:creationId xmlns:a16="http://schemas.microsoft.com/office/drawing/2014/main" id="{00000000-0008-0000-0000-00007E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91" name="AutoShape 143">
              <a:extLst>
                <a:ext uri="{FF2B5EF4-FFF2-40B4-BE49-F238E27FC236}">
                  <a16:creationId xmlns:a16="http://schemas.microsoft.com/office/drawing/2014/main" id="{00000000-0008-0000-0000-00007F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92" name="AutoShape 144">
              <a:extLst>
                <a:ext uri="{FF2B5EF4-FFF2-40B4-BE49-F238E27FC236}">
                  <a16:creationId xmlns:a16="http://schemas.microsoft.com/office/drawing/2014/main" id="{00000000-0008-0000-0000-000080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584" name="AutoShape 145">
            <a:extLst>
              <a:ext uri="{FF2B5EF4-FFF2-40B4-BE49-F238E27FC236}">
                <a16:creationId xmlns:a16="http://schemas.microsoft.com/office/drawing/2014/main" id="{00000000-0008-0000-0000-000078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2235" y="3735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85" name="AutoShape 146">
            <a:extLst>
              <a:ext uri="{FF2B5EF4-FFF2-40B4-BE49-F238E27FC236}">
                <a16:creationId xmlns:a16="http://schemas.microsoft.com/office/drawing/2014/main" id="{00000000-0008-0000-0000-000079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420" y="3735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86" name="AutoShape 147">
            <a:extLst>
              <a:ext uri="{FF2B5EF4-FFF2-40B4-BE49-F238E27FC236}">
                <a16:creationId xmlns:a16="http://schemas.microsoft.com/office/drawing/2014/main" id="{00000000-0008-0000-0000-00007A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60" y="373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87" name="AutoShape 148">
            <a:extLst>
              <a:ext uri="{FF2B5EF4-FFF2-40B4-BE49-F238E27FC236}">
                <a16:creationId xmlns:a16="http://schemas.microsoft.com/office/drawing/2014/main" id="{00000000-0008-0000-0000-00007B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420" y="373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173" name="Text Box 149">
            <a:extLst>
              <a:ext uri="{FF2B5EF4-FFF2-40B4-BE49-F238E27FC236}">
                <a16:creationId xmlns:a16="http://schemas.microsoft.com/office/drawing/2014/main" id="{00000000-0008-0000-0000-000095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95" y="3135"/>
            <a:ext cx="450" cy="47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2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174" name="Text Box 150">
            <a:extLst>
              <a:ext uri="{FF2B5EF4-FFF2-40B4-BE49-F238E27FC236}">
                <a16:creationId xmlns:a16="http://schemas.microsoft.com/office/drawing/2014/main" id="{00000000-0008-0000-0000-00009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95" y="3835"/>
            <a:ext cx="450" cy="47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4</xdr:col>
      <xdr:colOff>314325</xdr:colOff>
      <xdr:row>13</xdr:row>
      <xdr:rowOff>133350</xdr:rowOff>
    </xdr:from>
    <xdr:to>
      <xdr:col>5</xdr:col>
      <xdr:colOff>866775</xdr:colOff>
      <xdr:row>19</xdr:row>
      <xdr:rowOff>76200</xdr:rowOff>
    </xdr:to>
    <xdr:grpSp>
      <xdr:nvGrpSpPr>
        <xdr:cNvPr id="894460" name="Group 204">
          <a:extLst>
            <a:ext uri="{FF2B5EF4-FFF2-40B4-BE49-F238E27FC236}">
              <a16:creationId xmlns:a16="http://schemas.microsoft.com/office/drawing/2014/main" id="{00000000-0008-0000-0000-0000FCA50D00}"/>
            </a:ext>
          </a:extLst>
        </xdr:cNvPr>
        <xdr:cNvGrpSpPr>
          <a:grpSpLocks/>
        </xdr:cNvGrpSpPr>
      </xdr:nvGrpSpPr>
      <xdr:grpSpPr bwMode="auto">
        <a:xfrm>
          <a:off x="4447816" y="2805142"/>
          <a:ext cx="1331223" cy="1224832"/>
          <a:chOff x="5160" y="3447"/>
          <a:chExt cx="1935" cy="1734"/>
        </a:xfrm>
      </xdr:grpSpPr>
      <xdr:grpSp>
        <xdr:nvGrpSpPr>
          <xdr:cNvPr id="894563" name="Group 205">
            <a:extLst>
              <a:ext uri="{FF2B5EF4-FFF2-40B4-BE49-F238E27FC236}">
                <a16:creationId xmlns:a16="http://schemas.microsoft.com/office/drawing/2014/main" id="{00000000-0008-0000-0000-000063A60D00}"/>
              </a:ext>
            </a:extLst>
          </xdr:cNvPr>
          <xdr:cNvGrpSpPr>
            <a:grpSpLocks/>
          </xdr:cNvGrpSpPr>
        </xdr:nvGrpSpPr>
        <xdr:grpSpPr bwMode="auto">
          <a:xfrm>
            <a:off x="5505" y="3840"/>
            <a:ext cx="1245" cy="240"/>
            <a:chOff x="1935" y="1170"/>
            <a:chExt cx="1245" cy="240"/>
          </a:xfrm>
        </xdr:grpSpPr>
        <xdr:sp macro="" textlink="">
          <xdr:nvSpPr>
            <xdr:cNvPr id="894579" name="Rectangle 206">
              <a:extLst>
                <a:ext uri="{FF2B5EF4-FFF2-40B4-BE49-F238E27FC236}">
                  <a16:creationId xmlns:a16="http://schemas.microsoft.com/office/drawing/2014/main" id="{00000000-0008-0000-0000-000073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80" name="AutoShape 207">
              <a:extLst>
                <a:ext uri="{FF2B5EF4-FFF2-40B4-BE49-F238E27FC236}">
                  <a16:creationId xmlns:a16="http://schemas.microsoft.com/office/drawing/2014/main" id="{00000000-0008-0000-0000-000074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81" name="AutoShape 208">
              <a:extLst>
                <a:ext uri="{FF2B5EF4-FFF2-40B4-BE49-F238E27FC236}">
                  <a16:creationId xmlns:a16="http://schemas.microsoft.com/office/drawing/2014/main" id="{00000000-0008-0000-0000-000075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564" name="Group 209">
            <a:extLst>
              <a:ext uri="{FF2B5EF4-FFF2-40B4-BE49-F238E27FC236}">
                <a16:creationId xmlns:a16="http://schemas.microsoft.com/office/drawing/2014/main" id="{00000000-0008-0000-0000-000064A60D00}"/>
              </a:ext>
            </a:extLst>
          </xdr:cNvPr>
          <xdr:cNvGrpSpPr>
            <a:grpSpLocks/>
          </xdr:cNvGrpSpPr>
        </xdr:nvGrpSpPr>
        <xdr:grpSpPr bwMode="auto">
          <a:xfrm>
            <a:off x="5505" y="4395"/>
            <a:ext cx="1245" cy="240"/>
            <a:chOff x="1935" y="1170"/>
            <a:chExt cx="1245" cy="240"/>
          </a:xfrm>
        </xdr:grpSpPr>
        <xdr:sp macro="" textlink="">
          <xdr:nvSpPr>
            <xdr:cNvPr id="894576" name="Rectangle 210">
              <a:extLst>
                <a:ext uri="{FF2B5EF4-FFF2-40B4-BE49-F238E27FC236}">
                  <a16:creationId xmlns:a16="http://schemas.microsoft.com/office/drawing/2014/main" id="{00000000-0008-0000-0000-000070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77" name="AutoShape 211">
              <a:extLst>
                <a:ext uri="{FF2B5EF4-FFF2-40B4-BE49-F238E27FC236}">
                  <a16:creationId xmlns:a16="http://schemas.microsoft.com/office/drawing/2014/main" id="{00000000-0008-0000-0000-000071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78" name="AutoShape 212">
              <a:extLst>
                <a:ext uri="{FF2B5EF4-FFF2-40B4-BE49-F238E27FC236}">
                  <a16:creationId xmlns:a16="http://schemas.microsoft.com/office/drawing/2014/main" id="{00000000-0008-0000-0000-000072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565" name="AutoShape 213">
            <a:extLst>
              <a:ext uri="{FF2B5EF4-FFF2-40B4-BE49-F238E27FC236}">
                <a16:creationId xmlns:a16="http://schemas.microsoft.com/office/drawing/2014/main" id="{00000000-0008-0000-0000-000065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24" y="3975"/>
            <a:ext cx="1" cy="1101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66" name="AutoShape 214">
            <a:extLst>
              <a:ext uri="{FF2B5EF4-FFF2-40B4-BE49-F238E27FC236}">
                <a16:creationId xmlns:a16="http://schemas.microsoft.com/office/drawing/2014/main" id="{00000000-0008-0000-0000-000066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6733" y="3975"/>
            <a:ext cx="0" cy="1101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67" name="AutoShape 215">
            <a:extLst>
              <a:ext uri="{FF2B5EF4-FFF2-40B4-BE49-F238E27FC236}">
                <a16:creationId xmlns:a16="http://schemas.microsoft.com/office/drawing/2014/main" id="{00000000-0008-0000-0000-000067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60" y="397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68" name="AutoShape 216">
            <a:extLst>
              <a:ext uri="{FF2B5EF4-FFF2-40B4-BE49-F238E27FC236}">
                <a16:creationId xmlns:a16="http://schemas.microsoft.com/office/drawing/2014/main" id="{00000000-0008-0000-0000-000068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720" y="397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41" name="Text Box 217">
            <a:extLst>
              <a:ext uri="{FF2B5EF4-FFF2-40B4-BE49-F238E27FC236}">
                <a16:creationId xmlns:a16="http://schemas.microsoft.com/office/drawing/2014/main" id="{00000000-0008-0000-0000-0000D9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95" y="3447"/>
            <a:ext cx="450" cy="46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242" name="Text Box 218">
            <a:extLst>
              <a:ext uri="{FF2B5EF4-FFF2-40B4-BE49-F238E27FC236}">
                <a16:creationId xmlns:a16="http://schemas.microsoft.com/office/drawing/2014/main" id="{00000000-0008-0000-0000-0000DA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895" y="4025"/>
            <a:ext cx="450" cy="46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571" name="Group 219">
            <a:extLst>
              <a:ext uri="{FF2B5EF4-FFF2-40B4-BE49-F238E27FC236}">
                <a16:creationId xmlns:a16="http://schemas.microsoft.com/office/drawing/2014/main" id="{00000000-0008-0000-0000-00006BA60D00}"/>
              </a:ext>
            </a:extLst>
          </xdr:cNvPr>
          <xdr:cNvGrpSpPr>
            <a:grpSpLocks/>
          </xdr:cNvGrpSpPr>
        </xdr:nvGrpSpPr>
        <xdr:grpSpPr bwMode="auto">
          <a:xfrm>
            <a:off x="5517" y="4941"/>
            <a:ext cx="1245" cy="240"/>
            <a:chOff x="1935" y="1170"/>
            <a:chExt cx="1245" cy="240"/>
          </a:xfrm>
        </xdr:grpSpPr>
        <xdr:sp macro="" textlink="">
          <xdr:nvSpPr>
            <xdr:cNvPr id="894573" name="Rectangle 220">
              <a:extLst>
                <a:ext uri="{FF2B5EF4-FFF2-40B4-BE49-F238E27FC236}">
                  <a16:creationId xmlns:a16="http://schemas.microsoft.com/office/drawing/2014/main" id="{00000000-0008-0000-0000-00006D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74" name="AutoShape 221">
              <a:extLst>
                <a:ext uri="{FF2B5EF4-FFF2-40B4-BE49-F238E27FC236}">
                  <a16:creationId xmlns:a16="http://schemas.microsoft.com/office/drawing/2014/main" id="{00000000-0008-0000-0000-00006E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75" name="AutoShape 222">
              <a:extLst>
                <a:ext uri="{FF2B5EF4-FFF2-40B4-BE49-F238E27FC236}">
                  <a16:creationId xmlns:a16="http://schemas.microsoft.com/office/drawing/2014/main" id="{00000000-0008-0000-0000-00006F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1247" name="Text Box 223">
            <a:extLst>
              <a:ext uri="{FF2B5EF4-FFF2-40B4-BE49-F238E27FC236}">
                <a16:creationId xmlns:a16="http://schemas.microsoft.com/office/drawing/2014/main" id="{00000000-0008-0000-0000-0000DF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0" y="4575"/>
            <a:ext cx="450" cy="46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9</xdr:col>
      <xdr:colOff>28575</xdr:colOff>
      <xdr:row>13</xdr:row>
      <xdr:rowOff>133350</xdr:rowOff>
    </xdr:from>
    <xdr:to>
      <xdr:col>10</xdr:col>
      <xdr:colOff>361950</xdr:colOff>
      <xdr:row>21</xdr:row>
      <xdr:rowOff>19050</xdr:rowOff>
    </xdr:to>
    <xdr:grpSp>
      <xdr:nvGrpSpPr>
        <xdr:cNvPr id="894461" name="Group 397">
          <a:extLst>
            <a:ext uri="{FF2B5EF4-FFF2-40B4-BE49-F238E27FC236}">
              <a16:creationId xmlns:a16="http://schemas.microsoft.com/office/drawing/2014/main" id="{00000000-0008-0000-0000-0000FDA50D00}"/>
            </a:ext>
          </a:extLst>
        </xdr:cNvPr>
        <xdr:cNvGrpSpPr>
          <a:grpSpLocks/>
        </xdr:cNvGrpSpPr>
      </xdr:nvGrpSpPr>
      <xdr:grpSpPr bwMode="auto">
        <a:xfrm>
          <a:off x="8583103" y="2805142"/>
          <a:ext cx="1363753" cy="1551078"/>
          <a:chOff x="5184" y="5277"/>
          <a:chExt cx="1935" cy="2238"/>
        </a:xfrm>
      </xdr:grpSpPr>
      <xdr:grpSp>
        <xdr:nvGrpSpPr>
          <xdr:cNvPr id="894539" name="Group 398">
            <a:extLst>
              <a:ext uri="{FF2B5EF4-FFF2-40B4-BE49-F238E27FC236}">
                <a16:creationId xmlns:a16="http://schemas.microsoft.com/office/drawing/2014/main" id="{00000000-0008-0000-0000-00004BA60D00}"/>
              </a:ext>
            </a:extLst>
          </xdr:cNvPr>
          <xdr:cNvGrpSpPr>
            <a:grpSpLocks/>
          </xdr:cNvGrpSpPr>
        </xdr:nvGrpSpPr>
        <xdr:grpSpPr bwMode="auto">
          <a:xfrm>
            <a:off x="5529" y="5670"/>
            <a:ext cx="1245" cy="240"/>
            <a:chOff x="1935" y="1170"/>
            <a:chExt cx="1245" cy="240"/>
          </a:xfrm>
        </xdr:grpSpPr>
        <xdr:sp macro="" textlink="">
          <xdr:nvSpPr>
            <xdr:cNvPr id="894560" name="Rectangle 399">
              <a:extLst>
                <a:ext uri="{FF2B5EF4-FFF2-40B4-BE49-F238E27FC236}">
                  <a16:creationId xmlns:a16="http://schemas.microsoft.com/office/drawing/2014/main" id="{00000000-0008-0000-0000-000060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61" name="AutoShape 400">
              <a:extLst>
                <a:ext uri="{FF2B5EF4-FFF2-40B4-BE49-F238E27FC236}">
                  <a16:creationId xmlns:a16="http://schemas.microsoft.com/office/drawing/2014/main" id="{00000000-0008-0000-0000-000061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62" name="AutoShape 401">
              <a:extLst>
                <a:ext uri="{FF2B5EF4-FFF2-40B4-BE49-F238E27FC236}">
                  <a16:creationId xmlns:a16="http://schemas.microsoft.com/office/drawing/2014/main" id="{00000000-0008-0000-0000-000062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540" name="Group 402">
            <a:extLst>
              <a:ext uri="{FF2B5EF4-FFF2-40B4-BE49-F238E27FC236}">
                <a16:creationId xmlns:a16="http://schemas.microsoft.com/office/drawing/2014/main" id="{00000000-0008-0000-0000-00004CA60D00}"/>
              </a:ext>
            </a:extLst>
          </xdr:cNvPr>
          <xdr:cNvGrpSpPr>
            <a:grpSpLocks/>
          </xdr:cNvGrpSpPr>
        </xdr:nvGrpSpPr>
        <xdr:grpSpPr bwMode="auto">
          <a:xfrm>
            <a:off x="5529" y="6207"/>
            <a:ext cx="1245" cy="240"/>
            <a:chOff x="1935" y="1170"/>
            <a:chExt cx="1245" cy="240"/>
          </a:xfrm>
        </xdr:grpSpPr>
        <xdr:sp macro="" textlink="">
          <xdr:nvSpPr>
            <xdr:cNvPr id="894557" name="Rectangle 403">
              <a:extLst>
                <a:ext uri="{FF2B5EF4-FFF2-40B4-BE49-F238E27FC236}">
                  <a16:creationId xmlns:a16="http://schemas.microsoft.com/office/drawing/2014/main" id="{00000000-0008-0000-0000-00005D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58" name="AutoShape 404">
              <a:extLst>
                <a:ext uri="{FF2B5EF4-FFF2-40B4-BE49-F238E27FC236}">
                  <a16:creationId xmlns:a16="http://schemas.microsoft.com/office/drawing/2014/main" id="{00000000-0008-0000-0000-00005E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59" name="AutoShape 405">
              <a:extLst>
                <a:ext uri="{FF2B5EF4-FFF2-40B4-BE49-F238E27FC236}">
                  <a16:creationId xmlns:a16="http://schemas.microsoft.com/office/drawing/2014/main" id="{00000000-0008-0000-0000-00005F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541" name="AutoShape 406">
            <a:extLst>
              <a:ext uri="{FF2B5EF4-FFF2-40B4-BE49-F238E27FC236}">
                <a16:creationId xmlns:a16="http://schemas.microsoft.com/office/drawing/2014/main" id="{00000000-0008-0000-0000-00004D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49" y="5805"/>
            <a:ext cx="0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42" name="AutoShape 407">
            <a:extLst>
              <a:ext uri="{FF2B5EF4-FFF2-40B4-BE49-F238E27FC236}">
                <a16:creationId xmlns:a16="http://schemas.microsoft.com/office/drawing/2014/main" id="{00000000-0008-0000-0000-00004EA60D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6758" y="5805"/>
            <a:ext cx="16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43" name="AutoShape 408">
            <a:extLst>
              <a:ext uri="{FF2B5EF4-FFF2-40B4-BE49-F238E27FC236}">
                <a16:creationId xmlns:a16="http://schemas.microsoft.com/office/drawing/2014/main" id="{00000000-0008-0000-0000-00004F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8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44" name="AutoShape 409">
            <a:extLst>
              <a:ext uri="{FF2B5EF4-FFF2-40B4-BE49-F238E27FC236}">
                <a16:creationId xmlns:a16="http://schemas.microsoft.com/office/drawing/2014/main" id="{00000000-0008-0000-0000-000050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74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434" name="Text Box 410">
            <a:extLst>
              <a:ext uri="{FF2B5EF4-FFF2-40B4-BE49-F238E27FC236}">
                <a16:creationId xmlns:a16="http://schemas.microsoft.com/office/drawing/2014/main" id="{00000000-0008-0000-0000-00009A05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9" y="5277"/>
            <a:ext cx="450" cy="46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435" name="Text Box 411">
            <a:extLst>
              <a:ext uri="{FF2B5EF4-FFF2-40B4-BE49-F238E27FC236}">
                <a16:creationId xmlns:a16="http://schemas.microsoft.com/office/drawing/2014/main" id="{00000000-0008-0000-0000-00009B05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9" y="5850"/>
            <a:ext cx="450" cy="46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547" name="Group 412">
            <a:extLst>
              <a:ext uri="{FF2B5EF4-FFF2-40B4-BE49-F238E27FC236}">
                <a16:creationId xmlns:a16="http://schemas.microsoft.com/office/drawing/2014/main" id="{00000000-0008-0000-0000-000053A60D00}"/>
              </a:ext>
            </a:extLst>
          </xdr:cNvPr>
          <xdr:cNvGrpSpPr>
            <a:grpSpLocks/>
          </xdr:cNvGrpSpPr>
        </xdr:nvGrpSpPr>
        <xdr:grpSpPr bwMode="auto">
          <a:xfrm>
            <a:off x="5541" y="6765"/>
            <a:ext cx="1245" cy="240"/>
            <a:chOff x="1935" y="1170"/>
            <a:chExt cx="1245" cy="240"/>
          </a:xfrm>
        </xdr:grpSpPr>
        <xdr:sp macro="" textlink="">
          <xdr:nvSpPr>
            <xdr:cNvPr id="894554" name="Rectangle 413">
              <a:extLst>
                <a:ext uri="{FF2B5EF4-FFF2-40B4-BE49-F238E27FC236}">
                  <a16:creationId xmlns:a16="http://schemas.microsoft.com/office/drawing/2014/main" id="{00000000-0008-0000-0000-00005A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55" name="AutoShape 414">
              <a:extLst>
                <a:ext uri="{FF2B5EF4-FFF2-40B4-BE49-F238E27FC236}">
                  <a16:creationId xmlns:a16="http://schemas.microsoft.com/office/drawing/2014/main" id="{00000000-0008-0000-0000-00005B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56" name="AutoShape 415">
              <a:extLst>
                <a:ext uri="{FF2B5EF4-FFF2-40B4-BE49-F238E27FC236}">
                  <a16:creationId xmlns:a16="http://schemas.microsoft.com/office/drawing/2014/main" id="{00000000-0008-0000-0000-00005C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1440" name="Text Box 416">
            <a:extLst>
              <a:ext uri="{FF2B5EF4-FFF2-40B4-BE49-F238E27FC236}">
                <a16:creationId xmlns:a16="http://schemas.microsoft.com/office/drawing/2014/main" id="{00000000-0008-0000-0000-0000A005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4" y="6410"/>
            <a:ext cx="450" cy="448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549" name="Group 417">
            <a:extLst>
              <a:ext uri="{FF2B5EF4-FFF2-40B4-BE49-F238E27FC236}">
                <a16:creationId xmlns:a16="http://schemas.microsoft.com/office/drawing/2014/main" id="{00000000-0008-0000-0000-000055A60D00}"/>
              </a:ext>
            </a:extLst>
          </xdr:cNvPr>
          <xdr:cNvGrpSpPr>
            <a:grpSpLocks/>
          </xdr:cNvGrpSpPr>
        </xdr:nvGrpSpPr>
        <xdr:grpSpPr bwMode="auto">
          <a:xfrm>
            <a:off x="5547" y="7275"/>
            <a:ext cx="1245" cy="240"/>
            <a:chOff x="1935" y="1170"/>
            <a:chExt cx="1245" cy="240"/>
          </a:xfrm>
        </xdr:grpSpPr>
        <xdr:sp macro="" textlink="">
          <xdr:nvSpPr>
            <xdr:cNvPr id="894551" name="Rectangle 418">
              <a:extLst>
                <a:ext uri="{FF2B5EF4-FFF2-40B4-BE49-F238E27FC236}">
                  <a16:creationId xmlns:a16="http://schemas.microsoft.com/office/drawing/2014/main" id="{00000000-0008-0000-0000-000057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52" name="AutoShape 419">
              <a:extLst>
                <a:ext uri="{FF2B5EF4-FFF2-40B4-BE49-F238E27FC236}">
                  <a16:creationId xmlns:a16="http://schemas.microsoft.com/office/drawing/2014/main" id="{00000000-0008-0000-0000-000058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53" name="AutoShape 420">
              <a:extLst>
                <a:ext uri="{FF2B5EF4-FFF2-40B4-BE49-F238E27FC236}">
                  <a16:creationId xmlns:a16="http://schemas.microsoft.com/office/drawing/2014/main" id="{00000000-0008-0000-0000-000059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1445" name="Text Box 421">
            <a:extLst>
              <a:ext uri="{FF2B5EF4-FFF2-40B4-BE49-F238E27FC236}">
                <a16:creationId xmlns:a16="http://schemas.microsoft.com/office/drawing/2014/main" id="{00000000-0008-0000-0000-0000A505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4" y="6928"/>
            <a:ext cx="450" cy="462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33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12</xdr:col>
      <xdr:colOff>161925</xdr:colOff>
      <xdr:row>24</xdr:row>
      <xdr:rowOff>28575</xdr:rowOff>
    </xdr:from>
    <xdr:to>
      <xdr:col>19</xdr:col>
      <xdr:colOff>257175</xdr:colOff>
      <xdr:row>37</xdr:row>
      <xdr:rowOff>38100</xdr:rowOff>
    </xdr:to>
    <xdr:graphicFrame macro="">
      <xdr:nvGraphicFramePr>
        <xdr:cNvPr id="894462" name="Диаграмма 97">
          <a:extLst>
            <a:ext uri="{FF2B5EF4-FFF2-40B4-BE49-F238E27FC236}">
              <a16:creationId xmlns:a16="http://schemas.microsoft.com/office/drawing/2014/main" id="{00000000-0008-0000-0000-0000FEA5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57150</xdr:colOff>
      <xdr:row>24</xdr:row>
      <xdr:rowOff>9525</xdr:rowOff>
    </xdr:from>
    <xdr:to>
      <xdr:col>27</xdr:col>
      <xdr:colOff>200025</xdr:colOff>
      <xdr:row>37</xdr:row>
      <xdr:rowOff>85725</xdr:rowOff>
    </xdr:to>
    <xdr:graphicFrame macro="">
      <xdr:nvGraphicFramePr>
        <xdr:cNvPr id="894463" name="Диаграмма 75">
          <a:extLst>
            <a:ext uri="{FF2B5EF4-FFF2-40B4-BE49-F238E27FC236}">
              <a16:creationId xmlns:a16="http://schemas.microsoft.com/office/drawing/2014/main" id="{00000000-0008-0000-0000-0000FFA5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57150</xdr:colOff>
      <xdr:row>24</xdr:row>
      <xdr:rowOff>28575</xdr:rowOff>
    </xdr:from>
    <xdr:to>
      <xdr:col>35</xdr:col>
      <xdr:colOff>123825</xdr:colOff>
      <xdr:row>37</xdr:row>
      <xdr:rowOff>47625</xdr:rowOff>
    </xdr:to>
    <xdr:graphicFrame macro="">
      <xdr:nvGraphicFramePr>
        <xdr:cNvPr id="894464" name="Диаграмма 76">
          <a:extLst>
            <a:ext uri="{FF2B5EF4-FFF2-40B4-BE49-F238E27FC236}">
              <a16:creationId xmlns:a16="http://schemas.microsoft.com/office/drawing/2014/main" id="{00000000-0008-0000-0000-000000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152400</xdr:colOff>
      <xdr:row>26</xdr:row>
      <xdr:rowOff>9525</xdr:rowOff>
    </xdr:from>
    <xdr:to>
      <xdr:col>13</xdr:col>
      <xdr:colOff>504825</xdr:colOff>
      <xdr:row>27</xdr:row>
      <xdr:rowOff>57150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10058400" y="4400550"/>
          <a:ext cx="352425" cy="257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21</a:t>
          </a:r>
          <a:endParaRPr lang="ru-RU" sz="1100"/>
        </a:p>
      </xdr:txBody>
    </xdr:sp>
    <xdr:clientData/>
  </xdr:twoCellAnchor>
  <xdr:twoCellAnchor>
    <xdr:from>
      <xdr:col>13</xdr:col>
      <xdr:colOff>533400</xdr:colOff>
      <xdr:row>26</xdr:row>
      <xdr:rowOff>9525</xdr:rowOff>
    </xdr:from>
    <xdr:to>
      <xdr:col>14</xdr:col>
      <xdr:colOff>314325</xdr:colOff>
      <xdr:row>27</xdr:row>
      <xdr:rowOff>57150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10439400" y="4400550"/>
          <a:ext cx="390525" cy="257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31</a:t>
          </a:r>
          <a:endParaRPr lang="ru-RU" sz="1100"/>
        </a:p>
      </xdr:txBody>
    </xdr:sp>
    <xdr:clientData/>
  </xdr:twoCellAnchor>
  <xdr:twoCellAnchor>
    <xdr:from>
      <xdr:col>14</xdr:col>
      <xdr:colOff>161925</xdr:colOff>
      <xdr:row>26</xdr:row>
      <xdr:rowOff>9525</xdr:rowOff>
    </xdr:from>
    <xdr:to>
      <xdr:col>14</xdr:col>
      <xdr:colOff>552450</xdr:colOff>
      <xdr:row>27</xdr:row>
      <xdr:rowOff>57150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0677525" y="4400550"/>
          <a:ext cx="390525" cy="257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41</a:t>
          </a:r>
          <a:endParaRPr lang="ru-RU" sz="1100"/>
        </a:p>
      </xdr:txBody>
    </xdr:sp>
    <xdr:clientData/>
  </xdr:twoCellAnchor>
  <xdr:twoCellAnchor>
    <xdr:from>
      <xdr:col>6</xdr:col>
      <xdr:colOff>95250</xdr:colOff>
      <xdr:row>42</xdr:row>
      <xdr:rowOff>66675</xdr:rowOff>
    </xdr:from>
    <xdr:to>
      <xdr:col>7</xdr:col>
      <xdr:colOff>714375</xdr:colOff>
      <xdr:row>49</xdr:row>
      <xdr:rowOff>152400</xdr:rowOff>
    </xdr:to>
    <xdr:grpSp>
      <xdr:nvGrpSpPr>
        <xdr:cNvPr id="894468" name="Group 397">
          <a:extLst>
            <a:ext uri="{FF2B5EF4-FFF2-40B4-BE49-F238E27FC236}">
              <a16:creationId xmlns:a16="http://schemas.microsoft.com/office/drawing/2014/main" id="{00000000-0008-0000-0000-000004A60D00}"/>
            </a:ext>
          </a:extLst>
        </xdr:cNvPr>
        <xdr:cNvGrpSpPr>
          <a:grpSpLocks/>
        </xdr:cNvGrpSpPr>
      </xdr:nvGrpSpPr>
      <xdr:grpSpPr bwMode="auto">
        <a:xfrm>
          <a:off x="6073835" y="8705071"/>
          <a:ext cx="1697427" cy="1595348"/>
          <a:chOff x="5184" y="5277"/>
          <a:chExt cx="1935" cy="2238"/>
        </a:xfrm>
      </xdr:grpSpPr>
      <xdr:grpSp>
        <xdr:nvGrpSpPr>
          <xdr:cNvPr id="894515" name="Group 398">
            <a:extLst>
              <a:ext uri="{FF2B5EF4-FFF2-40B4-BE49-F238E27FC236}">
                <a16:creationId xmlns:a16="http://schemas.microsoft.com/office/drawing/2014/main" id="{00000000-0008-0000-0000-000033A60D00}"/>
              </a:ext>
            </a:extLst>
          </xdr:cNvPr>
          <xdr:cNvGrpSpPr>
            <a:grpSpLocks/>
          </xdr:cNvGrpSpPr>
        </xdr:nvGrpSpPr>
        <xdr:grpSpPr bwMode="auto">
          <a:xfrm>
            <a:off x="5529" y="5670"/>
            <a:ext cx="1245" cy="240"/>
            <a:chOff x="1935" y="1170"/>
            <a:chExt cx="1245" cy="240"/>
          </a:xfrm>
        </xdr:grpSpPr>
        <xdr:sp macro="" textlink="">
          <xdr:nvSpPr>
            <xdr:cNvPr id="894536" name="Rectangle 399">
              <a:extLst>
                <a:ext uri="{FF2B5EF4-FFF2-40B4-BE49-F238E27FC236}">
                  <a16:creationId xmlns:a16="http://schemas.microsoft.com/office/drawing/2014/main" id="{00000000-0008-0000-0000-000048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37" name="AutoShape 400">
              <a:extLst>
                <a:ext uri="{FF2B5EF4-FFF2-40B4-BE49-F238E27FC236}">
                  <a16:creationId xmlns:a16="http://schemas.microsoft.com/office/drawing/2014/main" id="{00000000-0008-0000-0000-000049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38" name="AutoShape 401">
              <a:extLst>
                <a:ext uri="{FF2B5EF4-FFF2-40B4-BE49-F238E27FC236}">
                  <a16:creationId xmlns:a16="http://schemas.microsoft.com/office/drawing/2014/main" id="{00000000-0008-0000-0000-00004A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516" name="Group 402">
            <a:extLst>
              <a:ext uri="{FF2B5EF4-FFF2-40B4-BE49-F238E27FC236}">
                <a16:creationId xmlns:a16="http://schemas.microsoft.com/office/drawing/2014/main" id="{00000000-0008-0000-0000-000034A60D00}"/>
              </a:ext>
            </a:extLst>
          </xdr:cNvPr>
          <xdr:cNvGrpSpPr>
            <a:grpSpLocks/>
          </xdr:cNvGrpSpPr>
        </xdr:nvGrpSpPr>
        <xdr:grpSpPr bwMode="auto">
          <a:xfrm>
            <a:off x="5529" y="6207"/>
            <a:ext cx="1245" cy="240"/>
            <a:chOff x="1935" y="1170"/>
            <a:chExt cx="1245" cy="240"/>
          </a:xfrm>
        </xdr:grpSpPr>
        <xdr:sp macro="" textlink="">
          <xdr:nvSpPr>
            <xdr:cNvPr id="894533" name="Rectangle 403">
              <a:extLst>
                <a:ext uri="{FF2B5EF4-FFF2-40B4-BE49-F238E27FC236}">
                  <a16:creationId xmlns:a16="http://schemas.microsoft.com/office/drawing/2014/main" id="{00000000-0008-0000-0000-000045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34" name="AutoShape 404">
              <a:extLst>
                <a:ext uri="{FF2B5EF4-FFF2-40B4-BE49-F238E27FC236}">
                  <a16:creationId xmlns:a16="http://schemas.microsoft.com/office/drawing/2014/main" id="{00000000-0008-0000-0000-000046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35" name="AutoShape 405">
              <a:extLst>
                <a:ext uri="{FF2B5EF4-FFF2-40B4-BE49-F238E27FC236}">
                  <a16:creationId xmlns:a16="http://schemas.microsoft.com/office/drawing/2014/main" id="{00000000-0008-0000-0000-000047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517" name="AutoShape 406">
            <a:extLst>
              <a:ext uri="{FF2B5EF4-FFF2-40B4-BE49-F238E27FC236}">
                <a16:creationId xmlns:a16="http://schemas.microsoft.com/office/drawing/2014/main" id="{00000000-0008-0000-0000-000035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49" y="5805"/>
            <a:ext cx="0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18" name="AutoShape 407">
            <a:extLst>
              <a:ext uri="{FF2B5EF4-FFF2-40B4-BE49-F238E27FC236}">
                <a16:creationId xmlns:a16="http://schemas.microsoft.com/office/drawing/2014/main" id="{00000000-0008-0000-0000-000036A60D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6758" y="5805"/>
            <a:ext cx="16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19" name="AutoShape 408">
            <a:extLst>
              <a:ext uri="{FF2B5EF4-FFF2-40B4-BE49-F238E27FC236}">
                <a16:creationId xmlns:a16="http://schemas.microsoft.com/office/drawing/2014/main" id="{00000000-0008-0000-0000-000037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8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20" name="AutoShape 409">
            <a:extLst>
              <a:ext uri="{FF2B5EF4-FFF2-40B4-BE49-F238E27FC236}">
                <a16:creationId xmlns:a16="http://schemas.microsoft.com/office/drawing/2014/main" id="{00000000-0008-0000-0000-000038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74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82" name="Text Box 410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6" y="5277"/>
            <a:ext cx="448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83" name="Text Box 411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6" y="5846"/>
            <a:ext cx="448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523" name="Group 412">
            <a:extLst>
              <a:ext uri="{FF2B5EF4-FFF2-40B4-BE49-F238E27FC236}">
                <a16:creationId xmlns:a16="http://schemas.microsoft.com/office/drawing/2014/main" id="{00000000-0008-0000-0000-00003BA60D00}"/>
              </a:ext>
            </a:extLst>
          </xdr:cNvPr>
          <xdr:cNvGrpSpPr>
            <a:grpSpLocks/>
          </xdr:cNvGrpSpPr>
        </xdr:nvGrpSpPr>
        <xdr:grpSpPr bwMode="auto">
          <a:xfrm>
            <a:off x="5541" y="6765"/>
            <a:ext cx="1245" cy="240"/>
            <a:chOff x="1935" y="1170"/>
            <a:chExt cx="1245" cy="240"/>
          </a:xfrm>
        </xdr:grpSpPr>
        <xdr:sp macro="" textlink="">
          <xdr:nvSpPr>
            <xdr:cNvPr id="894530" name="Rectangle 413">
              <a:extLst>
                <a:ext uri="{FF2B5EF4-FFF2-40B4-BE49-F238E27FC236}">
                  <a16:creationId xmlns:a16="http://schemas.microsoft.com/office/drawing/2014/main" id="{00000000-0008-0000-0000-000042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31" name="AutoShape 414">
              <a:extLst>
                <a:ext uri="{FF2B5EF4-FFF2-40B4-BE49-F238E27FC236}">
                  <a16:creationId xmlns:a16="http://schemas.microsoft.com/office/drawing/2014/main" id="{00000000-0008-0000-0000-000043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32" name="AutoShape 415">
              <a:extLst>
                <a:ext uri="{FF2B5EF4-FFF2-40B4-BE49-F238E27FC236}">
                  <a16:creationId xmlns:a16="http://schemas.microsoft.com/office/drawing/2014/main" id="{00000000-0008-0000-0000-000044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85" name="Text Box 416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9" y="6402"/>
            <a:ext cx="448" cy="453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525" name="Group 417">
            <a:extLst>
              <a:ext uri="{FF2B5EF4-FFF2-40B4-BE49-F238E27FC236}">
                <a16:creationId xmlns:a16="http://schemas.microsoft.com/office/drawing/2014/main" id="{00000000-0008-0000-0000-00003DA60D00}"/>
              </a:ext>
            </a:extLst>
          </xdr:cNvPr>
          <xdr:cNvGrpSpPr>
            <a:grpSpLocks/>
          </xdr:cNvGrpSpPr>
        </xdr:nvGrpSpPr>
        <xdr:grpSpPr bwMode="auto">
          <a:xfrm>
            <a:off x="5547" y="7275"/>
            <a:ext cx="1245" cy="240"/>
            <a:chOff x="1935" y="1170"/>
            <a:chExt cx="1245" cy="240"/>
          </a:xfrm>
        </xdr:grpSpPr>
        <xdr:sp macro="" textlink="">
          <xdr:nvSpPr>
            <xdr:cNvPr id="894527" name="Rectangle 418">
              <a:extLst>
                <a:ext uri="{FF2B5EF4-FFF2-40B4-BE49-F238E27FC236}">
                  <a16:creationId xmlns:a16="http://schemas.microsoft.com/office/drawing/2014/main" id="{00000000-0008-0000-0000-00003F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28" name="AutoShape 419">
              <a:extLst>
                <a:ext uri="{FF2B5EF4-FFF2-40B4-BE49-F238E27FC236}">
                  <a16:creationId xmlns:a16="http://schemas.microsoft.com/office/drawing/2014/main" id="{00000000-0008-0000-0000-000040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29" name="AutoShape 420">
              <a:extLst>
                <a:ext uri="{FF2B5EF4-FFF2-40B4-BE49-F238E27FC236}">
                  <a16:creationId xmlns:a16="http://schemas.microsoft.com/office/drawing/2014/main" id="{00000000-0008-0000-0000-000041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87" name="Text Box 421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9" y="6933"/>
            <a:ext cx="448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3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2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8</xdr:col>
      <xdr:colOff>514350</xdr:colOff>
      <xdr:row>51</xdr:row>
      <xdr:rowOff>142875</xdr:rowOff>
    </xdr:from>
    <xdr:to>
      <xdr:col>13</xdr:col>
      <xdr:colOff>342900</xdr:colOff>
      <xdr:row>62</xdr:row>
      <xdr:rowOff>38100</xdr:rowOff>
    </xdr:to>
    <xdr:graphicFrame macro="">
      <xdr:nvGraphicFramePr>
        <xdr:cNvPr id="894469" name="Диаграмма 99">
          <a:extLst>
            <a:ext uri="{FF2B5EF4-FFF2-40B4-BE49-F238E27FC236}">
              <a16:creationId xmlns:a16="http://schemas.microsoft.com/office/drawing/2014/main" id="{00000000-0008-0000-0000-000005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123825</xdr:colOff>
      <xdr:row>51</xdr:row>
      <xdr:rowOff>76200</xdr:rowOff>
    </xdr:from>
    <xdr:to>
      <xdr:col>25</xdr:col>
      <xdr:colOff>647700</xdr:colOff>
      <xdr:row>61</xdr:row>
      <xdr:rowOff>95250</xdr:rowOff>
    </xdr:to>
    <xdr:graphicFrame macro="">
      <xdr:nvGraphicFramePr>
        <xdr:cNvPr id="894470" name="Диаграмма 101">
          <a:extLst>
            <a:ext uri="{FF2B5EF4-FFF2-40B4-BE49-F238E27FC236}">
              <a16:creationId xmlns:a16="http://schemas.microsoft.com/office/drawing/2014/main" id="{00000000-0008-0000-0000-000006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161925</xdr:colOff>
      <xdr:row>51</xdr:row>
      <xdr:rowOff>123825</xdr:rowOff>
    </xdr:from>
    <xdr:to>
      <xdr:col>19</xdr:col>
      <xdr:colOff>523875</xdr:colOff>
      <xdr:row>61</xdr:row>
      <xdr:rowOff>123825</xdr:rowOff>
    </xdr:to>
    <xdr:graphicFrame macro="">
      <xdr:nvGraphicFramePr>
        <xdr:cNvPr id="894471" name="Диаграмма 102">
          <a:extLst>
            <a:ext uri="{FF2B5EF4-FFF2-40B4-BE49-F238E27FC236}">
              <a16:creationId xmlns:a16="http://schemas.microsoft.com/office/drawing/2014/main" id="{00000000-0008-0000-0000-000007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57150</xdr:colOff>
      <xdr:row>72</xdr:row>
      <xdr:rowOff>180975</xdr:rowOff>
    </xdr:from>
    <xdr:to>
      <xdr:col>19</xdr:col>
      <xdr:colOff>609600</xdr:colOff>
      <xdr:row>77</xdr:row>
      <xdr:rowOff>85725</xdr:rowOff>
    </xdr:to>
    <xdr:grpSp>
      <xdr:nvGrpSpPr>
        <xdr:cNvPr id="894472" name="Group 1634">
          <a:extLst>
            <a:ext uri="{FF2B5EF4-FFF2-40B4-BE49-F238E27FC236}">
              <a16:creationId xmlns:a16="http://schemas.microsoft.com/office/drawing/2014/main" id="{00000000-0008-0000-0000-000008A60D00}"/>
            </a:ext>
          </a:extLst>
        </xdr:cNvPr>
        <xdr:cNvGrpSpPr>
          <a:grpSpLocks/>
        </xdr:cNvGrpSpPr>
      </xdr:nvGrpSpPr>
      <xdr:grpSpPr bwMode="auto">
        <a:xfrm>
          <a:off x="16099886" y="14869843"/>
          <a:ext cx="1331223" cy="935127"/>
          <a:chOff x="1860" y="3135"/>
          <a:chExt cx="1935" cy="1440"/>
        </a:xfrm>
      </xdr:grpSpPr>
      <xdr:grpSp>
        <xdr:nvGrpSpPr>
          <xdr:cNvPr id="894501" name="Group 1635">
            <a:extLst>
              <a:ext uri="{FF2B5EF4-FFF2-40B4-BE49-F238E27FC236}">
                <a16:creationId xmlns:a16="http://schemas.microsoft.com/office/drawing/2014/main" id="{00000000-0008-0000-0000-000025A60D00}"/>
              </a:ext>
            </a:extLst>
          </xdr:cNvPr>
          <xdr:cNvGrpSpPr>
            <a:grpSpLocks/>
          </xdr:cNvGrpSpPr>
        </xdr:nvGrpSpPr>
        <xdr:grpSpPr bwMode="auto">
          <a:xfrm>
            <a:off x="2205" y="3600"/>
            <a:ext cx="1245" cy="240"/>
            <a:chOff x="1935" y="1170"/>
            <a:chExt cx="1245" cy="240"/>
          </a:xfrm>
        </xdr:grpSpPr>
        <xdr:sp macro="" textlink="">
          <xdr:nvSpPr>
            <xdr:cNvPr id="894512" name="Rectangle 1636">
              <a:extLst>
                <a:ext uri="{FF2B5EF4-FFF2-40B4-BE49-F238E27FC236}">
                  <a16:creationId xmlns:a16="http://schemas.microsoft.com/office/drawing/2014/main" id="{00000000-0008-0000-0000-000030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13" name="AutoShape 1637">
              <a:extLst>
                <a:ext uri="{FF2B5EF4-FFF2-40B4-BE49-F238E27FC236}">
                  <a16:creationId xmlns:a16="http://schemas.microsoft.com/office/drawing/2014/main" id="{00000000-0008-0000-0000-000031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14" name="AutoShape 1638">
              <a:extLst>
                <a:ext uri="{FF2B5EF4-FFF2-40B4-BE49-F238E27FC236}">
                  <a16:creationId xmlns:a16="http://schemas.microsoft.com/office/drawing/2014/main" id="{00000000-0008-0000-0000-000032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502" name="Group 1639">
            <a:extLst>
              <a:ext uri="{FF2B5EF4-FFF2-40B4-BE49-F238E27FC236}">
                <a16:creationId xmlns:a16="http://schemas.microsoft.com/office/drawing/2014/main" id="{00000000-0008-0000-0000-000026A60D00}"/>
              </a:ext>
            </a:extLst>
          </xdr:cNvPr>
          <xdr:cNvGrpSpPr>
            <a:grpSpLocks/>
          </xdr:cNvGrpSpPr>
        </xdr:nvGrpSpPr>
        <xdr:grpSpPr bwMode="auto">
          <a:xfrm>
            <a:off x="2205" y="4335"/>
            <a:ext cx="1245" cy="240"/>
            <a:chOff x="1935" y="1170"/>
            <a:chExt cx="1245" cy="240"/>
          </a:xfrm>
        </xdr:grpSpPr>
        <xdr:sp macro="" textlink="">
          <xdr:nvSpPr>
            <xdr:cNvPr id="894509" name="Rectangle 1640">
              <a:extLst>
                <a:ext uri="{FF2B5EF4-FFF2-40B4-BE49-F238E27FC236}">
                  <a16:creationId xmlns:a16="http://schemas.microsoft.com/office/drawing/2014/main" id="{00000000-0008-0000-0000-00002D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510" name="AutoShape 1641">
              <a:extLst>
                <a:ext uri="{FF2B5EF4-FFF2-40B4-BE49-F238E27FC236}">
                  <a16:creationId xmlns:a16="http://schemas.microsoft.com/office/drawing/2014/main" id="{00000000-0008-0000-0000-00002E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11" name="AutoShape 1642">
              <a:extLst>
                <a:ext uri="{FF2B5EF4-FFF2-40B4-BE49-F238E27FC236}">
                  <a16:creationId xmlns:a16="http://schemas.microsoft.com/office/drawing/2014/main" id="{00000000-0008-0000-0000-00002F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503" name="AutoShape 1643">
            <a:extLst>
              <a:ext uri="{FF2B5EF4-FFF2-40B4-BE49-F238E27FC236}">
                <a16:creationId xmlns:a16="http://schemas.microsoft.com/office/drawing/2014/main" id="{00000000-0008-0000-0000-000027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2235" y="3735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04" name="AutoShape 1644">
            <a:extLst>
              <a:ext uri="{FF2B5EF4-FFF2-40B4-BE49-F238E27FC236}">
                <a16:creationId xmlns:a16="http://schemas.microsoft.com/office/drawing/2014/main" id="{00000000-0008-0000-0000-000028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3420" y="3735"/>
            <a:ext cx="0" cy="73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05" name="AutoShape 1645">
            <a:extLst>
              <a:ext uri="{FF2B5EF4-FFF2-40B4-BE49-F238E27FC236}">
                <a16:creationId xmlns:a16="http://schemas.microsoft.com/office/drawing/2014/main" id="{00000000-0008-0000-0000-000029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860" y="373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506" name="AutoShape 1646">
            <a:extLst>
              <a:ext uri="{FF2B5EF4-FFF2-40B4-BE49-F238E27FC236}">
                <a16:creationId xmlns:a16="http://schemas.microsoft.com/office/drawing/2014/main" id="{00000000-0008-0000-0000-00002A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3420" y="373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90767" name="Text Box 1647">
            <a:extLst>
              <a:ext uri="{FF2B5EF4-FFF2-40B4-BE49-F238E27FC236}">
                <a16:creationId xmlns:a16="http://schemas.microsoft.com/office/drawing/2014/main" id="{00000000-0008-0000-0000-00006FF6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95" y="3135"/>
            <a:ext cx="450" cy="46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90768" name="Text Box 1648">
            <a:extLst>
              <a:ext uri="{FF2B5EF4-FFF2-40B4-BE49-F238E27FC236}">
                <a16:creationId xmlns:a16="http://schemas.microsoft.com/office/drawing/2014/main" id="{00000000-0008-0000-0000-000070F6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595" y="3840"/>
            <a:ext cx="450" cy="465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15</xdr:col>
      <xdr:colOff>47625</xdr:colOff>
      <xdr:row>72</xdr:row>
      <xdr:rowOff>0</xdr:rowOff>
    </xdr:from>
    <xdr:to>
      <xdr:col>16</xdr:col>
      <xdr:colOff>638175</xdr:colOff>
      <xdr:row>79</xdr:row>
      <xdr:rowOff>0</xdr:rowOff>
    </xdr:to>
    <xdr:grpSp>
      <xdr:nvGrpSpPr>
        <xdr:cNvPr id="894473" name="Group 1888">
          <a:extLst>
            <a:ext uri="{FF2B5EF4-FFF2-40B4-BE49-F238E27FC236}">
              <a16:creationId xmlns:a16="http://schemas.microsoft.com/office/drawing/2014/main" id="{00000000-0008-0000-0000-000009A60D00}"/>
            </a:ext>
          </a:extLst>
        </xdr:cNvPr>
        <xdr:cNvGrpSpPr>
          <a:grpSpLocks/>
        </xdr:cNvGrpSpPr>
      </xdr:nvGrpSpPr>
      <xdr:grpSpPr bwMode="auto">
        <a:xfrm>
          <a:off x="13658191" y="14688868"/>
          <a:ext cx="1405267" cy="1449717"/>
          <a:chOff x="5184" y="5277"/>
          <a:chExt cx="1935" cy="2238"/>
        </a:xfrm>
      </xdr:grpSpPr>
      <xdr:grpSp>
        <xdr:nvGrpSpPr>
          <xdr:cNvPr id="894477" name="Group 1889">
            <a:extLst>
              <a:ext uri="{FF2B5EF4-FFF2-40B4-BE49-F238E27FC236}">
                <a16:creationId xmlns:a16="http://schemas.microsoft.com/office/drawing/2014/main" id="{00000000-0008-0000-0000-00000DA60D00}"/>
              </a:ext>
            </a:extLst>
          </xdr:cNvPr>
          <xdr:cNvGrpSpPr>
            <a:grpSpLocks/>
          </xdr:cNvGrpSpPr>
        </xdr:nvGrpSpPr>
        <xdr:grpSpPr bwMode="auto">
          <a:xfrm>
            <a:off x="5529" y="5670"/>
            <a:ext cx="1245" cy="240"/>
            <a:chOff x="1935" y="1170"/>
            <a:chExt cx="1245" cy="240"/>
          </a:xfrm>
        </xdr:grpSpPr>
        <xdr:sp macro="" textlink="">
          <xdr:nvSpPr>
            <xdr:cNvPr id="894498" name="Rectangle 1890">
              <a:extLst>
                <a:ext uri="{FF2B5EF4-FFF2-40B4-BE49-F238E27FC236}">
                  <a16:creationId xmlns:a16="http://schemas.microsoft.com/office/drawing/2014/main" id="{00000000-0008-0000-0000-000022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499" name="AutoShape 1891">
              <a:extLst>
                <a:ext uri="{FF2B5EF4-FFF2-40B4-BE49-F238E27FC236}">
                  <a16:creationId xmlns:a16="http://schemas.microsoft.com/office/drawing/2014/main" id="{00000000-0008-0000-0000-000023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500" name="AutoShape 1892">
              <a:extLst>
                <a:ext uri="{FF2B5EF4-FFF2-40B4-BE49-F238E27FC236}">
                  <a16:creationId xmlns:a16="http://schemas.microsoft.com/office/drawing/2014/main" id="{00000000-0008-0000-0000-000024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894478" name="Group 1893">
            <a:extLst>
              <a:ext uri="{FF2B5EF4-FFF2-40B4-BE49-F238E27FC236}">
                <a16:creationId xmlns:a16="http://schemas.microsoft.com/office/drawing/2014/main" id="{00000000-0008-0000-0000-00000EA60D00}"/>
              </a:ext>
            </a:extLst>
          </xdr:cNvPr>
          <xdr:cNvGrpSpPr>
            <a:grpSpLocks/>
          </xdr:cNvGrpSpPr>
        </xdr:nvGrpSpPr>
        <xdr:grpSpPr bwMode="auto">
          <a:xfrm>
            <a:off x="5529" y="6207"/>
            <a:ext cx="1245" cy="240"/>
            <a:chOff x="1935" y="1170"/>
            <a:chExt cx="1245" cy="240"/>
          </a:xfrm>
        </xdr:grpSpPr>
        <xdr:sp macro="" textlink="">
          <xdr:nvSpPr>
            <xdr:cNvPr id="894495" name="Rectangle 1894">
              <a:extLst>
                <a:ext uri="{FF2B5EF4-FFF2-40B4-BE49-F238E27FC236}">
                  <a16:creationId xmlns:a16="http://schemas.microsoft.com/office/drawing/2014/main" id="{00000000-0008-0000-0000-00001F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496" name="AutoShape 1895">
              <a:extLst>
                <a:ext uri="{FF2B5EF4-FFF2-40B4-BE49-F238E27FC236}">
                  <a16:creationId xmlns:a16="http://schemas.microsoft.com/office/drawing/2014/main" id="{00000000-0008-0000-0000-000020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497" name="AutoShape 1896">
              <a:extLst>
                <a:ext uri="{FF2B5EF4-FFF2-40B4-BE49-F238E27FC236}">
                  <a16:creationId xmlns:a16="http://schemas.microsoft.com/office/drawing/2014/main" id="{00000000-0008-0000-0000-000021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894479" name="AutoShape 1897">
            <a:extLst>
              <a:ext uri="{FF2B5EF4-FFF2-40B4-BE49-F238E27FC236}">
                <a16:creationId xmlns:a16="http://schemas.microsoft.com/office/drawing/2014/main" id="{00000000-0008-0000-0000-00000FA60D00}"/>
              </a:ext>
            </a:extLst>
          </xdr:cNvPr>
          <xdr:cNvCxnSpPr>
            <a:cxnSpLocks noChangeShapeType="1"/>
          </xdr:cNvCxnSpPr>
        </xdr:nvCxnSpPr>
        <xdr:spPr bwMode="auto">
          <a:xfrm flipV="1">
            <a:off x="5549" y="5805"/>
            <a:ext cx="0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480" name="AutoShape 1898">
            <a:extLst>
              <a:ext uri="{FF2B5EF4-FFF2-40B4-BE49-F238E27FC236}">
                <a16:creationId xmlns:a16="http://schemas.microsoft.com/office/drawing/2014/main" id="{00000000-0008-0000-0000-000010A60D00}"/>
              </a:ext>
            </a:extLst>
          </xdr:cNvPr>
          <xdr:cNvCxnSpPr>
            <a:cxnSpLocks noChangeShapeType="1"/>
          </xdr:cNvCxnSpPr>
        </xdr:nvCxnSpPr>
        <xdr:spPr bwMode="auto">
          <a:xfrm flipH="1" flipV="1">
            <a:off x="6758" y="5805"/>
            <a:ext cx="16" cy="1605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481" name="AutoShape 1899">
            <a:extLst>
              <a:ext uri="{FF2B5EF4-FFF2-40B4-BE49-F238E27FC236}">
                <a16:creationId xmlns:a16="http://schemas.microsoft.com/office/drawing/2014/main" id="{00000000-0008-0000-0000-000011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8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894482" name="AutoShape 1900">
            <a:extLst>
              <a:ext uri="{FF2B5EF4-FFF2-40B4-BE49-F238E27FC236}">
                <a16:creationId xmlns:a16="http://schemas.microsoft.com/office/drawing/2014/main" id="{00000000-0008-0000-0000-000012A60D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744" y="5805"/>
            <a:ext cx="375" cy="0"/>
          </a:xfrm>
          <a:prstGeom prst="straightConnector1">
            <a:avLst/>
          </a:prstGeom>
          <a:noFill/>
          <a:ln w="254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91021" name="Text Box 1901">
            <a:extLst>
              <a:ext uri="{FF2B5EF4-FFF2-40B4-BE49-F238E27FC236}">
                <a16:creationId xmlns:a16="http://schemas.microsoft.com/office/drawing/2014/main" id="{00000000-0008-0000-0000-00006DF7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" y="5277"/>
            <a:ext cx="452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0">
              <a:lnSpc>
                <a:spcPts val="12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91022" name="Text Box 1902">
            <a:extLst>
              <a:ext uri="{FF2B5EF4-FFF2-40B4-BE49-F238E27FC236}">
                <a16:creationId xmlns:a16="http://schemas.microsoft.com/office/drawing/2014/main" id="{00000000-0008-0000-0000-00006EF7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8" y="5848"/>
            <a:ext cx="452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1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485" name="Group 1903">
            <a:extLst>
              <a:ext uri="{FF2B5EF4-FFF2-40B4-BE49-F238E27FC236}">
                <a16:creationId xmlns:a16="http://schemas.microsoft.com/office/drawing/2014/main" id="{00000000-0008-0000-0000-000015A60D00}"/>
              </a:ext>
            </a:extLst>
          </xdr:cNvPr>
          <xdr:cNvGrpSpPr>
            <a:grpSpLocks/>
          </xdr:cNvGrpSpPr>
        </xdr:nvGrpSpPr>
        <xdr:grpSpPr bwMode="auto">
          <a:xfrm>
            <a:off x="5541" y="6765"/>
            <a:ext cx="1245" cy="240"/>
            <a:chOff x="1935" y="1170"/>
            <a:chExt cx="1245" cy="240"/>
          </a:xfrm>
        </xdr:grpSpPr>
        <xdr:sp macro="" textlink="">
          <xdr:nvSpPr>
            <xdr:cNvPr id="894492" name="Rectangle 1904">
              <a:extLst>
                <a:ext uri="{FF2B5EF4-FFF2-40B4-BE49-F238E27FC236}">
                  <a16:creationId xmlns:a16="http://schemas.microsoft.com/office/drawing/2014/main" id="{00000000-0008-0000-0000-00001C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493" name="AutoShape 1905">
              <a:extLst>
                <a:ext uri="{FF2B5EF4-FFF2-40B4-BE49-F238E27FC236}">
                  <a16:creationId xmlns:a16="http://schemas.microsoft.com/office/drawing/2014/main" id="{00000000-0008-0000-0000-00001D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494" name="AutoShape 1906">
              <a:extLst>
                <a:ext uri="{FF2B5EF4-FFF2-40B4-BE49-F238E27FC236}">
                  <a16:creationId xmlns:a16="http://schemas.microsoft.com/office/drawing/2014/main" id="{00000000-0008-0000-0000-00001E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391027" name="Text Box 1907">
            <a:extLst>
              <a:ext uri="{FF2B5EF4-FFF2-40B4-BE49-F238E27FC236}">
                <a16:creationId xmlns:a16="http://schemas.microsoft.com/office/drawing/2014/main" id="{00000000-0008-0000-0000-000073F7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3" y="6404"/>
            <a:ext cx="452" cy="451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3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2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grpSp>
        <xdr:nvGrpSpPr>
          <xdr:cNvPr id="894487" name="Group 1908">
            <a:extLst>
              <a:ext uri="{FF2B5EF4-FFF2-40B4-BE49-F238E27FC236}">
                <a16:creationId xmlns:a16="http://schemas.microsoft.com/office/drawing/2014/main" id="{00000000-0008-0000-0000-000017A60D00}"/>
              </a:ext>
            </a:extLst>
          </xdr:cNvPr>
          <xdr:cNvGrpSpPr>
            <a:grpSpLocks/>
          </xdr:cNvGrpSpPr>
        </xdr:nvGrpSpPr>
        <xdr:grpSpPr bwMode="auto">
          <a:xfrm>
            <a:off x="5547" y="7275"/>
            <a:ext cx="1245" cy="240"/>
            <a:chOff x="1935" y="1170"/>
            <a:chExt cx="1245" cy="240"/>
          </a:xfrm>
        </xdr:grpSpPr>
        <xdr:sp macro="" textlink="">
          <xdr:nvSpPr>
            <xdr:cNvPr id="894489" name="Rectangle 1909">
              <a:extLst>
                <a:ext uri="{FF2B5EF4-FFF2-40B4-BE49-F238E27FC236}">
                  <a16:creationId xmlns:a16="http://schemas.microsoft.com/office/drawing/2014/main" id="{00000000-0008-0000-0000-000019A60D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310" y="1170"/>
              <a:ext cx="495" cy="240"/>
            </a:xfrm>
            <a:prstGeom prst="rect">
              <a:avLst/>
            </a:prstGeom>
            <a:solidFill>
              <a:srgbClr val="FFFFFF"/>
            </a:solidFill>
            <a:ln w="25400">
              <a:solidFill>
                <a:srgbClr val="000000"/>
              </a:solidFill>
              <a:miter lim="800000"/>
              <a:headEnd/>
              <a:tailEnd/>
            </a:ln>
          </xdr:spPr>
        </xdr:sp>
        <xdr:cxnSp macro="">
          <xdr:nvCxnSpPr>
            <xdr:cNvPr id="894490" name="AutoShape 1910">
              <a:extLst>
                <a:ext uri="{FF2B5EF4-FFF2-40B4-BE49-F238E27FC236}">
                  <a16:creationId xmlns:a16="http://schemas.microsoft.com/office/drawing/2014/main" id="{00000000-0008-0000-0000-00001A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0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4491" name="AutoShape 1911">
              <a:extLst>
                <a:ext uri="{FF2B5EF4-FFF2-40B4-BE49-F238E27FC236}">
                  <a16:creationId xmlns:a16="http://schemas.microsoft.com/office/drawing/2014/main" id="{00000000-0008-0000-0000-00001BA60D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35" y="1305"/>
              <a:ext cx="375" cy="0"/>
            </a:xfrm>
            <a:prstGeom prst="straightConnector1">
              <a:avLst/>
            </a:prstGeom>
            <a:noFill/>
            <a:ln w="25400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sp macro="" textlink="">
        <xdr:nvSpPr>
          <xdr:cNvPr id="391032" name="Text Box 1912">
            <a:extLst>
              <a:ext uri="{FF2B5EF4-FFF2-40B4-BE49-F238E27FC236}">
                <a16:creationId xmlns:a16="http://schemas.microsoft.com/office/drawing/2014/main" id="{00000000-0008-0000-0000-000078F705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33" y="6929"/>
            <a:ext cx="452" cy="466"/>
          </a:xfrm>
          <a:prstGeom prst="rect">
            <a:avLst/>
          </a:prstGeom>
          <a:solidFill>
            <a:srgbClr val="FFFFFF">
              <a:alpha val="0"/>
            </a:srgbClr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ru-RU" sz="1200" b="0" i="0" u="none" strike="noStrike" baseline="0">
                <a:solidFill>
                  <a:srgbClr val="000000"/>
                </a:solidFill>
                <a:latin typeface="Calibri"/>
              </a:rPr>
              <a:t>3</a:t>
            </a: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lnSpc>
                <a:spcPts val="1100"/>
              </a:lnSpc>
              <a:defRPr sz="1000"/>
            </a:pPr>
            <a:endPara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0</xdr:col>
      <xdr:colOff>38100</xdr:colOff>
      <xdr:row>104</xdr:row>
      <xdr:rowOff>152400</xdr:rowOff>
    </xdr:from>
    <xdr:to>
      <xdr:col>5</xdr:col>
      <xdr:colOff>323850</xdr:colOff>
      <xdr:row>119</xdr:row>
      <xdr:rowOff>66675</xdr:rowOff>
    </xdr:to>
    <xdr:graphicFrame macro="">
      <xdr:nvGraphicFramePr>
        <xdr:cNvPr id="894474" name="Диаграмма 138">
          <a:extLst>
            <a:ext uri="{FF2B5EF4-FFF2-40B4-BE49-F238E27FC236}">
              <a16:creationId xmlns:a16="http://schemas.microsoft.com/office/drawing/2014/main" id="{00000000-0008-0000-0000-00000A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619125</xdr:colOff>
      <xdr:row>105</xdr:row>
      <xdr:rowOff>19050</xdr:rowOff>
    </xdr:from>
    <xdr:to>
      <xdr:col>11</xdr:col>
      <xdr:colOff>400050</xdr:colOff>
      <xdr:row>119</xdr:row>
      <xdr:rowOff>114300</xdr:rowOff>
    </xdr:to>
    <xdr:graphicFrame macro="">
      <xdr:nvGraphicFramePr>
        <xdr:cNvPr id="894475" name="Диаграмма 139">
          <a:extLst>
            <a:ext uri="{FF2B5EF4-FFF2-40B4-BE49-F238E27FC236}">
              <a16:creationId xmlns:a16="http://schemas.microsoft.com/office/drawing/2014/main" id="{00000000-0008-0000-0000-00000B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209550</xdr:colOff>
      <xdr:row>105</xdr:row>
      <xdr:rowOff>19050</xdr:rowOff>
    </xdr:from>
    <xdr:to>
      <xdr:col>18</xdr:col>
      <xdr:colOff>590550</xdr:colOff>
      <xdr:row>119</xdr:row>
      <xdr:rowOff>114300</xdr:rowOff>
    </xdr:to>
    <xdr:graphicFrame macro="">
      <xdr:nvGraphicFramePr>
        <xdr:cNvPr id="894476" name="Диаграмма 140">
          <a:extLst>
            <a:ext uri="{FF2B5EF4-FFF2-40B4-BE49-F238E27FC236}">
              <a16:creationId xmlns:a16="http://schemas.microsoft.com/office/drawing/2014/main" id="{00000000-0008-0000-0000-00000CA60D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12700</xdr:colOff>
          <xdr:row>38</xdr:row>
          <xdr:rowOff>25400</xdr:rowOff>
        </xdr:from>
        <xdr:to>
          <xdr:col>11</xdr:col>
          <xdr:colOff>152400</xdr:colOff>
          <xdr:row>39</xdr:row>
          <xdr:rowOff>177800</xdr:rowOff>
        </xdr:to>
        <xdr:sp macro="" textlink="">
          <xdr:nvSpPr>
            <xdr:cNvPr id="390169" name="Object 1049" hidden="1">
              <a:extLst>
                <a:ext uri="{63B3BB69-23CF-44E3-9099-C40C66FF867C}">
                  <a14:compatExt spid="_x0000_s390169"/>
                </a:ext>
                <a:ext uri="{FF2B5EF4-FFF2-40B4-BE49-F238E27FC236}">
                  <a16:creationId xmlns:a16="http://schemas.microsoft.com/office/drawing/2014/main" id="{00000000-0008-0000-0000-000019F4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solidFill>
                <a:srgbClr val="339966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596900</xdr:colOff>
          <xdr:row>38</xdr:row>
          <xdr:rowOff>0</xdr:rowOff>
        </xdr:from>
        <xdr:to>
          <xdr:col>24</xdr:col>
          <xdr:colOff>266700</xdr:colOff>
          <xdr:row>41</xdr:row>
          <xdr:rowOff>0</xdr:rowOff>
        </xdr:to>
        <xdr:sp macro="" textlink="">
          <xdr:nvSpPr>
            <xdr:cNvPr id="390170" name="Object 1050" hidden="1">
              <a:extLst>
                <a:ext uri="{63B3BB69-23CF-44E3-9099-C40C66FF867C}">
                  <a14:compatExt spid="_x0000_s390170"/>
                </a:ext>
                <a:ext uri="{FF2B5EF4-FFF2-40B4-BE49-F238E27FC236}">
                  <a16:creationId xmlns:a16="http://schemas.microsoft.com/office/drawing/2014/main" id="{00000000-0008-0000-0000-00001AF4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solidFill>
                <a:srgbClr val="339966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64</xdr:row>
          <xdr:rowOff>12700</xdr:rowOff>
        </xdr:from>
        <xdr:to>
          <xdr:col>12</xdr:col>
          <xdr:colOff>469900</xdr:colOff>
          <xdr:row>67</xdr:row>
          <xdr:rowOff>114300</xdr:rowOff>
        </xdr:to>
        <xdr:sp macro="" textlink="">
          <xdr:nvSpPr>
            <xdr:cNvPr id="390753" name="Object 10" hidden="1">
              <a:extLst>
                <a:ext uri="{63B3BB69-23CF-44E3-9099-C40C66FF867C}">
                  <a14:compatExt spid="_x0000_s390753"/>
                </a:ext>
                <a:ext uri="{FF2B5EF4-FFF2-40B4-BE49-F238E27FC236}">
                  <a16:creationId xmlns:a16="http://schemas.microsoft.com/office/drawing/2014/main" id="{00000000-0008-0000-0000-000061F6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8080" mc:Ignorable="a14" a14:legacySpreadsheetColorIndex="38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12700</xdr:colOff>
          <xdr:row>0</xdr:row>
          <xdr:rowOff>12700</xdr:rowOff>
        </xdr:from>
        <xdr:to>
          <xdr:col>8</xdr:col>
          <xdr:colOff>457200</xdr:colOff>
          <xdr:row>2</xdr:row>
          <xdr:rowOff>25400</xdr:rowOff>
        </xdr:to>
        <xdr:sp macro="" textlink="">
          <xdr:nvSpPr>
            <xdr:cNvPr id="724653" name="Object 2733" hidden="1">
              <a:extLst>
                <a:ext uri="{63B3BB69-23CF-44E3-9099-C40C66FF867C}">
                  <a14:compatExt spid="_x0000_s724653"/>
                </a:ext>
                <a:ext uri="{FF2B5EF4-FFF2-40B4-BE49-F238E27FC236}">
                  <a16:creationId xmlns:a16="http://schemas.microsoft.com/office/drawing/2014/main" id="{00000000-0008-0000-0000-0000AD0E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2700">
              <a:solidFill>
                <a:srgbClr val="339966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25400</xdr:colOff>
          <xdr:row>1</xdr:row>
          <xdr:rowOff>38100</xdr:rowOff>
        </xdr:from>
        <xdr:to>
          <xdr:col>18</xdr:col>
          <xdr:colOff>241300</xdr:colOff>
          <xdr:row>4</xdr:row>
          <xdr:rowOff>177800</xdr:rowOff>
        </xdr:to>
        <xdr:sp macro="" textlink="">
          <xdr:nvSpPr>
            <xdr:cNvPr id="780772" name="Объект 4" hidden="1">
              <a:extLst>
                <a:ext uri="{63B3BB69-23CF-44E3-9099-C40C66FF867C}">
                  <a14:compatExt spid="_x0000_s780772"/>
                </a:ext>
                <a:ext uri="{FF2B5EF4-FFF2-40B4-BE49-F238E27FC236}">
                  <a16:creationId xmlns:a16="http://schemas.microsoft.com/office/drawing/2014/main" id="{00000000-0008-0000-0000-0000E4E9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393700</xdr:colOff>
          <xdr:row>1</xdr:row>
          <xdr:rowOff>25400</xdr:rowOff>
        </xdr:from>
        <xdr:to>
          <xdr:col>21</xdr:col>
          <xdr:colOff>558800</xdr:colOff>
          <xdr:row>4</xdr:row>
          <xdr:rowOff>165100</xdr:rowOff>
        </xdr:to>
        <xdr:sp macro="" textlink="">
          <xdr:nvSpPr>
            <xdr:cNvPr id="780773" name="Объект 4" hidden="1">
              <a:extLst>
                <a:ext uri="{63B3BB69-23CF-44E3-9099-C40C66FF867C}">
                  <a14:compatExt spid="_x0000_s780773"/>
                </a:ext>
                <a:ext uri="{FF2B5EF4-FFF2-40B4-BE49-F238E27FC236}">
                  <a16:creationId xmlns:a16="http://schemas.microsoft.com/office/drawing/2014/main" id="{00000000-0008-0000-0000-0000E5E9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63500</xdr:colOff>
          <xdr:row>1</xdr:row>
          <xdr:rowOff>0</xdr:rowOff>
        </xdr:from>
        <xdr:to>
          <xdr:col>14</xdr:col>
          <xdr:colOff>558800</xdr:colOff>
          <xdr:row>4</xdr:row>
          <xdr:rowOff>165100</xdr:rowOff>
        </xdr:to>
        <xdr:sp macro="" textlink="">
          <xdr:nvSpPr>
            <xdr:cNvPr id="780774" name="Объект 4" hidden="1">
              <a:extLst>
                <a:ext uri="{63B3BB69-23CF-44E3-9099-C40C66FF867C}">
                  <a14:compatExt spid="_x0000_s780774"/>
                </a:ext>
                <a:ext uri="{FF2B5EF4-FFF2-40B4-BE49-F238E27FC236}">
                  <a16:creationId xmlns:a16="http://schemas.microsoft.com/office/drawing/2014/main" id="{00000000-0008-0000-0000-0000E6E9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101600</xdr:colOff>
          <xdr:row>1</xdr:row>
          <xdr:rowOff>25400</xdr:rowOff>
        </xdr:from>
        <xdr:to>
          <xdr:col>25</xdr:col>
          <xdr:colOff>215900</xdr:colOff>
          <xdr:row>4</xdr:row>
          <xdr:rowOff>152400</xdr:rowOff>
        </xdr:to>
        <xdr:sp macro="" textlink="">
          <xdr:nvSpPr>
            <xdr:cNvPr id="831774" name="Объект 4" hidden="1">
              <a:extLst>
                <a:ext uri="{63B3BB69-23CF-44E3-9099-C40C66FF867C}">
                  <a14:compatExt spid="_x0000_s831774"/>
                </a:ext>
                <a:ext uri="{FF2B5EF4-FFF2-40B4-BE49-F238E27FC236}">
                  <a16:creationId xmlns:a16="http://schemas.microsoft.com/office/drawing/2014/main" id="{00000000-0008-0000-0000-00001EB1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635000</xdr:colOff>
          <xdr:row>1</xdr:row>
          <xdr:rowOff>50800</xdr:rowOff>
        </xdr:from>
        <xdr:to>
          <xdr:col>28</xdr:col>
          <xdr:colOff>444500</xdr:colOff>
          <xdr:row>4</xdr:row>
          <xdr:rowOff>88900</xdr:rowOff>
        </xdr:to>
        <xdr:sp macro="" textlink="">
          <xdr:nvSpPr>
            <xdr:cNvPr id="831913" name="Объект 4" hidden="1">
              <a:extLst>
                <a:ext uri="{63B3BB69-23CF-44E3-9099-C40C66FF867C}">
                  <a14:compatExt spid="_x0000_s831913"/>
                </a:ext>
                <a:ext uri="{FF2B5EF4-FFF2-40B4-BE49-F238E27FC236}">
                  <a16:creationId xmlns:a16="http://schemas.microsoft.com/office/drawing/2014/main" id="{00000000-0008-0000-0000-0000A9B1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762000</xdr:colOff>
          <xdr:row>82</xdr:row>
          <xdr:rowOff>12700</xdr:rowOff>
        </xdr:from>
        <xdr:to>
          <xdr:col>9</xdr:col>
          <xdr:colOff>660400</xdr:colOff>
          <xdr:row>86</xdr:row>
          <xdr:rowOff>139700</xdr:rowOff>
        </xdr:to>
        <xdr:sp macro="" textlink="">
          <xdr:nvSpPr>
            <xdr:cNvPr id="832323" name="Объект 4" hidden="1">
              <a:extLst>
                <a:ext uri="{63B3BB69-23CF-44E3-9099-C40C66FF867C}">
                  <a14:compatExt spid="_x0000_s832323"/>
                </a:ext>
                <a:ext uri="{FF2B5EF4-FFF2-40B4-BE49-F238E27FC236}">
                  <a16:creationId xmlns:a16="http://schemas.microsoft.com/office/drawing/2014/main" id="{00000000-0008-0000-0000-000043B30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/>
            </a:solidFill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123825</xdr:rowOff>
    </xdr:from>
    <xdr:to>
      <xdr:col>7</xdr:col>
      <xdr:colOff>304800</xdr:colOff>
      <xdr:row>36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21</xdr:row>
      <xdr:rowOff>161925</xdr:rowOff>
    </xdr:from>
    <xdr:to>
      <xdr:col>15</xdr:col>
      <xdr:colOff>314325</xdr:colOff>
      <xdr:row>36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485775</xdr:colOff>
      <xdr:row>21</xdr:row>
      <xdr:rowOff>180975</xdr:rowOff>
    </xdr:from>
    <xdr:to>
      <xdr:col>24</xdr:col>
      <xdr:colOff>180975</xdr:colOff>
      <xdr:row>36</xdr:row>
      <xdr:rowOff>66675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26</xdr:row>
      <xdr:rowOff>180975</xdr:rowOff>
    </xdr:from>
    <xdr:to>
      <xdr:col>8</xdr:col>
      <xdr:colOff>581025</xdr:colOff>
      <xdr:row>31</xdr:row>
      <xdr:rowOff>9525</xdr:rowOff>
    </xdr:to>
    <xdr:sp macro="" textlink="">
      <xdr:nvSpPr>
        <xdr:cNvPr id="3" name="Левая фигурная скобк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791200" y="5305425"/>
          <a:ext cx="285750" cy="8572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>
    <xdr:from>
      <xdr:col>7</xdr:col>
      <xdr:colOff>180975</xdr:colOff>
      <xdr:row>28</xdr:row>
      <xdr:rowOff>123825</xdr:rowOff>
    </xdr:from>
    <xdr:to>
      <xdr:col>8</xdr:col>
      <xdr:colOff>285750</xdr:colOff>
      <xdr:row>29</xdr:row>
      <xdr:rowOff>28575</xdr:rowOff>
    </xdr:to>
    <xdr:sp macro="" textlink="">
      <xdr:nvSpPr>
        <xdr:cNvPr id="4" name="Полилиния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067300" y="5667375"/>
          <a:ext cx="714375" cy="133350"/>
        </a:xfrm>
        <a:custGeom>
          <a:avLst/>
          <a:gdLst>
            <a:gd name="connsiteX0" fmla="*/ 714375 w 714375"/>
            <a:gd name="connsiteY0" fmla="*/ 66675 h 133350"/>
            <a:gd name="connsiteX1" fmla="*/ 581025 w 714375"/>
            <a:gd name="connsiteY1" fmla="*/ 57150 h 133350"/>
            <a:gd name="connsiteX2" fmla="*/ 533400 w 714375"/>
            <a:gd name="connsiteY2" fmla="*/ 47625 h 133350"/>
            <a:gd name="connsiteX3" fmla="*/ 457200 w 714375"/>
            <a:gd name="connsiteY3" fmla="*/ 38100 h 133350"/>
            <a:gd name="connsiteX4" fmla="*/ 400050 w 714375"/>
            <a:gd name="connsiteY4" fmla="*/ 19050 h 133350"/>
            <a:gd name="connsiteX5" fmla="*/ 371475 w 714375"/>
            <a:gd name="connsiteY5" fmla="*/ 9525 h 133350"/>
            <a:gd name="connsiteX6" fmla="*/ 314325 w 714375"/>
            <a:gd name="connsiteY6" fmla="*/ 0 h 133350"/>
            <a:gd name="connsiteX7" fmla="*/ 180975 w 714375"/>
            <a:gd name="connsiteY7" fmla="*/ 9525 h 133350"/>
            <a:gd name="connsiteX8" fmla="*/ 123825 w 714375"/>
            <a:gd name="connsiteY8" fmla="*/ 28575 h 133350"/>
            <a:gd name="connsiteX9" fmla="*/ 66675 w 714375"/>
            <a:gd name="connsiteY9" fmla="*/ 66675 h 133350"/>
            <a:gd name="connsiteX10" fmla="*/ 0 w 714375"/>
            <a:gd name="connsiteY10" fmla="*/ 133350 h 133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14375" h="133350">
              <a:moveTo>
                <a:pt x="714375" y="66675"/>
              </a:moveTo>
              <a:cubicBezTo>
                <a:pt x="669925" y="63500"/>
                <a:pt x="625343" y="61815"/>
                <a:pt x="581025" y="57150"/>
              </a:cubicBezTo>
              <a:cubicBezTo>
                <a:pt x="564925" y="55455"/>
                <a:pt x="549401" y="50087"/>
                <a:pt x="533400" y="47625"/>
              </a:cubicBezTo>
              <a:cubicBezTo>
                <a:pt x="508100" y="43733"/>
                <a:pt x="482600" y="41275"/>
                <a:pt x="457200" y="38100"/>
              </a:cubicBezTo>
              <a:lnTo>
                <a:pt x="400050" y="19050"/>
              </a:lnTo>
              <a:cubicBezTo>
                <a:pt x="390525" y="15875"/>
                <a:pt x="381379" y="11176"/>
                <a:pt x="371475" y="9525"/>
              </a:cubicBezTo>
              <a:lnTo>
                <a:pt x="314325" y="0"/>
              </a:lnTo>
              <a:cubicBezTo>
                <a:pt x="269875" y="3175"/>
                <a:pt x="225045" y="2914"/>
                <a:pt x="180975" y="9525"/>
              </a:cubicBezTo>
              <a:cubicBezTo>
                <a:pt x="161117" y="12504"/>
                <a:pt x="123825" y="28575"/>
                <a:pt x="123825" y="28575"/>
              </a:cubicBezTo>
              <a:lnTo>
                <a:pt x="66675" y="66675"/>
              </a:lnTo>
              <a:lnTo>
                <a:pt x="0" y="133350"/>
              </a:lnTo>
            </a:path>
          </a:pathLst>
        </a:cu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12700</xdr:colOff>
          <xdr:row>1</xdr:row>
          <xdr:rowOff>76200</xdr:rowOff>
        </xdr:from>
        <xdr:to>
          <xdr:col>12</xdr:col>
          <xdr:colOff>558800</xdr:colOff>
          <xdr:row>6</xdr:row>
          <xdr:rowOff>63500</xdr:rowOff>
        </xdr:to>
        <xdr:sp macro="" textlink="">
          <xdr:nvSpPr>
            <xdr:cNvPr id="702465" name="Object 3" hidden="1">
              <a:extLst>
                <a:ext uri="{63B3BB69-23CF-44E3-9099-C40C66FF867C}">
                  <a14:compatExt spid="_x0000_s702465"/>
                </a:ext>
                <a:ext uri="{FF2B5EF4-FFF2-40B4-BE49-F238E27FC236}">
                  <a16:creationId xmlns:a16="http://schemas.microsoft.com/office/drawing/2014/main" id="{00000000-0008-0000-0200-000001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393700</xdr:colOff>
          <xdr:row>1</xdr:row>
          <xdr:rowOff>76200</xdr:rowOff>
        </xdr:from>
        <xdr:to>
          <xdr:col>17</xdr:col>
          <xdr:colOff>558800</xdr:colOff>
          <xdr:row>6</xdr:row>
          <xdr:rowOff>88900</xdr:rowOff>
        </xdr:to>
        <xdr:sp macro="" textlink="">
          <xdr:nvSpPr>
            <xdr:cNvPr id="702466" name="Object 2" hidden="1">
              <a:extLst>
                <a:ext uri="{63B3BB69-23CF-44E3-9099-C40C66FF867C}">
                  <a14:compatExt spid="_x0000_s702466"/>
                </a:ext>
                <a:ext uri="{FF2B5EF4-FFF2-40B4-BE49-F238E27FC236}">
                  <a16:creationId xmlns:a16="http://schemas.microsoft.com/office/drawing/2014/main" id="{00000000-0008-0000-0200-000002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7</xdr:row>
          <xdr:rowOff>0</xdr:rowOff>
        </xdr:from>
        <xdr:to>
          <xdr:col>4</xdr:col>
          <xdr:colOff>558800</xdr:colOff>
          <xdr:row>9</xdr:row>
          <xdr:rowOff>50800</xdr:rowOff>
        </xdr:to>
        <xdr:sp macro="" textlink="">
          <xdr:nvSpPr>
            <xdr:cNvPr id="702467" name="Object 3" hidden="1">
              <a:extLst>
                <a:ext uri="{63B3BB69-23CF-44E3-9099-C40C66FF867C}">
                  <a14:compatExt spid="_x0000_s702467"/>
                </a:ext>
                <a:ext uri="{FF2B5EF4-FFF2-40B4-BE49-F238E27FC236}">
                  <a16:creationId xmlns:a16="http://schemas.microsoft.com/office/drawing/2014/main" id="{00000000-0008-0000-0200-000003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10</xdr:row>
          <xdr:rowOff>139700</xdr:rowOff>
        </xdr:from>
        <xdr:to>
          <xdr:col>7</xdr:col>
          <xdr:colOff>241300</xdr:colOff>
          <xdr:row>11</xdr:row>
          <xdr:rowOff>177800</xdr:rowOff>
        </xdr:to>
        <xdr:sp macro="" textlink="">
          <xdr:nvSpPr>
            <xdr:cNvPr id="702469" name="Object 5" hidden="1">
              <a:extLst>
                <a:ext uri="{63B3BB69-23CF-44E3-9099-C40C66FF867C}">
                  <a14:compatExt spid="_x0000_s702469"/>
                </a:ext>
                <a:ext uri="{FF2B5EF4-FFF2-40B4-BE49-F238E27FC236}">
                  <a16:creationId xmlns:a16="http://schemas.microsoft.com/office/drawing/2014/main" id="{00000000-0008-0000-0200-000005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292100</xdr:colOff>
          <xdr:row>6</xdr:row>
          <xdr:rowOff>165100</xdr:rowOff>
        </xdr:from>
        <xdr:to>
          <xdr:col>8</xdr:col>
          <xdr:colOff>88900</xdr:colOff>
          <xdr:row>9</xdr:row>
          <xdr:rowOff>63500</xdr:rowOff>
        </xdr:to>
        <xdr:sp macro="" textlink="">
          <xdr:nvSpPr>
            <xdr:cNvPr id="702470" name="Object 10" hidden="1">
              <a:extLst>
                <a:ext uri="{63B3BB69-23CF-44E3-9099-C40C66FF867C}">
                  <a14:compatExt spid="_x0000_s702470"/>
                </a:ext>
                <a:ext uri="{FF2B5EF4-FFF2-40B4-BE49-F238E27FC236}">
                  <a16:creationId xmlns:a16="http://schemas.microsoft.com/office/drawing/2014/main" id="{00000000-0008-0000-0200-000006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CFFCC" mc:Ignorable="a14" a14:legacySpreadsheetColorIndex="42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749300</xdr:colOff>
          <xdr:row>12</xdr:row>
          <xdr:rowOff>190500</xdr:rowOff>
        </xdr:from>
        <xdr:to>
          <xdr:col>11</xdr:col>
          <xdr:colOff>76200</xdr:colOff>
          <xdr:row>14</xdr:row>
          <xdr:rowOff>63500</xdr:rowOff>
        </xdr:to>
        <xdr:sp macro="" textlink="">
          <xdr:nvSpPr>
            <xdr:cNvPr id="702471" name="Object 7" hidden="1">
              <a:extLst>
                <a:ext uri="{63B3BB69-23CF-44E3-9099-C40C66FF867C}">
                  <a14:compatExt spid="_x0000_s702471"/>
                </a:ext>
                <a:ext uri="{FF2B5EF4-FFF2-40B4-BE49-F238E27FC236}">
                  <a16:creationId xmlns:a16="http://schemas.microsoft.com/office/drawing/2014/main" id="{00000000-0008-0000-0200-000007B80A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304799</xdr:colOff>
      <xdr:row>24</xdr:row>
      <xdr:rowOff>9524</xdr:rowOff>
    </xdr:from>
    <xdr:to>
      <xdr:col>7</xdr:col>
      <xdr:colOff>152399</xdr:colOff>
      <xdr:row>37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9525</xdr:rowOff>
    </xdr:from>
    <xdr:to>
      <xdr:col>6</xdr:col>
      <xdr:colOff>523875</xdr:colOff>
      <xdr:row>3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28875" y="390525"/>
          <a:ext cx="1752600" cy="3524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Pc(t)=1- (1-p1(t))(1-p2(t))</a:t>
          </a:r>
          <a:endParaRPr lang="ru-RU" sz="1100"/>
        </a:p>
      </xdr:txBody>
    </xdr:sp>
    <xdr:clientData/>
  </xdr:twoCellAnchor>
  <xdr:twoCellAnchor>
    <xdr:from>
      <xdr:col>4</xdr:col>
      <xdr:colOff>47625</xdr:colOff>
      <xdr:row>17</xdr:row>
      <xdr:rowOff>57150</xdr:rowOff>
    </xdr:from>
    <xdr:to>
      <xdr:col>11</xdr:col>
      <xdr:colOff>352425</xdr:colOff>
      <xdr:row>31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3.bin"/><Relationship Id="rId13" Type="http://schemas.openxmlformats.org/officeDocument/2006/relationships/image" Target="../media/image1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2.emf"/><Relationship Id="rId12" Type="http://schemas.openxmlformats.org/officeDocument/2006/relationships/oleObject" Target="../embeddings/oleObject15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12.bin"/><Relationship Id="rId11" Type="http://schemas.openxmlformats.org/officeDocument/2006/relationships/image" Target="../media/image14.wmf"/><Relationship Id="rId5" Type="http://schemas.openxmlformats.org/officeDocument/2006/relationships/image" Target="../media/image11.emf"/><Relationship Id="rId15" Type="http://schemas.openxmlformats.org/officeDocument/2006/relationships/image" Target="../media/image16.emf"/><Relationship Id="rId10" Type="http://schemas.openxmlformats.org/officeDocument/2006/relationships/oleObject" Target="../embeddings/oleObject14.bin"/><Relationship Id="rId4" Type="http://schemas.openxmlformats.org/officeDocument/2006/relationships/oleObject" Target="../embeddings/oleObject11.bin"/><Relationship Id="rId9" Type="http://schemas.openxmlformats.org/officeDocument/2006/relationships/image" Target="../media/image13.wmf"/><Relationship Id="rId14" Type="http://schemas.openxmlformats.org/officeDocument/2006/relationships/oleObject" Target="../embeddings/oleObject1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4"/>
  <sheetViews>
    <sheetView zoomScale="106" zoomScaleNormal="106" workbookViewId="0">
      <selection activeCell="D18" sqref="D18"/>
    </sheetView>
  </sheetViews>
  <sheetFormatPr baseColWidth="10" defaultColWidth="8.83203125" defaultRowHeight="15" x14ac:dyDescent="0.2"/>
  <cols>
    <col min="1" max="1" width="14" customWidth="1"/>
    <col min="2" max="2" width="13.6640625" customWidth="1"/>
    <col min="3" max="3" width="14" customWidth="1"/>
    <col min="4" max="4" width="12.5" customWidth="1"/>
    <col min="5" max="5" width="10.1640625" customWidth="1"/>
    <col min="6" max="6" width="14" customWidth="1"/>
    <col min="7" max="7" width="14.1640625" customWidth="1"/>
    <col min="8" max="8" width="10.83203125" customWidth="1"/>
    <col min="10" max="10" width="13.5" customWidth="1"/>
    <col min="11" max="11" width="10.33203125" customWidth="1"/>
    <col min="12" max="12" width="11.5" customWidth="1"/>
    <col min="13" max="13" width="9.83203125" customWidth="1"/>
    <col min="14" max="14" width="10.1640625" customWidth="1"/>
    <col min="15" max="15" width="10.83203125" customWidth="1"/>
    <col min="16" max="16" width="10.6640625" customWidth="1"/>
    <col min="17" max="17" width="10.83203125" customWidth="1"/>
    <col min="18" max="18" width="10.33203125" customWidth="1"/>
    <col min="19" max="19" width="10.1640625" customWidth="1"/>
    <col min="20" max="20" width="9.83203125" customWidth="1"/>
    <col min="21" max="21" width="10.1640625" customWidth="1"/>
    <col min="22" max="22" width="9.6640625" customWidth="1"/>
    <col min="23" max="23" width="10.5" customWidth="1"/>
    <col min="24" max="26" width="10.1640625" customWidth="1"/>
  </cols>
  <sheetData>
    <row r="1" spans="1:34" x14ac:dyDescent="0.2">
      <c r="A1" s="16" t="s">
        <v>137</v>
      </c>
      <c r="B1" s="16"/>
      <c r="C1" s="16"/>
      <c r="D1" s="16" t="s">
        <v>139</v>
      </c>
      <c r="E1" s="16"/>
      <c r="F1" s="16"/>
      <c r="J1" t="s">
        <v>150</v>
      </c>
      <c r="O1" s="16" t="s">
        <v>69</v>
      </c>
      <c r="P1" s="16"/>
      <c r="Q1" s="16"/>
      <c r="R1" s="16"/>
      <c r="S1" s="16"/>
      <c r="T1" s="16"/>
    </row>
    <row r="4" spans="1:34" x14ac:dyDescent="0.2">
      <c r="A4" s="123" t="s">
        <v>66</v>
      </c>
      <c r="B4" s="123"/>
    </row>
    <row r="5" spans="1:34" ht="16" thickBot="1" x14ac:dyDescent="0.25">
      <c r="A5" s="117" t="s">
        <v>99</v>
      </c>
      <c r="B5" s="118"/>
      <c r="C5" s="71" t="s">
        <v>24</v>
      </c>
      <c r="D5" s="16"/>
      <c r="E5" s="74" t="s">
        <v>21</v>
      </c>
      <c r="F5" s="75"/>
      <c r="G5" s="76"/>
      <c r="H5" s="16"/>
      <c r="I5" s="120" t="s">
        <v>26</v>
      </c>
      <c r="J5" s="121"/>
      <c r="K5" s="122"/>
      <c r="L5" s="31"/>
    </row>
    <row r="6" spans="1:34" ht="16" thickBot="1" x14ac:dyDescent="0.25">
      <c r="A6" s="78" t="s">
        <v>98</v>
      </c>
      <c r="B6" s="78">
        <v>200</v>
      </c>
      <c r="C6" s="71" t="s">
        <v>25</v>
      </c>
      <c r="D6" s="16"/>
      <c r="E6" s="74" t="s">
        <v>22</v>
      </c>
      <c r="F6" s="75"/>
      <c r="G6" s="76"/>
      <c r="H6" s="16"/>
      <c r="I6" s="120" t="s">
        <v>22</v>
      </c>
      <c r="J6" s="121"/>
      <c r="K6" s="122"/>
      <c r="L6" s="31"/>
      <c r="O6">
        <v>250</v>
      </c>
    </row>
    <row r="7" spans="1:34" ht="16" thickBot="1" x14ac:dyDescent="0.25">
      <c r="A7" s="79" t="s">
        <v>13</v>
      </c>
      <c r="B7" s="79">
        <v>0.8</v>
      </c>
      <c r="C7" s="17"/>
      <c r="D7" s="16"/>
      <c r="E7" s="124" t="s">
        <v>23</v>
      </c>
      <c r="F7" s="125"/>
      <c r="G7" s="126"/>
      <c r="H7" s="16"/>
      <c r="I7" s="124" t="s">
        <v>32</v>
      </c>
      <c r="J7" s="125"/>
      <c r="K7" s="126"/>
      <c r="L7" s="32"/>
      <c r="M7" s="7" t="s">
        <v>0</v>
      </c>
      <c r="N7">
        <v>0</v>
      </c>
      <c r="O7">
        <f>N7+$O$6</f>
        <v>250</v>
      </c>
      <c r="P7">
        <f t="shared" ref="P7:AH7" si="0">O7+$O$6</f>
        <v>500</v>
      </c>
      <c r="Q7">
        <f t="shared" si="0"/>
        <v>750</v>
      </c>
      <c r="R7">
        <f t="shared" si="0"/>
        <v>1000</v>
      </c>
      <c r="S7">
        <f t="shared" si="0"/>
        <v>1250</v>
      </c>
      <c r="T7">
        <f t="shared" si="0"/>
        <v>1500</v>
      </c>
      <c r="U7">
        <f t="shared" si="0"/>
        <v>1750</v>
      </c>
      <c r="V7">
        <f t="shared" si="0"/>
        <v>2000</v>
      </c>
      <c r="W7">
        <f t="shared" si="0"/>
        <v>2250</v>
      </c>
      <c r="X7">
        <f t="shared" si="0"/>
        <v>2500</v>
      </c>
      <c r="Y7">
        <f t="shared" si="0"/>
        <v>2750</v>
      </c>
      <c r="Z7">
        <f t="shared" si="0"/>
        <v>3000</v>
      </c>
      <c r="AA7">
        <f t="shared" si="0"/>
        <v>3250</v>
      </c>
      <c r="AB7">
        <f t="shared" si="0"/>
        <v>3500</v>
      </c>
      <c r="AC7">
        <f t="shared" si="0"/>
        <v>3750</v>
      </c>
      <c r="AD7">
        <f t="shared" si="0"/>
        <v>4000</v>
      </c>
      <c r="AE7">
        <f t="shared" si="0"/>
        <v>4250</v>
      </c>
      <c r="AF7">
        <f t="shared" si="0"/>
        <v>4500</v>
      </c>
      <c r="AG7">
        <f t="shared" si="0"/>
        <v>4750</v>
      </c>
      <c r="AH7">
        <f t="shared" si="0"/>
        <v>5000</v>
      </c>
    </row>
    <row r="8" spans="1:34" ht="17" thickTop="1" thickBot="1" x14ac:dyDescent="0.25">
      <c r="A8" s="1" t="s">
        <v>103</v>
      </c>
      <c r="B8" s="5">
        <f>-LN(B7)/B6</f>
        <v>1.1157177565710484E-3</v>
      </c>
      <c r="C8">
        <f>1/B8</f>
        <v>896.28402354491027</v>
      </c>
      <c r="D8" s="16"/>
      <c r="H8" s="16"/>
      <c r="I8" s="7"/>
      <c r="J8" s="6"/>
      <c r="K8" s="7"/>
      <c r="L8" s="36"/>
      <c r="M8" s="7" t="s">
        <v>28</v>
      </c>
      <c r="N8">
        <f>1-EXPONDIST(N7,$B$8,1)</f>
        <v>1</v>
      </c>
      <c r="O8">
        <f t="shared" ref="O8:Y8" si="1">1-EXPONDIST(O7,$B$8,1)</f>
        <v>0.75659328720254071</v>
      </c>
      <c r="P8">
        <f t="shared" si="1"/>
        <v>0.57243340223994621</v>
      </c>
      <c r="Q8">
        <f t="shared" si="1"/>
        <v>0.43309926950525512</v>
      </c>
      <c r="R8">
        <f t="shared" si="1"/>
        <v>0.32768000000000008</v>
      </c>
      <c r="S8">
        <f t="shared" si="1"/>
        <v>0.2479204883505286</v>
      </c>
      <c r="T8">
        <f t="shared" si="1"/>
        <v>0.1875749772459856</v>
      </c>
      <c r="U8">
        <f t="shared" si="1"/>
        <v>0.14191796863148209</v>
      </c>
      <c r="V8">
        <f t="shared" si="1"/>
        <v>0.10737418240000007</v>
      </c>
      <c r="W8">
        <f t="shared" si="1"/>
        <v>8.1238585622701254E-2</v>
      </c>
      <c r="X8">
        <f t="shared" si="1"/>
        <v>6.1464568543964648E-2</v>
      </c>
      <c r="Y8">
        <f t="shared" si="1"/>
        <v>4.6503679961164002E-2</v>
      </c>
      <c r="Z8">
        <f t="shared" ref="Z8:AH8" si="2">1-EXPONDIST(Z7,$B$8,1)</f>
        <v>3.5184372088832072E-2</v>
      </c>
      <c r="AA8">
        <f t="shared" si="2"/>
        <v>2.6620259736846785E-2</v>
      </c>
      <c r="AB8">
        <f t="shared" si="2"/>
        <v>2.0140709820486324E-2</v>
      </c>
      <c r="AC8">
        <f t="shared" si="2"/>
        <v>1.5238325849674217E-2</v>
      </c>
      <c r="AD8">
        <f t="shared" si="2"/>
        <v>1.1529215046068519E-2</v>
      </c>
      <c r="AE8">
        <f t="shared" si="2"/>
        <v>8.7229267105699559E-3</v>
      </c>
      <c r="AF8">
        <f t="shared" si="2"/>
        <v>6.5997077939770055E-3</v>
      </c>
      <c r="AG8">
        <f t="shared" si="2"/>
        <v>4.9932946144212176E-3</v>
      </c>
      <c r="AH8">
        <f t="shared" si="2"/>
        <v>3.7778931862957332E-3</v>
      </c>
    </row>
    <row r="9" spans="1:34" ht="17" thickTop="1" thickBot="1" x14ac:dyDescent="0.25">
      <c r="A9" s="2" t="s">
        <v>1</v>
      </c>
      <c r="B9" s="2" t="s">
        <v>2</v>
      </c>
      <c r="C9" s="21" t="s">
        <v>16</v>
      </c>
      <c r="D9" s="16"/>
      <c r="H9" s="16"/>
      <c r="I9" s="7"/>
      <c r="J9" s="6"/>
      <c r="K9" s="7"/>
      <c r="L9" s="36"/>
      <c r="M9" s="7" t="s">
        <v>29</v>
      </c>
      <c r="N9">
        <f>1-(1-N8)^2</f>
        <v>1</v>
      </c>
      <c r="O9">
        <f t="shared" ref="O9:AH9" si="3">1-(1-O8)^2</f>
        <v>0.94075317216513521</v>
      </c>
      <c r="P9">
        <f t="shared" si="3"/>
        <v>0.81718680447989234</v>
      </c>
      <c r="Q9">
        <f t="shared" si="3"/>
        <v>0.67862356176452465</v>
      </c>
      <c r="R9">
        <f t="shared" si="3"/>
        <v>0.54798581760000009</v>
      </c>
      <c r="S9">
        <f t="shared" si="3"/>
        <v>0.43437640815709266</v>
      </c>
      <c r="T9">
        <f t="shared" si="3"/>
        <v>0.33996558240313923</v>
      </c>
      <c r="U9">
        <f t="shared" si="3"/>
        <v>0.26369522744247786</v>
      </c>
      <c r="V9">
        <f t="shared" si="3"/>
        <v>0.20321914975393163</v>
      </c>
      <c r="W9">
        <f t="shared" si="3"/>
        <v>0.1558774634514255</v>
      </c>
      <c r="X9">
        <f t="shared" si="3"/>
        <v>0.11915124390163356</v>
      </c>
      <c r="Y9">
        <f t="shared" si="3"/>
        <v>9.0844767672397686E-2</v>
      </c>
      <c r="Z9">
        <f t="shared" si="3"/>
        <v>6.9130804138378799E-2</v>
      </c>
      <c r="AA9">
        <f t="shared" si="3"/>
        <v>5.2531881245236334E-2</v>
      </c>
      <c r="AB9">
        <f t="shared" si="3"/>
        <v>3.9875771448899644E-2</v>
      </c>
      <c r="AC9">
        <f t="shared" si="3"/>
        <v>3.0244445124647634E-2</v>
      </c>
      <c r="AD9">
        <f t="shared" si="3"/>
        <v>2.29255072925586E-2</v>
      </c>
      <c r="AE9">
        <f t="shared" si="3"/>
        <v>1.7369763970741969E-2</v>
      </c>
      <c r="AF9">
        <f t="shared" si="3"/>
        <v>1.3155859444988094E-2</v>
      </c>
      <c r="AG9">
        <f t="shared" si="3"/>
        <v>9.9616562377360385E-3</v>
      </c>
      <c r="AH9">
        <f t="shared" si="3"/>
        <v>7.5415138956643757E-3</v>
      </c>
    </row>
    <row r="10" spans="1:34" ht="17" thickTop="1" thickBot="1" x14ac:dyDescent="0.25">
      <c r="A10" s="1" t="s">
        <v>100</v>
      </c>
      <c r="B10" s="1">
        <f>1-((1-B7)^2)</f>
        <v>0.96</v>
      </c>
      <c r="D10" s="16"/>
      <c r="E10" s="1" t="s">
        <v>14</v>
      </c>
      <c r="F10" s="34">
        <f>1-((1-B7)^3)</f>
        <v>0.99199999999999999</v>
      </c>
      <c r="H10" s="16"/>
      <c r="I10" s="1" t="s">
        <v>14</v>
      </c>
      <c r="J10" s="34">
        <f>1-((1-B7)^4)</f>
        <v>0.99839999999999995</v>
      </c>
      <c r="K10" s="37"/>
      <c r="L10" s="32"/>
      <c r="M10" s="7" t="s">
        <v>30</v>
      </c>
      <c r="N10">
        <f>1-(1-N8)^3</f>
        <v>1</v>
      </c>
      <c r="O10">
        <f t="shared" ref="O10:AH10" si="4">1-(1-O8)^3</f>
        <v>0.98557892439303851</v>
      </c>
      <c r="P10">
        <f t="shared" si="4"/>
        <v>0.92183518396582409</v>
      </c>
      <c r="Q10">
        <f t="shared" si="4"/>
        <v>0.81781146240050973</v>
      </c>
      <c r="R10">
        <f t="shared" si="4"/>
        <v>0.6961018248888321</v>
      </c>
      <c r="S10">
        <f t="shared" si="4"/>
        <v>0.5746060852693663</v>
      </c>
      <c r="T10">
        <f t="shared" si="4"/>
        <v>0.4637715232654378</v>
      </c>
      <c r="U10">
        <f t="shared" si="4"/>
        <v>0.36819010505750682</v>
      </c>
      <c r="V10">
        <f t="shared" si="4"/>
        <v>0.28877284210108012</v>
      </c>
      <c r="W10">
        <f t="shared" si="4"/>
        <v>0.22445278441287864</v>
      </c>
      <c r="X10">
        <f t="shared" si="4"/>
        <v>0.17329223264770766</v>
      </c>
      <c r="Y10">
        <f t="shared" si="4"/>
        <v>0.13312383163157826</v>
      </c>
      <c r="Z10">
        <f t="shared" si="4"/>
        <v>0.10188285229160599</v>
      </c>
      <c r="AA10">
        <f t="shared" si="4"/>
        <v>7.7753728658869758E-2</v>
      </c>
      <c r="AB10">
        <f t="shared" si="4"/>
        <v>5.9213354927765693E-2</v>
      </c>
      <c r="AC10">
        <f t="shared" si="4"/>
        <v>4.5021896264369921E-2</v>
      </c>
      <c r="AD10">
        <f t="shared" si="4"/>
        <v>3.4190409235011043E-2</v>
      </c>
      <c r="AE10">
        <f t="shared" si="4"/>
        <v>2.5941175503215286E-2</v>
      </c>
      <c r="AF10">
        <f t="shared" si="4"/>
        <v>1.9668742410849593E-2</v>
      </c>
      <c r="AG10">
        <f t="shared" si="4"/>
        <v>1.4905209367714667E-2</v>
      </c>
      <c r="AH10">
        <f t="shared" si="4"/>
        <v>1.1290916047999366E-2</v>
      </c>
    </row>
    <row r="11" spans="1:34" ht="17" thickTop="1" thickBot="1" x14ac:dyDescent="0.25">
      <c r="A11" s="1" t="s">
        <v>101</v>
      </c>
      <c r="B11" s="1">
        <f>1-B10</f>
        <v>4.0000000000000036E-2</v>
      </c>
      <c r="C11" s="20"/>
      <c r="D11" s="16"/>
      <c r="E11" s="1" t="s">
        <v>15</v>
      </c>
      <c r="F11" s="34">
        <f>1-F10</f>
        <v>8.0000000000000071E-3</v>
      </c>
      <c r="H11" s="16"/>
      <c r="I11" s="1" t="s">
        <v>15</v>
      </c>
      <c r="J11" s="34">
        <f>1-J10</f>
        <v>1.6000000000000458E-3</v>
      </c>
      <c r="K11" s="29"/>
      <c r="L11" s="31"/>
      <c r="M11" s="7" t="s">
        <v>31</v>
      </c>
      <c r="N11">
        <f>1-(1-N8)^4</f>
        <v>1</v>
      </c>
      <c r="O11">
        <f t="shared" ref="O11:AH11" si="5">1-(1-O8)^4</f>
        <v>0.99648981339150589</v>
      </c>
      <c r="P11">
        <f t="shared" si="5"/>
        <v>0.96657933554372688</v>
      </c>
      <c r="Q11">
        <f t="shared" si="5"/>
        <v>0.89671718494707964</v>
      </c>
      <c r="R11">
        <f t="shared" si="5"/>
        <v>0.79568317890925955</v>
      </c>
      <c r="S11">
        <f t="shared" si="5"/>
        <v>0.68006995235072809</v>
      </c>
      <c r="T11">
        <f t="shared" si="5"/>
        <v>0.56435456758757274</v>
      </c>
      <c r="U11">
        <f t="shared" si="5"/>
        <v>0.45785528190901559</v>
      </c>
      <c r="V11">
        <f t="shared" si="5"/>
        <v>0.36514027668115234</v>
      </c>
      <c r="W11">
        <f t="shared" si="5"/>
        <v>0.28745714329080052</v>
      </c>
      <c r="X11">
        <f t="shared" si="5"/>
        <v>0.22410546887996052</v>
      </c>
      <c r="Y11">
        <f t="shared" si="5"/>
        <v>0.17343676353134341</v>
      </c>
      <c r="Z11">
        <f t="shared" si="5"/>
        <v>0.13348254019593875</v>
      </c>
      <c r="AA11">
        <f t="shared" si="5"/>
        <v>0.1023041639433091</v>
      </c>
      <c r="AB11">
        <f t="shared" si="5"/>
        <v>7.8161465749154391E-2</v>
      </c>
      <c r="AC11">
        <f t="shared" si="5"/>
        <v>5.9574163788397416E-2</v>
      </c>
      <c r="AD11">
        <f t="shared" si="5"/>
        <v>4.5325435700496075E-2</v>
      </c>
      <c r="AE11">
        <f t="shared" si="5"/>
        <v>3.4437819241084688E-2</v>
      </c>
      <c r="AF11">
        <f t="shared" si="5"/>
        <v>2.6138642252239941E-2</v>
      </c>
      <c r="AG11">
        <f t="shared" si="5"/>
        <v>1.9824077880473245E-2</v>
      </c>
      <c r="AH11">
        <f t="shared" si="5"/>
        <v>1.5026153359490202E-2</v>
      </c>
    </row>
    <row r="12" spans="1:34" ht="17" thickTop="1" thickBot="1" x14ac:dyDescent="0.25">
      <c r="B12" s="18"/>
      <c r="C12" s="19"/>
      <c r="D12" s="16"/>
      <c r="E12" s="29"/>
      <c r="F12" s="33"/>
      <c r="G12" s="35"/>
      <c r="H12" s="16"/>
      <c r="I12" s="29"/>
      <c r="J12" s="29"/>
      <c r="K12" s="29"/>
      <c r="L12" s="31"/>
      <c r="M12" s="7" t="s">
        <v>20</v>
      </c>
      <c r="N12">
        <f>EXPONDIST(N7,$B$8,0)</f>
        <v>1.1157177565710484E-3</v>
      </c>
      <c r="O12">
        <f t="shared" ref="O12:AH12" si="6">EXPONDIST(O7,$B$8,0)</f>
        <v>8.4414456503433368E-4</v>
      </c>
      <c r="P12">
        <f t="shared" si="6"/>
        <v>6.3867411133348539E-4</v>
      </c>
      <c r="Q12">
        <f t="shared" si="6"/>
        <v>4.8321654534496321E-4</v>
      </c>
      <c r="R12">
        <f t="shared" si="6"/>
        <v>3.6559839447320125E-4</v>
      </c>
      <c r="S12">
        <f t="shared" si="6"/>
        <v>2.766092910704506E-4</v>
      </c>
      <c r="T12">
        <f t="shared" si="6"/>
        <v>2.0928073280175656E-4</v>
      </c>
      <c r="U12">
        <f t="shared" si="6"/>
        <v>1.5834039757863761E-4</v>
      </c>
      <c r="V12">
        <f t="shared" si="6"/>
        <v>1.197992819009786E-4</v>
      </c>
      <c r="W12">
        <f t="shared" si="6"/>
        <v>9.0639332497965261E-5</v>
      </c>
      <c r="X12">
        <f t="shared" si="6"/>
        <v>6.8577110524479628E-5</v>
      </c>
      <c r="Y12">
        <f t="shared" si="6"/>
        <v>5.1884981478567981E-5</v>
      </c>
      <c r="Z12">
        <f t="shared" si="6"/>
        <v>3.9255828693312698E-5</v>
      </c>
      <c r="AA12">
        <f t="shared" si="6"/>
        <v>2.9700696472933264E-5</v>
      </c>
      <c r="AB12">
        <f t="shared" si="6"/>
        <v>2.2471347576661489E-5</v>
      </c>
      <c r="AC12">
        <f t="shared" si="6"/>
        <v>1.7001670730897166E-5</v>
      </c>
      <c r="AD12">
        <f t="shared" si="6"/>
        <v>1.2863349946224703E-5</v>
      </c>
      <c r="AE12">
        <f t="shared" si="6"/>
        <v>9.7323242202507744E-6</v>
      </c>
      <c r="AF12">
        <f t="shared" si="6"/>
        <v>7.363411173920438E-6</v>
      </c>
      <c r="AG12">
        <f t="shared" si="6"/>
        <v>5.5711074651003846E-6</v>
      </c>
      <c r="AH12">
        <f t="shared" si="6"/>
        <v>4.2150625103789154E-6</v>
      </c>
    </row>
    <row r="13" spans="1:34" ht="17" thickTop="1" thickBot="1" x14ac:dyDescent="0.25">
      <c r="A13" s="1" t="s">
        <v>102</v>
      </c>
      <c r="B13" s="4" t="s">
        <v>104</v>
      </c>
      <c r="C13" s="3">
        <f>3/(2*B8)</f>
        <v>1344.4260353173654</v>
      </c>
      <c r="D13" s="16"/>
      <c r="E13" s="1" t="s">
        <v>27</v>
      </c>
      <c r="F13" s="4" t="s">
        <v>105</v>
      </c>
      <c r="G13" s="3">
        <f>11/(6*B8)</f>
        <v>1643.1873764990021</v>
      </c>
      <c r="H13" s="16"/>
      <c r="I13" s="1" t="s">
        <v>27</v>
      </c>
      <c r="J13" s="4" t="s">
        <v>106</v>
      </c>
      <c r="K13" s="3">
        <f>25/(12*B8)</f>
        <v>1867.2583823852297</v>
      </c>
      <c r="L13" s="31"/>
      <c r="M13" s="7" t="s">
        <v>33</v>
      </c>
      <c r="N13">
        <f>2*(1-N8)*N12</f>
        <v>0</v>
      </c>
      <c r="O13">
        <f t="shared" ref="O13:AH13" si="7">2*(1-O8)*O12</f>
        <v>4.1094090740169653E-4</v>
      </c>
      <c r="P13">
        <f t="shared" si="7"/>
        <v>5.4615143372056829E-4</v>
      </c>
      <c r="Q13">
        <f t="shared" si="7"/>
        <v>5.4787162508641331E-4</v>
      </c>
      <c r="R13">
        <f t="shared" si="7"/>
        <v>4.9159822514444529E-4</v>
      </c>
      <c r="S13">
        <f t="shared" si="7"/>
        <v>4.1606436109194194E-4</v>
      </c>
      <c r="T13">
        <f t="shared" si="7"/>
        <v>3.4004980821688777E-4</v>
      </c>
      <c r="U13">
        <f t="shared" si="7"/>
        <v>2.7173810000395221E-4</v>
      </c>
      <c r="V13">
        <f t="shared" si="7"/>
        <v>2.1387186390950779E-4</v>
      </c>
      <c r="W13">
        <f t="shared" si="7"/>
        <v>1.6655184264808965E-4</v>
      </c>
      <c r="X13">
        <f t="shared" si="7"/>
        <v>1.2872409602820143E-4</v>
      </c>
      <c r="Y13">
        <f t="shared" si="7"/>
        <v>9.8944277810195469E-5</v>
      </c>
      <c r="Z13">
        <f t="shared" si="7"/>
        <v>7.574927401982347E-5</v>
      </c>
      <c r="AA13">
        <f t="shared" si="7"/>
        <v>5.7820112436917062E-5</v>
      </c>
      <c r="AB13">
        <f t="shared" si="7"/>
        <v>4.4037517371689319E-5</v>
      </c>
      <c r="AC13">
        <f t="shared" si="7"/>
        <v>3.348518746462177E-5</v>
      </c>
      <c r="AD13">
        <f t="shared" si="7"/>
        <v>2.5430091236963689E-5</v>
      </c>
      <c r="AE13">
        <f t="shared" si="7"/>
        <v>1.9294859738708043E-5</v>
      </c>
      <c r="AF13">
        <f t="shared" si="7"/>
        <v>1.4629629623611316E-5</v>
      </c>
      <c r="AG13">
        <f t="shared" si="7"/>
        <v>1.1086578568397075E-5</v>
      </c>
      <c r="AH13">
        <f t="shared" si="7"/>
        <v>8.3982769088822884E-6</v>
      </c>
    </row>
    <row r="14" spans="1:34" ht="25" thickTop="1" x14ac:dyDescent="0.3">
      <c r="A14" s="16"/>
      <c r="B14" s="16"/>
      <c r="C14" s="16"/>
      <c r="D14" s="16"/>
      <c r="E14" s="16"/>
      <c r="F14" s="16"/>
      <c r="G14" s="16"/>
      <c r="H14" s="16"/>
      <c r="I14" s="30"/>
      <c r="J14" s="30"/>
      <c r="K14" s="30"/>
      <c r="L14" s="67" t="s">
        <v>65</v>
      </c>
      <c r="M14" s="7" t="s">
        <v>34</v>
      </c>
      <c r="N14">
        <f>3*(1-N8)^2*N12</f>
        <v>0</v>
      </c>
      <c r="O14">
        <f t="shared" ref="O14:AH14" si="8">3*(1-O8)^2*O12</f>
        <v>1.5003866313697807E-4</v>
      </c>
      <c r="P14">
        <f t="shared" si="8"/>
        <v>3.5027416556651837E-4</v>
      </c>
      <c r="Q14">
        <f t="shared" si="8"/>
        <v>4.6588323671824602E-4</v>
      </c>
      <c r="R14">
        <f t="shared" si="8"/>
        <v>4.957669780936701E-4</v>
      </c>
      <c r="S14">
        <f t="shared" si="8"/>
        <v>4.6937022225716551E-4</v>
      </c>
      <c r="T14">
        <f t="shared" si="8"/>
        <v>4.143974597671549E-4</v>
      </c>
      <c r="U14">
        <f t="shared" si="8"/>
        <v>3.4976037127741919E-4</v>
      </c>
      <c r="V14">
        <f t="shared" si="8"/>
        <v>2.8636132107579053E-4</v>
      </c>
      <c r="W14">
        <f t="shared" si="8"/>
        <v>2.2953210977775623E-4</v>
      </c>
      <c r="X14">
        <f t="shared" si="8"/>
        <v>1.8121818750692421E-4</v>
      </c>
      <c r="Y14">
        <f t="shared" si="8"/>
        <v>1.4151450717138245E-4</v>
      </c>
      <c r="Z14">
        <f t="shared" si="8"/>
        <v>1.0962612506587665E-4</v>
      </c>
      <c r="AA14">
        <f t="shared" si="8"/>
        <v>8.442138903874898E-5</v>
      </c>
      <c r="AB14">
        <f t="shared" si="8"/>
        <v>6.4725855769637256E-5</v>
      </c>
      <c r="AC14">
        <f t="shared" si="8"/>
        <v>4.9462393900347657E-5</v>
      </c>
      <c r="AD14">
        <f t="shared" si="8"/>
        <v>3.7705353369677384E-5</v>
      </c>
      <c r="AE14">
        <f t="shared" si="8"/>
        <v>2.8689828136974851E-5</v>
      </c>
      <c r="AF14">
        <f t="shared" si="8"/>
        <v>2.1799617514442059E-5</v>
      </c>
      <c r="AG14">
        <f t="shared" si="8"/>
        <v>1.6546830023008709E-5</v>
      </c>
      <c r="AH14">
        <f t="shared" si="8"/>
        <v>1.2549823673657396E-5</v>
      </c>
    </row>
    <row r="15" spans="1:34" x14ac:dyDescent="0.2">
      <c r="A15" s="116"/>
      <c r="B15" s="116"/>
      <c r="L15" s="16"/>
      <c r="M15" s="7" t="s">
        <v>35</v>
      </c>
      <c r="N15">
        <f>4*(1-N8)^3*N12</f>
        <v>0</v>
      </c>
      <c r="O15">
        <f t="shared" ref="O15:AH15" si="9">4*(1-O8)^3*O12</f>
        <v>4.8693890382262883E-5</v>
      </c>
      <c r="P15">
        <f t="shared" si="9"/>
        <v>1.9968737767269072E-4</v>
      </c>
      <c r="Q15">
        <f t="shared" si="9"/>
        <v>3.5214606296110639E-4</v>
      </c>
      <c r="R15">
        <f t="shared" si="9"/>
        <v>4.4441873961591498E-4</v>
      </c>
      <c r="S15">
        <f t="shared" si="9"/>
        <v>4.7067163671729719E-4</v>
      </c>
      <c r="T15">
        <f t="shared" si="9"/>
        <v>4.4888915424071537E-4</v>
      </c>
      <c r="U15">
        <f t="shared" si="9"/>
        <v>4.0016411983724652E-4</v>
      </c>
      <c r="V15">
        <f t="shared" si="9"/>
        <v>3.408180111390581E-4</v>
      </c>
      <c r="W15">
        <f t="shared" si="9"/>
        <v>2.8118032776588894E-4</v>
      </c>
      <c r="X15">
        <f t="shared" si="9"/>
        <v>2.2677291973265576E-4</v>
      </c>
      <c r="Y15">
        <f t="shared" si="9"/>
        <v>1.7991141576003016E-4</v>
      </c>
      <c r="Z15">
        <f t="shared" si="9"/>
        <v>1.4102533158786933E-4</v>
      </c>
      <c r="AA15">
        <f t="shared" si="9"/>
        <v>1.0956542631358945E-4</v>
      </c>
      <c r="AB15">
        <f t="shared" si="9"/>
        <v>8.4562974787597776E-5</v>
      </c>
      <c r="AC15">
        <f t="shared" si="9"/>
        <v>6.4944893099718956E-5</v>
      </c>
      <c r="AD15">
        <f t="shared" si="9"/>
        <v>4.9694186989720497E-5</v>
      </c>
      <c r="AE15">
        <f t="shared" si="9"/>
        <v>3.7919425158396228E-5</v>
      </c>
      <c r="AF15">
        <f t="shared" si="9"/>
        <v>2.8874328545101699E-5</v>
      </c>
      <c r="AG15">
        <f t="shared" si="9"/>
        <v>2.1952275767692101E-5</v>
      </c>
      <c r="AH15">
        <f t="shared" si="9"/>
        <v>1.6669882373748631E-5</v>
      </c>
    </row>
    <row r="16" spans="1:34" x14ac:dyDescent="0.2">
      <c r="L16" s="16"/>
      <c r="M16" s="7" t="s">
        <v>36</v>
      </c>
      <c r="N16">
        <f>N12/N8</f>
        <v>1.1157177565710484E-3</v>
      </c>
      <c r="O16">
        <f t="shared" ref="O16:AH16" si="10">O12/O8</f>
        <v>1.1157177565710484E-3</v>
      </c>
      <c r="P16">
        <f t="shared" si="10"/>
        <v>1.1157177565710484E-3</v>
      </c>
      <c r="Q16">
        <f t="shared" si="10"/>
        <v>1.1157177565710487E-3</v>
      </c>
      <c r="R16">
        <f t="shared" si="10"/>
        <v>1.1157177565710484E-3</v>
      </c>
      <c r="S16">
        <f t="shared" si="10"/>
        <v>1.1157177565710487E-3</v>
      </c>
      <c r="T16">
        <f t="shared" si="10"/>
        <v>1.1157177565710487E-3</v>
      </c>
      <c r="U16">
        <f t="shared" si="10"/>
        <v>1.1157177565710482E-3</v>
      </c>
      <c r="V16">
        <f t="shared" si="10"/>
        <v>1.1157177565710482E-3</v>
      </c>
      <c r="W16">
        <f t="shared" si="10"/>
        <v>1.1157177565710482E-3</v>
      </c>
      <c r="X16">
        <f t="shared" si="10"/>
        <v>1.1157177565710478E-3</v>
      </c>
      <c r="Y16">
        <f t="shared" si="10"/>
        <v>1.1157177565710497E-3</v>
      </c>
      <c r="Z16">
        <f t="shared" si="10"/>
        <v>1.1157177565710474E-3</v>
      </c>
      <c r="AA16">
        <f t="shared" si="10"/>
        <v>1.1157177565710469E-3</v>
      </c>
      <c r="AB16">
        <f t="shared" si="10"/>
        <v>1.1157177565710487E-3</v>
      </c>
      <c r="AC16">
        <f t="shared" si="10"/>
        <v>1.1157177565710506E-3</v>
      </c>
      <c r="AD16">
        <f t="shared" si="10"/>
        <v>1.1157177565710448E-3</v>
      </c>
      <c r="AE16">
        <f t="shared" si="10"/>
        <v>1.1157177565710471E-3</v>
      </c>
      <c r="AF16">
        <f t="shared" si="10"/>
        <v>1.1157177565710409E-3</v>
      </c>
      <c r="AG16">
        <f t="shared" si="10"/>
        <v>1.1157177565710575E-3</v>
      </c>
      <c r="AH16">
        <f t="shared" si="10"/>
        <v>1.1157177565710458E-3</v>
      </c>
    </row>
    <row r="17" spans="1:35" x14ac:dyDescent="0.2">
      <c r="A17" s="6" t="s">
        <v>124</v>
      </c>
      <c r="B17" s="6"/>
      <c r="D17" s="6" t="s">
        <v>125</v>
      </c>
      <c r="I17" s="6" t="s">
        <v>126</v>
      </c>
      <c r="L17" s="16"/>
      <c r="M17" s="7" t="s">
        <v>37</v>
      </c>
      <c r="N17">
        <f>N13/N9</f>
        <v>0</v>
      </c>
      <c r="O17">
        <f t="shared" ref="O17:AH17" si="11">O13/O9</f>
        <v>4.3682117643666259E-4</v>
      </c>
      <c r="P17">
        <f t="shared" si="11"/>
        <v>6.6833119517656977E-4</v>
      </c>
      <c r="Q17">
        <f t="shared" si="11"/>
        <v>8.0732773801997623E-4</v>
      </c>
      <c r="R17">
        <f t="shared" si="11"/>
        <v>8.9710027040021921E-4</v>
      </c>
      <c r="S17">
        <f t="shared" si="11"/>
        <v>9.5784290601130405E-4</v>
      </c>
      <c r="T17">
        <f t="shared" si="11"/>
        <v>1.0002477480607101E-3</v>
      </c>
      <c r="U17">
        <f t="shared" si="11"/>
        <v>1.0305006375711855E-3</v>
      </c>
      <c r="V17">
        <f t="shared" si="11"/>
        <v>1.052419834294529E-3</v>
      </c>
      <c r="W17">
        <f t="shared" si="11"/>
        <v>1.0684792975219955E-3</v>
      </c>
      <c r="X17">
        <f t="shared" si="11"/>
        <v>1.0803420242466862E-3</v>
      </c>
      <c r="Y17">
        <f t="shared" si="11"/>
        <v>1.0891576955428632E-3</v>
      </c>
      <c r="Z17">
        <f t="shared" si="11"/>
        <v>1.0957383609800995E-3</v>
      </c>
      <c r="AA17">
        <f t="shared" si="11"/>
        <v>1.1006670819001037E-3</v>
      </c>
      <c r="AB17">
        <f t="shared" si="11"/>
        <v>1.1043677845361038E-3</v>
      </c>
      <c r="AC17">
        <f t="shared" si="11"/>
        <v>1.1071516546796588E-3</v>
      </c>
      <c r="AD17">
        <f t="shared" si="11"/>
        <v>1.1092487905477256E-3</v>
      </c>
      <c r="AE17">
        <f t="shared" si="11"/>
        <v>1.1108302779018039E-3</v>
      </c>
      <c r="AF17">
        <f t="shared" si="11"/>
        <v>1.1120238616706016E-3</v>
      </c>
      <c r="AG17">
        <f t="shared" si="11"/>
        <v>1.1129252308867761E-3</v>
      </c>
      <c r="AH17">
        <f t="shared" si="11"/>
        <v>1.113606236767722E-3</v>
      </c>
    </row>
    <row r="18" spans="1:35" x14ac:dyDescent="0.2">
      <c r="L18" s="16"/>
      <c r="M18" s="7" t="s">
        <v>38</v>
      </c>
      <c r="N18">
        <f>N14/N10</f>
        <v>0</v>
      </c>
      <c r="O18">
        <f t="shared" ref="O18:AH18" si="12">O14/O10</f>
        <v>1.5223404176319848E-4</v>
      </c>
      <c r="P18">
        <f t="shared" si="12"/>
        <v>3.799748281027906E-4</v>
      </c>
      <c r="Q18">
        <f t="shared" si="12"/>
        <v>5.696707103502144E-4</v>
      </c>
      <c r="R18">
        <f t="shared" si="12"/>
        <v>7.1220468093564384E-4</v>
      </c>
      <c r="S18">
        <f t="shared" si="12"/>
        <v>8.1685564126445355E-4</v>
      </c>
      <c r="T18">
        <f t="shared" si="12"/>
        <v>8.935379577628274E-4</v>
      </c>
      <c r="U18">
        <f t="shared" si="12"/>
        <v>9.4994505955772735E-4</v>
      </c>
      <c r="V18">
        <f t="shared" si="12"/>
        <v>9.9164907264913263E-4</v>
      </c>
      <c r="W18">
        <f t="shared" si="12"/>
        <v>1.0226298166813304E-3</v>
      </c>
      <c r="X18">
        <f t="shared" si="12"/>
        <v>1.0457375078970189E-3</v>
      </c>
      <c r="Y18">
        <f t="shared" si="12"/>
        <v>1.0630291018292313E-3</v>
      </c>
      <c r="Z18">
        <f t="shared" si="12"/>
        <v>1.0760017274752782E-3</v>
      </c>
      <c r="AA18">
        <f t="shared" si="12"/>
        <v>1.0857535772867224E-3</v>
      </c>
      <c r="AB18">
        <f t="shared" si="12"/>
        <v>1.0930955668463011E-3</v>
      </c>
      <c r="AC18">
        <f t="shared" si="12"/>
        <v>1.0986297336278996E-3</v>
      </c>
      <c r="AD18">
        <f t="shared" si="12"/>
        <v>1.102804974064687E-3</v>
      </c>
      <c r="AE18">
        <f t="shared" si="12"/>
        <v>1.1059571349578542E-3</v>
      </c>
      <c r="AF18">
        <f t="shared" si="12"/>
        <v>1.1083381468464928E-3</v>
      </c>
      <c r="AG18">
        <f t="shared" si="12"/>
        <v>1.1101373764564398E-3</v>
      </c>
      <c r="AH18">
        <f t="shared" si="12"/>
        <v>1.1114973860673683E-3</v>
      </c>
    </row>
    <row r="19" spans="1:35" x14ac:dyDescent="0.2">
      <c r="L19" s="16"/>
      <c r="M19" s="7" t="s">
        <v>39</v>
      </c>
      <c r="N19">
        <f>N15/N11</f>
        <v>0</v>
      </c>
      <c r="O19">
        <f t="shared" ref="O19:AH19" si="13">O15/O11</f>
        <v>4.8865417115038568E-5</v>
      </c>
      <c r="P19">
        <f t="shared" si="13"/>
        <v>2.0659181334593832E-4</v>
      </c>
      <c r="Q19">
        <f t="shared" si="13"/>
        <v>3.9270582617627488E-4</v>
      </c>
      <c r="R19">
        <f t="shared" si="13"/>
        <v>5.5853730655099965E-4</v>
      </c>
      <c r="S19">
        <f t="shared" si="13"/>
        <v>6.9209297527463877E-4</v>
      </c>
      <c r="T19">
        <f t="shared" si="13"/>
        <v>7.9540271315525367E-4</v>
      </c>
      <c r="U19">
        <f t="shared" si="13"/>
        <v>8.7399694979770179E-4</v>
      </c>
      <c r="V19">
        <f t="shared" si="13"/>
        <v>9.3338925586855233E-4</v>
      </c>
      <c r="W19">
        <f t="shared" si="13"/>
        <v>9.7816434320241691E-4</v>
      </c>
      <c r="X19">
        <f t="shared" si="13"/>
        <v>1.0119026584492858E-3</v>
      </c>
      <c r="Y19">
        <f t="shared" si="13"/>
        <v>1.0373314866863083E-3</v>
      </c>
      <c r="Z19">
        <f t="shared" si="13"/>
        <v>1.0565077004142903E-3</v>
      </c>
      <c r="AA19">
        <f t="shared" si="13"/>
        <v>1.0709771928179199E-3</v>
      </c>
      <c r="AB19">
        <f t="shared" si="13"/>
        <v>1.0819010874103603E-3</v>
      </c>
      <c r="AC19">
        <f t="shared" si="13"/>
        <v>1.0901519882074709E-3</v>
      </c>
      <c r="AD19">
        <f t="shared" si="13"/>
        <v>1.0963863054310719E-3</v>
      </c>
      <c r="AE19">
        <f t="shared" si="13"/>
        <v>1.1010983271890209E-3</v>
      </c>
      <c r="AF19">
        <f t="shared" si="13"/>
        <v>1.1046606119194016E-3</v>
      </c>
      <c r="AG19">
        <f t="shared" si="13"/>
        <v>1.1073541932215235E-3</v>
      </c>
      <c r="AH19">
        <f t="shared" si="13"/>
        <v>1.1093912044508906E-3</v>
      </c>
    </row>
    <row r="20" spans="1:35" x14ac:dyDescent="0.2">
      <c r="F20" s="27"/>
      <c r="H20" s="28"/>
      <c r="L20" s="16"/>
      <c r="M20" s="7" t="s">
        <v>161</v>
      </c>
      <c r="N20">
        <v>1</v>
      </c>
      <c r="O20">
        <v>4</v>
      </c>
      <c r="P20">
        <v>2</v>
      </c>
      <c r="Q20">
        <v>4</v>
      </c>
      <c r="R20">
        <v>2</v>
      </c>
      <c r="S20">
        <v>4</v>
      </c>
      <c r="T20">
        <v>2</v>
      </c>
      <c r="U20">
        <v>4</v>
      </c>
      <c r="V20">
        <v>2</v>
      </c>
      <c r="W20">
        <v>4</v>
      </c>
      <c r="X20">
        <v>2</v>
      </c>
      <c r="Y20">
        <v>4</v>
      </c>
      <c r="Z20">
        <v>2</v>
      </c>
      <c r="AA20">
        <v>4</v>
      </c>
      <c r="AB20">
        <v>2</v>
      </c>
      <c r="AC20">
        <v>4</v>
      </c>
      <c r="AD20">
        <v>2</v>
      </c>
      <c r="AE20">
        <v>4</v>
      </c>
      <c r="AF20">
        <v>2</v>
      </c>
      <c r="AG20">
        <v>1</v>
      </c>
    </row>
    <row r="21" spans="1:35" x14ac:dyDescent="0.2">
      <c r="F21" s="27"/>
      <c r="H21" s="28"/>
      <c r="L21" s="16" t="s">
        <v>0</v>
      </c>
      <c r="M21" s="7" t="s">
        <v>158</v>
      </c>
      <c r="N21">
        <f>N8*N20</f>
        <v>1</v>
      </c>
      <c r="O21">
        <f t="shared" ref="O21:AG21" si="14">O8*O20</f>
        <v>3.0263731488101628</v>
      </c>
      <c r="P21">
        <f t="shared" si="14"/>
        <v>1.1448668044798924</v>
      </c>
      <c r="Q21">
        <f t="shared" si="14"/>
        <v>1.7323970780210205</v>
      </c>
      <c r="R21">
        <f t="shared" si="14"/>
        <v>0.65536000000000016</v>
      </c>
      <c r="S21">
        <f t="shared" si="14"/>
        <v>0.9916819534021144</v>
      </c>
      <c r="T21">
        <f t="shared" si="14"/>
        <v>0.37514995449197119</v>
      </c>
      <c r="U21">
        <f t="shared" si="14"/>
        <v>0.56767187452592838</v>
      </c>
      <c r="V21">
        <f t="shared" si="14"/>
        <v>0.21474836480000015</v>
      </c>
      <c r="W21">
        <f t="shared" si="14"/>
        <v>0.32495434249080501</v>
      </c>
      <c r="X21">
        <f t="shared" si="14"/>
        <v>0.1229291370879293</v>
      </c>
      <c r="Y21">
        <f t="shared" si="14"/>
        <v>0.18601471984465601</v>
      </c>
      <c r="Z21">
        <f t="shared" si="14"/>
        <v>7.0368744177664144E-2</v>
      </c>
      <c r="AA21">
        <f t="shared" si="14"/>
        <v>0.10648103894738714</v>
      </c>
      <c r="AB21">
        <f t="shared" si="14"/>
        <v>4.0281419640972649E-2</v>
      </c>
      <c r="AC21">
        <f t="shared" si="14"/>
        <v>6.0953303398696868E-2</v>
      </c>
      <c r="AD21">
        <f t="shared" si="14"/>
        <v>2.3058430092137039E-2</v>
      </c>
      <c r="AE21">
        <f t="shared" si="14"/>
        <v>3.4891706842279824E-2</v>
      </c>
      <c r="AF21">
        <f t="shared" si="14"/>
        <v>1.3199415587954011E-2</v>
      </c>
      <c r="AG21">
        <f t="shared" si="14"/>
        <v>4.9932946144212176E-3</v>
      </c>
      <c r="AI21">
        <f>SUM(N21:AG21)*$O$6/3</f>
        <v>891.36456093799916</v>
      </c>
    </row>
    <row r="22" spans="1:35" ht="16" thickBot="1" x14ac:dyDescent="0.25">
      <c r="A22" s="119" t="s">
        <v>68</v>
      </c>
      <c r="B22" s="119"/>
      <c r="L22" s="16"/>
      <c r="M22" s="7" t="s">
        <v>163</v>
      </c>
      <c r="N22">
        <f>N20*N9</f>
        <v>1</v>
      </c>
      <c r="O22">
        <f t="shared" ref="O22:AG22" si="15">O20*O9</f>
        <v>3.7630126886605408</v>
      </c>
      <c r="P22">
        <f t="shared" si="15"/>
        <v>1.6343736089597847</v>
      </c>
      <c r="Q22">
        <f t="shared" si="15"/>
        <v>2.7144942470580986</v>
      </c>
      <c r="R22">
        <f t="shared" si="15"/>
        <v>1.0959716352000002</v>
      </c>
      <c r="S22">
        <f t="shared" si="15"/>
        <v>1.7375056326283707</v>
      </c>
      <c r="T22">
        <f t="shared" si="15"/>
        <v>0.67993116480627847</v>
      </c>
      <c r="U22">
        <f t="shared" si="15"/>
        <v>1.0547809097699115</v>
      </c>
      <c r="V22">
        <f t="shared" si="15"/>
        <v>0.40643829950786325</v>
      </c>
      <c r="W22">
        <f t="shared" si="15"/>
        <v>0.62350985380570201</v>
      </c>
      <c r="X22">
        <f t="shared" si="15"/>
        <v>0.23830248780326713</v>
      </c>
      <c r="Y22">
        <f t="shared" si="15"/>
        <v>0.36337907068959074</v>
      </c>
      <c r="Z22">
        <f t="shared" si="15"/>
        <v>0.1382616082767576</v>
      </c>
      <c r="AA22">
        <f t="shared" si="15"/>
        <v>0.21012752498094533</v>
      </c>
      <c r="AB22">
        <f t="shared" si="15"/>
        <v>7.9751542897799288E-2</v>
      </c>
      <c r="AC22">
        <f t="shared" si="15"/>
        <v>0.12097778049859054</v>
      </c>
      <c r="AD22">
        <f t="shared" si="15"/>
        <v>4.58510145851172E-2</v>
      </c>
      <c r="AE22">
        <f t="shared" si="15"/>
        <v>6.9479055882967877E-2</v>
      </c>
      <c r="AF22">
        <f t="shared" si="15"/>
        <v>2.6311718889976188E-2</v>
      </c>
      <c r="AG22">
        <f t="shared" si="15"/>
        <v>9.9616562377360385E-3</v>
      </c>
      <c r="AI22">
        <f>SUM(N22:AG22)*$O$6/3</f>
        <v>1334.3684584282748</v>
      </c>
    </row>
    <row r="23" spans="1:35" ht="16" thickBot="1" x14ac:dyDescent="0.25">
      <c r="A23" s="77" t="s">
        <v>107</v>
      </c>
      <c r="B23" s="78">
        <v>2.5000000000000001E-3</v>
      </c>
      <c r="L23" s="16"/>
      <c r="M23" s="7" t="s">
        <v>164</v>
      </c>
      <c r="N23">
        <f>N20*N10</f>
        <v>1</v>
      </c>
      <c r="O23">
        <f t="shared" ref="O23:AG23" si="16">O20*O10</f>
        <v>3.9423156975721541</v>
      </c>
      <c r="P23">
        <f t="shared" si="16"/>
        <v>1.8436703679316482</v>
      </c>
      <c r="Q23">
        <f t="shared" si="16"/>
        <v>3.2712458496020389</v>
      </c>
      <c r="R23">
        <f t="shared" si="16"/>
        <v>1.3922036497776642</v>
      </c>
      <c r="S23">
        <f t="shared" si="16"/>
        <v>2.2984243410774652</v>
      </c>
      <c r="T23">
        <f t="shared" si="16"/>
        <v>0.9275430465308756</v>
      </c>
      <c r="U23">
        <f t="shared" si="16"/>
        <v>1.4727604202300273</v>
      </c>
      <c r="V23">
        <f t="shared" si="16"/>
        <v>0.57754568420216024</v>
      </c>
      <c r="W23">
        <f t="shared" si="16"/>
        <v>0.89781113765151455</v>
      </c>
      <c r="X23">
        <f t="shared" si="16"/>
        <v>0.34658446529541531</v>
      </c>
      <c r="Y23">
        <f t="shared" si="16"/>
        <v>0.53249532652631304</v>
      </c>
      <c r="Z23">
        <f t="shared" si="16"/>
        <v>0.20376570458321197</v>
      </c>
      <c r="AA23">
        <f t="shared" si="16"/>
        <v>0.31101491463547903</v>
      </c>
      <c r="AB23">
        <f t="shared" si="16"/>
        <v>0.11842670985553139</v>
      </c>
      <c r="AC23">
        <f t="shared" si="16"/>
        <v>0.18008758505747968</v>
      </c>
      <c r="AD23">
        <f t="shared" si="16"/>
        <v>6.8380818470022087E-2</v>
      </c>
      <c r="AE23">
        <f t="shared" si="16"/>
        <v>0.10376470201286114</v>
      </c>
      <c r="AF23">
        <f t="shared" si="16"/>
        <v>3.9337484821699187E-2</v>
      </c>
      <c r="AG23">
        <f t="shared" si="16"/>
        <v>1.4905209367714667E-2</v>
      </c>
      <c r="AI23">
        <f>SUM(N23:AG23)*$O$6/3</f>
        <v>1628.5235929334397</v>
      </c>
    </row>
    <row r="24" spans="1:35" ht="16" thickBot="1" x14ac:dyDescent="0.25">
      <c r="A24" s="79" t="s">
        <v>108</v>
      </c>
      <c r="B24" s="79">
        <v>800</v>
      </c>
      <c r="L24" s="16"/>
      <c r="M24" s="7" t="s">
        <v>165</v>
      </c>
      <c r="N24">
        <f>N20*N11</f>
        <v>1</v>
      </c>
      <c r="O24">
        <f t="shared" ref="O24:AG24" si="17">O20*O11</f>
        <v>3.9859592535660235</v>
      </c>
      <c r="P24">
        <f t="shared" si="17"/>
        <v>1.9331586710874538</v>
      </c>
      <c r="Q24">
        <f t="shared" si="17"/>
        <v>3.5868687397883185</v>
      </c>
      <c r="R24">
        <f t="shared" si="17"/>
        <v>1.5913663578185191</v>
      </c>
      <c r="S24">
        <f t="shared" si="17"/>
        <v>2.7202798094029124</v>
      </c>
      <c r="T24">
        <f t="shared" si="17"/>
        <v>1.1287091351751455</v>
      </c>
      <c r="U24">
        <f t="shared" si="17"/>
        <v>1.8314211276360624</v>
      </c>
      <c r="V24">
        <f t="shared" si="17"/>
        <v>0.73028055336230469</v>
      </c>
      <c r="W24">
        <f t="shared" si="17"/>
        <v>1.1498285731632021</v>
      </c>
      <c r="X24">
        <f t="shared" si="17"/>
        <v>0.44821093775992105</v>
      </c>
      <c r="Y24">
        <f t="shared" si="17"/>
        <v>0.69374705412537363</v>
      </c>
      <c r="Z24">
        <f t="shared" si="17"/>
        <v>0.2669650803918775</v>
      </c>
      <c r="AA24">
        <f t="shared" si="17"/>
        <v>0.4092166557732364</v>
      </c>
      <c r="AB24">
        <f t="shared" si="17"/>
        <v>0.15632293149830878</v>
      </c>
      <c r="AC24">
        <f t="shared" si="17"/>
        <v>0.23829665515358966</v>
      </c>
      <c r="AD24">
        <f t="shared" si="17"/>
        <v>9.065087140099215E-2</v>
      </c>
      <c r="AE24">
        <f t="shared" si="17"/>
        <v>0.13775127696433875</v>
      </c>
      <c r="AF24">
        <f t="shared" si="17"/>
        <v>5.2277284504479882E-2</v>
      </c>
      <c r="AG24">
        <f t="shared" si="17"/>
        <v>1.9824077880473245E-2</v>
      </c>
      <c r="AI24">
        <f>SUM(N24:AG24)*$O$6/3</f>
        <v>1847.5945872043776</v>
      </c>
    </row>
    <row r="25" spans="1:35" ht="16" thickBot="1" x14ac:dyDescent="0.25">
      <c r="A25" s="72" t="s">
        <v>109</v>
      </c>
      <c r="B25" s="72" t="s">
        <v>7</v>
      </c>
      <c r="C25" s="72" t="s">
        <v>67</v>
      </c>
      <c r="L25" s="16"/>
    </row>
    <row r="26" spans="1:35" ht="16" thickBot="1" x14ac:dyDescent="0.25">
      <c r="A26" s="46" t="s">
        <v>3</v>
      </c>
      <c r="B26" s="46">
        <f>1/B23</f>
        <v>400</v>
      </c>
      <c r="K26" s="25"/>
      <c r="L26" s="16"/>
    </row>
    <row r="27" spans="1:35" ht="17" thickTop="1" thickBot="1" x14ac:dyDescent="0.25">
      <c r="A27" s="22" t="s">
        <v>17</v>
      </c>
      <c r="B27" s="22" t="s">
        <v>18</v>
      </c>
      <c r="C27" t="s">
        <v>19</v>
      </c>
      <c r="L27" s="16"/>
    </row>
    <row r="28" spans="1:35" ht="17" thickTop="1" thickBot="1" x14ac:dyDescent="0.25">
      <c r="A28" s="46" t="s">
        <v>4</v>
      </c>
      <c r="B28" s="46" t="s">
        <v>5</v>
      </c>
      <c r="C28" s="47" t="s">
        <v>6</v>
      </c>
      <c r="L28" s="16"/>
    </row>
    <row r="29" spans="1:35" ht="17" thickTop="1" thickBot="1" x14ac:dyDescent="0.25">
      <c r="A29" s="47">
        <f>(1+1/2)*B26</f>
        <v>600</v>
      </c>
      <c r="B29" s="48">
        <f>(1+1/2+1/3)*B26</f>
        <v>733.33333333333326</v>
      </c>
      <c r="C29" s="48">
        <f>(1+1/2+1/3+1/4)*B26</f>
        <v>833.33333333333326</v>
      </c>
      <c r="L29" s="16"/>
    </row>
    <row r="30" spans="1:35" ht="17" thickTop="1" thickBot="1" x14ac:dyDescent="0.25">
      <c r="A30" s="73" t="s">
        <v>110</v>
      </c>
      <c r="B30" s="73" t="s">
        <v>110</v>
      </c>
      <c r="C30" s="73" t="s">
        <v>111</v>
      </c>
      <c r="L30" s="16"/>
    </row>
    <row r="31" spans="1:35" ht="16" thickTop="1" x14ac:dyDescent="0.2">
      <c r="L31" s="16"/>
    </row>
    <row r="32" spans="1:35" x14ac:dyDescent="0.2">
      <c r="L32" s="16"/>
    </row>
    <row r="33" spans="1:35" x14ac:dyDescent="0.2">
      <c r="A33" s="116"/>
      <c r="B33" s="116"/>
      <c r="L33" s="16"/>
    </row>
    <row r="34" spans="1:35" x14ac:dyDescent="0.2">
      <c r="B34" s="38"/>
      <c r="C34" s="6"/>
      <c r="L34" s="16"/>
    </row>
    <row r="35" spans="1:35" x14ac:dyDescent="0.2">
      <c r="A35" s="6"/>
      <c r="B35" s="38"/>
      <c r="C35" s="38"/>
      <c r="D35" s="55"/>
      <c r="E35" s="7"/>
      <c r="F35" s="40"/>
      <c r="L35" s="16"/>
    </row>
    <row r="36" spans="1:35" x14ac:dyDescent="0.2">
      <c r="A36" s="6"/>
      <c r="B36" s="6"/>
      <c r="C36" s="6"/>
      <c r="D36" s="6"/>
      <c r="E36" s="7"/>
      <c r="F36" s="40"/>
      <c r="L36" s="16"/>
    </row>
    <row r="37" spans="1:35" x14ac:dyDescent="0.2">
      <c r="A37" s="7"/>
      <c r="B37" s="6"/>
      <c r="C37" s="7"/>
      <c r="D37" s="39"/>
      <c r="E37" s="7"/>
      <c r="F37" s="40"/>
      <c r="L37" s="16"/>
    </row>
    <row r="38" spans="1:35" x14ac:dyDescent="0.2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</row>
    <row r="39" spans="1:35" x14ac:dyDescent="0.2">
      <c r="A39" s="94" t="s">
        <v>137</v>
      </c>
      <c r="B39" s="94"/>
      <c r="C39" s="94"/>
      <c r="D39" s="94" t="s">
        <v>141</v>
      </c>
      <c r="E39" s="94"/>
      <c r="F39" s="94"/>
    </row>
    <row r="40" spans="1:35" ht="16" thickBot="1" x14ac:dyDescent="0.25">
      <c r="A40" s="119" t="s">
        <v>140</v>
      </c>
      <c r="B40" s="119"/>
      <c r="C40" t="s">
        <v>1</v>
      </c>
      <c r="D40" t="s">
        <v>142</v>
      </c>
    </row>
    <row r="41" spans="1:35" ht="19" thickTop="1" thickBot="1" x14ac:dyDescent="0.25">
      <c r="A41" s="78" t="s">
        <v>7</v>
      </c>
      <c r="B41" s="80" t="s">
        <v>8</v>
      </c>
      <c r="C41" s="81">
        <v>3</v>
      </c>
      <c r="D41" s="12" t="s">
        <v>143</v>
      </c>
      <c r="E41" s="26"/>
      <c r="F41" s="26" t="s">
        <v>9</v>
      </c>
      <c r="G41" s="26" t="s">
        <v>10</v>
      </c>
      <c r="H41" s="15" t="s">
        <v>11</v>
      </c>
    </row>
    <row r="42" spans="1:35" ht="19" thickTop="1" thickBot="1" x14ac:dyDescent="0.3">
      <c r="A42" s="82" t="s">
        <v>112</v>
      </c>
      <c r="B42" s="81">
        <v>4.0000000000000001E-3</v>
      </c>
      <c r="C42" s="8" t="s">
        <v>116</v>
      </c>
      <c r="D42" s="13">
        <f>EXP(-B42*$B$46)</f>
        <v>0.61878339180614084</v>
      </c>
      <c r="E42" s="10" t="s">
        <v>120</v>
      </c>
      <c r="F42" s="11">
        <f>1-D42</f>
        <v>0.38121660819385916</v>
      </c>
      <c r="G42" s="26">
        <f>PRODUCT(F42:F45)</f>
        <v>5.2271295072408974E-3</v>
      </c>
      <c r="H42" s="15">
        <f>1-G42</f>
        <v>0.99477287049275909</v>
      </c>
    </row>
    <row r="43" spans="1:35" ht="18" thickBot="1" x14ac:dyDescent="0.3">
      <c r="A43" s="82" t="s">
        <v>113</v>
      </c>
      <c r="B43" s="81">
        <v>7.0000000000000001E-3</v>
      </c>
      <c r="C43" s="9" t="s">
        <v>117</v>
      </c>
      <c r="D43" s="13">
        <f>EXP(-B43*$B$46)</f>
        <v>0.43171052342907973</v>
      </c>
      <c r="E43" s="10" t="s">
        <v>121</v>
      </c>
      <c r="F43" s="14">
        <f>1-D43</f>
        <v>0.56828947657092033</v>
      </c>
      <c r="J43" t="s">
        <v>0</v>
      </c>
      <c r="K43">
        <v>0</v>
      </c>
      <c r="L43">
        <f>K43+150</f>
        <v>150</v>
      </c>
      <c r="M43">
        <f t="shared" ref="M43:Z43" si="18">L43+150</f>
        <v>300</v>
      </c>
      <c r="N43">
        <f t="shared" si="18"/>
        <v>450</v>
      </c>
      <c r="O43">
        <f t="shared" si="18"/>
        <v>600</v>
      </c>
      <c r="P43">
        <f t="shared" si="18"/>
        <v>750</v>
      </c>
      <c r="Q43">
        <f t="shared" si="18"/>
        <v>900</v>
      </c>
      <c r="R43">
        <f t="shared" si="18"/>
        <v>1050</v>
      </c>
      <c r="S43">
        <f t="shared" si="18"/>
        <v>1200</v>
      </c>
      <c r="T43">
        <f t="shared" si="18"/>
        <v>1350</v>
      </c>
      <c r="U43">
        <f t="shared" si="18"/>
        <v>1500</v>
      </c>
      <c r="V43">
        <f t="shared" si="18"/>
        <v>1650</v>
      </c>
      <c r="W43">
        <f t="shared" si="18"/>
        <v>1800</v>
      </c>
      <c r="X43">
        <f t="shared" si="18"/>
        <v>1950</v>
      </c>
      <c r="Y43">
        <f t="shared" si="18"/>
        <v>2100</v>
      </c>
      <c r="Z43">
        <f t="shared" si="18"/>
        <v>2250</v>
      </c>
    </row>
    <row r="44" spans="1:35" ht="18" thickBot="1" x14ac:dyDescent="0.3">
      <c r="A44" s="82" t="s">
        <v>114</v>
      </c>
      <c r="B44" s="81">
        <v>2E-3</v>
      </c>
      <c r="C44" s="9" t="s">
        <v>118</v>
      </c>
      <c r="D44" s="13">
        <f>EXP(-B44*$B$46)</f>
        <v>0.78662786106655347</v>
      </c>
      <c r="E44" s="10" t="s">
        <v>122</v>
      </c>
      <c r="F44" s="11">
        <f>1-D44</f>
        <v>0.21337213893344653</v>
      </c>
      <c r="J44" s="51" t="s">
        <v>144</v>
      </c>
      <c r="K44">
        <f t="shared" ref="K44:Z44" si="19">EXP(-$B$42*K43)</f>
        <v>1</v>
      </c>
      <c r="L44" s="95">
        <f t="shared" si="19"/>
        <v>0.54881163609402639</v>
      </c>
      <c r="M44" s="95">
        <f t="shared" si="19"/>
        <v>0.30119421191220214</v>
      </c>
      <c r="N44" s="95">
        <f t="shared" si="19"/>
        <v>0.16529888822158653</v>
      </c>
      <c r="O44" s="95">
        <f t="shared" si="19"/>
        <v>9.0717953289412512E-2</v>
      </c>
      <c r="P44" s="95">
        <f t="shared" si="19"/>
        <v>4.9787068367863944E-2</v>
      </c>
      <c r="Q44" s="95">
        <f t="shared" si="19"/>
        <v>2.7323722447292559E-2</v>
      </c>
      <c r="R44" s="95">
        <f t="shared" si="19"/>
        <v>1.4995576820477703E-2</v>
      </c>
      <c r="S44" s="95">
        <f t="shared" si="19"/>
        <v>8.2297470490200302E-3</v>
      </c>
      <c r="T44" s="95">
        <f t="shared" si="19"/>
        <v>4.5165809426126659E-3</v>
      </c>
      <c r="U44" s="95">
        <f t="shared" si="19"/>
        <v>2.4787521766663585E-3</v>
      </c>
      <c r="V44" s="95">
        <f t="shared" si="19"/>
        <v>1.3603680375478928E-3</v>
      </c>
      <c r="W44" s="95">
        <f t="shared" si="19"/>
        <v>7.465858083766792E-4</v>
      </c>
      <c r="X44" s="95">
        <f t="shared" si="19"/>
        <v>4.0973497897978681E-4</v>
      </c>
      <c r="Y44" s="95">
        <f t="shared" si="19"/>
        <v>2.2486732417884819E-4</v>
      </c>
      <c r="Z44" s="95">
        <f t="shared" si="19"/>
        <v>1.2340980408667956E-4</v>
      </c>
    </row>
    <row r="45" spans="1:35" ht="18" thickBot="1" x14ac:dyDescent="0.3">
      <c r="A45" s="82" t="s">
        <v>115</v>
      </c>
      <c r="B45" s="81">
        <v>1E-3</v>
      </c>
      <c r="C45" s="9" t="s">
        <v>119</v>
      </c>
      <c r="D45" s="13">
        <f>EXP(-B45*$B$46)</f>
        <v>0.88692043671715748</v>
      </c>
      <c r="E45" s="10" t="s">
        <v>123</v>
      </c>
      <c r="F45" s="11">
        <f>1-D45</f>
        <v>0.11307956328284252</v>
      </c>
      <c r="J45" s="51" t="s">
        <v>145</v>
      </c>
      <c r="K45">
        <f>EXP(-$B$43*K43)</f>
        <v>1</v>
      </c>
      <c r="L45" s="95">
        <f t="shared" ref="L45:Z45" si="20">EXP(-$B$43*L43)</f>
        <v>0.34993774911115533</v>
      </c>
      <c r="M45" s="95">
        <f t="shared" si="20"/>
        <v>0.12245642825298191</v>
      </c>
      <c r="N45" s="95">
        <f t="shared" si="20"/>
        <v>4.2852126867040187E-2</v>
      </c>
      <c r="O45" s="95">
        <f t="shared" si="20"/>
        <v>1.4995576820477703E-2</v>
      </c>
      <c r="P45" s="95">
        <f t="shared" si="20"/>
        <v>5.2475183991813846E-3</v>
      </c>
      <c r="Q45" s="95">
        <f t="shared" si="20"/>
        <v>1.8363047770289071E-3</v>
      </c>
      <c r="R45" s="95">
        <f t="shared" si="20"/>
        <v>6.4259236035555734E-4</v>
      </c>
      <c r="S45" s="95">
        <f t="shared" si="20"/>
        <v>2.2486732417884819E-4</v>
      </c>
      <c r="T45" s="95">
        <f t="shared" si="20"/>
        <v>7.868956527179456E-5</v>
      </c>
      <c r="U45" s="95">
        <f t="shared" si="20"/>
        <v>2.7536449349747158E-5</v>
      </c>
      <c r="V45" s="95">
        <f t="shared" si="20"/>
        <v>9.6360431039638514E-6</v>
      </c>
      <c r="W45" s="95">
        <f t="shared" si="20"/>
        <v>3.3720152341391845E-6</v>
      </c>
      <c r="X45" s="95">
        <f t="shared" si="20"/>
        <v>1.1799954210031909E-6</v>
      </c>
      <c r="Y45" s="95">
        <f t="shared" si="20"/>
        <v>4.1292494158732645E-7</v>
      </c>
      <c r="Z45" s="95">
        <f t="shared" si="20"/>
        <v>1.4449802461092448E-7</v>
      </c>
    </row>
    <row r="46" spans="1:35" ht="18" thickBot="1" x14ac:dyDescent="0.3">
      <c r="A46" s="82" t="s">
        <v>98</v>
      </c>
      <c r="B46" s="81">
        <v>120</v>
      </c>
      <c r="J46" s="51" t="s">
        <v>146</v>
      </c>
      <c r="K46">
        <f>EXP(-$B$44*K43)</f>
        <v>1</v>
      </c>
      <c r="L46" s="95">
        <f t="shared" ref="L46:Z46" si="21">EXP(-$B$44*L43)</f>
        <v>0.74081822068171788</v>
      </c>
      <c r="M46" s="95">
        <f t="shared" si="21"/>
        <v>0.54881163609402639</v>
      </c>
      <c r="N46" s="95">
        <f t="shared" si="21"/>
        <v>0.40656965974059911</v>
      </c>
      <c r="O46" s="95">
        <f t="shared" si="21"/>
        <v>0.30119421191220214</v>
      </c>
      <c r="P46" s="95">
        <f t="shared" si="21"/>
        <v>0.22313016014842982</v>
      </c>
      <c r="Q46" s="95">
        <f t="shared" si="21"/>
        <v>0.16529888822158653</v>
      </c>
      <c r="R46" s="95">
        <f t="shared" si="21"/>
        <v>0.12245642825298191</v>
      </c>
      <c r="S46" s="95">
        <f t="shared" si="21"/>
        <v>9.0717953289412512E-2</v>
      </c>
      <c r="T46" s="95">
        <f t="shared" si="21"/>
        <v>6.7205512739749756E-2</v>
      </c>
      <c r="U46" s="95">
        <f t="shared" si="21"/>
        <v>4.9787068367863944E-2</v>
      </c>
      <c r="V46" s="95">
        <f t="shared" si="21"/>
        <v>3.6883167401239994E-2</v>
      </c>
      <c r="W46" s="95">
        <f t="shared" si="21"/>
        <v>2.7323722447292559E-2</v>
      </c>
      <c r="X46" s="95">
        <f t="shared" si="21"/>
        <v>2.0241911445804391E-2</v>
      </c>
      <c r="Y46" s="95">
        <f t="shared" si="21"/>
        <v>1.4995576820477703E-2</v>
      </c>
      <c r="Z46" s="95">
        <f t="shared" si="21"/>
        <v>1.1108996538242306E-2</v>
      </c>
    </row>
    <row r="47" spans="1:35" ht="17" x14ac:dyDescent="0.25">
      <c r="J47" s="51" t="s">
        <v>147</v>
      </c>
      <c r="K47">
        <f>EXP(-$B$45*K43)</f>
        <v>1</v>
      </c>
      <c r="L47" s="95">
        <f t="shared" ref="L47:Z47" si="22">EXP(-$B$45*L43)</f>
        <v>0.86070797642505781</v>
      </c>
      <c r="M47" s="95">
        <f t="shared" si="22"/>
        <v>0.74081822068171788</v>
      </c>
      <c r="N47" s="95">
        <f t="shared" si="22"/>
        <v>0.63762815162177333</v>
      </c>
      <c r="O47" s="95">
        <f t="shared" si="22"/>
        <v>0.54881163609402639</v>
      </c>
      <c r="P47" s="95">
        <f t="shared" si="22"/>
        <v>0.47236655274101469</v>
      </c>
      <c r="Q47" s="95">
        <f t="shared" si="22"/>
        <v>0.40656965974059911</v>
      </c>
      <c r="R47" s="95">
        <f t="shared" si="22"/>
        <v>0.34993774911115533</v>
      </c>
      <c r="S47" s="95">
        <f t="shared" si="22"/>
        <v>0.30119421191220214</v>
      </c>
      <c r="T47" s="95">
        <f t="shared" si="22"/>
        <v>0.25924026064589151</v>
      </c>
      <c r="U47" s="95">
        <f t="shared" si="22"/>
        <v>0.22313016014842982</v>
      </c>
      <c r="V47" s="95">
        <f t="shared" si="22"/>
        <v>0.19204990862075408</v>
      </c>
      <c r="W47" s="95">
        <f t="shared" si="22"/>
        <v>0.16529888822158653</v>
      </c>
      <c r="X47" s="95">
        <f t="shared" si="22"/>
        <v>0.14227407158651359</v>
      </c>
      <c r="Y47" s="95">
        <f t="shared" si="22"/>
        <v>0.12245642825298191</v>
      </c>
      <c r="Z47" s="95">
        <f t="shared" si="22"/>
        <v>0.10539922456186433</v>
      </c>
    </row>
    <row r="48" spans="1:35" x14ac:dyDescent="0.2">
      <c r="J48" s="51" t="s">
        <v>42</v>
      </c>
      <c r="K48">
        <f>1-(1-K44)*(1-K45)*(1-K46)*(1-K47)</f>
        <v>1</v>
      </c>
      <c r="L48" s="95">
        <f t="shared" ref="L48:Z48" si="23">1-(1-L44)*(1-L45)*(1-L46)*(1-L47)</f>
        <v>0.98941127784442606</v>
      </c>
      <c r="M48" s="95">
        <f t="shared" si="23"/>
        <v>0.92828870909337569</v>
      </c>
      <c r="N48" s="95">
        <f t="shared" si="23"/>
        <v>0.82819562121660983</v>
      </c>
      <c r="O48" s="95">
        <f t="shared" si="23"/>
        <v>0.71760878551051677</v>
      </c>
      <c r="P48" s="95">
        <f t="shared" si="23"/>
        <v>0.61254921313341193</v>
      </c>
      <c r="Q48" s="95">
        <f t="shared" si="23"/>
        <v>0.51908222122584402</v>
      </c>
      <c r="R48" s="95">
        <f t="shared" si="23"/>
        <v>0.43845747146458425</v>
      </c>
      <c r="S48" s="95">
        <f t="shared" si="23"/>
        <v>0.36995942654571923</v>
      </c>
      <c r="T48" s="95">
        <f t="shared" si="23"/>
        <v>0.3121983775650603</v>
      </c>
      <c r="U48" s="95">
        <f t="shared" si="23"/>
        <v>0.2636583032240214</v>
      </c>
      <c r="V48" s="95">
        <f t="shared" si="23"/>
        <v>0.22291572602395104</v>
      </c>
      <c r="W48" s="95">
        <f t="shared" si="23"/>
        <v>0.18871491391727357</v>
      </c>
      <c r="X48" s="95">
        <f t="shared" si="23"/>
        <v>0.15998140158500829</v>
      </c>
      <c r="Y48" s="95">
        <f t="shared" si="23"/>
        <v>0.13581042892654271</v>
      </c>
      <c r="Z48" s="95">
        <f t="shared" si="23"/>
        <v>0.11544664534091709</v>
      </c>
    </row>
    <row r="49" spans="1:35" x14ac:dyDescent="0.2">
      <c r="J49" s="51" t="s">
        <v>43</v>
      </c>
      <c r="K49">
        <f>$B$42*K44*(1-K45)*(1-K46)*(1-K47)+(1-K44)*$B$43*K45*(1-K46)*(1-K47)+(1-K44)*(1-K45)*$B$44*K46*(1-K47)+(1-K44)*(1-K45)*(1-K46)*$B$45*K47</f>
        <v>0</v>
      </c>
      <c r="L49" s="95">
        <f t="shared" ref="L49:Z49" si="24">$B$42*L44*(1-L45)*(1-L46)*(1-L47)+(1-L44)*$B$43*L45*(1-L46)*(1-L47)+(1-L44)*(1-L45)*$B$44*L46*(1-L47)+(1-L44)*(1-L45)*(1-L46)*$B$45*L47</f>
        <v>2.1738043199411703E-4</v>
      </c>
      <c r="M49" s="95">
        <f t="shared" si="24"/>
        <v>5.731092707350915E-4</v>
      </c>
      <c r="N49" s="95">
        <f t="shared" si="24"/>
        <v>7.2765352825954741E-4</v>
      </c>
      <c r="O49" s="95">
        <f t="shared" si="24"/>
        <v>7.2970931774164987E-4</v>
      </c>
      <c r="P49" s="95">
        <f t="shared" si="24"/>
        <v>6.649423254601306E-4</v>
      </c>
      <c r="Q49" s="95">
        <f t="shared" si="24"/>
        <v>5.8019262959048195E-4</v>
      </c>
      <c r="R49" s="95">
        <f t="shared" si="24"/>
        <v>4.957296511973843E-4</v>
      </c>
      <c r="S49" s="95">
        <f t="shared" si="24"/>
        <v>4.1917662948370556E-4</v>
      </c>
      <c r="T49" s="95">
        <f t="shared" si="24"/>
        <v>3.5267684513652891E-4</v>
      </c>
      <c r="U49" s="95">
        <f t="shared" si="24"/>
        <v>2.9611297778961697E-4</v>
      </c>
      <c r="V49" s="95">
        <f t="shared" si="24"/>
        <v>2.4851762259265106E-4</v>
      </c>
      <c r="W49" s="95">
        <f t="shared" si="24"/>
        <v>2.0868553768322689E-4</v>
      </c>
      <c r="X49" s="95">
        <f t="shared" si="24"/>
        <v>1.7543089218928384E-4</v>
      </c>
      <c r="Y49" s="95">
        <f t="shared" si="24"/>
        <v>1.4768554993299128E-4</v>
      </c>
      <c r="Z49" s="95">
        <f t="shared" si="24"/>
        <v>1.2452684395556566E-4</v>
      </c>
    </row>
    <row r="50" spans="1:35" x14ac:dyDescent="0.2">
      <c r="J50" s="51" t="s">
        <v>44</v>
      </c>
      <c r="K50">
        <f>K49/K48</f>
        <v>0</v>
      </c>
      <c r="L50" s="95">
        <f t="shared" ref="L50:Z50" si="25">L49/L48</f>
        <v>2.1970684675003038E-4</v>
      </c>
      <c r="M50" s="95">
        <f t="shared" si="25"/>
        <v>6.173825719531002E-4</v>
      </c>
      <c r="N50" s="95">
        <f t="shared" si="25"/>
        <v>8.7860103291856665E-4</v>
      </c>
      <c r="O50" s="95">
        <f t="shared" si="25"/>
        <v>1.0168622966656193E-3</v>
      </c>
      <c r="P50" s="95">
        <f t="shared" si="25"/>
        <v>1.0855329028319355E-3</v>
      </c>
      <c r="Q50" s="95">
        <f t="shared" si="25"/>
        <v>1.1177278008488174E-3</v>
      </c>
      <c r="R50" s="95">
        <f t="shared" si="25"/>
        <v>1.1306219723921985E-3</v>
      </c>
      <c r="S50" s="95">
        <f t="shared" si="25"/>
        <v>1.1330340556463807E-3</v>
      </c>
      <c r="T50" s="95">
        <f t="shared" si="25"/>
        <v>1.1296562393666928E-3</v>
      </c>
      <c r="U50" s="95">
        <f t="shared" si="25"/>
        <v>1.1230936942578287E-3</v>
      </c>
      <c r="V50" s="95">
        <f t="shared" si="25"/>
        <v>1.1148501141007398E-3</v>
      </c>
      <c r="W50" s="95">
        <f t="shared" si="25"/>
        <v>1.1058243005357159E-3</v>
      </c>
      <c r="X50" s="95">
        <f t="shared" si="25"/>
        <v>1.0965705416455316E-3</v>
      </c>
      <c r="Y50" s="95">
        <f t="shared" si="25"/>
        <v>1.0874389478062218E-3</v>
      </c>
      <c r="Z50" s="95">
        <f t="shared" si="25"/>
        <v>1.0786527714844766E-3</v>
      </c>
    </row>
    <row r="51" spans="1:35" x14ac:dyDescent="0.2">
      <c r="J51" s="51"/>
    </row>
    <row r="57" spans="1:35" x14ac:dyDescent="0.2">
      <c r="A57" s="116"/>
      <c r="B57" s="116"/>
    </row>
    <row r="58" spans="1:35" x14ac:dyDescent="0.2">
      <c r="B58" s="7"/>
      <c r="C58" s="6"/>
    </row>
    <row r="59" spans="1:35" x14ac:dyDescent="0.2">
      <c r="A59" s="7"/>
      <c r="B59" s="6"/>
      <c r="C59" s="7"/>
      <c r="D59" s="39"/>
      <c r="E59" s="7"/>
      <c r="F59" s="40"/>
    </row>
    <row r="60" spans="1:35" x14ac:dyDescent="0.2">
      <c r="A60" s="7"/>
      <c r="B60" s="6"/>
      <c r="C60" s="7"/>
      <c r="D60" s="39"/>
      <c r="E60" s="7"/>
      <c r="F60" s="40"/>
    </row>
    <row r="61" spans="1:35" x14ac:dyDescent="0.2">
      <c r="A61" s="7"/>
      <c r="B61" s="6"/>
      <c r="C61" s="7"/>
      <c r="D61" s="39"/>
      <c r="E61" s="7"/>
      <c r="F61" s="40"/>
    </row>
    <row r="62" spans="1:35" x14ac:dyDescent="0.2">
      <c r="A62" s="7"/>
      <c r="B62" s="6"/>
      <c r="C62" s="7"/>
      <c r="D62" s="39"/>
      <c r="E62" s="7"/>
      <c r="F62" s="40"/>
    </row>
    <row r="63" spans="1:35" x14ac:dyDescent="0.2">
      <c r="A63" s="52"/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</row>
    <row r="64" spans="1:35" x14ac:dyDescent="0.2">
      <c r="A64" s="30" t="s">
        <v>148</v>
      </c>
      <c r="B64" s="30"/>
      <c r="C64" s="30"/>
    </row>
    <row r="65" spans="1:21" x14ac:dyDescent="0.2">
      <c r="A65" s="116"/>
      <c r="B65" s="116"/>
      <c r="I65" s="51"/>
    </row>
    <row r="66" spans="1:21" ht="16" thickBot="1" x14ac:dyDescent="0.25">
      <c r="A66" t="s">
        <v>149</v>
      </c>
      <c r="I66" s="51"/>
    </row>
    <row r="67" spans="1:21" ht="17" thickTop="1" thickBot="1" x14ac:dyDescent="0.25">
      <c r="A67" s="41" t="s">
        <v>40</v>
      </c>
      <c r="B67" s="42">
        <v>0.9</v>
      </c>
      <c r="C67" s="6"/>
      <c r="I67" s="51"/>
    </row>
    <row r="68" spans="1:21" ht="17" thickTop="1" thickBot="1" x14ac:dyDescent="0.25">
      <c r="A68" s="43" t="s">
        <v>41</v>
      </c>
      <c r="B68" s="42">
        <v>0.99</v>
      </c>
      <c r="C68" s="42">
        <v>0.999</v>
      </c>
      <c r="D68" s="44">
        <v>0.99990000000000001</v>
      </c>
      <c r="E68" s="7"/>
    </row>
    <row r="69" spans="1:21" ht="17" thickTop="1" thickBot="1" x14ac:dyDescent="0.25">
      <c r="A69" s="45" t="s">
        <v>151</v>
      </c>
      <c r="B69" s="45">
        <f>LN(1-B68)/LN(1-$B$67)</f>
        <v>1.9999999999999996</v>
      </c>
      <c r="C69" s="45">
        <f>LN(1-C68)/LN(1-$B$67)</f>
        <v>2.9999999999999991</v>
      </c>
      <c r="D69" s="45">
        <f>LN(1-D68)/LN(1-$B$67)</f>
        <v>4.000000000000048</v>
      </c>
      <c r="E69" s="7"/>
    </row>
    <row r="70" spans="1:21" ht="17" thickTop="1" thickBot="1" x14ac:dyDescent="0.25">
      <c r="B70" s="69" t="s">
        <v>2</v>
      </c>
      <c r="C70" s="70" t="s">
        <v>52</v>
      </c>
      <c r="D70" s="68" t="s">
        <v>53</v>
      </c>
    </row>
    <row r="71" spans="1:21" ht="16" thickTop="1" x14ac:dyDescent="0.2">
      <c r="A71" s="54"/>
      <c r="B71" s="54"/>
      <c r="C71" s="64"/>
      <c r="D71" s="6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</row>
    <row r="72" spans="1:21" ht="16" thickBot="1" x14ac:dyDescent="0.25">
      <c r="A72" t="s">
        <v>54</v>
      </c>
      <c r="C72" s="38"/>
      <c r="D72" s="38"/>
      <c r="P72" s="65" t="s">
        <v>59</v>
      </c>
      <c r="Q72" s="65"/>
      <c r="S72" s="66" t="s">
        <v>60</v>
      </c>
      <c r="T72" s="66"/>
    </row>
    <row r="73" spans="1:21" ht="17" thickTop="1" thickBot="1" x14ac:dyDescent="0.25">
      <c r="A73" s="83" t="s">
        <v>56</v>
      </c>
      <c r="B73" s="84">
        <v>150</v>
      </c>
      <c r="C73" t="s">
        <v>45</v>
      </c>
      <c r="D73" s="83" t="s">
        <v>64</v>
      </c>
      <c r="E73" s="85">
        <v>0.99</v>
      </c>
    </row>
    <row r="74" spans="1:21" ht="17" thickTop="1" thickBot="1" x14ac:dyDescent="0.25">
      <c r="A74" s="56" t="s">
        <v>48</v>
      </c>
      <c r="B74" s="57" t="s">
        <v>46</v>
      </c>
      <c r="C74" s="92" t="s">
        <v>47</v>
      </c>
      <c r="D74" s="86">
        <v>500</v>
      </c>
      <c r="E74" s="87" t="s">
        <v>45</v>
      </c>
      <c r="F74" s="90" t="s">
        <v>51</v>
      </c>
      <c r="G74" s="60">
        <f>1/D74</f>
        <v>2E-3</v>
      </c>
      <c r="H74" s="61" t="s">
        <v>55</v>
      </c>
      <c r="I74" s="62"/>
      <c r="J74" s="60">
        <f>EXP(-G74*B73)</f>
        <v>0.74081822068171788</v>
      </c>
      <c r="K74" s="63" t="s">
        <v>12</v>
      </c>
      <c r="L74" s="60">
        <f>CEILING((LN(1-E73)/LN(1-J74)),1)</f>
        <v>4</v>
      </c>
      <c r="M74" s="38" t="s">
        <v>61</v>
      </c>
    </row>
    <row r="75" spans="1:21" ht="16" thickTop="1" x14ac:dyDescent="0.2"/>
    <row r="77" spans="1:21" ht="16" thickBot="1" x14ac:dyDescent="0.25"/>
    <row r="78" spans="1:21" ht="17" thickTop="1" thickBot="1" x14ac:dyDescent="0.25">
      <c r="A78" s="58" t="s">
        <v>49</v>
      </c>
      <c r="B78" s="59" t="s">
        <v>50</v>
      </c>
      <c r="C78" s="93" t="s">
        <v>47</v>
      </c>
      <c r="D78" s="88">
        <v>500</v>
      </c>
      <c r="E78" s="89" t="s">
        <v>45</v>
      </c>
      <c r="F78" s="91" t="s">
        <v>58</v>
      </c>
      <c r="G78" s="60">
        <f>PI()/(4*D78^2)</f>
        <v>3.1415926535897933E-6</v>
      </c>
      <c r="H78" s="61" t="s">
        <v>57</v>
      </c>
      <c r="I78" s="62"/>
      <c r="J78" s="60">
        <f>EXP(-G78*B73^2)</f>
        <v>0.93175457109937643</v>
      </c>
      <c r="K78" s="61" t="s">
        <v>12</v>
      </c>
      <c r="L78" s="60">
        <f>CEILING((LN(1-E73)/LN(1-J78)),1)</f>
        <v>2</v>
      </c>
      <c r="M78" s="38" t="s">
        <v>62</v>
      </c>
    </row>
    <row r="79" spans="1:21" ht="16" thickTop="1" x14ac:dyDescent="0.2"/>
    <row r="81" spans="1:21" x14ac:dyDescent="0.2">
      <c r="A81" s="49" t="s">
        <v>63</v>
      </c>
      <c r="B81" s="49"/>
      <c r="C81" s="49"/>
      <c r="D81" s="49"/>
      <c r="E81" s="49"/>
      <c r="F81" s="49"/>
      <c r="G81" s="49"/>
    </row>
    <row r="82" spans="1:21" x14ac:dyDescent="0.2">
      <c r="A82" s="54"/>
      <c r="B82" s="54"/>
      <c r="C82" s="64"/>
      <c r="D82" s="6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</row>
    <row r="83" spans="1:21" x14ac:dyDescent="0.2">
      <c r="A83" s="50" t="s">
        <v>152</v>
      </c>
      <c r="B83" s="50"/>
      <c r="C83" s="50"/>
    </row>
    <row r="84" spans="1:21" x14ac:dyDescent="0.2">
      <c r="B84" s="51" t="s">
        <v>166</v>
      </c>
      <c r="C84" s="51" t="s">
        <v>167</v>
      </c>
    </row>
    <row r="85" spans="1:21" x14ac:dyDescent="0.2">
      <c r="A85" t="s">
        <v>153</v>
      </c>
      <c r="B85">
        <v>4</v>
      </c>
      <c r="C85">
        <v>500</v>
      </c>
    </row>
    <row r="87" spans="1:21" x14ac:dyDescent="0.2">
      <c r="A87" s="116">
        <v>50</v>
      </c>
      <c r="B87" s="116"/>
      <c r="C87" s="116"/>
    </row>
    <row r="88" spans="1:21" x14ac:dyDescent="0.2">
      <c r="A88" t="s">
        <v>0</v>
      </c>
      <c r="B88">
        <v>0</v>
      </c>
      <c r="C88">
        <f>B88+$A$87</f>
        <v>50</v>
      </c>
      <c r="D88">
        <f t="shared" ref="D88:S88" si="26">C88+$A$87</f>
        <v>100</v>
      </c>
      <c r="E88">
        <f t="shared" si="26"/>
        <v>150</v>
      </c>
      <c r="F88">
        <f t="shared" si="26"/>
        <v>200</v>
      </c>
      <c r="G88">
        <f t="shared" si="26"/>
        <v>250</v>
      </c>
      <c r="H88">
        <f t="shared" si="26"/>
        <v>300</v>
      </c>
      <c r="I88">
        <f t="shared" si="26"/>
        <v>350</v>
      </c>
      <c r="J88">
        <f t="shared" si="26"/>
        <v>400</v>
      </c>
      <c r="K88">
        <f t="shared" si="26"/>
        <v>450</v>
      </c>
      <c r="L88">
        <f t="shared" si="26"/>
        <v>500</v>
      </c>
      <c r="M88">
        <f t="shared" si="26"/>
        <v>550</v>
      </c>
      <c r="N88">
        <f t="shared" si="26"/>
        <v>600</v>
      </c>
      <c r="O88">
        <f t="shared" si="26"/>
        <v>650</v>
      </c>
      <c r="P88">
        <f t="shared" si="26"/>
        <v>700</v>
      </c>
      <c r="Q88">
        <f t="shared" si="26"/>
        <v>750</v>
      </c>
      <c r="R88">
        <f t="shared" si="26"/>
        <v>800</v>
      </c>
      <c r="S88">
        <f t="shared" si="26"/>
        <v>850</v>
      </c>
    </row>
    <row r="89" spans="1:21" x14ac:dyDescent="0.2">
      <c r="A89" t="s">
        <v>78</v>
      </c>
      <c r="B89">
        <f>1-WEIBULL(B88,$B$85,$C$85,1)</f>
        <v>1</v>
      </c>
      <c r="C89">
        <f t="shared" ref="C89:I89" si="27">1-WEIBULL(C88,$B$85,$C$85,1)</f>
        <v>0.99990000499983334</v>
      </c>
      <c r="D89">
        <f t="shared" si="27"/>
        <v>0.99840127931760636</v>
      </c>
      <c r="E89">
        <f t="shared" si="27"/>
        <v>0.99193271660557114</v>
      </c>
      <c r="F89">
        <f t="shared" si="27"/>
        <v>0.97472490160179392</v>
      </c>
      <c r="G89">
        <f t="shared" si="27"/>
        <v>0.93941306281347581</v>
      </c>
      <c r="H89">
        <f t="shared" si="27"/>
        <v>0.87844673934993134</v>
      </c>
      <c r="I89">
        <f t="shared" si="27"/>
        <v>0.78654920221345503</v>
      </c>
      <c r="J89">
        <f t="shared" ref="J89:S89" si="28">1-WEIBULL(J88,$B$85,$C$85,1)</f>
        <v>0.66391576333547353</v>
      </c>
      <c r="K89">
        <f t="shared" si="28"/>
        <v>0.51887099046545238</v>
      </c>
      <c r="L89">
        <f t="shared" si="28"/>
        <v>0.36787944117144233</v>
      </c>
      <c r="M89">
        <f t="shared" si="28"/>
        <v>0.23128605528432855</v>
      </c>
      <c r="N89">
        <f t="shared" si="28"/>
        <v>0.12573232959442793</v>
      </c>
      <c r="O89">
        <f t="shared" si="28"/>
        <v>5.7492544526164591E-2</v>
      </c>
      <c r="P89">
        <f t="shared" si="28"/>
        <v>2.1459239080080406E-2</v>
      </c>
      <c r="Q89">
        <f t="shared" si="28"/>
        <v>6.329715427485727E-3</v>
      </c>
      <c r="R89">
        <f t="shared" si="28"/>
        <v>1.4249764381925045E-3</v>
      </c>
      <c r="S89">
        <f t="shared" si="28"/>
        <v>2.35900606629591E-4</v>
      </c>
    </row>
    <row r="90" spans="1:21" x14ac:dyDescent="0.2">
      <c r="A90" t="s">
        <v>29</v>
      </c>
      <c r="B90">
        <f>1-(1-B89)^2</f>
        <v>1</v>
      </c>
      <c r="C90">
        <f t="shared" ref="C90:S90" si="29">1-(1-C89)^2</f>
        <v>0.99999999000099993</v>
      </c>
      <c r="D90">
        <f t="shared" si="29"/>
        <v>0.99999744409217972</v>
      </c>
      <c r="E90">
        <f t="shared" si="29"/>
        <v>0.99993491893863395</v>
      </c>
      <c r="F90">
        <f t="shared" si="29"/>
        <v>0.99936116940096098</v>
      </c>
      <c r="G90">
        <f t="shared" si="29"/>
        <v>0.99632922304235616</v>
      </c>
      <c r="H90">
        <f t="shared" si="29"/>
        <v>0.98522480482533648</v>
      </c>
      <c r="I90">
        <f t="shared" si="29"/>
        <v>0.95443875692428748</v>
      </c>
      <c r="J90">
        <f t="shared" si="29"/>
        <v>0.8870473858656226</v>
      </c>
      <c r="K90">
        <f t="shared" si="29"/>
        <v>0.76851487618430514</v>
      </c>
      <c r="L90">
        <f t="shared" si="29"/>
        <v>0.60042359910627197</v>
      </c>
      <c r="M90">
        <f t="shared" si="29"/>
        <v>0.40907887119967157</v>
      </c>
      <c r="N90">
        <f t="shared" si="29"/>
        <v>0.23565604048361399</v>
      </c>
      <c r="O90">
        <f t="shared" si="29"/>
        <v>0.1116796963762362</v>
      </c>
      <c r="P90">
        <f t="shared" si="29"/>
        <v>4.2457979218264774E-2</v>
      </c>
      <c r="Q90">
        <f t="shared" si="29"/>
        <v>1.2619365557578477E-2</v>
      </c>
      <c r="R90">
        <f t="shared" si="29"/>
        <v>2.8479223185355895E-3</v>
      </c>
      <c r="S90">
        <f t="shared" si="29"/>
        <v>4.7174556416296198E-4</v>
      </c>
    </row>
    <row r="91" spans="1:21" x14ac:dyDescent="0.2">
      <c r="A91" t="s">
        <v>30</v>
      </c>
      <c r="B91">
        <f>1-(1-B89)^3</f>
        <v>1</v>
      </c>
      <c r="C91">
        <f t="shared" ref="C91:S91" si="30">1-(1-C89)^3</f>
        <v>0.99999999999900013</v>
      </c>
      <c r="D91">
        <f t="shared" si="30"/>
        <v>0.99999999591381727</v>
      </c>
      <c r="E91">
        <f t="shared" si="30"/>
        <v>0.99999947497263431</v>
      </c>
      <c r="F91">
        <f t="shared" si="30"/>
        <v>0.99998385349374952</v>
      </c>
      <c r="G91">
        <f t="shared" si="30"/>
        <v>0.99977759886704154</v>
      </c>
      <c r="H91">
        <f t="shared" si="30"/>
        <v>0.99820402684977849</v>
      </c>
      <c r="I91">
        <f t="shared" si="30"/>
        <v>0.99027491631734244</v>
      </c>
      <c r="J91">
        <f t="shared" si="30"/>
        <v>0.96203840689938491</v>
      </c>
      <c r="K91">
        <f t="shared" si="30"/>
        <v>0.88862579165657263</v>
      </c>
      <c r="L91">
        <f t="shared" si="30"/>
        <v>0.74741954217235285</v>
      </c>
      <c r="M91">
        <f t="shared" si="30"/>
        <v>0.54575068806406213</v>
      </c>
      <c r="N91">
        <f t="shared" si="30"/>
        <v>0.33175878712503837</v>
      </c>
      <c r="O91">
        <f t="shared" si="30"/>
        <v>0.16275149098582153</v>
      </c>
      <c r="P91">
        <f t="shared" si="30"/>
        <v>6.3006102371443329E-2</v>
      </c>
      <c r="Q91">
        <f t="shared" si="30"/>
        <v>1.8869203992209371E-2</v>
      </c>
      <c r="R91">
        <f t="shared" si="30"/>
        <v>4.2688405345263636E-3</v>
      </c>
      <c r="S91">
        <f t="shared" si="30"/>
        <v>7.0753488572783407E-4</v>
      </c>
    </row>
    <row r="92" spans="1:21" x14ac:dyDescent="0.2">
      <c r="A92" t="s">
        <v>20</v>
      </c>
      <c r="B92">
        <f>WEIBULL(B88,$B$85,$C$85,0)</f>
        <v>0</v>
      </c>
      <c r="C92">
        <f t="shared" ref="C92:S92" si="31">WEIBULL(C88,$B$85,$C$85,0)</f>
        <v>7.9992000399986707E-6</v>
      </c>
      <c r="D92">
        <f t="shared" si="31"/>
        <v>6.3897681876326983E-5</v>
      </c>
      <c r="E92">
        <f t="shared" si="31"/>
        <v>2.1425746678680352E-4</v>
      </c>
      <c r="F92">
        <f t="shared" si="31"/>
        <v>4.990591496201181E-4</v>
      </c>
      <c r="G92">
        <f t="shared" si="31"/>
        <v>9.3941306281347605E-4</v>
      </c>
      <c r="H92">
        <f t="shared" si="31"/>
        <v>1.5179559655966828E-3</v>
      </c>
      <c r="I92">
        <f t="shared" si="31"/>
        <v>2.158291010873723E-3</v>
      </c>
      <c r="J92">
        <f t="shared" si="31"/>
        <v>2.7193989666221036E-3</v>
      </c>
      <c r="K92">
        <f t="shared" si="31"/>
        <v>3.0260556163945263E-3</v>
      </c>
      <c r="L92">
        <f t="shared" si="31"/>
        <v>2.943035529371545E-3</v>
      </c>
      <c r="M92">
        <f t="shared" si="31"/>
        <v>2.462733916667533E-3</v>
      </c>
      <c r="N92">
        <f t="shared" si="31"/>
        <v>1.7381237243133704E-3</v>
      </c>
      <c r="O92">
        <f t="shared" si="31"/>
        <v>1.0104889625918694E-3</v>
      </c>
      <c r="P92">
        <f t="shared" si="31"/>
        <v>4.7107321628592512E-4</v>
      </c>
      <c r="Q92">
        <f t="shared" si="31"/>
        <v>1.709023165421152E-4</v>
      </c>
      <c r="R92">
        <f t="shared" si="31"/>
        <v>4.6693627926690599E-5</v>
      </c>
      <c r="S92">
        <f t="shared" si="31"/>
        <v>9.2718374429689303E-6</v>
      </c>
    </row>
    <row r="93" spans="1:21" x14ac:dyDescent="0.2">
      <c r="A93" t="s">
        <v>33</v>
      </c>
      <c r="B93">
        <f>2*B92*(1-B89)</f>
        <v>0</v>
      </c>
      <c r="C93">
        <f t="shared" ref="C93:S93" si="32">2*C92*(1-C89)</f>
        <v>1.5997600186656892E-9</v>
      </c>
      <c r="D93">
        <f t="shared" si="32"/>
        <v>2.0430909114538634E-7</v>
      </c>
      <c r="E93">
        <f t="shared" si="32"/>
        <v>3.4569514078831459E-6</v>
      </c>
      <c r="F93">
        <f t="shared" si="32"/>
        <v>2.5227538226347067E-5</v>
      </c>
      <c r="G93">
        <f t="shared" si="32"/>
        <v>1.1383232045776075E-4</v>
      </c>
      <c r="H93">
        <f t="shared" si="32"/>
        <v>3.6902499428300047E-4</v>
      </c>
      <c r="I93">
        <f t="shared" si="32"/>
        <v>9.2137787625304953E-4</v>
      </c>
      <c r="J93">
        <f t="shared" si="32"/>
        <v>1.8278942517669836E-3</v>
      </c>
      <c r="K93">
        <f t="shared" si="32"/>
        <v>2.911846283024707E-3</v>
      </c>
      <c r="L93">
        <f t="shared" si="32"/>
        <v>3.7207065269572819E-3</v>
      </c>
      <c r="M93">
        <f t="shared" si="32"/>
        <v>3.7862758077331499E-3</v>
      </c>
      <c r="N93">
        <f t="shared" si="32"/>
        <v>3.0391707586642142E-3</v>
      </c>
      <c r="O93">
        <f t="shared" si="32"/>
        <v>1.9047867618337171E-3</v>
      </c>
      <c r="P93">
        <f t="shared" si="32"/>
        <v>9.2192868702684603E-4</v>
      </c>
      <c r="Q93">
        <f t="shared" si="32"/>
        <v>3.3964110702501104E-4</v>
      </c>
      <c r="R93">
        <f t="shared" si="32"/>
        <v>9.3254181214162679E-5</v>
      </c>
      <c r="S93">
        <f t="shared" si="32"/>
        <v>1.8539300421783126E-5</v>
      </c>
    </row>
    <row r="94" spans="1:21" x14ac:dyDescent="0.2">
      <c r="A94" t="s">
        <v>34</v>
      </c>
      <c r="B94">
        <f>3*B92*(1-B89)^2</f>
        <v>0</v>
      </c>
      <c r="C94">
        <f t="shared" ref="C94:S94" si="33">3*C92*(1-C89)^2</f>
        <v>2.3995200499964663E-13</v>
      </c>
      <c r="D94">
        <f t="shared" si="33"/>
        <v>4.8994975442276451E-10</v>
      </c>
      <c r="E94">
        <f t="shared" si="33"/>
        <v>4.1832310032244751E-8</v>
      </c>
      <c r="F94">
        <f t="shared" si="33"/>
        <v>9.5644276652314108E-7</v>
      </c>
      <c r="G94">
        <f t="shared" si="33"/>
        <v>1.0345127474055967E-5</v>
      </c>
      <c r="H94">
        <f t="shared" si="33"/>
        <v>6.7284286974707481E-5</v>
      </c>
      <c r="I94">
        <f t="shared" si="33"/>
        <v>2.9500326412362885E-4</v>
      </c>
      <c r="J94">
        <f t="shared" si="33"/>
        <v>9.2148966646287366E-4</v>
      </c>
      <c r="K94">
        <f t="shared" si="33"/>
        <v>2.1014605771027973E-3</v>
      </c>
      <c r="L94">
        <f t="shared" si="33"/>
        <v>3.5279026335859488E-3</v>
      </c>
      <c r="M94">
        <f t="shared" si="33"/>
        <v>4.3658445179160978E-3</v>
      </c>
      <c r="N94">
        <f t="shared" si="33"/>
        <v>3.9855731087131462E-3</v>
      </c>
      <c r="O94">
        <f t="shared" si="33"/>
        <v>2.6929135861742145E-3</v>
      </c>
      <c r="P94">
        <f t="shared" si="33"/>
        <v>1.3532171983757285E-3</v>
      </c>
      <c r="Q94">
        <f t="shared" si="33"/>
        <v>5.0623691320509972E-4</v>
      </c>
      <c r="R94">
        <f t="shared" si="33"/>
        <v>1.3968194430475435E-4</v>
      </c>
      <c r="S94">
        <f t="shared" si="33"/>
        <v>2.7802390484350708E-5</v>
      </c>
    </row>
    <row r="95" spans="1:21" x14ac:dyDescent="0.2">
      <c r="A95" t="s">
        <v>156</v>
      </c>
      <c r="B95">
        <f>B92/B89</f>
        <v>0</v>
      </c>
      <c r="C95">
        <f t="shared" ref="C95:S95" si="34">C92/C89</f>
        <v>8.0000000000000047E-6</v>
      </c>
      <c r="D95">
        <f t="shared" si="34"/>
        <v>6.4000000000000173E-5</v>
      </c>
      <c r="E95">
        <f t="shared" si="34"/>
        <v>2.1600000000000015E-4</v>
      </c>
      <c r="F95">
        <f t="shared" si="34"/>
        <v>5.1199999999999965E-4</v>
      </c>
      <c r="G95">
        <f t="shared" si="34"/>
        <v>1.0000000000000002E-3</v>
      </c>
      <c r="H95">
        <f t="shared" si="34"/>
        <v>1.7280000000000017E-3</v>
      </c>
      <c r="I95">
        <f t="shared" si="34"/>
        <v>2.7440000000000029E-3</v>
      </c>
      <c r="J95">
        <f t="shared" si="34"/>
        <v>4.0960000000000059E-3</v>
      </c>
      <c r="K95">
        <f t="shared" si="34"/>
        <v>5.8320000000000151E-3</v>
      </c>
      <c r="L95">
        <f t="shared" si="34"/>
        <v>8.0000000000000175E-3</v>
      </c>
      <c r="M95">
        <f t="shared" si="34"/>
        <v>1.0648000000000012E-2</v>
      </c>
      <c r="N95">
        <f t="shared" si="34"/>
        <v>1.3823999999999991E-2</v>
      </c>
      <c r="O95">
        <f t="shared" si="34"/>
        <v>1.7576000000000008E-2</v>
      </c>
      <c r="P95">
        <f t="shared" si="34"/>
        <v>2.1952000000000003E-2</v>
      </c>
      <c r="Q95">
        <f t="shared" si="34"/>
        <v>2.700000000000009E-2</v>
      </c>
      <c r="R95">
        <f t="shared" si="34"/>
        <v>3.2767999999999027E-2</v>
      </c>
      <c r="S95">
        <f t="shared" si="34"/>
        <v>3.930399999999782E-2</v>
      </c>
    </row>
    <row r="96" spans="1:21" ht="16" x14ac:dyDescent="0.2">
      <c r="A96" t="s">
        <v>154</v>
      </c>
      <c r="B96">
        <f>B93/B90</f>
        <v>0</v>
      </c>
      <c r="C96">
        <f t="shared" ref="C96:S96" si="35">C93/C90</f>
        <v>1.5997600346616899E-9</v>
      </c>
      <c r="D96">
        <f t="shared" si="35"/>
        <v>2.0430961334192484E-7</v>
      </c>
      <c r="E96">
        <f t="shared" si="35"/>
        <v>3.4571764045928863E-6</v>
      </c>
      <c r="F96">
        <f t="shared" si="35"/>
        <v>2.5243664651758492E-5</v>
      </c>
      <c r="G96">
        <f t="shared" si="35"/>
        <v>1.1425171301326117E-4</v>
      </c>
      <c r="H96">
        <f t="shared" si="35"/>
        <v>3.7455917926104416E-4</v>
      </c>
      <c r="I96">
        <f t="shared" si="35"/>
        <v>9.6536091977469799E-4</v>
      </c>
      <c r="J96">
        <f t="shared" si="35"/>
        <v>2.0606500632243431E-3</v>
      </c>
      <c r="K96">
        <f t="shared" si="35"/>
        <v>3.7889263737900481E-3</v>
      </c>
      <c r="L96">
        <f t="shared" si="35"/>
        <v>6.1968026115155001E-3</v>
      </c>
      <c r="M96">
        <f t="shared" si="35"/>
        <v>9.2556132186183415E-3</v>
      </c>
      <c r="N96">
        <f t="shared" si="35"/>
        <v>1.2896638475411958E-2</v>
      </c>
      <c r="O96">
        <f t="shared" si="35"/>
        <v>1.705580175842086E-2</v>
      </c>
      <c r="P96">
        <f t="shared" si="35"/>
        <v>2.1713908763473285E-2</v>
      </c>
      <c r="Q96">
        <f t="shared" si="35"/>
        <v>2.6914277542347747E-2</v>
      </c>
      <c r="R96">
        <f t="shared" si="35"/>
        <v>3.2744636539845745E-2</v>
      </c>
      <c r="S96">
        <f t="shared" si="35"/>
        <v>3.9299363534404795E-2</v>
      </c>
    </row>
    <row r="97" spans="1:20" ht="16" x14ac:dyDescent="0.2">
      <c r="A97" t="s">
        <v>155</v>
      </c>
      <c r="B97">
        <f>B94/B91</f>
        <v>0</v>
      </c>
      <c r="C97">
        <f t="shared" ref="C97:S97" si="36">C94/C91</f>
        <v>2.3995200499988654E-13</v>
      </c>
      <c r="D97">
        <f t="shared" si="36"/>
        <v>4.8994975642478872E-10</v>
      </c>
      <c r="E97">
        <f t="shared" si="36"/>
        <v>4.1832331995363818E-8</v>
      </c>
      <c r="F97">
        <f t="shared" si="36"/>
        <v>9.5645820998160678E-7</v>
      </c>
      <c r="G97">
        <f t="shared" si="36"/>
        <v>1.034742875393405E-5</v>
      </c>
      <c r="H97">
        <f t="shared" si="36"/>
        <v>6.7405345164804883E-5</v>
      </c>
      <c r="I97">
        <f t="shared" si="36"/>
        <v>2.9790037015245613E-4</v>
      </c>
      <c r="J97">
        <f t="shared" si="36"/>
        <v>9.5785122491398404E-4</v>
      </c>
      <c r="K97">
        <f t="shared" si="36"/>
        <v>2.3648431058761674E-3</v>
      </c>
      <c r="L97">
        <f t="shared" si="36"/>
        <v>4.7201102386648921E-3</v>
      </c>
      <c r="M97">
        <f t="shared" si="36"/>
        <v>7.9997050180605905E-3</v>
      </c>
      <c r="N97">
        <f t="shared" si="36"/>
        <v>1.2013466600994662E-2</v>
      </c>
      <c r="O97">
        <f t="shared" si="36"/>
        <v>1.654616845512533E-2</v>
      </c>
      <c r="P97">
        <f t="shared" si="36"/>
        <v>2.1477557687952717E-2</v>
      </c>
      <c r="Q97">
        <f t="shared" si="36"/>
        <v>2.6828737100627692E-2</v>
      </c>
      <c r="R97">
        <f t="shared" si="36"/>
        <v>3.2721284192981065E-2</v>
      </c>
      <c r="S97">
        <f t="shared" si="36"/>
        <v>3.9294727433475833E-2</v>
      </c>
    </row>
    <row r="98" spans="1:20" x14ac:dyDescent="0.2">
      <c r="A98" t="s">
        <v>161</v>
      </c>
      <c r="B98">
        <v>1</v>
      </c>
      <c r="C98">
        <v>4</v>
      </c>
      <c r="D98">
        <v>2</v>
      </c>
      <c r="E98">
        <v>4</v>
      </c>
      <c r="F98">
        <v>2</v>
      </c>
      <c r="G98">
        <v>4</v>
      </c>
      <c r="H98">
        <v>2</v>
      </c>
      <c r="I98">
        <v>4</v>
      </c>
      <c r="J98">
        <v>2</v>
      </c>
      <c r="K98">
        <v>4</v>
      </c>
      <c r="L98">
        <v>2</v>
      </c>
      <c r="M98">
        <v>4</v>
      </c>
      <c r="N98">
        <v>2</v>
      </c>
      <c r="O98">
        <v>4</v>
      </c>
      <c r="P98">
        <v>2</v>
      </c>
      <c r="Q98">
        <v>4</v>
      </c>
      <c r="R98">
        <v>2</v>
      </c>
      <c r="S98">
        <v>1</v>
      </c>
      <c r="T98" s="49" t="s">
        <v>168</v>
      </c>
    </row>
    <row r="99" spans="1:20" x14ac:dyDescent="0.2">
      <c r="A99" t="s">
        <v>158</v>
      </c>
      <c r="B99">
        <f>B89*B98</f>
        <v>1</v>
      </c>
      <c r="C99">
        <f t="shared" ref="C99:S99" si="37">C89*C98</f>
        <v>3.9996000199993333</v>
      </c>
      <c r="D99">
        <f t="shared" si="37"/>
        <v>1.9968025586352127</v>
      </c>
      <c r="E99">
        <f t="shared" si="37"/>
        <v>3.9677308664222846</v>
      </c>
      <c r="F99">
        <f t="shared" si="37"/>
        <v>1.9494498032035878</v>
      </c>
      <c r="G99">
        <f t="shared" si="37"/>
        <v>3.7576522512539032</v>
      </c>
      <c r="H99">
        <f t="shared" si="37"/>
        <v>1.7568934786998627</v>
      </c>
      <c r="I99">
        <f t="shared" si="37"/>
        <v>3.1461968088538201</v>
      </c>
      <c r="J99">
        <f t="shared" si="37"/>
        <v>1.3278315266709471</v>
      </c>
      <c r="K99">
        <f t="shared" si="37"/>
        <v>2.0754839618618095</v>
      </c>
      <c r="L99">
        <f t="shared" si="37"/>
        <v>0.73575888234288467</v>
      </c>
      <c r="M99">
        <f t="shared" si="37"/>
        <v>0.9251442211373142</v>
      </c>
      <c r="N99">
        <f t="shared" si="37"/>
        <v>0.25146465918885585</v>
      </c>
      <c r="O99">
        <f t="shared" si="37"/>
        <v>0.22997017810465836</v>
      </c>
      <c r="P99">
        <f t="shared" si="37"/>
        <v>4.2918478160160811E-2</v>
      </c>
      <c r="Q99">
        <f t="shared" si="37"/>
        <v>2.5318861709942908E-2</v>
      </c>
      <c r="R99">
        <f t="shared" si="37"/>
        <v>2.849952876385009E-3</v>
      </c>
      <c r="S99">
        <f t="shared" si="37"/>
        <v>2.35900606629591E-4</v>
      </c>
      <c r="T99">
        <f>SUM(B99:S99)*$A$87/3</f>
        <v>453.18837349545987</v>
      </c>
    </row>
    <row r="100" spans="1:20" x14ac:dyDescent="0.2">
      <c r="A100" t="s">
        <v>159</v>
      </c>
      <c r="B100">
        <f>B98*B90</f>
        <v>1</v>
      </c>
      <c r="C100">
        <f t="shared" ref="C100:S100" si="38">C98*C90</f>
        <v>3.9999999600039997</v>
      </c>
      <c r="D100">
        <f t="shared" si="38"/>
        <v>1.9999948881843594</v>
      </c>
      <c r="E100">
        <f t="shared" si="38"/>
        <v>3.9997396757545358</v>
      </c>
      <c r="F100">
        <f t="shared" si="38"/>
        <v>1.998722338801922</v>
      </c>
      <c r="G100">
        <f t="shared" si="38"/>
        <v>3.9853168921694246</v>
      </c>
      <c r="H100">
        <f t="shared" si="38"/>
        <v>1.970449609650673</v>
      </c>
      <c r="I100">
        <f t="shared" si="38"/>
        <v>3.8177550276971499</v>
      </c>
      <c r="J100">
        <f t="shared" si="38"/>
        <v>1.7740947717312452</v>
      </c>
      <c r="K100">
        <f t="shared" si="38"/>
        <v>3.0740595047372206</v>
      </c>
      <c r="L100">
        <f t="shared" si="38"/>
        <v>1.2008471982125439</v>
      </c>
      <c r="M100">
        <f t="shared" si="38"/>
        <v>1.6363154847986863</v>
      </c>
      <c r="N100">
        <f t="shared" si="38"/>
        <v>0.47131208096722799</v>
      </c>
      <c r="O100">
        <f t="shared" si="38"/>
        <v>0.44671878550494482</v>
      </c>
      <c r="P100">
        <f t="shared" si="38"/>
        <v>8.4915958436529548E-2</v>
      </c>
      <c r="Q100">
        <f t="shared" si="38"/>
        <v>5.0477462230313908E-2</v>
      </c>
      <c r="R100">
        <f t="shared" si="38"/>
        <v>5.6958446370711791E-3</v>
      </c>
      <c r="S100">
        <f t="shared" si="38"/>
        <v>4.7174556416296198E-4</v>
      </c>
      <c r="T100">
        <f>SUM(B100:S100)*$A$87/3</f>
        <v>525.28145381803347</v>
      </c>
    </row>
    <row r="101" spans="1:20" x14ac:dyDescent="0.2">
      <c r="A101" t="s">
        <v>160</v>
      </c>
      <c r="B101">
        <f>B98*B91</f>
        <v>1</v>
      </c>
      <c r="C101">
        <f t="shared" ref="C101:S101" si="39">C98*C91</f>
        <v>3.9999999999960005</v>
      </c>
      <c r="D101">
        <f t="shared" si="39"/>
        <v>1.9999999918276345</v>
      </c>
      <c r="E101">
        <f t="shared" si="39"/>
        <v>3.9999978998905372</v>
      </c>
      <c r="F101">
        <f t="shared" si="39"/>
        <v>1.999967706987499</v>
      </c>
      <c r="G101">
        <f t="shared" si="39"/>
        <v>3.9991103954681662</v>
      </c>
      <c r="H101">
        <f t="shared" si="39"/>
        <v>1.996408053699557</v>
      </c>
      <c r="I101">
        <f t="shared" si="39"/>
        <v>3.9610996652693697</v>
      </c>
      <c r="J101">
        <f t="shared" si="39"/>
        <v>1.9240768137987698</v>
      </c>
      <c r="K101">
        <f t="shared" si="39"/>
        <v>3.5545031666262905</v>
      </c>
      <c r="L101">
        <f t="shared" si="39"/>
        <v>1.4948390843447057</v>
      </c>
      <c r="M101">
        <f t="shared" si="39"/>
        <v>2.1830027522562485</v>
      </c>
      <c r="N101">
        <f t="shared" si="39"/>
        <v>0.66351757425007674</v>
      </c>
      <c r="O101">
        <f t="shared" si="39"/>
        <v>0.65100596394328614</v>
      </c>
      <c r="P101">
        <f t="shared" si="39"/>
        <v>0.12601220474288666</v>
      </c>
      <c r="Q101">
        <f t="shared" si="39"/>
        <v>7.5476815968837485E-2</v>
      </c>
      <c r="R101">
        <f t="shared" si="39"/>
        <v>8.5376810690527272E-3</v>
      </c>
      <c r="S101">
        <f t="shared" si="39"/>
        <v>7.0753488572783407E-4</v>
      </c>
      <c r="T101">
        <f>SUM(B101:S101)*$A$87/3</f>
        <v>560.63772175041061</v>
      </c>
    </row>
    <row r="144" spans="20:20" x14ac:dyDescent="0.2">
      <c r="T144" t="s">
        <v>162</v>
      </c>
    </row>
    <row r="179" spans="1:2" x14ac:dyDescent="0.2">
      <c r="B179" s="24"/>
    </row>
    <row r="180" spans="1:2" x14ac:dyDescent="0.2">
      <c r="A180" s="7"/>
      <c r="B180" s="6"/>
    </row>
    <row r="181" spans="1:2" x14ac:dyDescent="0.2">
      <c r="A181" s="23"/>
    </row>
    <row r="182" spans="1:2" x14ac:dyDescent="0.2">
      <c r="A182" s="23"/>
    </row>
    <row r="183" spans="1:2" x14ac:dyDescent="0.2">
      <c r="A183" s="23"/>
    </row>
    <row r="184" spans="1:2" x14ac:dyDescent="0.2">
      <c r="A184" s="23"/>
    </row>
    <row r="185" spans="1:2" x14ac:dyDescent="0.2">
      <c r="A185" s="23"/>
    </row>
    <row r="186" spans="1:2" x14ac:dyDescent="0.2">
      <c r="A186" s="23"/>
    </row>
    <row r="187" spans="1:2" x14ac:dyDescent="0.2">
      <c r="A187" s="23"/>
    </row>
    <row r="188" spans="1:2" x14ac:dyDescent="0.2">
      <c r="A188" s="23"/>
    </row>
    <row r="189" spans="1:2" x14ac:dyDescent="0.2">
      <c r="A189" s="23"/>
    </row>
    <row r="190" spans="1:2" x14ac:dyDescent="0.2">
      <c r="A190" s="23"/>
    </row>
    <row r="191" spans="1:2" x14ac:dyDescent="0.2">
      <c r="A191" s="23"/>
    </row>
    <row r="192" spans="1:2" x14ac:dyDescent="0.2">
      <c r="A192" s="23"/>
    </row>
    <row r="193" spans="1:1" x14ac:dyDescent="0.2">
      <c r="A193" s="23"/>
    </row>
    <row r="194" spans="1:1" x14ac:dyDescent="0.2">
      <c r="A194" s="23"/>
    </row>
    <row r="195" spans="1:1" x14ac:dyDescent="0.2">
      <c r="A195" s="23"/>
    </row>
    <row r="196" spans="1:1" x14ac:dyDescent="0.2">
      <c r="A196" s="23"/>
    </row>
    <row r="197" spans="1:1" x14ac:dyDescent="0.2">
      <c r="A197" s="23"/>
    </row>
    <row r="198" spans="1:1" x14ac:dyDescent="0.2">
      <c r="A198" s="23"/>
    </row>
    <row r="199" spans="1:1" x14ac:dyDescent="0.2">
      <c r="A199" s="23"/>
    </row>
    <row r="200" spans="1:1" x14ac:dyDescent="0.2">
      <c r="A200" s="23"/>
    </row>
    <row r="201" spans="1:1" x14ac:dyDescent="0.2">
      <c r="A201" s="23"/>
    </row>
    <row r="202" spans="1:1" x14ac:dyDescent="0.2">
      <c r="A202" s="23"/>
    </row>
    <row r="222" spans="1:1" x14ac:dyDescent="0.2">
      <c r="A222" s="24"/>
    </row>
    <row r="227" spans="1:1" x14ac:dyDescent="0.2">
      <c r="A227" s="24"/>
    </row>
    <row r="294" spans="1:1" x14ac:dyDescent="0.2">
      <c r="A294" s="24"/>
    </row>
  </sheetData>
  <mergeCells count="13">
    <mergeCell ref="I5:K5"/>
    <mergeCell ref="A4:B4"/>
    <mergeCell ref="I6:K6"/>
    <mergeCell ref="A57:B57"/>
    <mergeCell ref="A65:B65"/>
    <mergeCell ref="A40:B40"/>
    <mergeCell ref="I7:K7"/>
    <mergeCell ref="E7:G7"/>
    <mergeCell ref="A87:C87"/>
    <mergeCell ref="A5:B5"/>
    <mergeCell ref="A15:B15"/>
    <mergeCell ref="A22:B22"/>
    <mergeCell ref="A33:B33"/>
  </mergeCells>
  <pageMargins left="0.7" right="0.7" top="0.75" bottom="0.75" header="0.3" footer="0.3"/>
  <pageSetup paperSize="9" orientation="portrait" horizontalDpi="180" verticalDpi="180" r:id="rId1"/>
  <drawing r:id="rId2"/>
  <legacyDrawing r:id="rId3"/>
  <oleObjects>
    <mc:AlternateContent xmlns:mc="http://schemas.openxmlformats.org/markup-compatibility/2006">
      <mc:Choice Requires="x14">
        <oleObject progId="Equation.3" shapeId="390753" r:id="rId4">
          <objectPr defaultSize="0" autoPict="0" r:id="rId5">
            <anchor moveWithCells="1" sizeWithCells="1">
              <from>
                <xdr:col>10</xdr:col>
                <xdr:colOff>190500</xdr:colOff>
                <xdr:row>64</xdr:row>
                <xdr:rowOff>12700</xdr:rowOff>
              </from>
              <to>
                <xdr:col>12</xdr:col>
                <xdr:colOff>469900</xdr:colOff>
                <xdr:row>67</xdr:row>
                <xdr:rowOff>114300</xdr:rowOff>
              </to>
            </anchor>
          </objectPr>
        </oleObject>
      </mc:Choice>
      <mc:Fallback>
        <oleObject progId="Equation.3" shapeId="390753" r:id="rId4"/>
      </mc:Fallback>
    </mc:AlternateContent>
    <mc:AlternateContent xmlns:mc="http://schemas.openxmlformats.org/markup-compatibility/2006">
      <mc:Choice Requires="x14">
        <oleObject progId="Equation.3" shapeId="780772" r:id="rId6">
          <objectPr defaultSize="0" autoPict="0" r:id="rId7">
            <anchor moveWithCells="1" sizeWithCells="1">
              <from>
                <xdr:col>15</xdr:col>
                <xdr:colOff>25400</xdr:colOff>
                <xdr:row>1</xdr:row>
                <xdr:rowOff>38100</xdr:rowOff>
              </from>
              <to>
                <xdr:col>18</xdr:col>
                <xdr:colOff>241300</xdr:colOff>
                <xdr:row>4</xdr:row>
                <xdr:rowOff>177800</xdr:rowOff>
              </to>
            </anchor>
          </objectPr>
        </oleObject>
      </mc:Choice>
      <mc:Fallback>
        <oleObject progId="Equation.3" shapeId="780772" r:id="rId6"/>
      </mc:Fallback>
    </mc:AlternateContent>
    <mc:AlternateContent xmlns:mc="http://schemas.openxmlformats.org/markup-compatibility/2006">
      <mc:Choice Requires="x14">
        <oleObject progId="Equation.3" shapeId="780773" r:id="rId8">
          <objectPr defaultSize="0" autoPict="0" r:id="rId9">
            <anchor moveWithCells="1" sizeWithCells="1">
              <from>
                <xdr:col>18</xdr:col>
                <xdr:colOff>393700</xdr:colOff>
                <xdr:row>1</xdr:row>
                <xdr:rowOff>25400</xdr:rowOff>
              </from>
              <to>
                <xdr:col>21</xdr:col>
                <xdr:colOff>558800</xdr:colOff>
                <xdr:row>4</xdr:row>
                <xdr:rowOff>165100</xdr:rowOff>
              </to>
            </anchor>
          </objectPr>
        </oleObject>
      </mc:Choice>
      <mc:Fallback>
        <oleObject progId="Equation.3" shapeId="780773" r:id="rId8"/>
      </mc:Fallback>
    </mc:AlternateContent>
    <mc:AlternateContent xmlns:mc="http://schemas.openxmlformats.org/markup-compatibility/2006">
      <mc:Choice Requires="x14">
        <oleObject progId="Equation.3" shapeId="780774" r:id="rId10">
          <objectPr defaultSize="0" autoPict="0" r:id="rId11">
            <anchor moveWithCells="1" sizeWithCells="1">
              <from>
                <xdr:col>12</xdr:col>
                <xdr:colOff>63500</xdr:colOff>
                <xdr:row>1</xdr:row>
                <xdr:rowOff>0</xdr:rowOff>
              </from>
              <to>
                <xdr:col>14</xdr:col>
                <xdr:colOff>558800</xdr:colOff>
                <xdr:row>4</xdr:row>
                <xdr:rowOff>165100</xdr:rowOff>
              </to>
            </anchor>
          </objectPr>
        </oleObject>
      </mc:Choice>
      <mc:Fallback>
        <oleObject progId="Equation.3" shapeId="780774" r:id="rId10"/>
      </mc:Fallback>
    </mc:AlternateContent>
    <mc:AlternateContent xmlns:mc="http://schemas.openxmlformats.org/markup-compatibility/2006">
      <mc:Choice Requires="x14">
        <oleObject progId="Equation.3" shapeId="831774" r:id="rId12">
          <objectPr defaultSize="0" autoPict="0" r:id="rId13">
            <anchor moveWithCells="1" sizeWithCells="1">
              <from>
                <xdr:col>22</xdr:col>
                <xdr:colOff>101600</xdr:colOff>
                <xdr:row>1</xdr:row>
                <xdr:rowOff>25400</xdr:rowOff>
              </from>
              <to>
                <xdr:col>25</xdr:col>
                <xdr:colOff>215900</xdr:colOff>
                <xdr:row>4</xdr:row>
                <xdr:rowOff>152400</xdr:rowOff>
              </to>
            </anchor>
          </objectPr>
        </oleObject>
      </mc:Choice>
      <mc:Fallback>
        <oleObject progId="Equation.3" shapeId="831774" r:id="rId12"/>
      </mc:Fallback>
    </mc:AlternateContent>
    <mc:AlternateContent xmlns:mc="http://schemas.openxmlformats.org/markup-compatibility/2006">
      <mc:Choice Requires="x14">
        <oleObject progId="Equation.3" shapeId="390169" r:id="rId14">
          <objectPr defaultSize="0" autoPict="0" r:id="rId15">
            <anchor moveWithCells="1" sizeWithCells="1">
              <from>
                <xdr:col>7</xdr:col>
                <xdr:colOff>12700</xdr:colOff>
                <xdr:row>38</xdr:row>
                <xdr:rowOff>25400</xdr:rowOff>
              </from>
              <to>
                <xdr:col>11</xdr:col>
                <xdr:colOff>152400</xdr:colOff>
                <xdr:row>39</xdr:row>
                <xdr:rowOff>177800</xdr:rowOff>
              </to>
            </anchor>
          </objectPr>
        </oleObject>
      </mc:Choice>
      <mc:Fallback>
        <oleObject progId="Equation.3" shapeId="390169" r:id="rId14"/>
      </mc:Fallback>
    </mc:AlternateContent>
    <mc:AlternateContent xmlns:mc="http://schemas.openxmlformats.org/markup-compatibility/2006">
      <mc:Choice Requires="x14">
        <oleObject progId="Equation.3" shapeId="390170" r:id="rId16">
          <objectPr defaultSize="0" autoPict="0" r:id="rId17">
            <anchor moveWithCells="1" sizeWithCells="1">
              <from>
                <xdr:col>13</xdr:col>
                <xdr:colOff>596900</xdr:colOff>
                <xdr:row>38</xdr:row>
                <xdr:rowOff>0</xdr:rowOff>
              </from>
              <to>
                <xdr:col>24</xdr:col>
                <xdr:colOff>266700</xdr:colOff>
                <xdr:row>41</xdr:row>
                <xdr:rowOff>0</xdr:rowOff>
              </to>
            </anchor>
          </objectPr>
        </oleObject>
      </mc:Choice>
      <mc:Fallback>
        <oleObject progId="Equation.3" shapeId="390170" r:id="rId16"/>
      </mc:Fallback>
    </mc:AlternateContent>
    <mc:AlternateContent xmlns:mc="http://schemas.openxmlformats.org/markup-compatibility/2006">
      <mc:Choice Requires="x14">
        <oleObject progId="Equation.3" shapeId="724653" r:id="rId18">
          <objectPr defaultSize="0" autoPict="0" r:id="rId19">
            <anchor moveWithCells="1" sizeWithCells="1">
              <from>
                <xdr:col>6</xdr:col>
                <xdr:colOff>12700</xdr:colOff>
                <xdr:row>0</xdr:row>
                <xdr:rowOff>12700</xdr:rowOff>
              </from>
              <to>
                <xdr:col>8</xdr:col>
                <xdr:colOff>457200</xdr:colOff>
                <xdr:row>2</xdr:row>
                <xdr:rowOff>25400</xdr:rowOff>
              </to>
            </anchor>
          </objectPr>
        </oleObject>
      </mc:Choice>
      <mc:Fallback>
        <oleObject progId="Equation.3" shapeId="724653" r:id="rId18"/>
      </mc:Fallback>
    </mc:AlternateContent>
    <mc:AlternateContent xmlns:mc="http://schemas.openxmlformats.org/markup-compatibility/2006">
      <mc:Choice Requires="x14">
        <oleObject progId="Equation.3" shapeId="831913" r:id="rId20">
          <objectPr defaultSize="0" autoPict="0" r:id="rId21">
            <anchor moveWithCells="1" sizeWithCells="1">
              <from>
                <xdr:col>25</xdr:col>
                <xdr:colOff>635000</xdr:colOff>
                <xdr:row>1</xdr:row>
                <xdr:rowOff>50800</xdr:rowOff>
              </from>
              <to>
                <xdr:col>28</xdr:col>
                <xdr:colOff>444500</xdr:colOff>
                <xdr:row>4</xdr:row>
                <xdr:rowOff>88900</xdr:rowOff>
              </to>
            </anchor>
          </objectPr>
        </oleObject>
      </mc:Choice>
      <mc:Fallback>
        <oleObject progId="Equation.3" shapeId="831913" r:id="rId20"/>
      </mc:Fallback>
    </mc:AlternateContent>
    <mc:AlternateContent xmlns:mc="http://schemas.openxmlformats.org/markup-compatibility/2006">
      <mc:Choice Requires="x14">
        <oleObject progId="Equation.3" shapeId="832323" r:id="rId22">
          <objectPr defaultSize="0" autoPict="0" r:id="rId23">
            <anchor moveWithCells="1" sizeWithCells="1">
              <from>
                <xdr:col>6</xdr:col>
                <xdr:colOff>762000</xdr:colOff>
                <xdr:row>82</xdr:row>
                <xdr:rowOff>12700</xdr:rowOff>
              </from>
              <to>
                <xdr:col>9</xdr:col>
                <xdr:colOff>660400</xdr:colOff>
                <xdr:row>86</xdr:row>
                <xdr:rowOff>139700</xdr:rowOff>
              </to>
            </anchor>
          </objectPr>
        </oleObject>
      </mc:Choice>
      <mc:Fallback>
        <oleObject progId="Equation.3" shapeId="832323" r:id="rId2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topLeftCell="A13" workbookViewId="0">
      <selection activeCell="H39" sqref="H39"/>
    </sheetView>
  </sheetViews>
  <sheetFormatPr baseColWidth="10" defaultColWidth="8.83203125" defaultRowHeight="15" x14ac:dyDescent="0.2"/>
  <sheetData>
    <row r="1" spans="1:26" x14ac:dyDescent="0.2">
      <c r="A1" s="127" t="s">
        <v>179</v>
      </c>
      <c r="B1" s="127"/>
      <c r="C1" s="127"/>
    </row>
    <row r="2" spans="1:26" x14ac:dyDescent="0.2">
      <c r="A2" s="107" t="s">
        <v>78</v>
      </c>
      <c r="B2" s="109">
        <v>0.99</v>
      </c>
      <c r="C2" t="s">
        <v>181</v>
      </c>
    </row>
    <row r="3" spans="1:26" x14ac:dyDescent="0.2">
      <c r="A3" s="107" t="s">
        <v>0</v>
      </c>
      <c r="B3" s="109">
        <v>1000</v>
      </c>
      <c r="C3" t="s">
        <v>182</v>
      </c>
    </row>
    <row r="5" spans="1:26" x14ac:dyDescent="0.2">
      <c r="A5" s="51" t="s">
        <v>156</v>
      </c>
      <c r="B5" s="109">
        <f>(1-B2)/B3</f>
        <v>1.0000000000000009E-5</v>
      </c>
    </row>
    <row r="6" spans="1:26" x14ac:dyDescent="0.2">
      <c r="A6" s="51" t="s">
        <v>180</v>
      </c>
      <c r="B6" s="109">
        <f>1/B5</f>
        <v>99999.999999999913</v>
      </c>
      <c r="C6" t="s">
        <v>183</v>
      </c>
    </row>
    <row r="8" spans="1:26" x14ac:dyDescent="0.2">
      <c r="A8" s="127" t="s">
        <v>184</v>
      </c>
      <c r="B8" s="127"/>
      <c r="C8" s="127"/>
    </row>
    <row r="9" spans="1:26" x14ac:dyDescent="0.2">
      <c r="A9" s="108" t="s">
        <v>186</v>
      </c>
      <c r="B9" t="s">
        <v>185</v>
      </c>
    </row>
    <row r="10" spans="1:26" x14ac:dyDescent="0.2">
      <c r="A10" s="108" t="s">
        <v>169</v>
      </c>
      <c r="B10" s="109">
        <f>POWER(10,-5)</f>
        <v>1.0000000000000001E-5</v>
      </c>
    </row>
    <row r="11" spans="1:26" x14ac:dyDescent="0.2">
      <c r="A11" s="108" t="s">
        <v>187</v>
      </c>
      <c r="B11" s="109">
        <v>1000</v>
      </c>
    </row>
    <row r="12" spans="1:26" x14ac:dyDescent="0.2">
      <c r="A12" s="108" t="s">
        <v>188</v>
      </c>
      <c r="B12" s="109">
        <v>1100</v>
      </c>
    </row>
    <row r="16" spans="1:26" x14ac:dyDescent="0.2">
      <c r="A16" s="107" t="s">
        <v>0</v>
      </c>
      <c r="B16">
        <v>0</v>
      </c>
      <c r="C16">
        <v>50</v>
      </c>
      <c r="D16">
        <v>100</v>
      </c>
      <c r="E16">
        <v>150</v>
      </c>
      <c r="F16">
        <v>200</v>
      </c>
      <c r="G16">
        <v>250</v>
      </c>
      <c r="H16">
        <v>300</v>
      </c>
      <c r="I16">
        <v>350</v>
      </c>
      <c r="J16">
        <v>400</v>
      </c>
      <c r="K16">
        <v>450</v>
      </c>
      <c r="L16">
        <v>500</v>
      </c>
      <c r="M16">
        <v>550</v>
      </c>
      <c r="N16">
        <v>600</v>
      </c>
      <c r="O16">
        <v>650</v>
      </c>
      <c r="P16">
        <v>700</v>
      </c>
      <c r="Q16">
        <v>750</v>
      </c>
      <c r="R16">
        <v>800</v>
      </c>
      <c r="S16">
        <v>850</v>
      </c>
      <c r="T16">
        <v>900</v>
      </c>
      <c r="U16">
        <v>950</v>
      </c>
      <c r="V16">
        <v>1000</v>
      </c>
      <c r="W16">
        <v>1050</v>
      </c>
      <c r="X16">
        <v>1100</v>
      </c>
      <c r="Y16">
        <v>1150</v>
      </c>
      <c r="Z16">
        <v>1200</v>
      </c>
    </row>
    <row r="17" spans="1:26" x14ac:dyDescent="0.2">
      <c r="A17" s="107" t="s">
        <v>78</v>
      </c>
      <c r="B17" s="96">
        <f>EXP(-($B$10*B16^2)/2)</f>
        <v>1</v>
      </c>
      <c r="C17" s="96">
        <f t="shared" ref="C17:Z17" si="0">EXP(-($B$10*C16^2)/2)</f>
        <v>0.98757780049388144</v>
      </c>
      <c r="D17" s="96">
        <f t="shared" si="0"/>
        <v>0.95122942450071402</v>
      </c>
      <c r="E17" s="96">
        <f t="shared" si="0"/>
        <v>0.89359734710851568</v>
      </c>
      <c r="F17" s="96">
        <f t="shared" si="0"/>
        <v>0.81873075307798182</v>
      </c>
      <c r="G17" s="96">
        <f t="shared" si="0"/>
        <v>0.73161562894664178</v>
      </c>
      <c r="H17" s="96">
        <f t="shared" si="0"/>
        <v>0.63762815162177333</v>
      </c>
      <c r="I17" s="96">
        <f t="shared" si="0"/>
        <v>0.54199418845918712</v>
      </c>
      <c r="J17" s="96">
        <f t="shared" si="0"/>
        <v>0.44932896411722156</v>
      </c>
      <c r="K17" s="96">
        <f t="shared" si="0"/>
        <v>0.36330956935901121</v>
      </c>
      <c r="L17" s="96">
        <f t="shared" si="0"/>
        <v>0.28650479686019009</v>
      </c>
      <c r="M17" s="96">
        <f t="shared" si="0"/>
        <v>0.2203583927832338</v>
      </c>
      <c r="N17" s="96">
        <f t="shared" si="0"/>
        <v>0.16529888822158653</v>
      </c>
      <c r="O17" s="96">
        <f t="shared" si="0"/>
        <v>0.12093525007041664</v>
      </c>
      <c r="P17" s="96">
        <f t="shared" si="0"/>
        <v>8.6293586499370495E-2</v>
      </c>
      <c r="Q17" s="96">
        <f t="shared" si="0"/>
        <v>6.0054667895307917E-2</v>
      </c>
      <c r="R17" s="96">
        <f t="shared" si="0"/>
        <v>4.0762203978366211E-2</v>
      </c>
      <c r="S17" s="96">
        <f t="shared" si="0"/>
        <v>2.6984301715802475E-2</v>
      </c>
      <c r="T17" s="96">
        <f t="shared" si="0"/>
        <v>1.7422374639493501E-2</v>
      </c>
      <c r="U17" s="96">
        <f t="shared" si="0"/>
        <v>1.0970998366931477E-2</v>
      </c>
      <c r="V17" s="96">
        <f t="shared" si="0"/>
        <v>6.737946999085467E-3</v>
      </c>
      <c r="W17" s="96">
        <f t="shared" si="0"/>
        <v>4.0360047483195584E-3</v>
      </c>
      <c r="X17" s="96">
        <f t="shared" si="0"/>
        <v>2.3578620064902307E-3</v>
      </c>
      <c r="Y17" s="96">
        <f t="shared" si="0"/>
        <v>1.3434692743837255E-3</v>
      </c>
      <c r="Z17" s="96">
        <f t="shared" si="0"/>
        <v>7.465858083766792E-4</v>
      </c>
    </row>
    <row r="18" spans="1:26" x14ac:dyDescent="0.2">
      <c r="A18" s="107" t="s">
        <v>20</v>
      </c>
      <c r="B18" s="104">
        <f>$B$10*B16*EXP(-($B$10*B16^2)/2)</f>
        <v>0</v>
      </c>
      <c r="C18" s="104">
        <f t="shared" ref="C18:Z18" si="1">$B$10*C16*EXP(-($B$10*C16^2)/2)</f>
        <v>4.9378890024694068E-4</v>
      </c>
      <c r="D18" s="104">
        <f t="shared" si="1"/>
        <v>9.5122942450071404E-4</v>
      </c>
      <c r="E18" s="104">
        <f t="shared" si="1"/>
        <v>1.3403960206627736E-3</v>
      </c>
      <c r="F18" s="104">
        <f t="shared" si="1"/>
        <v>1.6374615061559637E-3</v>
      </c>
      <c r="G18" s="104">
        <f t="shared" si="1"/>
        <v>1.8290390723666044E-3</v>
      </c>
      <c r="H18" s="104">
        <f t="shared" si="1"/>
        <v>1.91288445486532E-3</v>
      </c>
      <c r="I18" s="104">
        <f t="shared" si="1"/>
        <v>1.8969796596071549E-3</v>
      </c>
      <c r="J18" s="104">
        <f t="shared" si="1"/>
        <v>1.7973158564688863E-3</v>
      </c>
      <c r="K18" s="104">
        <f t="shared" si="1"/>
        <v>1.6348930621155507E-3</v>
      </c>
      <c r="L18" s="104">
        <f t="shared" si="1"/>
        <v>1.4325239843009504E-3</v>
      </c>
      <c r="M18" s="104">
        <f t="shared" si="1"/>
        <v>1.211971160307786E-3</v>
      </c>
      <c r="N18" s="104">
        <f t="shared" si="1"/>
        <v>9.9179332932951931E-4</v>
      </c>
      <c r="O18" s="104">
        <f t="shared" si="1"/>
        <v>7.8607912545770821E-4</v>
      </c>
      <c r="P18" s="104">
        <f t="shared" si="1"/>
        <v>6.0405510549559342E-4</v>
      </c>
      <c r="Q18" s="104">
        <f t="shared" si="1"/>
        <v>4.5041000921480941E-4</v>
      </c>
      <c r="R18" s="104">
        <f t="shared" si="1"/>
        <v>3.2609763182692972E-4</v>
      </c>
      <c r="S18" s="104">
        <f t="shared" si="1"/>
        <v>2.2936656458432105E-4</v>
      </c>
      <c r="T18" s="104">
        <f t="shared" si="1"/>
        <v>1.5680137175544151E-4</v>
      </c>
      <c r="U18" s="104">
        <f t="shared" si="1"/>
        <v>1.0422448448584905E-4</v>
      </c>
      <c r="V18" s="104">
        <f t="shared" si="1"/>
        <v>6.7379469990854672E-5</v>
      </c>
      <c r="W18" s="104">
        <f t="shared" si="1"/>
        <v>4.2378049857355366E-5</v>
      </c>
      <c r="X18" s="104">
        <f t="shared" si="1"/>
        <v>2.593648207139254E-5</v>
      </c>
      <c r="Y18" s="104">
        <f t="shared" si="1"/>
        <v>1.5449896655412846E-5</v>
      </c>
      <c r="Z18" s="104">
        <f t="shared" si="1"/>
        <v>8.9590297005201501E-6</v>
      </c>
    </row>
    <row r="19" spans="1:26" x14ac:dyDescent="0.2">
      <c r="A19" s="107" t="s">
        <v>36</v>
      </c>
      <c r="B19">
        <f>$B$10*B16</f>
        <v>0</v>
      </c>
      <c r="C19">
        <f t="shared" ref="C19:Z19" si="2">$B$10*C16</f>
        <v>5.0000000000000001E-4</v>
      </c>
      <c r="D19">
        <f t="shared" si="2"/>
        <v>1E-3</v>
      </c>
      <c r="E19">
        <f t="shared" si="2"/>
        <v>1.5E-3</v>
      </c>
      <c r="F19">
        <f t="shared" si="2"/>
        <v>2E-3</v>
      </c>
      <c r="G19">
        <f t="shared" si="2"/>
        <v>2.5000000000000001E-3</v>
      </c>
      <c r="H19">
        <f t="shared" si="2"/>
        <v>3.0000000000000001E-3</v>
      </c>
      <c r="I19">
        <f t="shared" si="2"/>
        <v>3.5000000000000001E-3</v>
      </c>
      <c r="J19">
        <f t="shared" si="2"/>
        <v>4.0000000000000001E-3</v>
      </c>
      <c r="K19">
        <f t="shared" si="2"/>
        <v>4.5000000000000005E-3</v>
      </c>
      <c r="L19">
        <f t="shared" si="2"/>
        <v>5.0000000000000001E-3</v>
      </c>
      <c r="M19">
        <f t="shared" si="2"/>
        <v>5.5000000000000005E-3</v>
      </c>
      <c r="N19">
        <f t="shared" si="2"/>
        <v>6.0000000000000001E-3</v>
      </c>
      <c r="O19">
        <f t="shared" si="2"/>
        <v>6.5000000000000006E-3</v>
      </c>
      <c r="P19">
        <f t="shared" si="2"/>
        <v>7.0000000000000001E-3</v>
      </c>
      <c r="Q19">
        <f t="shared" si="2"/>
        <v>7.5000000000000006E-3</v>
      </c>
      <c r="R19">
        <f t="shared" si="2"/>
        <v>8.0000000000000002E-3</v>
      </c>
      <c r="S19">
        <f t="shared" si="2"/>
        <v>8.5000000000000006E-3</v>
      </c>
      <c r="T19">
        <f t="shared" si="2"/>
        <v>9.0000000000000011E-3</v>
      </c>
      <c r="U19">
        <f t="shared" si="2"/>
        <v>9.5000000000000015E-3</v>
      </c>
      <c r="V19">
        <f t="shared" si="2"/>
        <v>0.01</v>
      </c>
      <c r="W19">
        <f t="shared" si="2"/>
        <v>1.0500000000000001E-2</v>
      </c>
      <c r="X19">
        <f t="shared" si="2"/>
        <v>1.1000000000000001E-2</v>
      </c>
      <c r="Y19">
        <f t="shared" si="2"/>
        <v>1.1500000000000002E-2</v>
      </c>
      <c r="Z19">
        <f t="shared" si="2"/>
        <v>1.2E-2</v>
      </c>
    </row>
    <row r="20" spans="1:26" x14ac:dyDescent="0.2">
      <c r="A20" s="107" t="s">
        <v>189</v>
      </c>
      <c r="B20" s="110">
        <f>1/2*SQRT(2*PI()/B10)</f>
        <v>396.33272976060107</v>
      </c>
    </row>
    <row r="38" spans="1:6" x14ac:dyDescent="0.2">
      <c r="A38" s="128" t="s">
        <v>190</v>
      </c>
      <c r="B38" s="128"/>
      <c r="C38" s="128"/>
      <c r="D38" s="128"/>
      <c r="E38" s="128"/>
      <c r="F38" s="111">
        <f>EXP(-(B10*B20^2)/2)</f>
        <v>0.45593812776599624</v>
      </c>
    </row>
    <row r="39" spans="1:6" x14ac:dyDescent="0.2">
      <c r="A39" s="128" t="s">
        <v>191</v>
      </c>
      <c r="B39" s="128"/>
      <c r="C39" s="128"/>
      <c r="D39" s="128"/>
      <c r="E39" s="128"/>
      <c r="F39" s="112">
        <f>EXP(-(B10*B11^2)/2) - EXP(-(B10*B12^2)/2)</f>
        <v>4.3800849925952363E-3</v>
      </c>
    </row>
  </sheetData>
  <mergeCells count="4">
    <mergeCell ref="A1:C1"/>
    <mergeCell ref="A8:C8"/>
    <mergeCell ref="A38:E38"/>
    <mergeCell ref="A39:E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66"/>
  <sheetViews>
    <sheetView topLeftCell="A21" zoomScale="87" workbookViewId="0">
      <selection activeCell="Q53" sqref="Q53"/>
    </sheetView>
  </sheetViews>
  <sheetFormatPr baseColWidth="10" defaultColWidth="8.83203125" defaultRowHeight="15" x14ac:dyDescent="0.2"/>
  <cols>
    <col min="1" max="1" width="16.1640625" customWidth="1"/>
    <col min="2" max="2" width="11.5" customWidth="1"/>
    <col min="7" max="8" width="9.33203125" bestFit="1" customWidth="1"/>
    <col min="9" max="9" width="15" bestFit="1" customWidth="1"/>
    <col min="10" max="14" width="16.5" bestFit="1" customWidth="1"/>
  </cols>
  <sheetData>
    <row r="1" spans="1:22" x14ac:dyDescent="0.2">
      <c r="A1" s="49"/>
      <c r="B1" s="49" t="s">
        <v>70</v>
      </c>
      <c r="C1" s="49" t="s">
        <v>71</v>
      </c>
      <c r="F1" s="29" t="s">
        <v>169</v>
      </c>
      <c r="G1" s="29" t="s">
        <v>170</v>
      </c>
      <c r="J1" s="16"/>
      <c r="K1" t="s">
        <v>91</v>
      </c>
      <c r="S1" s="16"/>
    </row>
    <row r="2" spans="1:22" x14ac:dyDescent="0.2">
      <c r="A2" t="s">
        <v>74</v>
      </c>
      <c r="F2" s="29">
        <v>0</v>
      </c>
      <c r="G2" s="29">
        <v>1000</v>
      </c>
      <c r="J2" s="16"/>
      <c r="S2" s="16"/>
    </row>
    <row r="3" spans="1:22" x14ac:dyDescent="0.2">
      <c r="A3" t="s">
        <v>72</v>
      </c>
      <c r="B3" t="s">
        <v>73</v>
      </c>
      <c r="C3" t="s">
        <v>75</v>
      </c>
      <c r="J3" s="16"/>
      <c r="S3" s="16"/>
    </row>
    <row r="4" spans="1:22" x14ac:dyDescent="0.2">
      <c r="A4" t="s">
        <v>127</v>
      </c>
      <c r="H4" s="29" t="s">
        <v>171</v>
      </c>
      <c r="I4" s="29" t="s">
        <v>12</v>
      </c>
      <c r="J4" s="16"/>
      <c r="S4" s="16"/>
    </row>
    <row r="5" spans="1:22" x14ac:dyDescent="0.2">
      <c r="A5" t="s">
        <v>77</v>
      </c>
      <c r="F5" t="s">
        <v>128</v>
      </c>
      <c r="G5" t="s">
        <v>124</v>
      </c>
      <c r="H5" s="29">
        <v>6</v>
      </c>
      <c r="I5" s="29">
        <v>2</v>
      </c>
      <c r="J5" s="16"/>
      <c r="S5" s="16"/>
    </row>
    <row r="6" spans="1:22" x14ac:dyDescent="0.2">
      <c r="A6" t="s">
        <v>76</v>
      </c>
      <c r="F6" t="s">
        <v>129</v>
      </c>
      <c r="G6" t="s">
        <v>125</v>
      </c>
      <c r="H6" s="29">
        <v>9</v>
      </c>
      <c r="I6" s="29">
        <v>3</v>
      </c>
      <c r="J6" s="16"/>
      <c r="S6" s="16"/>
    </row>
    <row r="7" spans="1:22" x14ac:dyDescent="0.2">
      <c r="J7" s="16"/>
      <c r="S7" s="16"/>
    </row>
    <row r="8" spans="1:22" x14ac:dyDescent="0.2">
      <c r="A8" t="s">
        <v>80</v>
      </c>
      <c r="J8" s="16"/>
      <c r="K8" s="16"/>
      <c r="L8" s="16"/>
      <c r="M8" s="16"/>
      <c r="N8" s="16"/>
      <c r="O8" s="16"/>
      <c r="P8" s="16"/>
      <c r="Q8" s="16"/>
      <c r="R8" s="16"/>
      <c r="S8" s="16"/>
    </row>
    <row r="10" spans="1:22" ht="16" thickBot="1" x14ac:dyDescent="0.25"/>
    <row r="11" spans="1:22" ht="17" thickTop="1" thickBot="1" x14ac:dyDescent="0.25">
      <c r="A11" t="s">
        <v>81</v>
      </c>
      <c r="I11" s="69" t="s">
        <v>83</v>
      </c>
      <c r="J11" s="69" t="s">
        <v>84</v>
      </c>
      <c r="K11" s="69" t="s">
        <v>85</v>
      </c>
    </row>
    <row r="12" spans="1:22" ht="17" thickTop="1" thickBot="1" x14ac:dyDescent="0.25">
      <c r="A12" t="s">
        <v>82</v>
      </c>
      <c r="I12" s="69">
        <f>FACT(6)/(FACT(0)*FACT(6))</f>
        <v>1</v>
      </c>
      <c r="J12" s="69">
        <f>FACT(6)/(FACT(1)*FACT(5))</f>
        <v>6</v>
      </c>
      <c r="K12" s="69">
        <f>FACT(6)/(FACT(2)*FACT(4))</f>
        <v>15</v>
      </c>
    </row>
    <row r="13" spans="1:22" ht="17" thickTop="1" thickBot="1" x14ac:dyDescent="0.25">
      <c r="M13" s="69" t="s">
        <v>87</v>
      </c>
      <c r="N13" s="69" t="s">
        <v>88</v>
      </c>
      <c r="O13" s="69" t="s">
        <v>89</v>
      </c>
      <c r="P13" s="69" t="s">
        <v>90</v>
      </c>
    </row>
    <row r="14" spans="1:22" ht="17" thickTop="1" thickBot="1" x14ac:dyDescent="0.25">
      <c r="A14" t="s">
        <v>86</v>
      </c>
      <c r="M14" s="69">
        <f>FACT(9)/(FACT(0)*FACT(9))</f>
        <v>1</v>
      </c>
      <c r="N14" s="69">
        <f>FACT(9)/(FACT(1)*FACT(8))</f>
        <v>9</v>
      </c>
      <c r="O14" s="69">
        <f>FACT(9)/(FACT(2)*FACT(7))</f>
        <v>36</v>
      </c>
      <c r="P14" s="69">
        <f>FACT(9)/(FACT(3)*FACT(6))</f>
        <v>84</v>
      </c>
    </row>
    <row r="15" spans="1:22" ht="16" thickTop="1" x14ac:dyDescent="0.2"/>
    <row r="16" spans="1:22" x14ac:dyDescent="0.2">
      <c r="A16" t="s">
        <v>0</v>
      </c>
      <c r="B16">
        <v>0</v>
      </c>
      <c r="C16">
        <f>B16+50</f>
        <v>50</v>
      </c>
      <c r="D16">
        <f t="shared" ref="D16:V16" si="0">C16+50</f>
        <v>100</v>
      </c>
      <c r="E16">
        <f t="shared" si="0"/>
        <v>150</v>
      </c>
      <c r="F16">
        <f t="shared" si="0"/>
        <v>200</v>
      </c>
      <c r="G16">
        <f t="shared" si="0"/>
        <v>250</v>
      </c>
      <c r="H16">
        <f t="shared" si="0"/>
        <v>300</v>
      </c>
      <c r="I16">
        <f t="shared" si="0"/>
        <v>350</v>
      </c>
      <c r="J16">
        <f t="shared" si="0"/>
        <v>400</v>
      </c>
      <c r="K16">
        <f t="shared" si="0"/>
        <v>450</v>
      </c>
      <c r="L16">
        <f t="shared" si="0"/>
        <v>500</v>
      </c>
      <c r="M16">
        <f t="shared" si="0"/>
        <v>550</v>
      </c>
      <c r="N16">
        <f t="shared" si="0"/>
        <v>600</v>
      </c>
      <c r="O16">
        <f t="shared" si="0"/>
        <v>650</v>
      </c>
      <c r="P16">
        <f t="shared" si="0"/>
        <v>700</v>
      </c>
      <c r="Q16">
        <f t="shared" si="0"/>
        <v>750</v>
      </c>
      <c r="R16">
        <f t="shared" si="0"/>
        <v>800</v>
      </c>
      <c r="S16">
        <f t="shared" si="0"/>
        <v>850</v>
      </c>
      <c r="T16">
        <f t="shared" si="0"/>
        <v>900</v>
      </c>
      <c r="U16">
        <f t="shared" si="0"/>
        <v>950</v>
      </c>
      <c r="V16">
        <f t="shared" si="0"/>
        <v>1000</v>
      </c>
    </row>
    <row r="17" spans="1:22" x14ac:dyDescent="0.2">
      <c r="A17" t="s">
        <v>78</v>
      </c>
      <c r="B17">
        <f>IF(B16&lt;$F$2,1,(IF((B16&gt;$G$2),0,(($G$2-B16)/($G$2-$F$2)))))</f>
        <v>1</v>
      </c>
      <c r="C17">
        <f t="shared" ref="C17:V17" si="1">IF(C16&lt;$F$2,1,(IF((C16&gt;$G$2),0,(($G$2-C16)/($G$2-$F$2)))))</f>
        <v>0.95</v>
      </c>
      <c r="D17">
        <f t="shared" si="1"/>
        <v>0.9</v>
      </c>
      <c r="E17">
        <f t="shared" si="1"/>
        <v>0.85</v>
      </c>
      <c r="F17">
        <f t="shared" si="1"/>
        <v>0.8</v>
      </c>
      <c r="G17">
        <f t="shared" si="1"/>
        <v>0.75</v>
      </c>
      <c r="H17">
        <f t="shared" si="1"/>
        <v>0.7</v>
      </c>
      <c r="I17">
        <f t="shared" si="1"/>
        <v>0.65</v>
      </c>
      <c r="J17">
        <f t="shared" si="1"/>
        <v>0.6</v>
      </c>
      <c r="K17">
        <f t="shared" si="1"/>
        <v>0.55000000000000004</v>
      </c>
      <c r="L17">
        <f t="shared" si="1"/>
        <v>0.5</v>
      </c>
      <c r="M17">
        <f t="shared" si="1"/>
        <v>0.45</v>
      </c>
      <c r="N17">
        <f t="shared" si="1"/>
        <v>0.4</v>
      </c>
      <c r="O17">
        <f t="shared" si="1"/>
        <v>0.35</v>
      </c>
      <c r="P17">
        <f t="shared" si="1"/>
        <v>0.3</v>
      </c>
      <c r="Q17">
        <f t="shared" si="1"/>
        <v>0.25</v>
      </c>
      <c r="R17">
        <f t="shared" si="1"/>
        <v>0.2</v>
      </c>
      <c r="S17">
        <f t="shared" si="1"/>
        <v>0.15</v>
      </c>
      <c r="T17">
        <f t="shared" si="1"/>
        <v>0.1</v>
      </c>
      <c r="U17">
        <f t="shared" si="1"/>
        <v>0.05</v>
      </c>
      <c r="V17">
        <f t="shared" si="1"/>
        <v>0</v>
      </c>
    </row>
    <row r="18" spans="1:22" x14ac:dyDescent="0.2">
      <c r="A18" t="s">
        <v>20</v>
      </c>
      <c r="B18">
        <f>IF(OR(B16&gt;$G$2, B16&lt;$F$2), 0, 1/($G$2-$F$2))</f>
        <v>1E-3</v>
      </c>
      <c r="C18">
        <f t="shared" ref="C18:V18" si="2">IF(OR(C16&gt;$G$2, C16&lt;$F$2), 0, 1/($G$2-$F$2))</f>
        <v>1E-3</v>
      </c>
      <c r="D18">
        <f t="shared" si="2"/>
        <v>1E-3</v>
      </c>
      <c r="E18">
        <f t="shared" si="2"/>
        <v>1E-3</v>
      </c>
      <c r="F18">
        <f t="shared" si="2"/>
        <v>1E-3</v>
      </c>
      <c r="G18">
        <f t="shared" si="2"/>
        <v>1E-3</v>
      </c>
      <c r="H18">
        <f t="shared" si="2"/>
        <v>1E-3</v>
      </c>
      <c r="I18">
        <f t="shared" si="2"/>
        <v>1E-3</v>
      </c>
      <c r="J18">
        <f t="shared" si="2"/>
        <v>1E-3</v>
      </c>
      <c r="K18">
        <f t="shared" si="2"/>
        <v>1E-3</v>
      </c>
      <c r="L18">
        <f t="shared" si="2"/>
        <v>1E-3</v>
      </c>
      <c r="M18">
        <f t="shared" si="2"/>
        <v>1E-3</v>
      </c>
      <c r="N18">
        <f t="shared" si="2"/>
        <v>1E-3</v>
      </c>
      <c r="O18">
        <f t="shared" si="2"/>
        <v>1E-3</v>
      </c>
      <c r="P18">
        <f t="shared" si="2"/>
        <v>1E-3</v>
      </c>
      <c r="Q18">
        <f t="shared" si="2"/>
        <v>1E-3</v>
      </c>
      <c r="R18">
        <f t="shared" si="2"/>
        <v>1E-3</v>
      </c>
      <c r="S18">
        <f t="shared" si="2"/>
        <v>1E-3</v>
      </c>
      <c r="T18">
        <f t="shared" si="2"/>
        <v>1E-3</v>
      </c>
      <c r="U18">
        <f t="shared" si="2"/>
        <v>1E-3</v>
      </c>
      <c r="V18">
        <f t="shared" si="2"/>
        <v>1E-3</v>
      </c>
    </row>
    <row r="19" spans="1:22" x14ac:dyDescent="0.2">
      <c r="A19" t="s">
        <v>79</v>
      </c>
      <c r="B19">
        <f>1-B17</f>
        <v>0</v>
      </c>
      <c r="C19">
        <f t="shared" ref="C19:V19" si="3">1-C17</f>
        <v>5.0000000000000044E-2</v>
      </c>
      <c r="D19">
        <f t="shared" si="3"/>
        <v>9.9999999999999978E-2</v>
      </c>
      <c r="E19">
        <f t="shared" si="3"/>
        <v>0.15000000000000002</v>
      </c>
      <c r="F19">
        <f t="shared" si="3"/>
        <v>0.19999999999999996</v>
      </c>
      <c r="G19">
        <f t="shared" si="3"/>
        <v>0.25</v>
      </c>
      <c r="H19">
        <f t="shared" si="3"/>
        <v>0.30000000000000004</v>
      </c>
      <c r="I19">
        <f t="shared" si="3"/>
        <v>0.35</v>
      </c>
      <c r="J19">
        <f t="shared" si="3"/>
        <v>0.4</v>
      </c>
      <c r="K19">
        <f t="shared" si="3"/>
        <v>0.44999999999999996</v>
      </c>
      <c r="L19">
        <f t="shared" si="3"/>
        <v>0.5</v>
      </c>
      <c r="M19">
        <f t="shared" si="3"/>
        <v>0.55000000000000004</v>
      </c>
      <c r="N19">
        <f t="shared" si="3"/>
        <v>0.6</v>
      </c>
      <c r="O19">
        <f t="shared" si="3"/>
        <v>0.65</v>
      </c>
      <c r="P19">
        <f t="shared" si="3"/>
        <v>0.7</v>
      </c>
      <c r="Q19">
        <f t="shared" si="3"/>
        <v>0.75</v>
      </c>
      <c r="R19">
        <f t="shared" si="3"/>
        <v>0.8</v>
      </c>
      <c r="S19">
        <f t="shared" si="3"/>
        <v>0.85</v>
      </c>
      <c r="T19">
        <f t="shared" si="3"/>
        <v>0.9</v>
      </c>
      <c r="U19">
        <f t="shared" si="3"/>
        <v>0.95</v>
      </c>
      <c r="V19">
        <f t="shared" si="3"/>
        <v>1</v>
      </c>
    </row>
    <row r="20" spans="1:22" ht="17" x14ac:dyDescent="0.25">
      <c r="A20" t="s">
        <v>130</v>
      </c>
      <c r="B20">
        <f>$I$12*POWER(B17,6) + $J$12*B19*POWER(B17,5) + $K$12*POWER(B19,2)*POWER(B17,4)</f>
        <v>1</v>
      </c>
      <c r="C20" s="96">
        <f t="shared" ref="C20:V20" si="4">$I$12*POWER(C17,6) + $J$12*C19*POWER(C17,5) + $K$12*POWER(C19,2)*POWER(C17,4)</f>
        <v>0.99777015625000021</v>
      </c>
      <c r="D20" s="96">
        <f t="shared" si="4"/>
        <v>0.98415000000000008</v>
      </c>
      <c r="E20" s="96">
        <f t="shared" si="4"/>
        <v>0.95266140624999984</v>
      </c>
      <c r="F20" s="96">
        <f t="shared" si="4"/>
        <v>0.90112000000000025</v>
      </c>
      <c r="G20" s="96">
        <f t="shared" si="4"/>
        <v>0.83056640625</v>
      </c>
      <c r="H20" s="96">
        <f t="shared" si="4"/>
        <v>0.74430999999999981</v>
      </c>
      <c r="I20" s="96">
        <f t="shared" si="4"/>
        <v>0.64708515625000007</v>
      </c>
      <c r="J20" s="96">
        <f t="shared" si="4"/>
        <v>0.54432000000000003</v>
      </c>
      <c r="K20" s="96">
        <f t="shared" si="4"/>
        <v>0.44151765625000006</v>
      </c>
      <c r="L20" s="96">
        <f t="shared" si="4"/>
        <v>0.34375</v>
      </c>
      <c r="M20" s="96">
        <f t="shared" si="4"/>
        <v>0.25526390625000006</v>
      </c>
      <c r="N20" s="96">
        <f t="shared" si="4"/>
        <v>0.17920000000000008</v>
      </c>
      <c r="O20" s="96">
        <f t="shared" si="4"/>
        <v>0.11742390624999997</v>
      </c>
      <c r="P20" s="96">
        <f t="shared" si="4"/>
        <v>7.0469999999999977E-2</v>
      </c>
      <c r="Q20" s="96">
        <f t="shared" si="4"/>
        <v>3.759765625E-2</v>
      </c>
      <c r="R20" s="96">
        <f t="shared" si="4"/>
        <v>1.696000000000001E-2</v>
      </c>
      <c r="S20" s="96">
        <f t="shared" si="4"/>
        <v>5.8851562499999989E-3</v>
      </c>
      <c r="T20" s="96">
        <f t="shared" si="4"/>
        <v>1.2700000000000007E-3</v>
      </c>
      <c r="U20" s="96">
        <f t="shared" si="4"/>
        <v>8.640625000000003E-5</v>
      </c>
      <c r="V20" s="96">
        <f t="shared" si="4"/>
        <v>0</v>
      </c>
    </row>
    <row r="21" spans="1:22" ht="17" x14ac:dyDescent="0.25">
      <c r="A21" t="s">
        <v>131</v>
      </c>
      <c r="B21">
        <f>$M$14*POWER(B17,9) + $N$14*POWER(B19,1)*POWER(B17,8) + $O$14*POWER(B19,2)*POWER(B17,7) + $P$14*POWER(B19,3)*POWER(B17,6)</f>
        <v>1</v>
      </c>
      <c r="C21" s="96">
        <f t="shared" ref="C21:V21" si="5">$M$14*POWER(C17,9) + $N$14*POWER(C19,1)*POWER(C17,8) + $O$14*POWER(C19,2)*POWER(C17,7) + $P$14*POWER(C19,3)*POWER(C17,6)</f>
        <v>0.99935742530468785</v>
      </c>
      <c r="D21" s="96">
        <f t="shared" si="5"/>
        <v>0.99166890600000013</v>
      </c>
      <c r="E21" s="96">
        <f t="shared" si="5"/>
        <v>0.96606848427343717</v>
      </c>
      <c r="F21" s="96">
        <f t="shared" si="5"/>
        <v>0.91435827200000042</v>
      </c>
      <c r="G21" s="96">
        <f t="shared" si="5"/>
        <v>0.8342742919921875</v>
      </c>
      <c r="H21" s="96">
        <f t="shared" si="5"/>
        <v>0.72965909799999973</v>
      </c>
      <c r="I21" s="96">
        <f t="shared" si="5"/>
        <v>0.60889441346093764</v>
      </c>
      <c r="J21" s="96">
        <f t="shared" si="5"/>
        <v>0.48260966400000005</v>
      </c>
      <c r="K21" s="96">
        <f t="shared" si="5"/>
        <v>0.36138460367968761</v>
      </c>
      <c r="L21" s="96">
        <f t="shared" si="5"/>
        <v>0.25390625</v>
      </c>
      <c r="M21" s="96">
        <f t="shared" si="5"/>
        <v>0.16582204764843758</v>
      </c>
      <c r="N21" s="96">
        <f t="shared" si="5"/>
        <v>9.9352576000000054E-2</v>
      </c>
      <c r="O21" s="96">
        <f t="shared" si="5"/>
        <v>5.3588200367187484E-2</v>
      </c>
      <c r="P21" s="96">
        <f t="shared" si="5"/>
        <v>2.5294841999999994E-2</v>
      </c>
      <c r="Q21" s="96">
        <f t="shared" si="5"/>
        <v>9.9945068359375E-3</v>
      </c>
      <c r="R21" s="96">
        <f t="shared" si="5"/>
        <v>3.0663680000000025E-3</v>
      </c>
      <c r="S21" s="96">
        <f t="shared" si="5"/>
        <v>6.3404205468749989E-4</v>
      </c>
      <c r="T21" s="96">
        <f t="shared" si="5"/>
        <v>6.4234000000000036E-5</v>
      </c>
      <c r="U21" s="96">
        <f t="shared" si="5"/>
        <v>1.1510234375000007E-6</v>
      </c>
      <c r="V21" s="96">
        <f t="shared" si="5"/>
        <v>0</v>
      </c>
    </row>
    <row r="22" spans="1:22" x14ac:dyDescent="0.2">
      <c r="A22" t="s">
        <v>136</v>
      </c>
    </row>
    <row r="23" spans="1:22" x14ac:dyDescent="0.2">
      <c r="A23" t="s">
        <v>132</v>
      </c>
      <c r="B23" s="96">
        <f>POWER(B17,4)</f>
        <v>1</v>
      </c>
      <c r="C23" s="96">
        <f t="shared" ref="C23:V23" si="6">POWER(C17,4)</f>
        <v>0.81450624999999999</v>
      </c>
      <c r="D23" s="96">
        <f t="shared" si="6"/>
        <v>0.65610000000000013</v>
      </c>
      <c r="E23" s="96">
        <f t="shared" si="6"/>
        <v>0.52200624999999989</v>
      </c>
      <c r="F23" s="96">
        <f t="shared" si="6"/>
        <v>0.40960000000000019</v>
      </c>
      <c r="G23" s="96">
        <f t="shared" si="6"/>
        <v>0.31640625</v>
      </c>
      <c r="H23" s="96">
        <f t="shared" si="6"/>
        <v>0.24009999999999992</v>
      </c>
      <c r="I23" s="96">
        <f t="shared" si="6"/>
        <v>0.17850625000000003</v>
      </c>
      <c r="J23" s="96">
        <f t="shared" si="6"/>
        <v>0.12959999999999999</v>
      </c>
      <c r="K23" s="96">
        <f t="shared" si="6"/>
        <v>9.1506250000000025E-2</v>
      </c>
      <c r="L23" s="96">
        <f t="shared" si="6"/>
        <v>6.25E-2</v>
      </c>
      <c r="M23" s="96">
        <f t="shared" si="6"/>
        <v>4.1006250000000008E-2</v>
      </c>
      <c r="N23" s="96">
        <f t="shared" si="6"/>
        <v>2.5600000000000012E-2</v>
      </c>
      <c r="O23" s="96">
        <f t="shared" si="6"/>
        <v>1.5006249999999995E-2</v>
      </c>
      <c r="P23" s="96">
        <f t="shared" si="6"/>
        <v>8.0999999999999996E-3</v>
      </c>
      <c r="Q23" s="96">
        <f t="shared" si="6"/>
        <v>3.90625E-3</v>
      </c>
      <c r="R23" s="96">
        <f t="shared" si="6"/>
        <v>1.6000000000000007E-3</v>
      </c>
      <c r="S23" s="96">
        <f t="shared" si="6"/>
        <v>5.0624999999999997E-4</v>
      </c>
      <c r="T23" s="96">
        <f t="shared" si="6"/>
        <v>1.0000000000000005E-4</v>
      </c>
      <c r="U23" s="96">
        <f t="shared" si="6"/>
        <v>6.2500000000000028E-6</v>
      </c>
      <c r="V23" s="96">
        <f t="shared" si="6"/>
        <v>0</v>
      </c>
    </row>
    <row r="24" spans="1:22" x14ac:dyDescent="0.2">
      <c r="A24" t="s">
        <v>133</v>
      </c>
      <c r="B24" s="96">
        <f>POWER(B17,6)</f>
        <v>1</v>
      </c>
      <c r="C24" s="96">
        <f t="shared" ref="C24:V24" si="7">POWER(C17,6)</f>
        <v>0.73509189062499991</v>
      </c>
      <c r="D24" s="96">
        <f t="shared" si="7"/>
        <v>0.53144100000000016</v>
      </c>
      <c r="E24" s="96">
        <f t="shared" si="7"/>
        <v>0.37714951562499988</v>
      </c>
      <c r="F24" s="96">
        <f t="shared" si="7"/>
        <v>0.26214400000000015</v>
      </c>
      <c r="G24" s="96">
        <f t="shared" si="7"/>
        <v>0.177978515625</v>
      </c>
      <c r="H24" s="96">
        <f t="shared" si="7"/>
        <v>0.11764899999999995</v>
      </c>
      <c r="I24" s="96">
        <f t="shared" si="7"/>
        <v>7.5418890625000026E-2</v>
      </c>
      <c r="J24" s="96">
        <f t="shared" si="7"/>
        <v>4.6655999999999996E-2</v>
      </c>
      <c r="K24" s="96">
        <f t="shared" si="7"/>
        <v>2.7680640625000013E-2</v>
      </c>
      <c r="L24" s="96">
        <f t="shared" si="7"/>
        <v>1.5625E-2</v>
      </c>
      <c r="M24" s="96">
        <f t="shared" si="7"/>
        <v>8.3037656250000026E-3</v>
      </c>
      <c r="N24" s="96">
        <f t="shared" si="7"/>
        <v>4.0960000000000024E-3</v>
      </c>
      <c r="O24" s="96">
        <f t="shared" si="7"/>
        <v>1.8382656249999992E-3</v>
      </c>
      <c r="P24" s="96">
        <f t="shared" si="7"/>
        <v>7.2899999999999994E-4</v>
      </c>
      <c r="Q24" s="96">
        <f t="shared" si="7"/>
        <v>2.44140625E-4</v>
      </c>
      <c r="R24" s="96">
        <f t="shared" si="7"/>
        <v>6.4000000000000038E-5</v>
      </c>
      <c r="S24" s="96">
        <f t="shared" si="7"/>
        <v>1.1390624999999999E-5</v>
      </c>
      <c r="T24" s="96">
        <f t="shared" si="7"/>
        <v>1.0000000000000006E-6</v>
      </c>
      <c r="U24" s="96">
        <f t="shared" si="7"/>
        <v>1.5625000000000009E-8</v>
      </c>
      <c r="V24" s="96">
        <f t="shared" si="7"/>
        <v>0</v>
      </c>
    </row>
    <row r="28" spans="1:22" ht="17" x14ac:dyDescent="0.25">
      <c r="J28" t="s">
        <v>130</v>
      </c>
    </row>
    <row r="29" spans="1:22" ht="17" x14ac:dyDescent="0.25">
      <c r="J29" t="s">
        <v>131</v>
      </c>
    </row>
    <row r="30" spans="1:22" x14ac:dyDescent="0.2">
      <c r="J30" t="s">
        <v>132</v>
      </c>
    </row>
    <row r="31" spans="1:22" x14ac:dyDescent="0.2">
      <c r="J31" t="s">
        <v>133</v>
      </c>
    </row>
    <row r="40" spans="1:14" x14ac:dyDescent="0.2">
      <c r="A40" s="49" t="s">
        <v>157</v>
      </c>
      <c r="B40" s="49"/>
    </row>
    <row r="41" spans="1:14" ht="15" customHeight="1" x14ac:dyDescent="0.2">
      <c r="A41" t="s">
        <v>134</v>
      </c>
    </row>
    <row r="42" spans="1:14" ht="16" thickBot="1" x14ac:dyDescent="0.25">
      <c r="A42" t="s">
        <v>135</v>
      </c>
    </row>
    <row r="43" spans="1:14" x14ac:dyDescent="0.2">
      <c r="G43" s="138" t="s">
        <v>0</v>
      </c>
      <c r="H43" s="147" t="s">
        <v>197</v>
      </c>
      <c r="I43" s="141" t="s">
        <v>198</v>
      </c>
      <c r="J43" s="142"/>
      <c r="K43" s="143"/>
      <c r="L43" s="141" t="s">
        <v>199</v>
      </c>
      <c r="M43" s="142"/>
      <c r="N43" s="143"/>
    </row>
    <row r="44" spans="1:14" ht="16" thickBot="1" x14ac:dyDescent="0.25">
      <c r="G44" s="139"/>
      <c r="H44" s="148"/>
      <c r="I44" s="144"/>
      <c r="J44" s="145"/>
      <c r="K44" s="146"/>
      <c r="L44" s="144"/>
      <c r="M44" s="145"/>
      <c r="N44" s="146"/>
    </row>
    <row r="45" spans="1:14" ht="33" thickBot="1" x14ac:dyDescent="0.25">
      <c r="G45" s="140"/>
      <c r="H45" s="149"/>
      <c r="I45" s="114" t="s">
        <v>192</v>
      </c>
      <c r="J45" s="114" t="s">
        <v>193</v>
      </c>
      <c r="K45" s="114" t="s">
        <v>194</v>
      </c>
      <c r="L45" s="114" t="s">
        <v>195</v>
      </c>
      <c r="M45" s="114" t="s">
        <v>196</v>
      </c>
      <c r="N45" s="114" t="s">
        <v>194</v>
      </c>
    </row>
    <row r="46" spans="1:14" ht="16" thickBot="1" x14ac:dyDescent="0.25">
      <c r="B46" s="129" t="s">
        <v>200</v>
      </c>
      <c r="C46" s="130"/>
      <c r="D46" s="130"/>
      <c r="E46" s="131"/>
      <c r="G46" s="113">
        <v>0</v>
      </c>
      <c r="H46" s="115">
        <f>IF(G46&lt;$F$2,1,(IF((G46&gt;$G$2),0,(($G$2-G46)/($G$2-$F$2)))))</f>
        <v>1</v>
      </c>
      <c r="I46" s="105">
        <f>POWER(H46,4)</f>
        <v>1</v>
      </c>
      <c r="J46" s="105">
        <f>$I$12*POWER(H46,6) + $J$12*(1-H46)*POWER(H46,5) + $K$12*POWER((1-H46),2)*POWER(H46,4)</f>
        <v>1</v>
      </c>
      <c r="K46" s="105">
        <f>BINOMDIST($I$5,$H$5,1-H46,1)</f>
        <v>1</v>
      </c>
      <c r="L46" s="105">
        <f>POWER(H46,6)</f>
        <v>1</v>
      </c>
      <c r="M46" s="105">
        <f>$M$14*POWER(H46,9) + $N$14*POWER(1-H46,1)*POWER(H46,8) + $O$14*POWER(1-H46,2)*POWER(H46,7) + $P$14*POWER(1-H46,3)*POWER(H46,6)</f>
        <v>1</v>
      </c>
      <c r="N46" s="105">
        <f>BINOMDIST($I$6,$H$6,1-H46,1)</f>
        <v>1</v>
      </c>
    </row>
    <row r="47" spans="1:14" ht="16" thickBot="1" x14ac:dyDescent="0.25">
      <c r="B47" s="132"/>
      <c r="C47" s="133"/>
      <c r="D47" s="133"/>
      <c r="E47" s="134"/>
      <c r="G47" s="113">
        <v>50</v>
      </c>
      <c r="H47" s="115">
        <f t="shared" ref="H47:H66" si="8">IF(G47&lt;$F$2,1,(IF((G47&gt;$G$2),0,(($G$2-G47)/($G$2-$F$2)))))</f>
        <v>0.95</v>
      </c>
      <c r="I47" s="106">
        <f t="shared" ref="I47:I66" si="9">POWER(H47,4)</f>
        <v>0.81450624999999999</v>
      </c>
      <c r="J47" s="106">
        <f t="shared" ref="J47:J66" si="10">$I$12*POWER(H47,6) + $J$12*(1-H47)*POWER(H47,5) + $K$12*POWER((1-H47),2)*POWER(H47,4)</f>
        <v>0.99777015625000021</v>
      </c>
      <c r="K47" s="106">
        <f t="shared" ref="K47:K66" si="11">BINOMDIST($I$5,$H$5,1-H47,1)</f>
        <v>0.99777015624999998</v>
      </c>
      <c r="L47" s="106">
        <f t="shared" ref="L47:L66" si="12">POWER(H47,6)</f>
        <v>0.73509189062499991</v>
      </c>
      <c r="M47" s="106">
        <f t="shared" ref="M47:M66" si="13">$M$14*POWER(H47,9) + $N$14*POWER(1-H47,1)*POWER(H47,8) + $O$14*POWER(1-H47,2)*POWER(H47,7) + $P$14*POWER(1-H47,3)*POWER(H47,6)</f>
        <v>0.99935742530468785</v>
      </c>
      <c r="N47" s="106">
        <f t="shared" ref="N47:N66" si="14">BINOMDIST($I$6,$H$6,1-H47,1)</f>
        <v>0.99935742530468752</v>
      </c>
    </row>
    <row r="48" spans="1:14" ht="16" thickBot="1" x14ac:dyDescent="0.25">
      <c r="B48" s="135"/>
      <c r="C48" s="136"/>
      <c r="D48" s="136"/>
      <c r="E48" s="137"/>
      <c r="G48" s="113">
        <v>100</v>
      </c>
      <c r="H48" s="115">
        <f t="shared" si="8"/>
        <v>0.9</v>
      </c>
      <c r="I48" s="106">
        <f t="shared" si="9"/>
        <v>0.65610000000000013</v>
      </c>
      <c r="J48" s="106">
        <f t="shared" si="10"/>
        <v>0.98415000000000008</v>
      </c>
      <c r="K48" s="106">
        <f t="shared" si="11"/>
        <v>0.98415000000000008</v>
      </c>
      <c r="L48" s="106">
        <f t="shared" si="12"/>
        <v>0.53144100000000016</v>
      </c>
      <c r="M48" s="106">
        <f t="shared" si="13"/>
        <v>0.99166890600000013</v>
      </c>
      <c r="N48" s="106">
        <f t="shared" si="14"/>
        <v>0.99166890599999991</v>
      </c>
    </row>
    <row r="49" spans="7:14" ht="16" thickBot="1" x14ac:dyDescent="0.25">
      <c r="G49" s="113">
        <v>150</v>
      </c>
      <c r="H49" s="115">
        <f t="shared" si="8"/>
        <v>0.85</v>
      </c>
      <c r="I49" s="106">
        <f t="shared" si="9"/>
        <v>0.52200624999999989</v>
      </c>
      <c r="J49" s="106">
        <f t="shared" si="10"/>
        <v>0.95266140624999984</v>
      </c>
      <c r="K49" s="106">
        <f t="shared" si="11"/>
        <v>0.95266140624999995</v>
      </c>
      <c r="L49" s="106">
        <f t="shared" si="12"/>
        <v>0.37714951562499988</v>
      </c>
      <c r="M49" s="106">
        <f t="shared" si="13"/>
        <v>0.96606848427343717</v>
      </c>
      <c r="N49" s="106">
        <f t="shared" si="14"/>
        <v>0.9660684842734375</v>
      </c>
    </row>
    <row r="50" spans="7:14" ht="16" thickBot="1" x14ac:dyDescent="0.25">
      <c r="G50" s="113">
        <v>200</v>
      </c>
      <c r="H50" s="115">
        <f t="shared" si="8"/>
        <v>0.8</v>
      </c>
      <c r="I50" s="106">
        <f t="shared" si="9"/>
        <v>0.40960000000000019</v>
      </c>
      <c r="J50" s="106">
        <f t="shared" si="10"/>
        <v>0.90112000000000025</v>
      </c>
      <c r="K50" s="106">
        <f t="shared" si="11"/>
        <v>0.90112000000000003</v>
      </c>
      <c r="L50" s="106">
        <f t="shared" si="12"/>
        <v>0.26214400000000015</v>
      </c>
      <c r="M50" s="106">
        <f t="shared" si="13"/>
        <v>0.91435827200000042</v>
      </c>
      <c r="N50" s="106">
        <f t="shared" si="14"/>
        <v>0.91435827200000008</v>
      </c>
    </row>
    <row r="51" spans="7:14" ht="16" thickBot="1" x14ac:dyDescent="0.25">
      <c r="G51" s="113">
        <v>250</v>
      </c>
      <c r="H51" s="115">
        <f t="shared" si="8"/>
        <v>0.75</v>
      </c>
      <c r="I51" s="106">
        <f t="shared" si="9"/>
        <v>0.31640625</v>
      </c>
      <c r="J51" s="106">
        <f t="shared" si="10"/>
        <v>0.83056640625</v>
      </c>
      <c r="K51" s="106">
        <f t="shared" si="11"/>
        <v>0.83056640625</v>
      </c>
      <c r="L51" s="106">
        <f t="shared" si="12"/>
        <v>0.177978515625</v>
      </c>
      <c r="M51" s="106">
        <f t="shared" si="13"/>
        <v>0.8342742919921875</v>
      </c>
      <c r="N51" s="106">
        <f t="shared" si="14"/>
        <v>0.8342742919921875</v>
      </c>
    </row>
    <row r="52" spans="7:14" ht="16" thickBot="1" x14ac:dyDescent="0.25">
      <c r="G52" s="113">
        <v>300</v>
      </c>
      <c r="H52" s="115">
        <f t="shared" si="8"/>
        <v>0.7</v>
      </c>
      <c r="I52" s="106">
        <f t="shared" si="9"/>
        <v>0.24009999999999992</v>
      </c>
      <c r="J52" s="106">
        <f t="shared" si="10"/>
        <v>0.74430999999999981</v>
      </c>
      <c r="K52" s="106">
        <f t="shared" si="11"/>
        <v>0.74430999999999992</v>
      </c>
      <c r="L52" s="106">
        <f t="shared" si="12"/>
        <v>0.11764899999999995</v>
      </c>
      <c r="M52" s="106">
        <f t="shared" si="13"/>
        <v>0.72965909799999973</v>
      </c>
      <c r="N52" s="106">
        <f t="shared" si="14"/>
        <v>0.72965909799999995</v>
      </c>
    </row>
    <row r="53" spans="7:14" ht="16" thickBot="1" x14ac:dyDescent="0.25">
      <c r="G53" s="113">
        <v>350</v>
      </c>
      <c r="H53" s="115">
        <f t="shared" si="8"/>
        <v>0.65</v>
      </c>
      <c r="I53" s="106">
        <f t="shared" si="9"/>
        <v>0.17850625000000003</v>
      </c>
      <c r="J53" s="106">
        <f t="shared" si="10"/>
        <v>0.64708515625000007</v>
      </c>
      <c r="K53" s="106">
        <f t="shared" si="11"/>
        <v>0.64708515625000018</v>
      </c>
      <c r="L53" s="106">
        <f t="shared" si="12"/>
        <v>7.5418890625000026E-2</v>
      </c>
      <c r="M53" s="106">
        <f t="shared" si="13"/>
        <v>0.60889441346093764</v>
      </c>
      <c r="N53" s="106">
        <f t="shared" si="14"/>
        <v>0.60889441346093776</v>
      </c>
    </row>
    <row r="54" spans="7:14" ht="16" thickBot="1" x14ac:dyDescent="0.25">
      <c r="G54" s="113">
        <v>400</v>
      </c>
      <c r="H54" s="115">
        <f t="shared" si="8"/>
        <v>0.6</v>
      </c>
      <c r="I54" s="106">
        <f t="shared" si="9"/>
        <v>0.12959999999999999</v>
      </c>
      <c r="J54" s="106">
        <f t="shared" si="10"/>
        <v>0.54432000000000003</v>
      </c>
      <c r="K54" s="106">
        <f t="shared" si="11"/>
        <v>0.5443199999999998</v>
      </c>
      <c r="L54" s="106">
        <f t="shared" si="12"/>
        <v>4.6655999999999996E-2</v>
      </c>
      <c r="M54" s="106">
        <f t="shared" si="13"/>
        <v>0.48260966400000005</v>
      </c>
      <c r="N54" s="106">
        <f t="shared" si="14"/>
        <v>0.48260966399999994</v>
      </c>
    </row>
    <row r="55" spans="7:14" ht="16" thickBot="1" x14ac:dyDescent="0.25">
      <c r="G55" s="113">
        <v>450</v>
      </c>
      <c r="H55" s="115">
        <f t="shared" si="8"/>
        <v>0.55000000000000004</v>
      </c>
      <c r="I55" s="106">
        <f t="shared" si="9"/>
        <v>9.1506250000000025E-2</v>
      </c>
      <c r="J55" s="106">
        <f t="shared" si="10"/>
        <v>0.44151765625000006</v>
      </c>
      <c r="K55" s="106">
        <f t="shared" si="11"/>
        <v>0.44151765625000006</v>
      </c>
      <c r="L55" s="106">
        <f t="shared" si="12"/>
        <v>2.7680640625000013E-2</v>
      </c>
      <c r="M55" s="106">
        <f t="shared" si="13"/>
        <v>0.36138460367968761</v>
      </c>
      <c r="N55" s="106">
        <f t="shared" si="14"/>
        <v>0.3613846036796875</v>
      </c>
    </row>
    <row r="56" spans="7:14" ht="16" thickBot="1" x14ac:dyDescent="0.25">
      <c r="G56" s="113">
        <v>500</v>
      </c>
      <c r="H56" s="115">
        <f t="shared" si="8"/>
        <v>0.5</v>
      </c>
      <c r="I56" s="106">
        <f t="shared" si="9"/>
        <v>6.25E-2</v>
      </c>
      <c r="J56" s="106">
        <f t="shared" si="10"/>
        <v>0.34375</v>
      </c>
      <c r="K56" s="106">
        <f t="shared" si="11"/>
        <v>0.34375000000000006</v>
      </c>
      <c r="L56" s="106">
        <f t="shared" si="12"/>
        <v>1.5625E-2</v>
      </c>
      <c r="M56" s="106">
        <f t="shared" si="13"/>
        <v>0.25390625</v>
      </c>
      <c r="N56" s="106">
        <f t="shared" si="14"/>
        <v>0.25390625</v>
      </c>
    </row>
    <row r="57" spans="7:14" ht="16" thickBot="1" x14ac:dyDescent="0.25">
      <c r="G57" s="113">
        <v>550</v>
      </c>
      <c r="H57" s="115">
        <f t="shared" si="8"/>
        <v>0.45</v>
      </c>
      <c r="I57" s="106">
        <f t="shared" si="9"/>
        <v>4.1006250000000008E-2</v>
      </c>
      <c r="J57" s="106">
        <f t="shared" si="10"/>
        <v>0.25526390625000006</v>
      </c>
      <c r="K57" s="106">
        <f t="shared" si="11"/>
        <v>0.25526390624999989</v>
      </c>
      <c r="L57" s="106">
        <f t="shared" si="12"/>
        <v>8.3037656250000026E-3</v>
      </c>
      <c r="M57" s="106">
        <f t="shared" si="13"/>
        <v>0.16582204764843758</v>
      </c>
      <c r="N57" s="106">
        <f t="shared" si="14"/>
        <v>0.16582204764843736</v>
      </c>
    </row>
    <row r="58" spans="7:14" ht="16" thickBot="1" x14ac:dyDescent="0.25">
      <c r="G58" s="113">
        <v>600</v>
      </c>
      <c r="H58" s="115">
        <f t="shared" si="8"/>
        <v>0.4</v>
      </c>
      <c r="I58" s="106">
        <f t="shared" si="9"/>
        <v>2.5600000000000012E-2</v>
      </c>
      <c r="J58" s="106">
        <f t="shared" si="10"/>
        <v>0.17920000000000008</v>
      </c>
      <c r="K58" s="106">
        <f t="shared" si="11"/>
        <v>0.17920000000000005</v>
      </c>
      <c r="L58" s="106">
        <f t="shared" si="12"/>
        <v>4.0960000000000024E-3</v>
      </c>
      <c r="M58" s="106">
        <f t="shared" si="13"/>
        <v>9.9352576000000054E-2</v>
      </c>
      <c r="N58" s="106">
        <f t="shared" si="14"/>
        <v>9.935257600000004E-2</v>
      </c>
    </row>
    <row r="59" spans="7:14" ht="16" thickBot="1" x14ac:dyDescent="0.25">
      <c r="G59" s="113">
        <v>650</v>
      </c>
      <c r="H59" s="115">
        <f t="shared" si="8"/>
        <v>0.35</v>
      </c>
      <c r="I59" s="106">
        <f t="shared" si="9"/>
        <v>1.5006249999999995E-2</v>
      </c>
      <c r="J59" s="106">
        <f t="shared" si="10"/>
        <v>0.11742390624999997</v>
      </c>
      <c r="K59" s="106">
        <f t="shared" si="11"/>
        <v>0.11742390624999992</v>
      </c>
      <c r="L59" s="106">
        <f t="shared" si="12"/>
        <v>1.8382656249999992E-3</v>
      </c>
      <c r="M59" s="106">
        <f t="shared" si="13"/>
        <v>5.3588200367187484E-2</v>
      </c>
      <c r="N59" s="106">
        <f t="shared" si="14"/>
        <v>5.358820036718745E-2</v>
      </c>
    </row>
    <row r="60" spans="7:14" ht="16" thickBot="1" x14ac:dyDescent="0.25">
      <c r="G60" s="113">
        <v>700</v>
      </c>
      <c r="H60" s="115">
        <f t="shared" si="8"/>
        <v>0.3</v>
      </c>
      <c r="I60" s="106">
        <f t="shared" si="9"/>
        <v>8.0999999999999996E-3</v>
      </c>
      <c r="J60" s="106">
        <f t="shared" si="10"/>
        <v>7.0469999999999977E-2</v>
      </c>
      <c r="K60" s="106">
        <f t="shared" si="11"/>
        <v>7.0470000000000033E-2</v>
      </c>
      <c r="L60" s="106">
        <f t="shared" si="12"/>
        <v>7.2899999999999994E-4</v>
      </c>
      <c r="M60" s="106">
        <f t="shared" si="13"/>
        <v>2.5294841999999994E-2</v>
      </c>
      <c r="N60" s="106">
        <f t="shared" si="14"/>
        <v>2.5294842000000008E-2</v>
      </c>
    </row>
    <row r="61" spans="7:14" ht="16" thickBot="1" x14ac:dyDescent="0.25">
      <c r="G61" s="113">
        <v>750</v>
      </c>
      <c r="H61" s="115">
        <f t="shared" si="8"/>
        <v>0.25</v>
      </c>
      <c r="I61" s="106">
        <f t="shared" si="9"/>
        <v>3.90625E-3</v>
      </c>
      <c r="J61" s="106">
        <f t="shared" si="10"/>
        <v>3.759765625E-2</v>
      </c>
      <c r="K61" s="106">
        <f t="shared" si="11"/>
        <v>3.7597656250000007E-2</v>
      </c>
      <c r="L61" s="106">
        <f t="shared" si="12"/>
        <v>2.44140625E-4</v>
      </c>
      <c r="M61" s="106">
        <f t="shared" si="13"/>
        <v>9.9945068359375E-3</v>
      </c>
      <c r="N61" s="106">
        <f t="shared" si="14"/>
        <v>9.9945068359375E-3</v>
      </c>
    </row>
    <row r="62" spans="7:14" ht="16" thickBot="1" x14ac:dyDescent="0.25">
      <c r="G62" s="113">
        <v>800</v>
      </c>
      <c r="H62" s="115">
        <f t="shared" si="8"/>
        <v>0.2</v>
      </c>
      <c r="I62" s="106">
        <f t="shared" si="9"/>
        <v>1.6000000000000007E-3</v>
      </c>
      <c r="J62" s="106">
        <f t="shared" si="10"/>
        <v>1.696000000000001E-2</v>
      </c>
      <c r="K62" s="106">
        <f t="shared" si="11"/>
        <v>1.6960000000000003E-2</v>
      </c>
      <c r="L62" s="106">
        <f t="shared" si="12"/>
        <v>6.4000000000000038E-5</v>
      </c>
      <c r="M62" s="106">
        <f t="shared" si="13"/>
        <v>3.0663680000000025E-3</v>
      </c>
      <c r="N62" s="106">
        <f t="shared" si="14"/>
        <v>3.0663680000000003E-3</v>
      </c>
    </row>
    <row r="63" spans="7:14" ht="16" thickBot="1" x14ac:dyDescent="0.25">
      <c r="G63" s="113">
        <v>850</v>
      </c>
      <c r="H63" s="115">
        <f t="shared" si="8"/>
        <v>0.15</v>
      </c>
      <c r="I63" s="106">
        <f t="shared" si="9"/>
        <v>5.0624999999999997E-4</v>
      </c>
      <c r="J63" s="106">
        <f t="shared" si="10"/>
        <v>5.8851562499999989E-3</v>
      </c>
      <c r="K63" s="106">
        <f t="shared" si="11"/>
        <v>5.8851562500000093E-3</v>
      </c>
      <c r="L63" s="106">
        <f t="shared" si="12"/>
        <v>1.1390624999999999E-5</v>
      </c>
      <c r="M63" s="106">
        <f t="shared" si="13"/>
        <v>6.3404205468749989E-4</v>
      </c>
      <c r="N63" s="106">
        <f t="shared" si="14"/>
        <v>6.3404205468750282E-4</v>
      </c>
    </row>
    <row r="64" spans="7:14" ht="16" thickBot="1" x14ac:dyDescent="0.25">
      <c r="G64" s="113">
        <v>900</v>
      </c>
      <c r="H64" s="115">
        <f t="shared" si="8"/>
        <v>0.1</v>
      </c>
      <c r="I64" s="106">
        <f t="shared" si="9"/>
        <v>1.0000000000000005E-4</v>
      </c>
      <c r="J64" s="106">
        <f t="shared" si="10"/>
        <v>1.2700000000000007E-3</v>
      </c>
      <c r="K64" s="106">
        <f t="shared" si="11"/>
        <v>1.2699999999999999E-3</v>
      </c>
      <c r="L64" s="106">
        <f t="shared" si="12"/>
        <v>1.0000000000000006E-6</v>
      </c>
      <c r="M64" s="106">
        <f t="shared" si="13"/>
        <v>6.4234000000000036E-5</v>
      </c>
      <c r="N64" s="106">
        <f t="shared" si="14"/>
        <v>6.4234000000000104E-5</v>
      </c>
    </row>
    <row r="65" spans="7:14" ht="16" thickBot="1" x14ac:dyDescent="0.25">
      <c r="G65" s="113">
        <v>950</v>
      </c>
      <c r="H65" s="115">
        <f t="shared" si="8"/>
        <v>0.05</v>
      </c>
      <c r="I65" s="106">
        <f t="shared" si="9"/>
        <v>6.2500000000000028E-6</v>
      </c>
      <c r="J65" s="106">
        <f t="shared" si="10"/>
        <v>8.640625000000003E-5</v>
      </c>
      <c r="K65" s="106">
        <f t="shared" si="11"/>
        <v>8.640625000000041E-5</v>
      </c>
      <c r="L65" s="106">
        <f t="shared" si="12"/>
        <v>1.5625000000000009E-8</v>
      </c>
      <c r="M65" s="106">
        <f t="shared" si="13"/>
        <v>1.1510234375000007E-6</v>
      </c>
      <c r="N65" s="106">
        <f t="shared" si="14"/>
        <v>1.1510234375000112E-6</v>
      </c>
    </row>
    <row r="66" spans="7:14" ht="16" thickBot="1" x14ac:dyDescent="0.25">
      <c r="G66" s="113">
        <v>1000</v>
      </c>
      <c r="H66" s="115">
        <f t="shared" si="8"/>
        <v>0</v>
      </c>
      <c r="I66" s="106">
        <f t="shared" si="9"/>
        <v>0</v>
      </c>
      <c r="J66" s="106">
        <f t="shared" si="10"/>
        <v>0</v>
      </c>
      <c r="K66" s="106">
        <f t="shared" si="11"/>
        <v>0</v>
      </c>
      <c r="L66" s="106">
        <f t="shared" si="12"/>
        <v>0</v>
      </c>
      <c r="M66" s="106">
        <f t="shared" si="13"/>
        <v>0</v>
      </c>
      <c r="N66" s="106">
        <f t="shared" si="14"/>
        <v>0</v>
      </c>
    </row>
  </sheetData>
  <mergeCells count="5">
    <mergeCell ref="B46:E48"/>
    <mergeCell ref="G43:G45"/>
    <mergeCell ref="I43:K44"/>
    <mergeCell ref="L43:N44"/>
    <mergeCell ref="H43:H45"/>
  </mergeCells>
  <pageMargins left="0.7" right="0.7" top="0.75" bottom="0.75" header="0.3" footer="0.3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702465" r:id="rId4">
          <objectPr defaultSize="0" autoPict="0" r:id="rId5">
            <anchor moveWithCells="1" sizeWithCells="1">
              <from>
                <xdr:col>10</xdr:col>
                <xdr:colOff>12700</xdr:colOff>
                <xdr:row>1</xdr:row>
                <xdr:rowOff>76200</xdr:rowOff>
              </from>
              <to>
                <xdr:col>12</xdr:col>
                <xdr:colOff>558800</xdr:colOff>
                <xdr:row>6</xdr:row>
                <xdr:rowOff>63500</xdr:rowOff>
              </to>
            </anchor>
          </objectPr>
        </oleObject>
      </mc:Choice>
      <mc:Fallback>
        <oleObject progId="Equation.3" shapeId="702465" r:id="rId4"/>
      </mc:Fallback>
    </mc:AlternateContent>
    <mc:AlternateContent xmlns:mc="http://schemas.openxmlformats.org/markup-compatibility/2006">
      <mc:Choice Requires="x14">
        <oleObject progId="Equation.3" shapeId="702466" r:id="rId6">
          <objectPr defaultSize="0" autoPict="0" r:id="rId7">
            <anchor moveWithCells="1" sizeWithCells="1">
              <from>
                <xdr:col>13</xdr:col>
                <xdr:colOff>393700</xdr:colOff>
                <xdr:row>1</xdr:row>
                <xdr:rowOff>76200</xdr:rowOff>
              </from>
              <to>
                <xdr:col>17</xdr:col>
                <xdr:colOff>558800</xdr:colOff>
                <xdr:row>6</xdr:row>
                <xdr:rowOff>88900</xdr:rowOff>
              </to>
            </anchor>
          </objectPr>
        </oleObject>
      </mc:Choice>
      <mc:Fallback>
        <oleObject progId="Equation.3" shapeId="702466" r:id="rId6"/>
      </mc:Fallback>
    </mc:AlternateContent>
    <mc:AlternateContent xmlns:mc="http://schemas.openxmlformats.org/markup-compatibility/2006">
      <mc:Choice Requires="x14">
        <oleObject progId="Equation.3" shapeId="702467" r:id="rId8">
          <objectPr defaultSize="0" autoPict="0" r:id="rId9">
            <anchor moveWithCells="1" siz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558800</xdr:colOff>
                <xdr:row>9</xdr:row>
                <xdr:rowOff>50800</xdr:rowOff>
              </to>
            </anchor>
          </objectPr>
        </oleObject>
      </mc:Choice>
      <mc:Fallback>
        <oleObject progId="Equation.3" shapeId="702467" r:id="rId8"/>
      </mc:Fallback>
    </mc:AlternateContent>
    <mc:AlternateContent xmlns:mc="http://schemas.openxmlformats.org/markup-compatibility/2006">
      <mc:Choice Requires="x14">
        <oleObject progId="Equation.3" shapeId="702469" r:id="rId10">
          <objectPr defaultSize="0" autoPict="0" r:id="rId11">
            <anchor moveWithCells="1" sizeWithCells="1">
              <from>
                <xdr:col>2</xdr:col>
                <xdr:colOff>12700</xdr:colOff>
                <xdr:row>10</xdr:row>
                <xdr:rowOff>139700</xdr:rowOff>
              </from>
              <to>
                <xdr:col>7</xdr:col>
                <xdr:colOff>241300</xdr:colOff>
                <xdr:row>11</xdr:row>
                <xdr:rowOff>177800</xdr:rowOff>
              </to>
            </anchor>
          </objectPr>
        </oleObject>
      </mc:Choice>
      <mc:Fallback>
        <oleObject progId="Equation.3" shapeId="702469" r:id="rId10"/>
      </mc:Fallback>
    </mc:AlternateContent>
    <mc:AlternateContent xmlns:mc="http://schemas.openxmlformats.org/markup-compatibility/2006">
      <mc:Choice Requires="x14">
        <oleObject progId="Equation.3" shapeId="702470" r:id="rId12">
          <objectPr defaultSize="0" autoPict="0" r:id="rId13">
            <anchor moveWithCells="1" sizeWithCells="1">
              <from>
                <xdr:col>5</xdr:col>
                <xdr:colOff>292100</xdr:colOff>
                <xdr:row>6</xdr:row>
                <xdr:rowOff>165100</xdr:rowOff>
              </from>
              <to>
                <xdr:col>8</xdr:col>
                <xdr:colOff>88900</xdr:colOff>
                <xdr:row>9</xdr:row>
                <xdr:rowOff>63500</xdr:rowOff>
              </to>
            </anchor>
          </objectPr>
        </oleObject>
      </mc:Choice>
      <mc:Fallback>
        <oleObject progId="Equation.3" shapeId="702470" r:id="rId12"/>
      </mc:Fallback>
    </mc:AlternateContent>
    <mc:AlternateContent xmlns:mc="http://schemas.openxmlformats.org/markup-compatibility/2006">
      <mc:Choice Requires="x14">
        <oleObject progId="Equation.3" shapeId="702471" r:id="rId14">
          <objectPr defaultSize="0" autoPict="0" r:id="rId15">
            <anchor moveWithCells="1" sizeWithCells="1">
              <from>
                <xdr:col>1</xdr:col>
                <xdr:colOff>749300</xdr:colOff>
                <xdr:row>12</xdr:row>
                <xdr:rowOff>190500</xdr:rowOff>
              </from>
              <to>
                <xdr:col>11</xdr:col>
                <xdr:colOff>76200</xdr:colOff>
                <xdr:row>14</xdr:row>
                <xdr:rowOff>63500</xdr:rowOff>
              </to>
            </anchor>
          </objectPr>
        </oleObject>
      </mc:Choice>
      <mc:Fallback>
        <oleObject progId="Equation.3" shapeId="702471" r:id="rId1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9"/>
  <sheetViews>
    <sheetView tabSelected="1" topLeftCell="A2" workbookViewId="0">
      <selection activeCell="M20" sqref="M20"/>
    </sheetView>
  </sheetViews>
  <sheetFormatPr baseColWidth="10" defaultColWidth="8.83203125" defaultRowHeight="15" x14ac:dyDescent="0.2"/>
  <cols>
    <col min="1" max="1" width="16.83203125" customWidth="1"/>
  </cols>
  <sheetData>
    <row r="1" spans="1:57" x14ac:dyDescent="0.2">
      <c r="A1" s="49" t="s">
        <v>138</v>
      </c>
      <c r="B1" s="49"/>
      <c r="C1" s="49"/>
    </row>
    <row r="2" spans="1:57" x14ac:dyDescent="0.2">
      <c r="I2" s="29" t="s">
        <v>173</v>
      </c>
    </row>
    <row r="3" spans="1:57" x14ac:dyDescent="0.2">
      <c r="A3" t="s">
        <v>92</v>
      </c>
      <c r="B3" t="s">
        <v>94</v>
      </c>
      <c r="I3" s="29">
        <v>50</v>
      </c>
    </row>
    <row r="4" spans="1:57" x14ac:dyDescent="0.2">
      <c r="A4" t="s">
        <v>93</v>
      </c>
      <c r="B4" t="s">
        <v>95</v>
      </c>
    </row>
    <row r="6" spans="1:57" x14ac:dyDescent="0.2">
      <c r="A6" t="s">
        <v>0</v>
      </c>
      <c r="B6">
        <v>0</v>
      </c>
      <c r="C6">
        <f>B6+50</f>
        <v>50</v>
      </c>
      <c r="D6">
        <f t="shared" ref="D6:S6" si="0">C6+50</f>
        <v>100</v>
      </c>
      <c r="E6">
        <f t="shared" si="0"/>
        <v>150</v>
      </c>
      <c r="F6">
        <f t="shared" si="0"/>
        <v>200</v>
      </c>
      <c r="G6">
        <f t="shared" si="0"/>
        <v>250</v>
      </c>
      <c r="H6">
        <f t="shared" si="0"/>
        <v>300</v>
      </c>
      <c r="I6">
        <f t="shared" si="0"/>
        <v>350</v>
      </c>
      <c r="J6">
        <f t="shared" si="0"/>
        <v>400</v>
      </c>
      <c r="K6">
        <f t="shared" si="0"/>
        <v>450</v>
      </c>
      <c r="L6">
        <f t="shared" si="0"/>
        <v>500</v>
      </c>
      <c r="M6">
        <f t="shared" si="0"/>
        <v>550</v>
      </c>
      <c r="N6">
        <f t="shared" si="0"/>
        <v>600</v>
      </c>
      <c r="O6">
        <f t="shared" si="0"/>
        <v>650</v>
      </c>
      <c r="P6">
        <f t="shared" si="0"/>
        <v>700</v>
      </c>
      <c r="Q6">
        <f t="shared" si="0"/>
        <v>750</v>
      </c>
      <c r="R6">
        <f t="shared" si="0"/>
        <v>800</v>
      </c>
      <c r="S6">
        <f t="shared" si="0"/>
        <v>850</v>
      </c>
      <c r="T6">
        <f t="shared" ref="T6" si="1">S6+50</f>
        <v>900</v>
      </c>
      <c r="U6">
        <f t="shared" ref="U6" si="2">T6+50</f>
        <v>950</v>
      </c>
      <c r="V6">
        <f t="shared" ref="V6" si="3">U6+50</f>
        <v>1000</v>
      </c>
      <c r="W6">
        <f t="shared" ref="W6" si="4">V6+50</f>
        <v>1050</v>
      </c>
      <c r="X6">
        <f t="shared" ref="X6" si="5">W6+50</f>
        <v>1100</v>
      </c>
      <c r="Y6">
        <f t="shared" ref="Y6" si="6">X6+50</f>
        <v>1150</v>
      </c>
      <c r="Z6">
        <f t="shared" ref="Z6" si="7">Y6+50</f>
        <v>1200</v>
      </c>
      <c r="AA6">
        <f t="shared" ref="AA6" si="8">Z6+50</f>
        <v>1250</v>
      </c>
      <c r="AB6">
        <f t="shared" ref="AB6" si="9">AA6+50</f>
        <v>1300</v>
      </c>
      <c r="AC6">
        <f t="shared" ref="AC6" si="10">AB6+50</f>
        <v>1350</v>
      </c>
      <c r="AD6">
        <f t="shared" ref="AD6" si="11">AC6+50</f>
        <v>1400</v>
      </c>
      <c r="AE6">
        <f t="shared" ref="AE6" si="12">AD6+50</f>
        <v>1450</v>
      </c>
      <c r="AF6">
        <f t="shared" ref="AF6" si="13">AE6+50</f>
        <v>1500</v>
      </c>
      <c r="AG6">
        <f t="shared" ref="AG6" si="14">AF6+50</f>
        <v>1550</v>
      </c>
      <c r="AH6">
        <f t="shared" ref="AH6" si="15">AG6+50</f>
        <v>1600</v>
      </c>
      <c r="AI6">
        <f t="shared" ref="AI6" si="16">AH6+50</f>
        <v>1650</v>
      </c>
      <c r="AJ6">
        <f t="shared" ref="AJ6" si="17">AI6+50</f>
        <v>1700</v>
      </c>
      <c r="AK6">
        <f t="shared" ref="AK6" si="18">AJ6+50</f>
        <v>1750</v>
      </c>
      <c r="AL6">
        <f t="shared" ref="AL6" si="19">AK6+50</f>
        <v>1800</v>
      </c>
      <c r="AM6">
        <f t="shared" ref="AM6" si="20">AL6+50</f>
        <v>1850</v>
      </c>
      <c r="AN6">
        <f t="shared" ref="AN6" si="21">AM6+50</f>
        <v>1900</v>
      </c>
      <c r="AO6">
        <f t="shared" ref="AO6" si="22">AN6+50</f>
        <v>1950</v>
      </c>
      <c r="AP6">
        <f t="shared" ref="AP6" si="23">AO6+50</f>
        <v>2000</v>
      </c>
      <c r="AQ6">
        <f t="shared" ref="AQ6" si="24">AP6+50</f>
        <v>2050</v>
      </c>
      <c r="AR6">
        <f t="shared" ref="AR6" si="25">AQ6+50</f>
        <v>2100</v>
      </c>
      <c r="AS6">
        <f t="shared" ref="AS6" si="26">AR6+50</f>
        <v>2150</v>
      </c>
      <c r="AT6">
        <f t="shared" ref="AT6" si="27">AS6+50</f>
        <v>2200</v>
      </c>
      <c r="AU6">
        <f t="shared" ref="AU6" si="28">AT6+50</f>
        <v>2250</v>
      </c>
      <c r="AV6">
        <f t="shared" ref="AV6" si="29">AU6+50</f>
        <v>2300</v>
      </c>
      <c r="AW6">
        <f t="shared" ref="AW6" si="30">AV6+50</f>
        <v>2350</v>
      </c>
      <c r="AX6">
        <f t="shared" ref="AX6" si="31">AW6+50</f>
        <v>2400</v>
      </c>
      <c r="AY6">
        <f t="shared" ref="AY6" si="32">AX6+50</f>
        <v>2450</v>
      </c>
      <c r="AZ6">
        <f t="shared" ref="AZ6" si="33">AY6+50</f>
        <v>2500</v>
      </c>
      <c r="BA6">
        <f t="shared" ref="BA6" si="34">AZ6+50</f>
        <v>2550</v>
      </c>
      <c r="BB6">
        <f t="shared" ref="BB6" si="35">BA6+50</f>
        <v>2600</v>
      </c>
      <c r="BC6">
        <f t="shared" ref="BC6" si="36">BB6+50</f>
        <v>2650</v>
      </c>
    </row>
    <row r="7" spans="1:57" x14ac:dyDescent="0.2">
      <c r="A7" t="s">
        <v>92</v>
      </c>
      <c r="B7" s="98">
        <f>1-WEIBULL(B6,2,SQRT(1/$B$17),1)</f>
        <v>1</v>
      </c>
      <c r="C7" s="98">
        <f t="shared" ref="C7:BC7" si="37">1-WEIBULL(C6,2,SQRT(1/$B$17),1)</f>
        <v>0.60653065971263354</v>
      </c>
      <c r="D7" s="98">
        <f t="shared" si="37"/>
        <v>0.1353352832366127</v>
      </c>
      <c r="E7" s="98">
        <f t="shared" si="37"/>
        <v>1.1108996538242266E-2</v>
      </c>
      <c r="F7" s="98">
        <f t="shared" si="37"/>
        <v>3.3546262790251635E-4</v>
      </c>
      <c r="G7" s="98">
        <f t="shared" si="37"/>
        <v>3.7266531720536733E-6</v>
      </c>
      <c r="H7" s="98">
        <f t="shared" si="37"/>
        <v>1.5229979721809173E-8</v>
      </c>
      <c r="I7" s="98">
        <f t="shared" si="37"/>
        <v>2.2897350682171691E-11</v>
      </c>
      <c r="J7" s="98">
        <f t="shared" si="37"/>
        <v>1.2656542480726785E-14</v>
      </c>
      <c r="K7" s="98">
        <f t="shared" si="37"/>
        <v>0</v>
      </c>
      <c r="L7" s="98">
        <f t="shared" si="37"/>
        <v>0</v>
      </c>
      <c r="M7" s="98">
        <f t="shared" si="37"/>
        <v>0</v>
      </c>
      <c r="N7" s="98">
        <f t="shared" si="37"/>
        <v>0</v>
      </c>
      <c r="O7" s="98">
        <f t="shared" si="37"/>
        <v>0</v>
      </c>
      <c r="P7" s="98">
        <f t="shared" si="37"/>
        <v>0</v>
      </c>
      <c r="Q7" s="98">
        <f t="shared" si="37"/>
        <v>0</v>
      </c>
      <c r="R7" s="98">
        <f t="shared" si="37"/>
        <v>0</v>
      </c>
      <c r="S7" s="98">
        <f t="shared" si="37"/>
        <v>0</v>
      </c>
      <c r="T7" s="98">
        <f t="shared" si="37"/>
        <v>0</v>
      </c>
      <c r="U7" s="98">
        <f t="shared" si="37"/>
        <v>0</v>
      </c>
      <c r="V7" s="98">
        <f t="shared" si="37"/>
        <v>0</v>
      </c>
      <c r="W7" s="98">
        <f t="shared" si="37"/>
        <v>0</v>
      </c>
      <c r="X7" s="98">
        <f t="shared" si="37"/>
        <v>0</v>
      </c>
      <c r="Y7" s="98">
        <f t="shared" si="37"/>
        <v>0</v>
      </c>
      <c r="Z7" s="98">
        <f t="shared" si="37"/>
        <v>0</v>
      </c>
      <c r="AA7" s="98">
        <f t="shared" si="37"/>
        <v>0</v>
      </c>
      <c r="AB7" s="98">
        <f t="shared" si="37"/>
        <v>0</v>
      </c>
      <c r="AC7" s="98">
        <f t="shared" si="37"/>
        <v>0</v>
      </c>
      <c r="AD7" s="98">
        <f t="shared" si="37"/>
        <v>0</v>
      </c>
      <c r="AE7" s="98">
        <f t="shared" si="37"/>
        <v>0</v>
      </c>
      <c r="AF7" s="98">
        <f t="shared" si="37"/>
        <v>0</v>
      </c>
      <c r="AG7" s="98">
        <f t="shared" si="37"/>
        <v>0</v>
      </c>
      <c r="AH7" s="98">
        <f t="shared" si="37"/>
        <v>0</v>
      </c>
      <c r="AI7" s="98">
        <f t="shared" si="37"/>
        <v>0</v>
      </c>
      <c r="AJ7" s="98">
        <f t="shared" si="37"/>
        <v>0</v>
      </c>
      <c r="AK7" s="98">
        <f t="shared" si="37"/>
        <v>0</v>
      </c>
      <c r="AL7" s="98">
        <f t="shared" si="37"/>
        <v>0</v>
      </c>
      <c r="AM7" s="98">
        <f t="shared" si="37"/>
        <v>0</v>
      </c>
      <c r="AN7" s="98">
        <f t="shared" si="37"/>
        <v>0</v>
      </c>
      <c r="AO7" s="98">
        <f t="shared" si="37"/>
        <v>0</v>
      </c>
      <c r="AP7" s="98">
        <f t="shared" si="37"/>
        <v>0</v>
      </c>
      <c r="AQ7" s="98">
        <f t="shared" si="37"/>
        <v>0</v>
      </c>
      <c r="AR7" s="98">
        <f t="shared" si="37"/>
        <v>0</v>
      </c>
      <c r="AS7" s="98">
        <f t="shared" si="37"/>
        <v>0</v>
      </c>
      <c r="AT7" s="98">
        <f t="shared" si="37"/>
        <v>0</v>
      </c>
      <c r="AU7" s="98">
        <f t="shared" si="37"/>
        <v>0</v>
      </c>
      <c r="AV7" s="98">
        <f t="shared" si="37"/>
        <v>0</v>
      </c>
      <c r="AW7" s="98">
        <f t="shared" si="37"/>
        <v>0</v>
      </c>
      <c r="AX7" s="98">
        <f t="shared" si="37"/>
        <v>0</v>
      </c>
      <c r="AY7" s="98">
        <f t="shared" si="37"/>
        <v>0</v>
      </c>
      <c r="AZ7" s="98">
        <f t="shared" si="37"/>
        <v>0</v>
      </c>
      <c r="BA7" s="98">
        <f t="shared" si="37"/>
        <v>0</v>
      </c>
      <c r="BB7" s="98">
        <f t="shared" si="37"/>
        <v>0</v>
      </c>
      <c r="BC7" s="98">
        <f t="shared" si="37"/>
        <v>0</v>
      </c>
      <c r="BD7" s="98"/>
      <c r="BE7" s="98"/>
    </row>
    <row r="8" spans="1:57" x14ac:dyDescent="0.2">
      <c r="A8" t="s">
        <v>93</v>
      </c>
      <c r="B8" s="98">
        <f t="shared" ref="B8:S8" si="38">1-EXPONDIST(B6,$B$19,1)</f>
        <v>1</v>
      </c>
      <c r="C8" s="98">
        <f t="shared" si="38"/>
        <v>0.77880078307140488</v>
      </c>
      <c r="D8" s="98">
        <f t="shared" si="38"/>
        <v>0.60653065971263342</v>
      </c>
      <c r="E8" s="98">
        <f t="shared" si="38"/>
        <v>0.47236655274101469</v>
      </c>
      <c r="F8" s="98">
        <f t="shared" si="38"/>
        <v>0.36787944117144233</v>
      </c>
      <c r="G8" s="98">
        <f t="shared" si="38"/>
        <v>0.28650479686019015</v>
      </c>
      <c r="H8" s="98">
        <f t="shared" si="38"/>
        <v>0.22313016014842979</v>
      </c>
      <c r="I8" s="98">
        <f t="shared" si="38"/>
        <v>0.17377394345044517</v>
      </c>
      <c r="J8" s="98">
        <f t="shared" si="38"/>
        <v>0.1353352832366127</v>
      </c>
      <c r="K8" s="98">
        <f t="shared" si="38"/>
        <v>0.10539922456186435</v>
      </c>
      <c r="L8" s="98">
        <f t="shared" si="38"/>
        <v>8.2084998623898842E-2</v>
      </c>
      <c r="M8" s="98">
        <f t="shared" si="38"/>
        <v>6.392786120670757E-2</v>
      </c>
      <c r="N8" s="98">
        <f t="shared" si="38"/>
        <v>4.9787068367863951E-2</v>
      </c>
      <c r="O8" s="98">
        <f t="shared" si="38"/>
        <v>3.877420783172203E-2</v>
      </c>
      <c r="P8" s="98">
        <f t="shared" si="38"/>
        <v>3.019738342231848E-2</v>
      </c>
      <c r="Q8" s="98">
        <f t="shared" si="38"/>
        <v>2.3517745856009076E-2</v>
      </c>
      <c r="R8" s="98">
        <f t="shared" si="38"/>
        <v>1.831563888873422E-2</v>
      </c>
      <c r="S8" s="98">
        <f t="shared" si="38"/>
        <v>1.4264233908999224E-2</v>
      </c>
      <c r="T8" s="98">
        <f t="shared" ref="T8:Y8" si="39">1-EXPONDIST(T6,$B$19,1)</f>
        <v>1.1108996538242266E-2</v>
      </c>
      <c r="U8" s="98">
        <f t="shared" si="39"/>
        <v>8.6516952031205907E-3</v>
      </c>
      <c r="V8" s="98">
        <f t="shared" si="39"/>
        <v>6.7379469990854757E-3</v>
      </c>
      <c r="W8" s="98">
        <f t="shared" si="39"/>
        <v>5.2475183991813612E-3</v>
      </c>
      <c r="X8" s="98">
        <f t="shared" si="39"/>
        <v>4.0867714384640319E-3</v>
      </c>
      <c r="Y8" s="98">
        <f t="shared" si="39"/>
        <v>3.1827807965096877E-3</v>
      </c>
      <c r="Z8" s="98">
        <f>1-EXPONDIST(Z6,$B$19,1)</f>
        <v>2.4787521766663767E-3</v>
      </c>
      <c r="AA8" s="98">
        <f t="shared" ref="AA8:AB8" si="40">1-EXPONDIST(AA6,$B$19,1)</f>
        <v>1.9304541362277217E-3</v>
      </c>
      <c r="AB8" s="98">
        <f t="shared" si="40"/>
        <v>1.5034391929775737E-3</v>
      </c>
      <c r="AC8" s="98">
        <f t="shared" ref="AC8:AH8" si="41">1-EXPONDIST(AC6,$B$19,1)</f>
        <v>1.1708796207912098E-3</v>
      </c>
      <c r="AD8" s="98">
        <f t="shared" si="41"/>
        <v>9.1188196555447298E-4</v>
      </c>
      <c r="AE8" s="98">
        <f t="shared" si="41"/>
        <v>7.1017438884257711E-4</v>
      </c>
      <c r="AF8" s="98">
        <f t="shared" si="41"/>
        <v>5.5308437014778278E-4</v>
      </c>
      <c r="AG8" s="98">
        <f t="shared" si="41"/>
        <v>4.307425405757348E-4</v>
      </c>
      <c r="AH8" s="98">
        <f t="shared" si="41"/>
        <v>3.3546262790251635E-4</v>
      </c>
      <c r="AI8" s="98">
        <f t="shared" ref="AI8:AQ8" si="42">1-EXPONDIST(AI6,$B$19,1)</f>
        <v>2.6125855730163572E-4</v>
      </c>
      <c r="AJ8" s="98">
        <f t="shared" si="42"/>
        <v>2.034683690106398E-4</v>
      </c>
      <c r="AK8" s="98">
        <f t="shared" si="42"/>
        <v>1.5846132511576627E-4</v>
      </c>
      <c r="AL8" s="98">
        <f t="shared" si="42"/>
        <v>1.2340980408664937E-4</v>
      </c>
      <c r="AM8" s="98">
        <f t="shared" si="42"/>
        <v>9.6111652061359187E-5</v>
      </c>
      <c r="AN8" s="98">
        <f t="shared" si="42"/>
        <v>7.4851829887645493E-5</v>
      </c>
      <c r="AO8" s="98">
        <f t="shared" si="42"/>
        <v>5.8294663730862339E-5</v>
      </c>
      <c r="AP8" s="98">
        <f t="shared" si="42"/>
        <v>4.5399929762490743E-5</v>
      </c>
      <c r="AQ8" s="98">
        <f t="shared" si="42"/>
        <v>3.5357500850374812E-5</v>
      </c>
      <c r="AR8" s="98">
        <f t="shared" ref="AR8:AZ8" si="43">1-EXPONDIST(AR6,$B$19,1)</f>
        <v>2.7536449349718772E-5</v>
      </c>
      <c r="AS8" s="98">
        <f t="shared" si="43"/>
        <v>2.1445408316611569E-5</v>
      </c>
      <c r="AT8" s="98">
        <f t="shared" si="43"/>
        <v>1.6701700790267004E-5</v>
      </c>
      <c r="AU8" s="98">
        <f t="shared" si="43"/>
        <v>1.3007297654077377E-5</v>
      </c>
      <c r="AV8" s="98">
        <f t="shared" si="43"/>
        <v>1.0130093598625933E-5</v>
      </c>
      <c r="AW8" s="98">
        <f t="shared" si="43"/>
        <v>7.8893248272038363E-6</v>
      </c>
      <c r="AX8" s="98">
        <f t="shared" si="43"/>
        <v>6.1442123533428372E-6</v>
      </c>
      <c r="AY8" s="98">
        <f t="shared" si="43"/>
        <v>4.7851173921031886E-6</v>
      </c>
      <c r="AZ8" s="98">
        <f t="shared" si="43"/>
        <v>3.7266531720536733E-6</v>
      </c>
      <c r="BA8" s="98">
        <f t="shared" ref="BA8:BB8" si="44">1-EXPONDIST(BA6,$B$19,1)</f>
        <v>2.9023204086708887E-6</v>
      </c>
      <c r="BB8" s="98">
        <f t="shared" si="44"/>
        <v>2.2603294069778457E-6</v>
      </c>
      <c r="BC8" s="98">
        <f t="shared" ref="BC8" si="45">1-EXPONDIST(BC6,$B$19,1)</f>
        <v>1.7603463121629304E-6</v>
      </c>
      <c r="BD8" s="98"/>
      <c r="BE8" s="98"/>
    </row>
    <row r="9" spans="1:57" x14ac:dyDescent="0.2">
      <c r="A9" t="s">
        <v>42</v>
      </c>
      <c r="B9" s="98">
        <f>1-(1-B7)*(1-B8)</f>
        <v>1</v>
      </c>
      <c r="C9" s="98">
        <f t="shared" ref="C9:S9" si="46">1-(1-C7)*(1-C8)</f>
        <v>0.91296489004302361</v>
      </c>
      <c r="D9" s="98">
        <f t="shared" si="46"/>
        <v>0.65978094432534728</v>
      </c>
      <c r="E9" s="98">
        <f t="shared" si="46"/>
        <v>0.47822803088007559</v>
      </c>
      <c r="F9" s="98">
        <f t="shared" si="46"/>
        <v>0.3680914939952582</v>
      </c>
      <c r="G9" s="98">
        <f t="shared" si="46"/>
        <v>0.28650745580935222</v>
      </c>
      <c r="H9" s="98">
        <f t="shared" si="46"/>
        <v>0.22313017198014173</v>
      </c>
      <c r="I9" s="98">
        <f t="shared" si="46"/>
        <v>0.17377394346936359</v>
      </c>
      <c r="J9" s="98">
        <f t="shared" si="46"/>
        <v>0.13533528323662369</v>
      </c>
      <c r="K9" s="98">
        <f t="shared" si="46"/>
        <v>0.10539922456186435</v>
      </c>
      <c r="L9" s="98">
        <f t="shared" si="46"/>
        <v>8.2084998623898842E-2</v>
      </c>
      <c r="M9" s="98">
        <f t="shared" si="46"/>
        <v>6.392786120670757E-2</v>
      </c>
      <c r="N9" s="98">
        <f t="shared" si="46"/>
        <v>4.9787068367863951E-2</v>
      </c>
      <c r="O9" s="98">
        <f t="shared" si="46"/>
        <v>3.877420783172203E-2</v>
      </c>
      <c r="P9" s="98">
        <f t="shared" si="46"/>
        <v>3.019738342231848E-2</v>
      </c>
      <c r="Q9" s="98">
        <f t="shared" si="46"/>
        <v>2.3517745856009076E-2</v>
      </c>
      <c r="R9" s="98">
        <f t="shared" si="46"/>
        <v>1.831563888873422E-2</v>
      </c>
      <c r="S9" s="98">
        <f t="shared" si="46"/>
        <v>1.4264233908999224E-2</v>
      </c>
      <c r="T9" s="98">
        <f t="shared" ref="T9" si="47">1-(1-T7)*(1-T8)</f>
        <v>1.1108996538242266E-2</v>
      </c>
      <c r="U9" s="98">
        <f t="shared" ref="U9" si="48">1-(1-U7)*(1-U8)</f>
        <v>8.6516952031205907E-3</v>
      </c>
      <c r="V9" s="98">
        <f t="shared" ref="V9" si="49">1-(1-V7)*(1-V8)</f>
        <v>6.7379469990854757E-3</v>
      </c>
      <c r="W9" s="98">
        <f t="shared" ref="W9" si="50">1-(1-W7)*(1-W8)</f>
        <v>5.2475183991813612E-3</v>
      </c>
      <c r="X9" s="98">
        <f t="shared" ref="X9" si="51">1-(1-X7)*(1-X8)</f>
        <v>4.0867714384640319E-3</v>
      </c>
      <c r="Y9" s="98">
        <f t="shared" ref="Y9" si="52">1-(1-Y7)*(1-Y8)</f>
        <v>3.1827807965096877E-3</v>
      </c>
      <c r="Z9" s="98">
        <f t="shared" ref="Z9" si="53">1-(1-Z7)*(1-Z8)</f>
        <v>2.4787521766663767E-3</v>
      </c>
      <c r="AA9" s="98">
        <f t="shared" ref="AA9" si="54">1-(1-AA7)*(1-AA8)</f>
        <v>1.9304541362277217E-3</v>
      </c>
      <c r="AB9" s="98">
        <f t="shared" ref="AB9" si="55">1-(1-AB7)*(1-AB8)</f>
        <v>1.5034391929775737E-3</v>
      </c>
      <c r="AC9" s="98">
        <f t="shared" ref="AC9" si="56">1-(1-AC7)*(1-AC8)</f>
        <v>1.1708796207912098E-3</v>
      </c>
      <c r="AD9" s="98">
        <f t="shared" ref="AD9" si="57">1-(1-AD7)*(1-AD8)</f>
        <v>9.1188196555447298E-4</v>
      </c>
      <c r="AE9" s="98">
        <f t="shared" ref="AE9" si="58">1-(1-AE7)*(1-AE8)</f>
        <v>7.1017438884257711E-4</v>
      </c>
      <c r="AF9" s="98">
        <f t="shared" ref="AF9" si="59">1-(1-AF7)*(1-AF8)</f>
        <v>5.5308437014778278E-4</v>
      </c>
      <c r="AG9" s="98">
        <f t="shared" ref="AG9" si="60">1-(1-AG7)*(1-AG8)</f>
        <v>4.307425405757348E-4</v>
      </c>
      <c r="AH9" s="98">
        <f t="shared" ref="AH9" si="61">1-(1-AH7)*(1-AH8)</f>
        <v>3.3546262790251635E-4</v>
      </c>
      <c r="AI9" s="98">
        <f t="shared" ref="AI9" si="62">1-(1-AI7)*(1-AI8)</f>
        <v>2.6125855730163572E-4</v>
      </c>
      <c r="AJ9" s="98">
        <f t="shared" ref="AJ9" si="63">1-(1-AJ7)*(1-AJ8)</f>
        <v>2.034683690106398E-4</v>
      </c>
      <c r="AK9" s="98">
        <f t="shared" ref="AK9" si="64">1-(1-AK7)*(1-AK8)</f>
        <v>1.5846132511576627E-4</v>
      </c>
      <c r="AL9" s="98">
        <f t="shared" ref="AL9" si="65">1-(1-AL7)*(1-AL8)</f>
        <v>1.2340980408664937E-4</v>
      </c>
      <c r="AM9" s="98">
        <f t="shared" ref="AM9" si="66">1-(1-AM7)*(1-AM8)</f>
        <v>9.6111652061359187E-5</v>
      </c>
      <c r="AN9" s="98">
        <f t="shared" ref="AN9" si="67">1-(1-AN7)*(1-AN8)</f>
        <v>7.4851829887645493E-5</v>
      </c>
      <c r="AO9" s="98">
        <f t="shared" ref="AO9" si="68">1-(1-AO7)*(1-AO8)</f>
        <v>5.8294663730862339E-5</v>
      </c>
      <c r="AP9" s="98">
        <f t="shared" ref="AP9" si="69">1-(1-AP7)*(1-AP8)</f>
        <v>4.5399929762490743E-5</v>
      </c>
      <c r="AQ9" s="98">
        <f t="shared" ref="AQ9" si="70">1-(1-AQ7)*(1-AQ8)</f>
        <v>3.5357500850374812E-5</v>
      </c>
      <c r="AR9" s="98">
        <f t="shared" ref="AR9" si="71">1-(1-AR7)*(1-AR8)</f>
        <v>2.7536449349718772E-5</v>
      </c>
      <c r="AS9" s="98">
        <f t="shared" ref="AS9" si="72">1-(1-AS7)*(1-AS8)</f>
        <v>2.1445408316611569E-5</v>
      </c>
      <c r="AT9" s="98">
        <f t="shared" ref="AT9" si="73">1-(1-AT7)*(1-AT8)</f>
        <v>1.6701700790267004E-5</v>
      </c>
      <c r="AU9" s="98">
        <f t="shared" ref="AU9" si="74">1-(1-AU7)*(1-AU8)</f>
        <v>1.3007297654077377E-5</v>
      </c>
      <c r="AV9" s="98">
        <f t="shared" ref="AV9" si="75">1-(1-AV7)*(1-AV8)</f>
        <v>1.0130093598625933E-5</v>
      </c>
      <c r="AW9" s="98">
        <f t="shared" ref="AW9" si="76">1-(1-AW7)*(1-AW8)</f>
        <v>7.8893248272038363E-6</v>
      </c>
      <c r="AX9" s="98">
        <f t="shared" ref="AX9" si="77">1-(1-AX7)*(1-AX8)</f>
        <v>6.1442123533428372E-6</v>
      </c>
      <c r="AY9" s="98">
        <f t="shared" ref="AY9" si="78">1-(1-AY7)*(1-AY8)</f>
        <v>4.7851173921031886E-6</v>
      </c>
      <c r="AZ9" s="98">
        <f t="shared" ref="AZ9" si="79">1-(1-AZ7)*(1-AZ8)</f>
        <v>3.7266531720536733E-6</v>
      </c>
      <c r="BA9" s="98">
        <f t="shared" ref="BA9" si="80">1-(1-BA7)*(1-BA8)</f>
        <v>2.9023204086708887E-6</v>
      </c>
      <c r="BB9" s="98">
        <f t="shared" ref="BB9" si="81">1-(1-BB7)*(1-BB8)</f>
        <v>2.2603294069778457E-6</v>
      </c>
      <c r="BC9" s="98">
        <f t="shared" ref="BC9" si="82">1-(1-BC7)*(1-BC8)</f>
        <v>1.7603463121629304E-6</v>
      </c>
    </row>
    <row r="10" spans="1:57" x14ac:dyDescent="0.2">
      <c r="A10" t="s">
        <v>96</v>
      </c>
      <c r="B10">
        <v>1</v>
      </c>
      <c r="C10">
        <v>4</v>
      </c>
      <c r="D10">
        <v>2</v>
      </c>
      <c r="E10">
        <v>4</v>
      </c>
      <c r="F10">
        <v>2</v>
      </c>
      <c r="G10">
        <v>4</v>
      </c>
      <c r="H10">
        <v>2</v>
      </c>
      <c r="I10">
        <v>4</v>
      </c>
      <c r="J10">
        <v>2</v>
      </c>
      <c r="K10">
        <v>4</v>
      </c>
      <c r="L10">
        <v>2</v>
      </c>
      <c r="M10">
        <v>4</v>
      </c>
      <c r="N10">
        <v>2</v>
      </c>
      <c r="O10">
        <v>4</v>
      </c>
      <c r="P10">
        <v>2</v>
      </c>
      <c r="Q10">
        <v>4</v>
      </c>
      <c r="R10">
        <v>2</v>
      </c>
      <c r="S10">
        <v>1</v>
      </c>
    </row>
    <row r="11" spans="1:57" x14ac:dyDescent="0.2">
      <c r="A11" t="s">
        <v>97</v>
      </c>
      <c r="B11" s="98">
        <f>B9*B10</f>
        <v>1</v>
      </c>
      <c r="C11" s="98">
        <f t="shared" ref="C11:S11" si="83">C9*C10</f>
        <v>3.6518595601720945</v>
      </c>
      <c r="D11" s="98">
        <f t="shared" si="83"/>
        <v>1.3195618886506946</v>
      </c>
      <c r="E11" s="98">
        <f t="shared" si="83"/>
        <v>1.9129121235203024</v>
      </c>
      <c r="F11" s="98">
        <f t="shared" si="83"/>
        <v>0.7361829879905164</v>
      </c>
      <c r="G11" s="98">
        <f t="shared" si="83"/>
        <v>1.1460298232374089</v>
      </c>
      <c r="H11" s="98">
        <f t="shared" si="83"/>
        <v>0.44626034396028347</v>
      </c>
      <c r="I11" s="98">
        <f t="shared" si="83"/>
        <v>0.69509577387745436</v>
      </c>
      <c r="J11" s="98">
        <f t="shared" si="83"/>
        <v>0.27067056647324739</v>
      </c>
      <c r="K11" s="98">
        <f t="shared" si="83"/>
        <v>0.42159689824745739</v>
      </c>
      <c r="L11" s="98">
        <f t="shared" si="83"/>
        <v>0.16416999724779768</v>
      </c>
      <c r="M11" s="98">
        <f t="shared" si="83"/>
        <v>0.25571144482683028</v>
      </c>
      <c r="N11" s="98">
        <f t="shared" si="83"/>
        <v>9.9574136735727903E-2</v>
      </c>
      <c r="O11" s="98">
        <f t="shared" si="83"/>
        <v>0.15509683132688812</v>
      </c>
      <c r="P11" s="98">
        <f t="shared" si="83"/>
        <v>6.039476684463696E-2</v>
      </c>
      <c r="Q11" s="98">
        <f t="shared" si="83"/>
        <v>9.4070983424036303E-2</v>
      </c>
      <c r="R11" s="98">
        <f t="shared" si="83"/>
        <v>3.6631277777468441E-2</v>
      </c>
      <c r="S11" s="98">
        <f t="shared" si="83"/>
        <v>1.4264233908999224E-2</v>
      </c>
      <c r="T11" s="99">
        <f>SUM(B11:S11)</f>
        <v>12.480083638221846</v>
      </c>
    </row>
    <row r="12" spans="1:57" x14ac:dyDescent="0.2">
      <c r="A12" t="s">
        <v>176</v>
      </c>
      <c r="B12" s="98">
        <f>B7*B10</f>
        <v>1</v>
      </c>
      <c r="C12" s="98">
        <f t="shared" ref="C12:S12" si="84">C7*C10</f>
        <v>2.4261226388505341</v>
      </c>
      <c r="D12" s="98">
        <f t="shared" si="84"/>
        <v>0.2706705664732254</v>
      </c>
      <c r="E12" s="98">
        <f t="shared" si="84"/>
        <v>4.4435986152969065E-2</v>
      </c>
      <c r="F12" s="98">
        <f t="shared" si="84"/>
        <v>6.7092525580503271E-4</v>
      </c>
      <c r="G12" s="98">
        <f t="shared" si="84"/>
        <v>1.4906612688214693E-5</v>
      </c>
      <c r="H12" s="98">
        <f t="shared" si="84"/>
        <v>3.0459959443618345E-8</v>
      </c>
      <c r="I12" s="98">
        <f t="shared" si="84"/>
        <v>9.1589402728686764E-11</v>
      </c>
      <c r="J12" s="98">
        <f t="shared" si="84"/>
        <v>2.5313084961453569E-14</v>
      </c>
      <c r="K12" s="98">
        <f t="shared" si="84"/>
        <v>0</v>
      </c>
      <c r="L12" s="98">
        <f t="shared" si="84"/>
        <v>0</v>
      </c>
      <c r="M12" s="98">
        <f t="shared" si="84"/>
        <v>0</v>
      </c>
      <c r="N12" s="98">
        <f t="shared" si="84"/>
        <v>0</v>
      </c>
      <c r="O12" s="98">
        <f t="shared" si="84"/>
        <v>0</v>
      </c>
      <c r="P12" s="98">
        <f t="shared" si="84"/>
        <v>0</v>
      </c>
      <c r="Q12" s="98">
        <f t="shared" si="84"/>
        <v>0</v>
      </c>
      <c r="R12" s="98">
        <f t="shared" si="84"/>
        <v>0</v>
      </c>
      <c r="S12" s="98">
        <f t="shared" si="84"/>
        <v>0</v>
      </c>
      <c r="T12" s="101">
        <f>SUM(B12:S12)</f>
        <v>3.7419150538967956</v>
      </c>
    </row>
    <row r="14" spans="1:57" x14ac:dyDescent="0.2">
      <c r="E14" s="154" t="s">
        <v>175</v>
      </c>
      <c r="F14" s="154"/>
      <c r="G14" s="154"/>
      <c r="H14" s="154"/>
      <c r="I14" s="154"/>
      <c r="J14" s="100">
        <f>(I3/3)*T11</f>
        <v>208.00139397036412</v>
      </c>
      <c r="K14" s="29" t="s">
        <v>174</v>
      </c>
    </row>
    <row r="15" spans="1:57" x14ac:dyDescent="0.2">
      <c r="A15" s="154" t="s">
        <v>201</v>
      </c>
      <c r="B15" s="154"/>
      <c r="C15" s="154"/>
      <c r="E15" s="154" t="s">
        <v>177</v>
      </c>
      <c r="F15" s="154"/>
      <c r="G15" s="154"/>
      <c r="H15" s="154"/>
      <c r="I15" s="154"/>
      <c r="J15" s="102">
        <f>I3/3*T12</f>
        <v>62.365250898279932</v>
      </c>
      <c r="K15" s="29" t="s">
        <v>174</v>
      </c>
    </row>
    <row r="16" spans="1:57" x14ac:dyDescent="0.2">
      <c r="A16" s="97"/>
      <c r="B16" s="151" t="s">
        <v>156</v>
      </c>
      <c r="C16" s="150"/>
      <c r="E16" s="154" t="s">
        <v>178</v>
      </c>
      <c r="F16" s="154"/>
      <c r="G16" s="154"/>
      <c r="H16" s="154"/>
      <c r="I16" s="154"/>
      <c r="J16" s="103">
        <f>J14/J15</f>
        <v>3.3352129747641395</v>
      </c>
      <c r="K16" s="155"/>
    </row>
    <row r="17" spans="1:3" x14ac:dyDescent="0.2">
      <c r="A17" s="97" t="s">
        <v>202</v>
      </c>
      <c r="B17" s="152">
        <v>2.0000000000000001E-4</v>
      </c>
      <c r="C17" s="153"/>
    </row>
    <row r="18" spans="1:3" x14ac:dyDescent="0.2">
      <c r="A18" s="97"/>
      <c r="B18" s="151" t="s">
        <v>156</v>
      </c>
      <c r="C18" s="150"/>
    </row>
    <row r="19" spans="1:3" x14ac:dyDescent="0.2">
      <c r="A19" s="97" t="s">
        <v>172</v>
      </c>
      <c r="B19" s="152">
        <v>5.0000000000000001E-3</v>
      </c>
      <c r="C19" s="153"/>
    </row>
  </sheetData>
  <mergeCells count="8">
    <mergeCell ref="A15:C15"/>
    <mergeCell ref="B18:C18"/>
    <mergeCell ref="B19:C19"/>
    <mergeCell ref="E14:I14"/>
    <mergeCell ref="E15:I15"/>
    <mergeCell ref="E16:I16"/>
    <mergeCell ref="B16:C16"/>
    <mergeCell ref="B17:C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Нагр</vt:lpstr>
      <vt:lpstr>1-2</vt:lpstr>
      <vt:lpstr>2.4</vt:lpstr>
      <vt:lpstr>2.18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2023-03-23T08:36:08Z</dcterms:modified>
</cp:coreProperties>
</file>