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1"/>
  </bookViews>
  <sheets>
    <sheet name="для многомерки" sheetId="2" r:id="rId1"/>
    <sheet name="sal-temp" sheetId="7" r:id="rId2"/>
    <sheet name="age_groups" sheetId="6" r:id="rId3"/>
    <sheet name="Ординация признаков" sheetId="3" r:id="rId4"/>
    <sheet name="Ординация проб" sheetId="4" r:id="rId5"/>
    <sheet name="центроиды" sheetId="5" r:id="rId6"/>
  </sheets>
  <definedNames>
    <definedName name="_xlnm._FilterDatabase" localSheetId="0" hidden="1">'для многомерки'!$A$1:$AO$44</definedName>
    <definedName name="_xlnm._FilterDatabase" localSheetId="1" hidden="1">'sal-temp'!$A$1:$G$53</definedName>
  </definedNames>
  <calcPr calcId="144525"/>
</workbook>
</file>

<file path=xl/sharedStrings.xml><?xml version="1.0" encoding="utf-8"?>
<sst xmlns="http://schemas.openxmlformats.org/spreadsheetml/2006/main" count="561" uniqueCount="235">
  <si>
    <t>Sample_ID</t>
  </si>
  <si>
    <t>Year</t>
  </si>
  <si>
    <t>Transect</t>
  </si>
  <si>
    <t>Depth</t>
  </si>
  <si>
    <t>Ground_types</t>
  </si>
  <si>
    <t>Substrate</t>
  </si>
  <si>
    <t>Exposition</t>
  </si>
  <si>
    <t>Fucus</t>
  </si>
  <si>
    <t>F_vesic</t>
  </si>
  <si>
    <t>F_dist</t>
  </si>
  <si>
    <t>Asc_nad</t>
  </si>
  <si>
    <t>Alaria</t>
  </si>
  <si>
    <t>Cover</t>
  </si>
  <si>
    <t>Distance</t>
  </si>
  <si>
    <t>Slope</t>
  </si>
  <si>
    <t>Width</t>
  </si>
  <si>
    <t>N</t>
  </si>
  <si>
    <t>W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</si>
  <si>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</si>
  <si>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</si>
  <si>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</si>
  <si>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</si>
  <si>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</si>
  <si>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</si>
  <si>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</si>
  <si>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</si>
  <si>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</si>
  <si>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</si>
  <si>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</si>
  <si>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</si>
  <si>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Age2-3</t>
  </si>
  <si>
    <t>Age4-6</t>
  </si>
  <si>
    <t>Age7-9</t>
  </si>
  <si>
    <t>Age10-12+</t>
  </si>
  <si>
    <t>freq2-3</t>
  </si>
  <si>
    <t>freq4-6</t>
  </si>
  <si>
    <t>freq7-9</t>
  </si>
  <si>
    <t>freq10-12+</t>
  </si>
  <si>
    <t>OGP</t>
  </si>
  <si>
    <t>max_L</t>
  </si>
  <si>
    <t>PT</t>
  </si>
  <si>
    <t>Z _0.5_09</t>
  </si>
  <si>
    <t>Z</t>
  </si>
  <si>
    <t>sands</t>
  </si>
  <si>
    <t>soft</t>
  </si>
  <si>
    <t>BS_2_05</t>
  </si>
  <si>
    <t>BS</t>
  </si>
  <si>
    <t>S</t>
  </si>
  <si>
    <t>BS_1.5_09</t>
  </si>
  <si>
    <t>BS_1_09</t>
  </si>
  <si>
    <t>BS_0.5_09</t>
  </si>
  <si>
    <t>BS_-0.5_09</t>
  </si>
  <si>
    <t>BS_-1.5_09</t>
  </si>
  <si>
    <t>BN_-0.5_09</t>
  </si>
  <si>
    <t>BN</t>
  </si>
  <si>
    <t>BN_0.5_09</t>
  </si>
  <si>
    <t>BN_1_09</t>
  </si>
  <si>
    <t>BN_1.5_09</t>
  </si>
  <si>
    <t>BN_2_09</t>
  </si>
  <si>
    <t>MidN_2_09</t>
  </si>
  <si>
    <t>MidN</t>
  </si>
  <si>
    <t>boulders</t>
  </si>
  <si>
    <t>hard</t>
  </si>
  <si>
    <t>MidN_1.5_09</t>
  </si>
  <si>
    <t>MidN_1_09</t>
  </si>
  <si>
    <t>MidN_0.5_09</t>
  </si>
  <si>
    <t>MidN_-0.5_09</t>
  </si>
  <si>
    <t>MidN_-1.5_09</t>
  </si>
  <si>
    <t>MidN_-3.5_09</t>
  </si>
  <si>
    <t>MoS_2_09</t>
  </si>
  <si>
    <t>MoS</t>
  </si>
  <si>
    <t>MoS_1.5_09</t>
  </si>
  <si>
    <t>MoS_1_09</t>
  </si>
  <si>
    <t>MoS_0.5_09</t>
  </si>
  <si>
    <t>MoS_-0.5_09</t>
  </si>
  <si>
    <t>MoS_-1.5_09</t>
  </si>
  <si>
    <t>SS_1.5_10</t>
  </si>
  <si>
    <t>SS</t>
  </si>
  <si>
    <t>SS_1_10</t>
  </si>
  <si>
    <t>SS_0.5_10</t>
  </si>
  <si>
    <t>SS_-0.5_10</t>
  </si>
  <si>
    <t>SS_-1.5_10</t>
  </si>
  <si>
    <t>SN_-3.5_10</t>
  </si>
  <si>
    <t>SN</t>
  </si>
  <si>
    <t>SN_-1.5_10</t>
  </si>
  <si>
    <t>SN_-0.5_10</t>
  </si>
  <si>
    <t>SN_0.5_10</t>
  </si>
  <si>
    <t>SN_1_10</t>
  </si>
  <si>
    <t>SN_1.5_10</t>
  </si>
  <si>
    <t>SN_2_10</t>
  </si>
  <si>
    <t>MoN_-1.5_10</t>
  </si>
  <si>
    <t>MoN</t>
  </si>
  <si>
    <t>rocks</t>
  </si>
  <si>
    <t>MoN_-0.5_10</t>
  </si>
  <si>
    <t>MoN_0.5_10</t>
  </si>
  <si>
    <t>MoN_1_10</t>
  </si>
  <si>
    <t>MoN_1.5_10</t>
  </si>
  <si>
    <t>MoN_2_10</t>
  </si>
  <si>
    <t>Date</t>
  </si>
  <si>
    <t>Time</t>
  </si>
  <si>
    <t>Salinity</t>
  </si>
  <si>
    <t>Temp</t>
  </si>
  <si>
    <t>Height</t>
  </si>
  <si>
    <t>B</t>
  </si>
  <si>
    <t>26_07_2009</t>
  </si>
  <si>
    <t>6_10</t>
  </si>
  <si>
    <t>7_30</t>
  </si>
  <si>
    <t>9_10</t>
  </si>
  <si>
    <t>11_43</t>
  </si>
  <si>
    <t>25_07_2009</t>
  </si>
  <si>
    <t>17_50</t>
  </si>
  <si>
    <t>19_20</t>
  </si>
  <si>
    <t>Mid</t>
  </si>
  <si>
    <t>18_10</t>
  </si>
  <si>
    <t>6_30</t>
  </si>
  <si>
    <t>8_00</t>
  </si>
  <si>
    <t>10_00</t>
  </si>
  <si>
    <t>12_17</t>
  </si>
  <si>
    <t>20_38</t>
  </si>
  <si>
    <t>Mon</t>
  </si>
  <si>
    <t>18_27</t>
  </si>
  <si>
    <t>6_45</t>
  </si>
  <si>
    <t>8_20</t>
  </si>
  <si>
    <t>10_40</t>
  </si>
  <si>
    <t>12_44</t>
  </si>
  <si>
    <t>21_30</t>
  </si>
  <si>
    <t>R</t>
  </si>
  <si>
    <t>17_10</t>
  </si>
  <si>
    <t>19_05</t>
  </si>
  <si>
    <t>5_50</t>
  </si>
  <si>
    <t>7_10</t>
  </si>
  <si>
    <t>8_50</t>
  </si>
  <si>
    <t>11_16</t>
  </si>
  <si>
    <t>22_42</t>
  </si>
  <si>
    <t>all_withoutAge1</t>
  </si>
  <si>
    <t>CCA1</t>
  </si>
  <si>
    <t>CCA2</t>
  </si>
  <si>
    <t>0.39046581563679</t>
  </si>
  <si>
    <t>0.0563553156785493</t>
  </si>
  <si>
    <t>0.0872177143775882</t>
  </si>
  <si>
    <t>0.258316051854128</t>
  </si>
  <si>
    <t>0.231166881351315</t>
  </si>
  <si>
    <t>0.194959500325242</t>
  </si>
  <si>
    <t>0.0199700319534614</t>
  </si>
  <si>
    <t>0.177120696195575</t>
  </si>
  <si>
    <t>0.0227482126304281</t>
  </si>
  <si>
    <t>0.0682482604464191</t>
  </si>
  <si>
    <t>row1</t>
  </si>
  <si>
    <t>2.01549575363178</t>
  </si>
  <si>
    <t>row2</t>
  </si>
  <si>
    <t>3.76817425105487</t>
  </si>
  <si>
    <t>row3</t>
  </si>
  <si>
    <t>row4</t>
  </si>
  <si>
    <t>row5</t>
  </si>
  <si>
    <t>0.400685718759766</t>
  </si>
  <si>
    <t>row6</t>
  </si>
  <si>
    <t>row7</t>
  </si>
  <si>
    <t>0.134503270922568</t>
  </si>
  <si>
    <t>row8</t>
  </si>
  <si>
    <t>0.0337857457678388</t>
  </si>
  <si>
    <t>row9</t>
  </si>
  <si>
    <t>row10</t>
  </si>
  <si>
    <t>row11</t>
  </si>
  <si>
    <t>row12</t>
  </si>
  <si>
    <t>0.233320751897984</t>
  </si>
  <si>
    <t>row13</t>
  </si>
  <si>
    <t>row14</t>
  </si>
  <si>
    <t>row15</t>
  </si>
  <si>
    <t>0.366848913982374</t>
  </si>
  <si>
    <t>row16</t>
  </si>
  <si>
    <t>0.884043008320788</t>
  </si>
  <si>
    <t>row17</t>
  </si>
  <si>
    <t>1.59778439885411</t>
  </si>
  <si>
    <t>row18</t>
  </si>
  <si>
    <t>0.595276114309317</t>
  </si>
  <si>
    <t>row19</t>
  </si>
  <si>
    <t>4.76442780811667</t>
  </si>
  <si>
    <t>row20</t>
  </si>
  <si>
    <t>row21</t>
  </si>
  <si>
    <t>0.195675607107962</t>
  </si>
  <si>
    <t>row22</t>
  </si>
  <si>
    <t>0.170217778708738</t>
  </si>
  <si>
    <t>row23</t>
  </si>
  <si>
    <t>1.03685875451931</t>
  </si>
  <si>
    <t>row24</t>
  </si>
  <si>
    <t>1.38579708144944</t>
  </si>
  <si>
    <t>row25</t>
  </si>
  <si>
    <t>2.67527529258176</t>
  </si>
  <si>
    <t>row26</t>
  </si>
  <si>
    <t>1.64512539839286</t>
  </si>
  <si>
    <t>row27</t>
  </si>
  <si>
    <t>row28</t>
  </si>
  <si>
    <t>1.83022600292088</t>
  </si>
  <si>
    <t>row29</t>
  </si>
  <si>
    <t>3.1541129596392</t>
  </si>
  <si>
    <t>row30</t>
  </si>
  <si>
    <t>5.12606473553051</t>
  </si>
  <si>
    <t>row31</t>
  </si>
  <si>
    <t>0.376446589884521</t>
  </si>
  <si>
    <t>row32</t>
  </si>
  <si>
    <t>1.83760125143997</t>
  </si>
  <si>
    <t>row33</t>
  </si>
  <si>
    <t>0.536919367890748</t>
  </si>
  <si>
    <t>1.46528487783764</t>
  </si>
  <si>
    <t>row34</t>
  </si>
  <si>
    <t>0.87667779641431</t>
  </si>
  <si>
    <t>row35</t>
  </si>
  <si>
    <t>row36</t>
  </si>
  <si>
    <t>row37</t>
  </si>
  <si>
    <t>row38</t>
  </si>
  <si>
    <t>0.177359800642395</t>
  </si>
  <si>
    <t>0.685961637403921</t>
  </si>
  <si>
    <t>row39</t>
  </si>
  <si>
    <t>1.24043157397542</t>
  </si>
  <si>
    <t>1.92881925867536</t>
  </si>
  <si>
    <t>row40</t>
  </si>
  <si>
    <t>1.36945486882087</t>
  </si>
  <si>
    <t>0.694352537054071</t>
  </si>
  <si>
    <t>row41</t>
  </si>
  <si>
    <t>0.137263746283523</t>
  </si>
  <si>
    <t>row42</t>
  </si>
  <si>
    <t>row43</t>
  </si>
  <si>
    <t>Substratehard</t>
  </si>
  <si>
    <t>0.517099546093738</t>
  </si>
  <si>
    <t>Substratesoft</t>
  </si>
  <si>
    <t>0.143183864959599</t>
  </si>
  <si>
    <t>Algaeabsent</t>
  </si>
  <si>
    <t>0.186528630520906</t>
  </si>
  <si>
    <t>AlgaeAcrosiphonia</t>
  </si>
  <si>
    <t>0.805933140664812</t>
  </si>
  <si>
    <t>1.06730435141501</t>
  </si>
  <si>
    <t>AlgaeFucus</t>
  </si>
  <si>
    <t>0.114159845518208</t>
  </si>
  <si>
    <t>AlgaeLaminaria</t>
  </si>
  <si>
    <t>1.70956206252956</t>
  </si>
</sst>
</file>

<file path=xl/styles.xml><?xml version="1.0" encoding="utf-8"?>
<styleSheet xmlns="http://schemas.openxmlformats.org/spreadsheetml/2006/main">
  <numFmts count="6">
    <numFmt numFmtId="176" formatCode="_-* #,##0\ &quot;₽&quot;_-;\-* #,##0\ &quot;₽&quot;_-;_-* &quot;-&quot;\ &quot;₽&quot;_-;_-@_-"/>
    <numFmt numFmtId="43" formatCode="_-* #,##0.00_-;\-* #,##0.00_-;_-* &quot;-&quot;??_-;_-@_-"/>
    <numFmt numFmtId="177" formatCode="dd\.mm\.yyyy"/>
    <numFmt numFmtId="41" formatCode="_-* #,##0_-;\-* #,##0_-;_-* &quot;-&quot;_-;_-@_-"/>
    <numFmt numFmtId="178" formatCode="_-* #,##0.00\ &quot;₽&quot;_-;\-* #,##0.00\ &quot;₽&quot;_-;_-* \-??\ &quot;₽&quot;_-;_-@_-"/>
    <numFmt numFmtId="179" formatCode="0.0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indexed="8"/>
      <name val="Calibri"/>
      <charset val="204"/>
    </font>
    <font>
      <sz val="11"/>
      <name val="Calibri"/>
      <charset val="204"/>
      <scheme val="minor"/>
    </font>
    <font>
      <sz val="11"/>
      <color indexed="8"/>
      <name val="Calibri"/>
      <charset val="204"/>
    </font>
    <font>
      <b/>
      <sz val="11"/>
      <name val="Calibri"/>
      <charset val="204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2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1" fillId="3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19" applyNumberFormat="0" applyFont="0" applyAlignment="0" applyProtection="0">
      <alignment vertical="center"/>
    </xf>
    <xf numFmtId="0" fontId="2" fillId="0" borderId="0"/>
    <xf numFmtId="0" fontId="12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" borderId="14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7" fillId="3" borderId="14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0" borderId="0"/>
    <xf numFmtId="0" fontId="12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42" applyFont="1" applyAlignment="1">
      <alignment horizontal="center"/>
    </xf>
    <xf numFmtId="177" fontId="0" fillId="0" borderId="0" xfId="0" applyNumberFormat="1"/>
    <xf numFmtId="20" fontId="0" fillId="0" borderId="0" xfId="0" applyNumberFormat="1" applyBorder="1"/>
    <xf numFmtId="0" fontId="2" fillId="0" borderId="0" xfId="42"/>
    <xf numFmtId="0" fontId="2" fillId="0" borderId="0" xfId="42" applyAlignment="1">
      <alignment horizontal="center"/>
    </xf>
    <xf numFmtId="0" fontId="3" fillId="0" borderId="0" xfId="42" applyNumberFormat="1" applyFont="1" applyFill="1"/>
    <xf numFmtId="0" fontId="2" fillId="0" borderId="0" xfId="42" applyFont="1" applyFill="1"/>
    <xf numFmtId="0" fontId="4" fillId="0" borderId="1" xfId="42" applyFont="1" applyBorder="1" applyAlignment="1">
      <alignment horizontal="center"/>
    </xf>
    <xf numFmtId="0" fontId="1" fillId="0" borderId="2" xfId="42" applyFont="1" applyBorder="1" applyAlignment="1">
      <alignment horizontal="center"/>
    </xf>
    <xf numFmtId="0" fontId="4" fillId="0" borderId="2" xfId="42" applyFont="1" applyBorder="1" applyAlignment="1">
      <alignment horizontal="center"/>
    </xf>
    <xf numFmtId="0" fontId="2" fillId="0" borderId="3" xfId="42" applyFont="1" applyBorder="1"/>
    <xf numFmtId="0" fontId="2" fillId="0" borderId="4" xfId="42" applyFont="1" applyBorder="1" applyAlignment="1">
      <alignment horizontal="center"/>
    </xf>
    <xf numFmtId="0" fontId="2" fillId="0" borderId="4" xfId="42" applyBorder="1" applyAlignment="1">
      <alignment horizontal="center"/>
    </xf>
    <xf numFmtId="0" fontId="2" fillId="0" borderId="5" xfId="42" applyFont="1" applyBorder="1"/>
    <xf numFmtId="0" fontId="2" fillId="0" borderId="0" xfId="42" applyFont="1" applyBorder="1" applyAlignment="1">
      <alignment horizontal="center"/>
    </xf>
    <xf numFmtId="0" fontId="2" fillId="0" borderId="0" xfId="42" applyFont="1" applyFill="1" applyBorder="1" applyAlignment="1">
      <alignment horizontal="center"/>
    </xf>
    <xf numFmtId="0" fontId="2" fillId="0" borderId="0" xfId="42" applyBorder="1" applyAlignment="1">
      <alignment horizontal="center"/>
    </xf>
    <xf numFmtId="0" fontId="2" fillId="0" borderId="6" xfId="42" applyFont="1" applyBorder="1"/>
    <xf numFmtId="0" fontId="2" fillId="0" borderId="7" xfId="42" applyFont="1" applyBorder="1" applyAlignment="1">
      <alignment horizontal="center"/>
    </xf>
    <xf numFmtId="0" fontId="2" fillId="0" borderId="7" xfId="42" applyFont="1" applyFill="1" applyBorder="1" applyAlignment="1">
      <alignment horizontal="center"/>
    </xf>
    <xf numFmtId="0" fontId="2" fillId="0" borderId="7" xfId="42" applyBorder="1" applyAlignment="1">
      <alignment horizontal="center"/>
    </xf>
    <xf numFmtId="0" fontId="2" fillId="0" borderId="8" xfId="42" applyFont="1" applyBorder="1"/>
    <xf numFmtId="0" fontId="2" fillId="0" borderId="9" xfId="42" applyFont="1" applyBorder="1" applyAlignment="1">
      <alignment horizontal="center"/>
    </xf>
    <xf numFmtId="0" fontId="2" fillId="0" borderId="9" xfId="42" applyFont="1" applyFill="1" applyBorder="1" applyAlignment="1">
      <alignment horizontal="center"/>
    </xf>
    <xf numFmtId="0" fontId="2" fillId="0" borderId="9" xfId="42" applyBorder="1" applyAlignment="1">
      <alignment horizontal="center"/>
    </xf>
    <xf numFmtId="0" fontId="2" fillId="0" borderId="6" xfId="42" applyFont="1" applyFill="1" applyBorder="1"/>
    <xf numFmtId="0" fontId="2" fillId="0" borderId="5" xfId="42" applyFont="1" applyFill="1" applyBorder="1"/>
    <xf numFmtId="0" fontId="2" fillId="0" borderId="8" xfId="42" applyFont="1" applyFill="1" applyBorder="1"/>
    <xf numFmtId="0" fontId="5" fillId="0" borderId="5" xfId="42" applyFont="1" applyFill="1" applyBorder="1"/>
    <xf numFmtId="0" fontId="2" fillId="0" borderId="4" xfId="42" applyBorder="1"/>
    <xf numFmtId="0" fontId="2" fillId="0" borderId="0" xfId="42" applyBorder="1"/>
    <xf numFmtId="0" fontId="2" fillId="0" borderId="7" xfId="42" applyBorder="1"/>
    <xf numFmtId="0" fontId="2" fillId="0" borderId="9" xfId="42" applyBorder="1"/>
    <xf numFmtId="0" fontId="4" fillId="0" borderId="2" xfId="42" applyFont="1" applyFill="1" applyBorder="1" applyAlignment="1">
      <alignment horizontal="center"/>
    </xf>
    <xf numFmtId="179" fontId="2" fillId="0" borderId="4" xfId="42" applyNumberFormat="1" applyFont="1" applyFill="1" applyBorder="1" applyAlignment="1">
      <alignment horizontal="center"/>
    </xf>
    <xf numFmtId="0" fontId="2" fillId="0" borderId="4" xfId="42" applyFont="1" applyFill="1" applyBorder="1" applyAlignment="1">
      <alignment horizontal="center"/>
    </xf>
    <xf numFmtId="0" fontId="6" fillId="0" borderId="4" xfId="42" applyFont="1" applyFill="1" applyBorder="1" applyAlignment="1">
      <alignment horizontal="center"/>
    </xf>
    <xf numFmtId="179" fontId="2" fillId="0" borderId="0" xfId="42" applyNumberFormat="1" applyFont="1" applyFill="1" applyBorder="1" applyAlignment="1">
      <alignment horizontal="center"/>
    </xf>
    <xf numFmtId="0" fontId="6" fillId="0" borderId="0" xfId="42" applyFont="1" applyFill="1" applyBorder="1" applyAlignment="1">
      <alignment horizontal="center"/>
    </xf>
    <xf numFmtId="1" fontId="2" fillId="0" borderId="0" xfId="42" applyNumberFormat="1" applyFont="1" applyFill="1" applyBorder="1" applyAlignment="1">
      <alignment horizontal="center"/>
    </xf>
    <xf numFmtId="0" fontId="6" fillId="0" borderId="0" xfId="42" applyFont="1" applyBorder="1" applyAlignment="1">
      <alignment horizontal="center"/>
    </xf>
    <xf numFmtId="179" fontId="2" fillId="0" borderId="7" xfId="42" applyNumberFormat="1" applyFont="1" applyFill="1" applyBorder="1" applyAlignment="1">
      <alignment horizontal="center"/>
    </xf>
    <xf numFmtId="0" fontId="6" fillId="0" borderId="7" xfId="42" applyFont="1" applyBorder="1" applyAlignment="1">
      <alignment horizontal="center"/>
    </xf>
    <xf numFmtId="1" fontId="2" fillId="0" borderId="9" xfId="42" applyNumberFormat="1" applyFont="1" applyFill="1" applyBorder="1" applyAlignment="1">
      <alignment horizontal="center"/>
    </xf>
    <xf numFmtId="179" fontId="2" fillId="0" borderId="9" xfId="42" applyNumberFormat="1" applyFont="1" applyFill="1" applyBorder="1" applyAlignment="1">
      <alignment horizontal="center"/>
    </xf>
    <xf numFmtId="0" fontId="6" fillId="0" borderId="9" xfId="42" applyFont="1" applyBorder="1" applyAlignment="1">
      <alignment horizontal="center"/>
    </xf>
    <xf numFmtId="1" fontId="2" fillId="0" borderId="7" xfId="42" applyNumberFormat="1" applyFont="1" applyFill="1" applyBorder="1" applyAlignment="1">
      <alignment horizontal="center"/>
    </xf>
    <xf numFmtId="0" fontId="6" fillId="0" borderId="7" xfId="42" applyFont="1" applyFill="1" applyBorder="1" applyAlignment="1">
      <alignment horizontal="center"/>
    </xf>
    <xf numFmtId="0" fontId="2" fillId="0" borderId="0" xfId="42" applyNumberFormat="1" applyFont="1" applyFill="1" applyBorder="1" applyAlignment="1">
      <alignment horizontal="center"/>
    </xf>
    <xf numFmtId="179" fontId="5" fillId="0" borderId="0" xfId="42" applyNumberFormat="1" applyFont="1" applyFill="1" applyBorder="1" applyAlignment="1">
      <alignment horizontal="center"/>
    </xf>
    <xf numFmtId="179" fontId="5" fillId="0" borderId="9" xfId="42" applyNumberFormat="1" applyFont="1" applyFill="1" applyBorder="1" applyAlignment="1">
      <alignment horizontal="center"/>
    </xf>
    <xf numFmtId="49" fontId="2" fillId="0" borderId="9" xfId="42" applyNumberFormat="1" applyFont="1" applyFill="1" applyBorder="1" applyAlignment="1">
      <alignment horizontal="center"/>
    </xf>
    <xf numFmtId="2" fontId="2" fillId="0" borderId="0" xfId="42" applyNumberFormat="1" applyFont="1" applyFill="1" applyBorder="1" applyAlignment="1">
      <alignment horizontal="center"/>
    </xf>
    <xf numFmtId="0" fontId="2" fillId="0" borderId="7" xfId="42" applyNumberFormat="1" applyFont="1" applyFill="1" applyBorder="1" applyAlignment="1">
      <alignment horizontal="center"/>
    </xf>
    <xf numFmtId="2" fontId="2" fillId="0" borderId="7" xfId="42" applyNumberFormat="1" applyFont="1" applyFill="1" applyBorder="1"/>
    <xf numFmtId="0" fontId="2" fillId="0" borderId="7" xfId="42" applyNumberFormat="1" applyFont="1" applyFill="1" applyBorder="1"/>
    <xf numFmtId="2" fontId="2" fillId="0" borderId="7" xfId="42" applyNumberFormat="1" applyFont="1" applyFill="1" applyBorder="1" applyAlignment="1">
      <alignment horizontal="center"/>
    </xf>
    <xf numFmtId="0" fontId="2" fillId="0" borderId="9" xfId="42" applyNumberFormat="1" applyFont="1" applyFill="1" applyBorder="1" applyAlignment="1">
      <alignment horizontal="center"/>
    </xf>
    <xf numFmtId="2" fontId="2" fillId="0" borderId="9" xfId="42" applyNumberFormat="1" applyFont="1" applyFill="1" applyBorder="1" applyAlignment="1">
      <alignment horizontal="center"/>
    </xf>
    <xf numFmtId="0" fontId="7" fillId="0" borderId="2" xfId="42" applyNumberFormat="1" applyFont="1" applyFill="1" applyBorder="1" applyAlignment="1">
      <alignment horizontal="center"/>
    </xf>
    <xf numFmtId="2" fontId="2" fillId="0" borderId="4" xfId="42" applyNumberFormat="1" applyFont="1" applyFill="1" applyBorder="1" applyAlignment="1">
      <alignment horizontal="center"/>
    </xf>
    <xf numFmtId="0" fontId="5" fillId="0" borderId="4" xfId="42" applyNumberFormat="1" applyFont="1" applyFill="1" applyBorder="1" applyAlignment="1">
      <alignment horizontal="center"/>
    </xf>
    <xf numFmtId="2" fontId="2" fillId="0" borderId="0" xfId="42" applyNumberFormat="1" applyFont="1" applyBorder="1" applyAlignment="1">
      <alignment horizontal="center"/>
    </xf>
    <xf numFmtId="0" fontId="5" fillId="0" borderId="0" xfId="42" applyNumberFormat="1" applyFont="1" applyFill="1" applyBorder="1" applyAlignment="1">
      <alignment horizontal="center"/>
    </xf>
    <xf numFmtId="2" fontId="2" fillId="0" borderId="7" xfId="42" applyNumberFormat="1" applyFont="1" applyBorder="1" applyAlignment="1">
      <alignment horizontal="center"/>
    </xf>
    <xf numFmtId="0" fontId="5" fillId="0" borderId="7" xfId="42" applyNumberFormat="1" applyFont="1" applyFill="1" applyBorder="1" applyAlignment="1">
      <alignment horizontal="center"/>
    </xf>
    <xf numFmtId="2" fontId="2" fillId="0" borderId="9" xfId="42" applyNumberFormat="1" applyFont="1" applyBorder="1" applyAlignment="1">
      <alignment horizontal="center"/>
    </xf>
    <xf numFmtId="0" fontId="5" fillId="0" borderId="9" xfId="42" applyNumberFormat="1" applyFont="1" applyFill="1" applyBorder="1" applyAlignment="1">
      <alignment horizontal="center"/>
    </xf>
    <xf numFmtId="2" fontId="2" fillId="0" borderId="7" xfId="42" applyNumberFormat="1" applyBorder="1" applyAlignment="1">
      <alignment horizontal="center"/>
    </xf>
    <xf numFmtId="2" fontId="2" fillId="0" borderId="0" xfId="42" applyNumberFormat="1" applyBorder="1" applyAlignment="1">
      <alignment horizontal="center"/>
    </xf>
    <xf numFmtId="0" fontId="2" fillId="0" borderId="0" xfId="42" applyBorder="1" applyAlignment="1">
      <alignment horizontal="center" vertical="center"/>
    </xf>
    <xf numFmtId="0" fontId="5" fillId="0" borderId="0" xfId="42" applyNumberFormat="1" applyFont="1" applyFill="1" applyBorder="1" applyAlignment="1">
      <alignment horizontal="center" vertical="center"/>
    </xf>
    <xf numFmtId="0" fontId="2" fillId="0" borderId="9" xfId="42" applyBorder="1" applyAlignment="1">
      <alignment horizontal="center" vertical="center"/>
    </xf>
    <xf numFmtId="0" fontId="5" fillId="0" borderId="9" xfId="42" applyNumberFormat="1" applyFont="1" applyFill="1" applyBorder="1" applyAlignment="1">
      <alignment horizontal="center" vertical="center"/>
    </xf>
    <xf numFmtId="0" fontId="2" fillId="0" borderId="7" xfId="42" applyBorder="1" applyAlignment="1">
      <alignment horizontal="center" vertical="center"/>
    </xf>
    <xf numFmtId="0" fontId="5" fillId="0" borderId="7" xfId="42" applyNumberFormat="1" applyFont="1" applyFill="1" applyBorder="1" applyAlignment="1">
      <alignment horizontal="center" vertical="center"/>
    </xf>
    <xf numFmtId="0" fontId="7" fillId="0" borderId="2" xfId="42" applyFont="1" applyFill="1" applyBorder="1" applyAlignment="1">
      <alignment horizontal="center"/>
    </xf>
    <xf numFmtId="2" fontId="5" fillId="0" borderId="10" xfId="42" applyNumberFormat="1" applyFont="1" applyFill="1" applyBorder="1" applyAlignment="1">
      <alignment horizontal="center"/>
    </xf>
    <xf numFmtId="2" fontId="5" fillId="0" borderId="11" xfId="42" applyNumberFormat="1" applyFont="1" applyFill="1" applyBorder="1" applyAlignment="1">
      <alignment horizontal="center"/>
    </xf>
    <xf numFmtId="2" fontId="5" fillId="0" borderId="12" xfId="42" applyNumberFormat="1" applyFont="1" applyFill="1" applyBorder="1" applyAlignment="1">
      <alignment horizontal="center"/>
    </xf>
    <xf numFmtId="2" fontId="5" fillId="0" borderId="13" xfId="42" applyNumberFormat="1" applyFont="1" applyFill="1" applyBorder="1" applyAlignment="1">
      <alignment horizontal="center"/>
    </xf>
  </cellXfs>
  <cellStyles count="5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Обычный 3" xfId="15"/>
    <cellStyle name="40% — Акцент4" xfId="16" builtinId="43"/>
    <cellStyle name="Открывавшаяся гиперссылка" xfId="17" builtinId="9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Заголовок 4" xfId="24" builtinId="19"/>
    <cellStyle name="Ввод" xfId="25" builtinId="20"/>
    <cellStyle name="Проверить ячейку" xfId="26" builtinId="23"/>
    <cellStyle name="Вычисление" xfId="27" builtinId="22"/>
    <cellStyle name="Связанная ячейка" xfId="28" builtinId="24"/>
    <cellStyle name="Плохой" xfId="29" builtinId="27"/>
    <cellStyle name="Акцент5" xfId="30" builtinId="45"/>
    <cellStyle name="Нейтральный" xfId="31" builtinId="28"/>
    <cellStyle name="Акцент1" xfId="32" builtinId="29"/>
    <cellStyle name="20% — Акцент1" xfId="33" builtinId="30"/>
    <cellStyle name="40% — Акцент1" xfId="34" builtinId="31"/>
    <cellStyle name="20% — Акцент5" xfId="35" builtinId="46"/>
    <cellStyle name="60% — Акцент1" xfId="36" builtinId="32"/>
    <cellStyle name="Акцент2" xfId="37" builtinId="33"/>
    <cellStyle name="40% — Акцент2" xfId="38" builtinId="35"/>
    <cellStyle name="20% — Акцент6" xfId="39" builtinId="50"/>
    <cellStyle name="60% — Акцент2" xfId="40" builtinId="36"/>
    <cellStyle name="Акцент3" xfId="41" builtinId="37"/>
    <cellStyle name="Обычный 2" xfId="42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4"/>
  <sheetViews>
    <sheetView workbookViewId="0">
      <pane xSplit="1" topLeftCell="B1" activePane="topRight" state="frozen"/>
      <selection/>
      <selection pane="topRight" activeCell="N1" sqref="N1"/>
    </sheetView>
  </sheetViews>
  <sheetFormatPr defaultColWidth="9" defaultRowHeight="14.4"/>
  <cols>
    <col min="1" max="1" width="15" style="6" customWidth="1"/>
    <col min="2" max="2" width="6.28703703703704" style="6" customWidth="1"/>
    <col min="3" max="3" width="8.57407407407407" style="6" customWidth="1"/>
    <col min="4" max="4" width="7.13888888888889" style="6" customWidth="1"/>
    <col min="5" max="6" width="13" style="7" customWidth="1"/>
    <col min="7" max="7" width="5.71296296296296" style="7" customWidth="1"/>
    <col min="8" max="9" width="5.85185185185185" style="7" customWidth="1"/>
    <col min="10" max="10" width="6.13888888888889" style="7" customWidth="1"/>
    <col min="11" max="11" width="6.28703703703704" style="7" customWidth="1"/>
    <col min="12" max="12" width="4.85185185185185" style="7" customWidth="1"/>
    <col min="13" max="13" width="6.57407407407407" style="7" customWidth="1"/>
    <col min="14" max="14" width="11.5740740740741" style="6" customWidth="1"/>
    <col min="15" max="15" width="6.28703703703704" style="6" customWidth="1"/>
    <col min="16" max="16" width="9" style="6"/>
    <col min="17" max="18" width="9.13888888888889" style="6"/>
    <col min="19" max="19" width="9.28703703703704" style="6"/>
    <col min="20" max="20" width="10.4259259259259" style="6" customWidth="1"/>
    <col min="21" max="30" width="9.13888888888889" style="6"/>
    <col min="31" max="38" width="9" style="6"/>
    <col min="39" max="39" width="9.13888888888889" style="6"/>
    <col min="40" max="40" width="9.13888888888889" style="8"/>
    <col min="41" max="41" width="9.13888888888889" style="9"/>
    <col min="42" max="259" width="9.13888888888889" style="6"/>
    <col min="260" max="260" width="15" style="6" customWidth="1"/>
    <col min="261" max="261" width="6.28703703703704" style="6" customWidth="1"/>
    <col min="262" max="262" width="8.57407407407407" style="6" customWidth="1"/>
    <col min="263" max="263" width="7.13888888888889" style="6" customWidth="1"/>
    <col min="264" max="264" width="10.1388888888889" style="6" customWidth="1"/>
    <col min="265" max="266" width="9.57407407407407" style="6" customWidth="1"/>
    <col min="267" max="269" width="9.13888888888889" style="6"/>
    <col min="270" max="270" width="10.4259259259259" style="6" customWidth="1"/>
    <col min="271" max="282" width="9.13888888888889" style="6"/>
    <col min="283" max="283" width="14.1388888888889" style="6" customWidth="1"/>
    <col min="284" max="284" width="13.4259259259259" style="6" customWidth="1"/>
    <col min="285" max="285" width="13.712962962963" style="6" customWidth="1"/>
    <col min="286" max="515" width="9.13888888888889" style="6"/>
    <col min="516" max="516" width="15" style="6" customWidth="1"/>
    <col min="517" max="517" width="6.28703703703704" style="6" customWidth="1"/>
    <col min="518" max="518" width="8.57407407407407" style="6" customWidth="1"/>
    <col min="519" max="519" width="7.13888888888889" style="6" customWidth="1"/>
    <col min="520" max="520" width="10.1388888888889" style="6" customWidth="1"/>
    <col min="521" max="522" width="9.57407407407407" style="6" customWidth="1"/>
    <col min="523" max="525" width="9.13888888888889" style="6"/>
    <col min="526" max="526" width="10.4259259259259" style="6" customWidth="1"/>
    <col min="527" max="538" width="9.13888888888889" style="6"/>
    <col min="539" max="539" width="14.1388888888889" style="6" customWidth="1"/>
    <col min="540" max="540" width="13.4259259259259" style="6" customWidth="1"/>
    <col min="541" max="541" width="13.712962962963" style="6" customWidth="1"/>
    <col min="542" max="771" width="9.13888888888889" style="6"/>
    <col min="772" max="772" width="15" style="6" customWidth="1"/>
    <col min="773" max="773" width="6.28703703703704" style="6" customWidth="1"/>
    <col min="774" max="774" width="8.57407407407407" style="6" customWidth="1"/>
    <col min="775" max="775" width="7.13888888888889" style="6" customWidth="1"/>
    <col min="776" max="776" width="10.1388888888889" style="6" customWidth="1"/>
    <col min="777" max="778" width="9.57407407407407" style="6" customWidth="1"/>
    <col min="779" max="781" width="9.13888888888889" style="6"/>
    <col min="782" max="782" width="10.4259259259259" style="6" customWidth="1"/>
    <col min="783" max="794" width="9.13888888888889" style="6"/>
    <col min="795" max="795" width="14.1388888888889" style="6" customWidth="1"/>
    <col min="796" max="796" width="13.4259259259259" style="6" customWidth="1"/>
    <col min="797" max="797" width="13.712962962963" style="6" customWidth="1"/>
    <col min="798" max="1027" width="9.13888888888889" style="6"/>
    <col min="1028" max="1028" width="15" style="6" customWidth="1"/>
    <col min="1029" max="1029" width="6.28703703703704" style="6" customWidth="1"/>
    <col min="1030" max="1030" width="8.57407407407407" style="6" customWidth="1"/>
    <col min="1031" max="1031" width="7.13888888888889" style="6" customWidth="1"/>
    <col min="1032" max="1032" width="10.1388888888889" style="6" customWidth="1"/>
    <col min="1033" max="1034" width="9.57407407407407" style="6" customWidth="1"/>
    <col min="1035" max="1037" width="9.13888888888889" style="6"/>
    <col min="1038" max="1038" width="10.4259259259259" style="6" customWidth="1"/>
    <col min="1039" max="1050" width="9.13888888888889" style="6"/>
    <col min="1051" max="1051" width="14.1388888888889" style="6" customWidth="1"/>
    <col min="1052" max="1052" width="13.4259259259259" style="6" customWidth="1"/>
    <col min="1053" max="1053" width="13.712962962963" style="6" customWidth="1"/>
    <col min="1054" max="1283" width="9.13888888888889" style="6"/>
    <col min="1284" max="1284" width="15" style="6" customWidth="1"/>
    <col min="1285" max="1285" width="6.28703703703704" style="6" customWidth="1"/>
    <col min="1286" max="1286" width="8.57407407407407" style="6" customWidth="1"/>
    <col min="1287" max="1287" width="7.13888888888889" style="6" customWidth="1"/>
    <col min="1288" max="1288" width="10.1388888888889" style="6" customWidth="1"/>
    <col min="1289" max="1290" width="9.57407407407407" style="6" customWidth="1"/>
    <col min="1291" max="1293" width="9.13888888888889" style="6"/>
    <col min="1294" max="1294" width="10.4259259259259" style="6" customWidth="1"/>
    <col min="1295" max="1306" width="9.13888888888889" style="6"/>
    <col min="1307" max="1307" width="14.1388888888889" style="6" customWidth="1"/>
    <col min="1308" max="1308" width="13.4259259259259" style="6" customWidth="1"/>
    <col min="1309" max="1309" width="13.712962962963" style="6" customWidth="1"/>
    <col min="1310" max="1539" width="9.13888888888889" style="6"/>
    <col min="1540" max="1540" width="15" style="6" customWidth="1"/>
    <col min="1541" max="1541" width="6.28703703703704" style="6" customWidth="1"/>
    <col min="1542" max="1542" width="8.57407407407407" style="6" customWidth="1"/>
    <col min="1543" max="1543" width="7.13888888888889" style="6" customWidth="1"/>
    <col min="1544" max="1544" width="10.1388888888889" style="6" customWidth="1"/>
    <col min="1545" max="1546" width="9.57407407407407" style="6" customWidth="1"/>
    <col min="1547" max="1549" width="9.13888888888889" style="6"/>
    <col min="1550" max="1550" width="10.4259259259259" style="6" customWidth="1"/>
    <col min="1551" max="1562" width="9.13888888888889" style="6"/>
    <col min="1563" max="1563" width="14.1388888888889" style="6" customWidth="1"/>
    <col min="1564" max="1564" width="13.4259259259259" style="6" customWidth="1"/>
    <col min="1565" max="1565" width="13.712962962963" style="6" customWidth="1"/>
    <col min="1566" max="1795" width="9.13888888888889" style="6"/>
    <col min="1796" max="1796" width="15" style="6" customWidth="1"/>
    <col min="1797" max="1797" width="6.28703703703704" style="6" customWidth="1"/>
    <col min="1798" max="1798" width="8.57407407407407" style="6" customWidth="1"/>
    <col min="1799" max="1799" width="7.13888888888889" style="6" customWidth="1"/>
    <col min="1800" max="1800" width="10.1388888888889" style="6" customWidth="1"/>
    <col min="1801" max="1802" width="9.57407407407407" style="6" customWidth="1"/>
    <col min="1803" max="1805" width="9.13888888888889" style="6"/>
    <col min="1806" max="1806" width="10.4259259259259" style="6" customWidth="1"/>
    <col min="1807" max="1818" width="9.13888888888889" style="6"/>
    <col min="1819" max="1819" width="14.1388888888889" style="6" customWidth="1"/>
    <col min="1820" max="1820" width="13.4259259259259" style="6" customWidth="1"/>
    <col min="1821" max="1821" width="13.712962962963" style="6" customWidth="1"/>
    <col min="1822" max="2051" width="9.13888888888889" style="6"/>
    <col min="2052" max="2052" width="15" style="6" customWidth="1"/>
    <col min="2053" max="2053" width="6.28703703703704" style="6" customWidth="1"/>
    <col min="2054" max="2054" width="8.57407407407407" style="6" customWidth="1"/>
    <col min="2055" max="2055" width="7.13888888888889" style="6" customWidth="1"/>
    <col min="2056" max="2056" width="10.1388888888889" style="6" customWidth="1"/>
    <col min="2057" max="2058" width="9.57407407407407" style="6" customWidth="1"/>
    <col min="2059" max="2061" width="9.13888888888889" style="6"/>
    <col min="2062" max="2062" width="10.4259259259259" style="6" customWidth="1"/>
    <col min="2063" max="2074" width="9.13888888888889" style="6"/>
    <col min="2075" max="2075" width="14.1388888888889" style="6" customWidth="1"/>
    <col min="2076" max="2076" width="13.4259259259259" style="6" customWidth="1"/>
    <col min="2077" max="2077" width="13.712962962963" style="6" customWidth="1"/>
    <col min="2078" max="2307" width="9.13888888888889" style="6"/>
    <col min="2308" max="2308" width="15" style="6" customWidth="1"/>
    <col min="2309" max="2309" width="6.28703703703704" style="6" customWidth="1"/>
    <col min="2310" max="2310" width="8.57407407407407" style="6" customWidth="1"/>
    <col min="2311" max="2311" width="7.13888888888889" style="6" customWidth="1"/>
    <col min="2312" max="2312" width="10.1388888888889" style="6" customWidth="1"/>
    <col min="2313" max="2314" width="9.57407407407407" style="6" customWidth="1"/>
    <col min="2315" max="2317" width="9.13888888888889" style="6"/>
    <col min="2318" max="2318" width="10.4259259259259" style="6" customWidth="1"/>
    <col min="2319" max="2330" width="9.13888888888889" style="6"/>
    <col min="2331" max="2331" width="14.1388888888889" style="6" customWidth="1"/>
    <col min="2332" max="2332" width="13.4259259259259" style="6" customWidth="1"/>
    <col min="2333" max="2333" width="13.712962962963" style="6" customWidth="1"/>
    <col min="2334" max="2563" width="9.13888888888889" style="6"/>
    <col min="2564" max="2564" width="15" style="6" customWidth="1"/>
    <col min="2565" max="2565" width="6.28703703703704" style="6" customWidth="1"/>
    <col min="2566" max="2566" width="8.57407407407407" style="6" customWidth="1"/>
    <col min="2567" max="2567" width="7.13888888888889" style="6" customWidth="1"/>
    <col min="2568" max="2568" width="10.1388888888889" style="6" customWidth="1"/>
    <col min="2569" max="2570" width="9.57407407407407" style="6" customWidth="1"/>
    <col min="2571" max="2573" width="9.13888888888889" style="6"/>
    <col min="2574" max="2574" width="10.4259259259259" style="6" customWidth="1"/>
    <col min="2575" max="2586" width="9.13888888888889" style="6"/>
    <col min="2587" max="2587" width="14.1388888888889" style="6" customWidth="1"/>
    <col min="2588" max="2588" width="13.4259259259259" style="6" customWidth="1"/>
    <col min="2589" max="2589" width="13.712962962963" style="6" customWidth="1"/>
    <col min="2590" max="2819" width="9.13888888888889" style="6"/>
    <col min="2820" max="2820" width="15" style="6" customWidth="1"/>
    <col min="2821" max="2821" width="6.28703703703704" style="6" customWidth="1"/>
    <col min="2822" max="2822" width="8.57407407407407" style="6" customWidth="1"/>
    <col min="2823" max="2823" width="7.13888888888889" style="6" customWidth="1"/>
    <col min="2824" max="2824" width="10.1388888888889" style="6" customWidth="1"/>
    <col min="2825" max="2826" width="9.57407407407407" style="6" customWidth="1"/>
    <col min="2827" max="2829" width="9.13888888888889" style="6"/>
    <col min="2830" max="2830" width="10.4259259259259" style="6" customWidth="1"/>
    <col min="2831" max="2842" width="9.13888888888889" style="6"/>
    <col min="2843" max="2843" width="14.1388888888889" style="6" customWidth="1"/>
    <col min="2844" max="2844" width="13.4259259259259" style="6" customWidth="1"/>
    <col min="2845" max="2845" width="13.712962962963" style="6" customWidth="1"/>
    <col min="2846" max="3075" width="9.13888888888889" style="6"/>
    <col min="3076" max="3076" width="15" style="6" customWidth="1"/>
    <col min="3077" max="3077" width="6.28703703703704" style="6" customWidth="1"/>
    <col min="3078" max="3078" width="8.57407407407407" style="6" customWidth="1"/>
    <col min="3079" max="3079" width="7.13888888888889" style="6" customWidth="1"/>
    <col min="3080" max="3080" width="10.1388888888889" style="6" customWidth="1"/>
    <col min="3081" max="3082" width="9.57407407407407" style="6" customWidth="1"/>
    <col min="3083" max="3085" width="9.13888888888889" style="6"/>
    <col min="3086" max="3086" width="10.4259259259259" style="6" customWidth="1"/>
    <col min="3087" max="3098" width="9.13888888888889" style="6"/>
    <col min="3099" max="3099" width="14.1388888888889" style="6" customWidth="1"/>
    <col min="3100" max="3100" width="13.4259259259259" style="6" customWidth="1"/>
    <col min="3101" max="3101" width="13.712962962963" style="6" customWidth="1"/>
    <col min="3102" max="3331" width="9.13888888888889" style="6"/>
    <col min="3332" max="3332" width="15" style="6" customWidth="1"/>
    <col min="3333" max="3333" width="6.28703703703704" style="6" customWidth="1"/>
    <col min="3334" max="3334" width="8.57407407407407" style="6" customWidth="1"/>
    <col min="3335" max="3335" width="7.13888888888889" style="6" customWidth="1"/>
    <col min="3336" max="3336" width="10.1388888888889" style="6" customWidth="1"/>
    <col min="3337" max="3338" width="9.57407407407407" style="6" customWidth="1"/>
    <col min="3339" max="3341" width="9.13888888888889" style="6"/>
    <col min="3342" max="3342" width="10.4259259259259" style="6" customWidth="1"/>
    <col min="3343" max="3354" width="9.13888888888889" style="6"/>
    <col min="3355" max="3355" width="14.1388888888889" style="6" customWidth="1"/>
    <col min="3356" max="3356" width="13.4259259259259" style="6" customWidth="1"/>
    <col min="3357" max="3357" width="13.712962962963" style="6" customWidth="1"/>
    <col min="3358" max="3587" width="9.13888888888889" style="6"/>
    <col min="3588" max="3588" width="15" style="6" customWidth="1"/>
    <col min="3589" max="3589" width="6.28703703703704" style="6" customWidth="1"/>
    <col min="3590" max="3590" width="8.57407407407407" style="6" customWidth="1"/>
    <col min="3591" max="3591" width="7.13888888888889" style="6" customWidth="1"/>
    <col min="3592" max="3592" width="10.1388888888889" style="6" customWidth="1"/>
    <col min="3593" max="3594" width="9.57407407407407" style="6" customWidth="1"/>
    <col min="3595" max="3597" width="9.13888888888889" style="6"/>
    <col min="3598" max="3598" width="10.4259259259259" style="6" customWidth="1"/>
    <col min="3599" max="3610" width="9.13888888888889" style="6"/>
    <col min="3611" max="3611" width="14.1388888888889" style="6" customWidth="1"/>
    <col min="3612" max="3612" width="13.4259259259259" style="6" customWidth="1"/>
    <col min="3613" max="3613" width="13.712962962963" style="6" customWidth="1"/>
    <col min="3614" max="3843" width="9.13888888888889" style="6"/>
    <col min="3844" max="3844" width="15" style="6" customWidth="1"/>
    <col min="3845" max="3845" width="6.28703703703704" style="6" customWidth="1"/>
    <col min="3846" max="3846" width="8.57407407407407" style="6" customWidth="1"/>
    <col min="3847" max="3847" width="7.13888888888889" style="6" customWidth="1"/>
    <col min="3848" max="3848" width="10.1388888888889" style="6" customWidth="1"/>
    <col min="3849" max="3850" width="9.57407407407407" style="6" customWidth="1"/>
    <col min="3851" max="3853" width="9.13888888888889" style="6"/>
    <col min="3854" max="3854" width="10.4259259259259" style="6" customWidth="1"/>
    <col min="3855" max="3866" width="9.13888888888889" style="6"/>
    <col min="3867" max="3867" width="14.1388888888889" style="6" customWidth="1"/>
    <col min="3868" max="3868" width="13.4259259259259" style="6" customWidth="1"/>
    <col min="3869" max="3869" width="13.712962962963" style="6" customWidth="1"/>
    <col min="3870" max="4099" width="9.13888888888889" style="6"/>
    <col min="4100" max="4100" width="15" style="6" customWidth="1"/>
    <col min="4101" max="4101" width="6.28703703703704" style="6" customWidth="1"/>
    <col min="4102" max="4102" width="8.57407407407407" style="6" customWidth="1"/>
    <col min="4103" max="4103" width="7.13888888888889" style="6" customWidth="1"/>
    <col min="4104" max="4104" width="10.1388888888889" style="6" customWidth="1"/>
    <col min="4105" max="4106" width="9.57407407407407" style="6" customWidth="1"/>
    <col min="4107" max="4109" width="9.13888888888889" style="6"/>
    <col min="4110" max="4110" width="10.4259259259259" style="6" customWidth="1"/>
    <col min="4111" max="4122" width="9.13888888888889" style="6"/>
    <col min="4123" max="4123" width="14.1388888888889" style="6" customWidth="1"/>
    <col min="4124" max="4124" width="13.4259259259259" style="6" customWidth="1"/>
    <col min="4125" max="4125" width="13.712962962963" style="6" customWidth="1"/>
    <col min="4126" max="4355" width="9.13888888888889" style="6"/>
    <col min="4356" max="4356" width="15" style="6" customWidth="1"/>
    <col min="4357" max="4357" width="6.28703703703704" style="6" customWidth="1"/>
    <col min="4358" max="4358" width="8.57407407407407" style="6" customWidth="1"/>
    <col min="4359" max="4359" width="7.13888888888889" style="6" customWidth="1"/>
    <col min="4360" max="4360" width="10.1388888888889" style="6" customWidth="1"/>
    <col min="4361" max="4362" width="9.57407407407407" style="6" customWidth="1"/>
    <col min="4363" max="4365" width="9.13888888888889" style="6"/>
    <col min="4366" max="4366" width="10.4259259259259" style="6" customWidth="1"/>
    <col min="4367" max="4378" width="9.13888888888889" style="6"/>
    <col min="4379" max="4379" width="14.1388888888889" style="6" customWidth="1"/>
    <col min="4380" max="4380" width="13.4259259259259" style="6" customWidth="1"/>
    <col min="4381" max="4381" width="13.712962962963" style="6" customWidth="1"/>
    <col min="4382" max="4611" width="9.13888888888889" style="6"/>
    <col min="4612" max="4612" width="15" style="6" customWidth="1"/>
    <col min="4613" max="4613" width="6.28703703703704" style="6" customWidth="1"/>
    <col min="4614" max="4614" width="8.57407407407407" style="6" customWidth="1"/>
    <col min="4615" max="4615" width="7.13888888888889" style="6" customWidth="1"/>
    <col min="4616" max="4616" width="10.1388888888889" style="6" customWidth="1"/>
    <col min="4617" max="4618" width="9.57407407407407" style="6" customWidth="1"/>
    <col min="4619" max="4621" width="9.13888888888889" style="6"/>
    <col min="4622" max="4622" width="10.4259259259259" style="6" customWidth="1"/>
    <col min="4623" max="4634" width="9.13888888888889" style="6"/>
    <col min="4635" max="4635" width="14.1388888888889" style="6" customWidth="1"/>
    <col min="4636" max="4636" width="13.4259259259259" style="6" customWidth="1"/>
    <col min="4637" max="4637" width="13.712962962963" style="6" customWidth="1"/>
    <col min="4638" max="4867" width="9.13888888888889" style="6"/>
    <col min="4868" max="4868" width="15" style="6" customWidth="1"/>
    <col min="4869" max="4869" width="6.28703703703704" style="6" customWidth="1"/>
    <col min="4870" max="4870" width="8.57407407407407" style="6" customWidth="1"/>
    <col min="4871" max="4871" width="7.13888888888889" style="6" customWidth="1"/>
    <col min="4872" max="4872" width="10.1388888888889" style="6" customWidth="1"/>
    <col min="4873" max="4874" width="9.57407407407407" style="6" customWidth="1"/>
    <col min="4875" max="4877" width="9.13888888888889" style="6"/>
    <col min="4878" max="4878" width="10.4259259259259" style="6" customWidth="1"/>
    <col min="4879" max="4890" width="9.13888888888889" style="6"/>
    <col min="4891" max="4891" width="14.1388888888889" style="6" customWidth="1"/>
    <col min="4892" max="4892" width="13.4259259259259" style="6" customWidth="1"/>
    <col min="4893" max="4893" width="13.712962962963" style="6" customWidth="1"/>
    <col min="4894" max="5123" width="9.13888888888889" style="6"/>
    <col min="5124" max="5124" width="15" style="6" customWidth="1"/>
    <col min="5125" max="5125" width="6.28703703703704" style="6" customWidth="1"/>
    <col min="5126" max="5126" width="8.57407407407407" style="6" customWidth="1"/>
    <col min="5127" max="5127" width="7.13888888888889" style="6" customWidth="1"/>
    <col min="5128" max="5128" width="10.1388888888889" style="6" customWidth="1"/>
    <col min="5129" max="5130" width="9.57407407407407" style="6" customWidth="1"/>
    <col min="5131" max="5133" width="9.13888888888889" style="6"/>
    <col min="5134" max="5134" width="10.4259259259259" style="6" customWidth="1"/>
    <col min="5135" max="5146" width="9.13888888888889" style="6"/>
    <col min="5147" max="5147" width="14.1388888888889" style="6" customWidth="1"/>
    <col min="5148" max="5148" width="13.4259259259259" style="6" customWidth="1"/>
    <col min="5149" max="5149" width="13.712962962963" style="6" customWidth="1"/>
    <col min="5150" max="5379" width="9.13888888888889" style="6"/>
    <col min="5380" max="5380" width="15" style="6" customWidth="1"/>
    <col min="5381" max="5381" width="6.28703703703704" style="6" customWidth="1"/>
    <col min="5382" max="5382" width="8.57407407407407" style="6" customWidth="1"/>
    <col min="5383" max="5383" width="7.13888888888889" style="6" customWidth="1"/>
    <col min="5384" max="5384" width="10.1388888888889" style="6" customWidth="1"/>
    <col min="5385" max="5386" width="9.57407407407407" style="6" customWidth="1"/>
    <col min="5387" max="5389" width="9.13888888888889" style="6"/>
    <col min="5390" max="5390" width="10.4259259259259" style="6" customWidth="1"/>
    <col min="5391" max="5402" width="9.13888888888889" style="6"/>
    <col min="5403" max="5403" width="14.1388888888889" style="6" customWidth="1"/>
    <col min="5404" max="5404" width="13.4259259259259" style="6" customWidth="1"/>
    <col min="5405" max="5405" width="13.712962962963" style="6" customWidth="1"/>
    <col min="5406" max="5635" width="9.13888888888889" style="6"/>
    <col min="5636" max="5636" width="15" style="6" customWidth="1"/>
    <col min="5637" max="5637" width="6.28703703703704" style="6" customWidth="1"/>
    <col min="5638" max="5638" width="8.57407407407407" style="6" customWidth="1"/>
    <col min="5639" max="5639" width="7.13888888888889" style="6" customWidth="1"/>
    <col min="5640" max="5640" width="10.1388888888889" style="6" customWidth="1"/>
    <col min="5641" max="5642" width="9.57407407407407" style="6" customWidth="1"/>
    <col min="5643" max="5645" width="9.13888888888889" style="6"/>
    <col min="5646" max="5646" width="10.4259259259259" style="6" customWidth="1"/>
    <col min="5647" max="5658" width="9.13888888888889" style="6"/>
    <col min="5659" max="5659" width="14.1388888888889" style="6" customWidth="1"/>
    <col min="5660" max="5660" width="13.4259259259259" style="6" customWidth="1"/>
    <col min="5661" max="5661" width="13.712962962963" style="6" customWidth="1"/>
    <col min="5662" max="5891" width="9.13888888888889" style="6"/>
    <col min="5892" max="5892" width="15" style="6" customWidth="1"/>
    <col min="5893" max="5893" width="6.28703703703704" style="6" customWidth="1"/>
    <col min="5894" max="5894" width="8.57407407407407" style="6" customWidth="1"/>
    <col min="5895" max="5895" width="7.13888888888889" style="6" customWidth="1"/>
    <col min="5896" max="5896" width="10.1388888888889" style="6" customWidth="1"/>
    <col min="5897" max="5898" width="9.57407407407407" style="6" customWidth="1"/>
    <col min="5899" max="5901" width="9.13888888888889" style="6"/>
    <col min="5902" max="5902" width="10.4259259259259" style="6" customWidth="1"/>
    <col min="5903" max="5914" width="9.13888888888889" style="6"/>
    <col min="5915" max="5915" width="14.1388888888889" style="6" customWidth="1"/>
    <col min="5916" max="5916" width="13.4259259259259" style="6" customWidth="1"/>
    <col min="5917" max="5917" width="13.712962962963" style="6" customWidth="1"/>
    <col min="5918" max="6147" width="9.13888888888889" style="6"/>
    <col min="6148" max="6148" width="15" style="6" customWidth="1"/>
    <col min="6149" max="6149" width="6.28703703703704" style="6" customWidth="1"/>
    <col min="6150" max="6150" width="8.57407407407407" style="6" customWidth="1"/>
    <col min="6151" max="6151" width="7.13888888888889" style="6" customWidth="1"/>
    <col min="6152" max="6152" width="10.1388888888889" style="6" customWidth="1"/>
    <col min="6153" max="6154" width="9.57407407407407" style="6" customWidth="1"/>
    <col min="6155" max="6157" width="9.13888888888889" style="6"/>
    <col min="6158" max="6158" width="10.4259259259259" style="6" customWidth="1"/>
    <col min="6159" max="6170" width="9.13888888888889" style="6"/>
    <col min="6171" max="6171" width="14.1388888888889" style="6" customWidth="1"/>
    <col min="6172" max="6172" width="13.4259259259259" style="6" customWidth="1"/>
    <col min="6173" max="6173" width="13.712962962963" style="6" customWidth="1"/>
    <col min="6174" max="6403" width="9.13888888888889" style="6"/>
    <col min="6404" max="6404" width="15" style="6" customWidth="1"/>
    <col min="6405" max="6405" width="6.28703703703704" style="6" customWidth="1"/>
    <col min="6406" max="6406" width="8.57407407407407" style="6" customWidth="1"/>
    <col min="6407" max="6407" width="7.13888888888889" style="6" customWidth="1"/>
    <col min="6408" max="6408" width="10.1388888888889" style="6" customWidth="1"/>
    <col min="6409" max="6410" width="9.57407407407407" style="6" customWidth="1"/>
    <col min="6411" max="6413" width="9.13888888888889" style="6"/>
    <col min="6414" max="6414" width="10.4259259259259" style="6" customWidth="1"/>
    <col min="6415" max="6426" width="9.13888888888889" style="6"/>
    <col min="6427" max="6427" width="14.1388888888889" style="6" customWidth="1"/>
    <col min="6428" max="6428" width="13.4259259259259" style="6" customWidth="1"/>
    <col min="6429" max="6429" width="13.712962962963" style="6" customWidth="1"/>
    <col min="6430" max="6659" width="9.13888888888889" style="6"/>
    <col min="6660" max="6660" width="15" style="6" customWidth="1"/>
    <col min="6661" max="6661" width="6.28703703703704" style="6" customWidth="1"/>
    <col min="6662" max="6662" width="8.57407407407407" style="6" customWidth="1"/>
    <col min="6663" max="6663" width="7.13888888888889" style="6" customWidth="1"/>
    <col min="6664" max="6664" width="10.1388888888889" style="6" customWidth="1"/>
    <col min="6665" max="6666" width="9.57407407407407" style="6" customWidth="1"/>
    <col min="6667" max="6669" width="9.13888888888889" style="6"/>
    <col min="6670" max="6670" width="10.4259259259259" style="6" customWidth="1"/>
    <col min="6671" max="6682" width="9.13888888888889" style="6"/>
    <col min="6683" max="6683" width="14.1388888888889" style="6" customWidth="1"/>
    <col min="6684" max="6684" width="13.4259259259259" style="6" customWidth="1"/>
    <col min="6685" max="6685" width="13.712962962963" style="6" customWidth="1"/>
    <col min="6686" max="6915" width="9.13888888888889" style="6"/>
    <col min="6916" max="6916" width="15" style="6" customWidth="1"/>
    <col min="6917" max="6917" width="6.28703703703704" style="6" customWidth="1"/>
    <col min="6918" max="6918" width="8.57407407407407" style="6" customWidth="1"/>
    <col min="6919" max="6919" width="7.13888888888889" style="6" customWidth="1"/>
    <col min="6920" max="6920" width="10.1388888888889" style="6" customWidth="1"/>
    <col min="6921" max="6922" width="9.57407407407407" style="6" customWidth="1"/>
    <col min="6923" max="6925" width="9.13888888888889" style="6"/>
    <col min="6926" max="6926" width="10.4259259259259" style="6" customWidth="1"/>
    <col min="6927" max="6938" width="9.13888888888889" style="6"/>
    <col min="6939" max="6939" width="14.1388888888889" style="6" customWidth="1"/>
    <col min="6940" max="6940" width="13.4259259259259" style="6" customWidth="1"/>
    <col min="6941" max="6941" width="13.712962962963" style="6" customWidth="1"/>
    <col min="6942" max="7171" width="9.13888888888889" style="6"/>
    <col min="7172" max="7172" width="15" style="6" customWidth="1"/>
    <col min="7173" max="7173" width="6.28703703703704" style="6" customWidth="1"/>
    <col min="7174" max="7174" width="8.57407407407407" style="6" customWidth="1"/>
    <col min="7175" max="7175" width="7.13888888888889" style="6" customWidth="1"/>
    <col min="7176" max="7176" width="10.1388888888889" style="6" customWidth="1"/>
    <col min="7177" max="7178" width="9.57407407407407" style="6" customWidth="1"/>
    <col min="7179" max="7181" width="9.13888888888889" style="6"/>
    <col min="7182" max="7182" width="10.4259259259259" style="6" customWidth="1"/>
    <col min="7183" max="7194" width="9.13888888888889" style="6"/>
    <col min="7195" max="7195" width="14.1388888888889" style="6" customWidth="1"/>
    <col min="7196" max="7196" width="13.4259259259259" style="6" customWidth="1"/>
    <col min="7197" max="7197" width="13.712962962963" style="6" customWidth="1"/>
    <col min="7198" max="7427" width="9.13888888888889" style="6"/>
    <col min="7428" max="7428" width="15" style="6" customWidth="1"/>
    <col min="7429" max="7429" width="6.28703703703704" style="6" customWidth="1"/>
    <col min="7430" max="7430" width="8.57407407407407" style="6" customWidth="1"/>
    <col min="7431" max="7431" width="7.13888888888889" style="6" customWidth="1"/>
    <col min="7432" max="7432" width="10.1388888888889" style="6" customWidth="1"/>
    <col min="7433" max="7434" width="9.57407407407407" style="6" customWidth="1"/>
    <col min="7435" max="7437" width="9.13888888888889" style="6"/>
    <col min="7438" max="7438" width="10.4259259259259" style="6" customWidth="1"/>
    <col min="7439" max="7450" width="9.13888888888889" style="6"/>
    <col min="7451" max="7451" width="14.1388888888889" style="6" customWidth="1"/>
    <col min="7452" max="7452" width="13.4259259259259" style="6" customWidth="1"/>
    <col min="7453" max="7453" width="13.712962962963" style="6" customWidth="1"/>
    <col min="7454" max="7683" width="9.13888888888889" style="6"/>
    <col min="7684" max="7684" width="15" style="6" customWidth="1"/>
    <col min="7685" max="7685" width="6.28703703703704" style="6" customWidth="1"/>
    <col min="7686" max="7686" width="8.57407407407407" style="6" customWidth="1"/>
    <col min="7687" max="7687" width="7.13888888888889" style="6" customWidth="1"/>
    <col min="7688" max="7688" width="10.1388888888889" style="6" customWidth="1"/>
    <col min="7689" max="7690" width="9.57407407407407" style="6" customWidth="1"/>
    <col min="7691" max="7693" width="9.13888888888889" style="6"/>
    <col min="7694" max="7694" width="10.4259259259259" style="6" customWidth="1"/>
    <col min="7695" max="7706" width="9.13888888888889" style="6"/>
    <col min="7707" max="7707" width="14.1388888888889" style="6" customWidth="1"/>
    <col min="7708" max="7708" width="13.4259259259259" style="6" customWidth="1"/>
    <col min="7709" max="7709" width="13.712962962963" style="6" customWidth="1"/>
    <col min="7710" max="7939" width="9.13888888888889" style="6"/>
    <col min="7940" max="7940" width="15" style="6" customWidth="1"/>
    <col min="7941" max="7941" width="6.28703703703704" style="6" customWidth="1"/>
    <col min="7942" max="7942" width="8.57407407407407" style="6" customWidth="1"/>
    <col min="7943" max="7943" width="7.13888888888889" style="6" customWidth="1"/>
    <col min="7944" max="7944" width="10.1388888888889" style="6" customWidth="1"/>
    <col min="7945" max="7946" width="9.57407407407407" style="6" customWidth="1"/>
    <col min="7947" max="7949" width="9.13888888888889" style="6"/>
    <col min="7950" max="7950" width="10.4259259259259" style="6" customWidth="1"/>
    <col min="7951" max="7962" width="9.13888888888889" style="6"/>
    <col min="7963" max="7963" width="14.1388888888889" style="6" customWidth="1"/>
    <col min="7964" max="7964" width="13.4259259259259" style="6" customWidth="1"/>
    <col min="7965" max="7965" width="13.712962962963" style="6" customWidth="1"/>
    <col min="7966" max="8195" width="9.13888888888889" style="6"/>
    <col min="8196" max="8196" width="15" style="6" customWidth="1"/>
    <col min="8197" max="8197" width="6.28703703703704" style="6" customWidth="1"/>
    <col min="8198" max="8198" width="8.57407407407407" style="6" customWidth="1"/>
    <col min="8199" max="8199" width="7.13888888888889" style="6" customWidth="1"/>
    <col min="8200" max="8200" width="10.1388888888889" style="6" customWidth="1"/>
    <col min="8201" max="8202" width="9.57407407407407" style="6" customWidth="1"/>
    <col min="8203" max="8205" width="9.13888888888889" style="6"/>
    <col min="8206" max="8206" width="10.4259259259259" style="6" customWidth="1"/>
    <col min="8207" max="8218" width="9.13888888888889" style="6"/>
    <col min="8219" max="8219" width="14.1388888888889" style="6" customWidth="1"/>
    <col min="8220" max="8220" width="13.4259259259259" style="6" customWidth="1"/>
    <col min="8221" max="8221" width="13.712962962963" style="6" customWidth="1"/>
    <col min="8222" max="8451" width="9.13888888888889" style="6"/>
    <col min="8452" max="8452" width="15" style="6" customWidth="1"/>
    <col min="8453" max="8453" width="6.28703703703704" style="6" customWidth="1"/>
    <col min="8454" max="8454" width="8.57407407407407" style="6" customWidth="1"/>
    <col min="8455" max="8455" width="7.13888888888889" style="6" customWidth="1"/>
    <col min="8456" max="8456" width="10.1388888888889" style="6" customWidth="1"/>
    <col min="8457" max="8458" width="9.57407407407407" style="6" customWidth="1"/>
    <col min="8459" max="8461" width="9.13888888888889" style="6"/>
    <col min="8462" max="8462" width="10.4259259259259" style="6" customWidth="1"/>
    <col min="8463" max="8474" width="9.13888888888889" style="6"/>
    <col min="8475" max="8475" width="14.1388888888889" style="6" customWidth="1"/>
    <col min="8476" max="8476" width="13.4259259259259" style="6" customWidth="1"/>
    <col min="8477" max="8477" width="13.712962962963" style="6" customWidth="1"/>
    <col min="8478" max="8707" width="9.13888888888889" style="6"/>
    <col min="8708" max="8708" width="15" style="6" customWidth="1"/>
    <col min="8709" max="8709" width="6.28703703703704" style="6" customWidth="1"/>
    <col min="8710" max="8710" width="8.57407407407407" style="6" customWidth="1"/>
    <col min="8711" max="8711" width="7.13888888888889" style="6" customWidth="1"/>
    <col min="8712" max="8712" width="10.1388888888889" style="6" customWidth="1"/>
    <col min="8713" max="8714" width="9.57407407407407" style="6" customWidth="1"/>
    <col min="8715" max="8717" width="9.13888888888889" style="6"/>
    <col min="8718" max="8718" width="10.4259259259259" style="6" customWidth="1"/>
    <col min="8719" max="8730" width="9.13888888888889" style="6"/>
    <col min="8731" max="8731" width="14.1388888888889" style="6" customWidth="1"/>
    <col min="8732" max="8732" width="13.4259259259259" style="6" customWidth="1"/>
    <col min="8733" max="8733" width="13.712962962963" style="6" customWidth="1"/>
    <col min="8734" max="8963" width="9.13888888888889" style="6"/>
    <col min="8964" max="8964" width="15" style="6" customWidth="1"/>
    <col min="8965" max="8965" width="6.28703703703704" style="6" customWidth="1"/>
    <col min="8966" max="8966" width="8.57407407407407" style="6" customWidth="1"/>
    <col min="8967" max="8967" width="7.13888888888889" style="6" customWidth="1"/>
    <col min="8968" max="8968" width="10.1388888888889" style="6" customWidth="1"/>
    <col min="8969" max="8970" width="9.57407407407407" style="6" customWidth="1"/>
    <col min="8971" max="8973" width="9.13888888888889" style="6"/>
    <col min="8974" max="8974" width="10.4259259259259" style="6" customWidth="1"/>
    <col min="8975" max="8986" width="9.13888888888889" style="6"/>
    <col min="8987" max="8987" width="14.1388888888889" style="6" customWidth="1"/>
    <col min="8988" max="8988" width="13.4259259259259" style="6" customWidth="1"/>
    <col min="8989" max="8989" width="13.712962962963" style="6" customWidth="1"/>
    <col min="8990" max="9219" width="9.13888888888889" style="6"/>
    <col min="9220" max="9220" width="15" style="6" customWidth="1"/>
    <col min="9221" max="9221" width="6.28703703703704" style="6" customWidth="1"/>
    <col min="9222" max="9222" width="8.57407407407407" style="6" customWidth="1"/>
    <col min="9223" max="9223" width="7.13888888888889" style="6" customWidth="1"/>
    <col min="9224" max="9224" width="10.1388888888889" style="6" customWidth="1"/>
    <col min="9225" max="9226" width="9.57407407407407" style="6" customWidth="1"/>
    <col min="9227" max="9229" width="9.13888888888889" style="6"/>
    <col min="9230" max="9230" width="10.4259259259259" style="6" customWidth="1"/>
    <col min="9231" max="9242" width="9.13888888888889" style="6"/>
    <col min="9243" max="9243" width="14.1388888888889" style="6" customWidth="1"/>
    <col min="9244" max="9244" width="13.4259259259259" style="6" customWidth="1"/>
    <col min="9245" max="9245" width="13.712962962963" style="6" customWidth="1"/>
    <col min="9246" max="9475" width="9.13888888888889" style="6"/>
    <col min="9476" max="9476" width="15" style="6" customWidth="1"/>
    <col min="9477" max="9477" width="6.28703703703704" style="6" customWidth="1"/>
    <col min="9478" max="9478" width="8.57407407407407" style="6" customWidth="1"/>
    <col min="9479" max="9479" width="7.13888888888889" style="6" customWidth="1"/>
    <col min="9480" max="9480" width="10.1388888888889" style="6" customWidth="1"/>
    <col min="9481" max="9482" width="9.57407407407407" style="6" customWidth="1"/>
    <col min="9483" max="9485" width="9.13888888888889" style="6"/>
    <col min="9486" max="9486" width="10.4259259259259" style="6" customWidth="1"/>
    <col min="9487" max="9498" width="9.13888888888889" style="6"/>
    <col min="9499" max="9499" width="14.1388888888889" style="6" customWidth="1"/>
    <col min="9500" max="9500" width="13.4259259259259" style="6" customWidth="1"/>
    <col min="9501" max="9501" width="13.712962962963" style="6" customWidth="1"/>
    <col min="9502" max="9731" width="9.13888888888889" style="6"/>
    <col min="9732" max="9732" width="15" style="6" customWidth="1"/>
    <col min="9733" max="9733" width="6.28703703703704" style="6" customWidth="1"/>
    <col min="9734" max="9734" width="8.57407407407407" style="6" customWidth="1"/>
    <col min="9735" max="9735" width="7.13888888888889" style="6" customWidth="1"/>
    <col min="9736" max="9736" width="10.1388888888889" style="6" customWidth="1"/>
    <col min="9737" max="9738" width="9.57407407407407" style="6" customWidth="1"/>
    <col min="9739" max="9741" width="9.13888888888889" style="6"/>
    <col min="9742" max="9742" width="10.4259259259259" style="6" customWidth="1"/>
    <col min="9743" max="9754" width="9.13888888888889" style="6"/>
    <col min="9755" max="9755" width="14.1388888888889" style="6" customWidth="1"/>
    <col min="9756" max="9756" width="13.4259259259259" style="6" customWidth="1"/>
    <col min="9757" max="9757" width="13.712962962963" style="6" customWidth="1"/>
    <col min="9758" max="9987" width="9.13888888888889" style="6"/>
    <col min="9988" max="9988" width="15" style="6" customWidth="1"/>
    <col min="9989" max="9989" width="6.28703703703704" style="6" customWidth="1"/>
    <col min="9990" max="9990" width="8.57407407407407" style="6" customWidth="1"/>
    <col min="9991" max="9991" width="7.13888888888889" style="6" customWidth="1"/>
    <col min="9992" max="9992" width="10.1388888888889" style="6" customWidth="1"/>
    <col min="9993" max="9994" width="9.57407407407407" style="6" customWidth="1"/>
    <col min="9995" max="9997" width="9.13888888888889" style="6"/>
    <col min="9998" max="9998" width="10.4259259259259" style="6" customWidth="1"/>
    <col min="9999" max="10010" width="9.13888888888889" style="6"/>
    <col min="10011" max="10011" width="14.1388888888889" style="6" customWidth="1"/>
    <col min="10012" max="10012" width="13.4259259259259" style="6" customWidth="1"/>
    <col min="10013" max="10013" width="13.712962962963" style="6" customWidth="1"/>
    <col min="10014" max="10243" width="9.13888888888889" style="6"/>
    <col min="10244" max="10244" width="15" style="6" customWidth="1"/>
    <col min="10245" max="10245" width="6.28703703703704" style="6" customWidth="1"/>
    <col min="10246" max="10246" width="8.57407407407407" style="6" customWidth="1"/>
    <col min="10247" max="10247" width="7.13888888888889" style="6" customWidth="1"/>
    <col min="10248" max="10248" width="10.1388888888889" style="6" customWidth="1"/>
    <col min="10249" max="10250" width="9.57407407407407" style="6" customWidth="1"/>
    <col min="10251" max="10253" width="9.13888888888889" style="6"/>
    <col min="10254" max="10254" width="10.4259259259259" style="6" customWidth="1"/>
    <col min="10255" max="10266" width="9.13888888888889" style="6"/>
    <col min="10267" max="10267" width="14.1388888888889" style="6" customWidth="1"/>
    <col min="10268" max="10268" width="13.4259259259259" style="6" customWidth="1"/>
    <col min="10269" max="10269" width="13.712962962963" style="6" customWidth="1"/>
    <col min="10270" max="10499" width="9.13888888888889" style="6"/>
    <col min="10500" max="10500" width="15" style="6" customWidth="1"/>
    <col min="10501" max="10501" width="6.28703703703704" style="6" customWidth="1"/>
    <col min="10502" max="10502" width="8.57407407407407" style="6" customWidth="1"/>
    <col min="10503" max="10503" width="7.13888888888889" style="6" customWidth="1"/>
    <col min="10504" max="10504" width="10.1388888888889" style="6" customWidth="1"/>
    <col min="10505" max="10506" width="9.57407407407407" style="6" customWidth="1"/>
    <col min="10507" max="10509" width="9.13888888888889" style="6"/>
    <col min="10510" max="10510" width="10.4259259259259" style="6" customWidth="1"/>
    <col min="10511" max="10522" width="9.13888888888889" style="6"/>
    <col min="10523" max="10523" width="14.1388888888889" style="6" customWidth="1"/>
    <col min="10524" max="10524" width="13.4259259259259" style="6" customWidth="1"/>
    <col min="10525" max="10525" width="13.712962962963" style="6" customWidth="1"/>
    <col min="10526" max="10755" width="9.13888888888889" style="6"/>
    <col min="10756" max="10756" width="15" style="6" customWidth="1"/>
    <col min="10757" max="10757" width="6.28703703703704" style="6" customWidth="1"/>
    <col min="10758" max="10758" width="8.57407407407407" style="6" customWidth="1"/>
    <col min="10759" max="10759" width="7.13888888888889" style="6" customWidth="1"/>
    <col min="10760" max="10760" width="10.1388888888889" style="6" customWidth="1"/>
    <col min="10761" max="10762" width="9.57407407407407" style="6" customWidth="1"/>
    <col min="10763" max="10765" width="9.13888888888889" style="6"/>
    <col min="10766" max="10766" width="10.4259259259259" style="6" customWidth="1"/>
    <col min="10767" max="10778" width="9.13888888888889" style="6"/>
    <col min="10779" max="10779" width="14.1388888888889" style="6" customWidth="1"/>
    <col min="10780" max="10780" width="13.4259259259259" style="6" customWidth="1"/>
    <col min="10781" max="10781" width="13.712962962963" style="6" customWidth="1"/>
    <col min="10782" max="11011" width="9.13888888888889" style="6"/>
    <col min="11012" max="11012" width="15" style="6" customWidth="1"/>
    <col min="11013" max="11013" width="6.28703703703704" style="6" customWidth="1"/>
    <col min="11014" max="11014" width="8.57407407407407" style="6" customWidth="1"/>
    <col min="11015" max="11015" width="7.13888888888889" style="6" customWidth="1"/>
    <col min="11016" max="11016" width="10.1388888888889" style="6" customWidth="1"/>
    <col min="11017" max="11018" width="9.57407407407407" style="6" customWidth="1"/>
    <col min="11019" max="11021" width="9.13888888888889" style="6"/>
    <col min="11022" max="11022" width="10.4259259259259" style="6" customWidth="1"/>
    <col min="11023" max="11034" width="9.13888888888889" style="6"/>
    <col min="11035" max="11035" width="14.1388888888889" style="6" customWidth="1"/>
    <col min="11036" max="11036" width="13.4259259259259" style="6" customWidth="1"/>
    <col min="11037" max="11037" width="13.712962962963" style="6" customWidth="1"/>
    <col min="11038" max="11267" width="9.13888888888889" style="6"/>
    <col min="11268" max="11268" width="15" style="6" customWidth="1"/>
    <col min="11269" max="11269" width="6.28703703703704" style="6" customWidth="1"/>
    <col min="11270" max="11270" width="8.57407407407407" style="6" customWidth="1"/>
    <col min="11271" max="11271" width="7.13888888888889" style="6" customWidth="1"/>
    <col min="11272" max="11272" width="10.1388888888889" style="6" customWidth="1"/>
    <col min="11273" max="11274" width="9.57407407407407" style="6" customWidth="1"/>
    <col min="11275" max="11277" width="9.13888888888889" style="6"/>
    <col min="11278" max="11278" width="10.4259259259259" style="6" customWidth="1"/>
    <col min="11279" max="11290" width="9.13888888888889" style="6"/>
    <col min="11291" max="11291" width="14.1388888888889" style="6" customWidth="1"/>
    <col min="11292" max="11292" width="13.4259259259259" style="6" customWidth="1"/>
    <col min="11293" max="11293" width="13.712962962963" style="6" customWidth="1"/>
    <col min="11294" max="11523" width="9.13888888888889" style="6"/>
    <col min="11524" max="11524" width="15" style="6" customWidth="1"/>
    <col min="11525" max="11525" width="6.28703703703704" style="6" customWidth="1"/>
    <col min="11526" max="11526" width="8.57407407407407" style="6" customWidth="1"/>
    <col min="11527" max="11527" width="7.13888888888889" style="6" customWidth="1"/>
    <col min="11528" max="11528" width="10.1388888888889" style="6" customWidth="1"/>
    <col min="11529" max="11530" width="9.57407407407407" style="6" customWidth="1"/>
    <col min="11531" max="11533" width="9.13888888888889" style="6"/>
    <col min="11534" max="11534" width="10.4259259259259" style="6" customWidth="1"/>
    <col min="11535" max="11546" width="9.13888888888889" style="6"/>
    <col min="11547" max="11547" width="14.1388888888889" style="6" customWidth="1"/>
    <col min="11548" max="11548" width="13.4259259259259" style="6" customWidth="1"/>
    <col min="11549" max="11549" width="13.712962962963" style="6" customWidth="1"/>
    <col min="11550" max="11779" width="9.13888888888889" style="6"/>
    <col min="11780" max="11780" width="15" style="6" customWidth="1"/>
    <col min="11781" max="11781" width="6.28703703703704" style="6" customWidth="1"/>
    <col min="11782" max="11782" width="8.57407407407407" style="6" customWidth="1"/>
    <col min="11783" max="11783" width="7.13888888888889" style="6" customWidth="1"/>
    <col min="11784" max="11784" width="10.1388888888889" style="6" customWidth="1"/>
    <col min="11785" max="11786" width="9.57407407407407" style="6" customWidth="1"/>
    <col min="11787" max="11789" width="9.13888888888889" style="6"/>
    <col min="11790" max="11790" width="10.4259259259259" style="6" customWidth="1"/>
    <col min="11791" max="11802" width="9.13888888888889" style="6"/>
    <col min="11803" max="11803" width="14.1388888888889" style="6" customWidth="1"/>
    <col min="11804" max="11804" width="13.4259259259259" style="6" customWidth="1"/>
    <col min="11805" max="11805" width="13.712962962963" style="6" customWidth="1"/>
    <col min="11806" max="12035" width="9.13888888888889" style="6"/>
    <col min="12036" max="12036" width="15" style="6" customWidth="1"/>
    <col min="12037" max="12037" width="6.28703703703704" style="6" customWidth="1"/>
    <col min="12038" max="12038" width="8.57407407407407" style="6" customWidth="1"/>
    <col min="12039" max="12039" width="7.13888888888889" style="6" customWidth="1"/>
    <col min="12040" max="12040" width="10.1388888888889" style="6" customWidth="1"/>
    <col min="12041" max="12042" width="9.57407407407407" style="6" customWidth="1"/>
    <col min="12043" max="12045" width="9.13888888888889" style="6"/>
    <col min="12046" max="12046" width="10.4259259259259" style="6" customWidth="1"/>
    <col min="12047" max="12058" width="9.13888888888889" style="6"/>
    <col min="12059" max="12059" width="14.1388888888889" style="6" customWidth="1"/>
    <col min="12060" max="12060" width="13.4259259259259" style="6" customWidth="1"/>
    <col min="12061" max="12061" width="13.712962962963" style="6" customWidth="1"/>
    <col min="12062" max="12291" width="9.13888888888889" style="6"/>
    <col min="12292" max="12292" width="15" style="6" customWidth="1"/>
    <col min="12293" max="12293" width="6.28703703703704" style="6" customWidth="1"/>
    <col min="12294" max="12294" width="8.57407407407407" style="6" customWidth="1"/>
    <col min="12295" max="12295" width="7.13888888888889" style="6" customWidth="1"/>
    <col min="12296" max="12296" width="10.1388888888889" style="6" customWidth="1"/>
    <col min="12297" max="12298" width="9.57407407407407" style="6" customWidth="1"/>
    <col min="12299" max="12301" width="9.13888888888889" style="6"/>
    <col min="12302" max="12302" width="10.4259259259259" style="6" customWidth="1"/>
    <col min="12303" max="12314" width="9.13888888888889" style="6"/>
    <col min="12315" max="12315" width="14.1388888888889" style="6" customWidth="1"/>
    <col min="12316" max="12316" width="13.4259259259259" style="6" customWidth="1"/>
    <col min="12317" max="12317" width="13.712962962963" style="6" customWidth="1"/>
    <col min="12318" max="12547" width="9.13888888888889" style="6"/>
    <col min="12548" max="12548" width="15" style="6" customWidth="1"/>
    <col min="12549" max="12549" width="6.28703703703704" style="6" customWidth="1"/>
    <col min="12550" max="12550" width="8.57407407407407" style="6" customWidth="1"/>
    <col min="12551" max="12551" width="7.13888888888889" style="6" customWidth="1"/>
    <col min="12552" max="12552" width="10.1388888888889" style="6" customWidth="1"/>
    <col min="12553" max="12554" width="9.57407407407407" style="6" customWidth="1"/>
    <col min="12555" max="12557" width="9.13888888888889" style="6"/>
    <col min="12558" max="12558" width="10.4259259259259" style="6" customWidth="1"/>
    <col min="12559" max="12570" width="9.13888888888889" style="6"/>
    <col min="12571" max="12571" width="14.1388888888889" style="6" customWidth="1"/>
    <col min="12572" max="12572" width="13.4259259259259" style="6" customWidth="1"/>
    <col min="12573" max="12573" width="13.712962962963" style="6" customWidth="1"/>
    <col min="12574" max="12803" width="9.13888888888889" style="6"/>
    <col min="12804" max="12804" width="15" style="6" customWidth="1"/>
    <col min="12805" max="12805" width="6.28703703703704" style="6" customWidth="1"/>
    <col min="12806" max="12806" width="8.57407407407407" style="6" customWidth="1"/>
    <col min="12807" max="12807" width="7.13888888888889" style="6" customWidth="1"/>
    <col min="12808" max="12808" width="10.1388888888889" style="6" customWidth="1"/>
    <col min="12809" max="12810" width="9.57407407407407" style="6" customWidth="1"/>
    <col min="12811" max="12813" width="9.13888888888889" style="6"/>
    <col min="12814" max="12814" width="10.4259259259259" style="6" customWidth="1"/>
    <col min="12815" max="12826" width="9.13888888888889" style="6"/>
    <col min="12827" max="12827" width="14.1388888888889" style="6" customWidth="1"/>
    <col min="12828" max="12828" width="13.4259259259259" style="6" customWidth="1"/>
    <col min="12829" max="12829" width="13.712962962963" style="6" customWidth="1"/>
    <col min="12830" max="13059" width="9.13888888888889" style="6"/>
    <col min="13060" max="13060" width="15" style="6" customWidth="1"/>
    <col min="13061" max="13061" width="6.28703703703704" style="6" customWidth="1"/>
    <col min="13062" max="13062" width="8.57407407407407" style="6" customWidth="1"/>
    <col min="13063" max="13063" width="7.13888888888889" style="6" customWidth="1"/>
    <col min="13064" max="13064" width="10.1388888888889" style="6" customWidth="1"/>
    <col min="13065" max="13066" width="9.57407407407407" style="6" customWidth="1"/>
    <col min="13067" max="13069" width="9.13888888888889" style="6"/>
    <col min="13070" max="13070" width="10.4259259259259" style="6" customWidth="1"/>
    <col min="13071" max="13082" width="9.13888888888889" style="6"/>
    <col min="13083" max="13083" width="14.1388888888889" style="6" customWidth="1"/>
    <col min="13084" max="13084" width="13.4259259259259" style="6" customWidth="1"/>
    <col min="13085" max="13085" width="13.712962962963" style="6" customWidth="1"/>
    <col min="13086" max="13315" width="9.13888888888889" style="6"/>
    <col min="13316" max="13316" width="15" style="6" customWidth="1"/>
    <col min="13317" max="13317" width="6.28703703703704" style="6" customWidth="1"/>
    <col min="13318" max="13318" width="8.57407407407407" style="6" customWidth="1"/>
    <col min="13319" max="13319" width="7.13888888888889" style="6" customWidth="1"/>
    <col min="13320" max="13320" width="10.1388888888889" style="6" customWidth="1"/>
    <col min="13321" max="13322" width="9.57407407407407" style="6" customWidth="1"/>
    <col min="13323" max="13325" width="9.13888888888889" style="6"/>
    <col min="13326" max="13326" width="10.4259259259259" style="6" customWidth="1"/>
    <col min="13327" max="13338" width="9.13888888888889" style="6"/>
    <col min="13339" max="13339" width="14.1388888888889" style="6" customWidth="1"/>
    <col min="13340" max="13340" width="13.4259259259259" style="6" customWidth="1"/>
    <col min="13341" max="13341" width="13.712962962963" style="6" customWidth="1"/>
    <col min="13342" max="13571" width="9.13888888888889" style="6"/>
    <col min="13572" max="13572" width="15" style="6" customWidth="1"/>
    <col min="13573" max="13573" width="6.28703703703704" style="6" customWidth="1"/>
    <col min="13574" max="13574" width="8.57407407407407" style="6" customWidth="1"/>
    <col min="13575" max="13575" width="7.13888888888889" style="6" customWidth="1"/>
    <col min="13576" max="13576" width="10.1388888888889" style="6" customWidth="1"/>
    <col min="13577" max="13578" width="9.57407407407407" style="6" customWidth="1"/>
    <col min="13579" max="13581" width="9.13888888888889" style="6"/>
    <col min="13582" max="13582" width="10.4259259259259" style="6" customWidth="1"/>
    <col min="13583" max="13594" width="9.13888888888889" style="6"/>
    <col min="13595" max="13595" width="14.1388888888889" style="6" customWidth="1"/>
    <col min="13596" max="13596" width="13.4259259259259" style="6" customWidth="1"/>
    <col min="13597" max="13597" width="13.712962962963" style="6" customWidth="1"/>
    <col min="13598" max="13827" width="9.13888888888889" style="6"/>
    <col min="13828" max="13828" width="15" style="6" customWidth="1"/>
    <col min="13829" max="13829" width="6.28703703703704" style="6" customWidth="1"/>
    <col min="13830" max="13830" width="8.57407407407407" style="6" customWidth="1"/>
    <col min="13831" max="13831" width="7.13888888888889" style="6" customWidth="1"/>
    <col min="13832" max="13832" width="10.1388888888889" style="6" customWidth="1"/>
    <col min="13833" max="13834" width="9.57407407407407" style="6" customWidth="1"/>
    <col min="13835" max="13837" width="9.13888888888889" style="6"/>
    <col min="13838" max="13838" width="10.4259259259259" style="6" customWidth="1"/>
    <col min="13839" max="13850" width="9.13888888888889" style="6"/>
    <col min="13851" max="13851" width="14.1388888888889" style="6" customWidth="1"/>
    <col min="13852" max="13852" width="13.4259259259259" style="6" customWidth="1"/>
    <col min="13853" max="13853" width="13.712962962963" style="6" customWidth="1"/>
    <col min="13854" max="14083" width="9.13888888888889" style="6"/>
    <col min="14084" max="14084" width="15" style="6" customWidth="1"/>
    <col min="14085" max="14085" width="6.28703703703704" style="6" customWidth="1"/>
    <col min="14086" max="14086" width="8.57407407407407" style="6" customWidth="1"/>
    <col min="14087" max="14087" width="7.13888888888889" style="6" customWidth="1"/>
    <col min="14088" max="14088" width="10.1388888888889" style="6" customWidth="1"/>
    <col min="14089" max="14090" width="9.57407407407407" style="6" customWidth="1"/>
    <col min="14091" max="14093" width="9.13888888888889" style="6"/>
    <col min="14094" max="14094" width="10.4259259259259" style="6" customWidth="1"/>
    <col min="14095" max="14106" width="9.13888888888889" style="6"/>
    <col min="14107" max="14107" width="14.1388888888889" style="6" customWidth="1"/>
    <col min="14108" max="14108" width="13.4259259259259" style="6" customWidth="1"/>
    <col min="14109" max="14109" width="13.712962962963" style="6" customWidth="1"/>
    <col min="14110" max="14339" width="9.13888888888889" style="6"/>
    <col min="14340" max="14340" width="15" style="6" customWidth="1"/>
    <col min="14341" max="14341" width="6.28703703703704" style="6" customWidth="1"/>
    <col min="14342" max="14342" width="8.57407407407407" style="6" customWidth="1"/>
    <col min="14343" max="14343" width="7.13888888888889" style="6" customWidth="1"/>
    <col min="14344" max="14344" width="10.1388888888889" style="6" customWidth="1"/>
    <col min="14345" max="14346" width="9.57407407407407" style="6" customWidth="1"/>
    <col min="14347" max="14349" width="9.13888888888889" style="6"/>
    <col min="14350" max="14350" width="10.4259259259259" style="6" customWidth="1"/>
    <col min="14351" max="14362" width="9.13888888888889" style="6"/>
    <col min="14363" max="14363" width="14.1388888888889" style="6" customWidth="1"/>
    <col min="14364" max="14364" width="13.4259259259259" style="6" customWidth="1"/>
    <col min="14365" max="14365" width="13.712962962963" style="6" customWidth="1"/>
    <col min="14366" max="14595" width="9.13888888888889" style="6"/>
    <col min="14596" max="14596" width="15" style="6" customWidth="1"/>
    <col min="14597" max="14597" width="6.28703703703704" style="6" customWidth="1"/>
    <col min="14598" max="14598" width="8.57407407407407" style="6" customWidth="1"/>
    <col min="14599" max="14599" width="7.13888888888889" style="6" customWidth="1"/>
    <col min="14600" max="14600" width="10.1388888888889" style="6" customWidth="1"/>
    <col min="14601" max="14602" width="9.57407407407407" style="6" customWidth="1"/>
    <col min="14603" max="14605" width="9.13888888888889" style="6"/>
    <col min="14606" max="14606" width="10.4259259259259" style="6" customWidth="1"/>
    <col min="14607" max="14618" width="9.13888888888889" style="6"/>
    <col min="14619" max="14619" width="14.1388888888889" style="6" customWidth="1"/>
    <col min="14620" max="14620" width="13.4259259259259" style="6" customWidth="1"/>
    <col min="14621" max="14621" width="13.712962962963" style="6" customWidth="1"/>
    <col min="14622" max="14851" width="9.13888888888889" style="6"/>
    <col min="14852" max="14852" width="15" style="6" customWidth="1"/>
    <col min="14853" max="14853" width="6.28703703703704" style="6" customWidth="1"/>
    <col min="14854" max="14854" width="8.57407407407407" style="6" customWidth="1"/>
    <col min="14855" max="14855" width="7.13888888888889" style="6" customWidth="1"/>
    <col min="14856" max="14856" width="10.1388888888889" style="6" customWidth="1"/>
    <col min="14857" max="14858" width="9.57407407407407" style="6" customWidth="1"/>
    <col min="14859" max="14861" width="9.13888888888889" style="6"/>
    <col min="14862" max="14862" width="10.4259259259259" style="6" customWidth="1"/>
    <col min="14863" max="14874" width="9.13888888888889" style="6"/>
    <col min="14875" max="14875" width="14.1388888888889" style="6" customWidth="1"/>
    <col min="14876" max="14876" width="13.4259259259259" style="6" customWidth="1"/>
    <col min="14877" max="14877" width="13.712962962963" style="6" customWidth="1"/>
    <col min="14878" max="15107" width="9.13888888888889" style="6"/>
    <col min="15108" max="15108" width="15" style="6" customWidth="1"/>
    <col min="15109" max="15109" width="6.28703703703704" style="6" customWidth="1"/>
    <col min="15110" max="15110" width="8.57407407407407" style="6" customWidth="1"/>
    <col min="15111" max="15111" width="7.13888888888889" style="6" customWidth="1"/>
    <col min="15112" max="15112" width="10.1388888888889" style="6" customWidth="1"/>
    <col min="15113" max="15114" width="9.57407407407407" style="6" customWidth="1"/>
    <col min="15115" max="15117" width="9.13888888888889" style="6"/>
    <col min="15118" max="15118" width="10.4259259259259" style="6" customWidth="1"/>
    <col min="15119" max="15130" width="9.13888888888889" style="6"/>
    <col min="15131" max="15131" width="14.1388888888889" style="6" customWidth="1"/>
    <col min="15132" max="15132" width="13.4259259259259" style="6" customWidth="1"/>
    <col min="15133" max="15133" width="13.712962962963" style="6" customWidth="1"/>
    <col min="15134" max="15363" width="9.13888888888889" style="6"/>
    <col min="15364" max="15364" width="15" style="6" customWidth="1"/>
    <col min="15365" max="15365" width="6.28703703703704" style="6" customWidth="1"/>
    <col min="15366" max="15366" width="8.57407407407407" style="6" customWidth="1"/>
    <col min="15367" max="15367" width="7.13888888888889" style="6" customWidth="1"/>
    <col min="15368" max="15368" width="10.1388888888889" style="6" customWidth="1"/>
    <col min="15369" max="15370" width="9.57407407407407" style="6" customWidth="1"/>
    <col min="15371" max="15373" width="9.13888888888889" style="6"/>
    <col min="15374" max="15374" width="10.4259259259259" style="6" customWidth="1"/>
    <col min="15375" max="15386" width="9.13888888888889" style="6"/>
    <col min="15387" max="15387" width="14.1388888888889" style="6" customWidth="1"/>
    <col min="15388" max="15388" width="13.4259259259259" style="6" customWidth="1"/>
    <col min="15389" max="15389" width="13.712962962963" style="6" customWidth="1"/>
    <col min="15390" max="15619" width="9.13888888888889" style="6"/>
    <col min="15620" max="15620" width="15" style="6" customWidth="1"/>
    <col min="15621" max="15621" width="6.28703703703704" style="6" customWidth="1"/>
    <col min="15622" max="15622" width="8.57407407407407" style="6" customWidth="1"/>
    <col min="15623" max="15623" width="7.13888888888889" style="6" customWidth="1"/>
    <col min="15624" max="15624" width="10.1388888888889" style="6" customWidth="1"/>
    <col min="15625" max="15626" width="9.57407407407407" style="6" customWidth="1"/>
    <col min="15627" max="15629" width="9.13888888888889" style="6"/>
    <col min="15630" max="15630" width="10.4259259259259" style="6" customWidth="1"/>
    <col min="15631" max="15642" width="9.13888888888889" style="6"/>
    <col min="15643" max="15643" width="14.1388888888889" style="6" customWidth="1"/>
    <col min="15644" max="15644" width="13.4259259259259" style="6" customWidth="1"/>
    <col min="15645" max="15645" width="13.712962962963" style="6" customWidth="1"/>
    <col min="15646" max="15875" width="9.13888888888889" style="6"/>
    <col min="15876" max="15876" width="15" style="6" customWidth="1"/>
    <col min="15877" max="15877" width="6.28703703703704" style="6" customWidth="1"/>
    <col min="15878" max="15878" width="8.57407407407407" style="6" customWidth="1"/>
    <col min="15879" max="15879" width="7.13888888888889" style="6" customWidth="1"/>
    <col min="15880" max="15880" width="10.1388888888889" style="6" customWidth="1"/>
    <col min="15881" max="15882" width="9.57407407407407" style="6" customWidth="1"/>
    <col min="15883" max="15885" width="9.13888888888889" style="6"/>
    <col min="15886" max="15886" width="10.4259259259259" style="6" customWidth="1"/>
    <col min="15887" max="15898" width="9.13888888888889" style="6"/>
    <col min="15899" max="15899" width="14.1388888888889" style="6" customWidth="1"/>
    <col min="15900" max="15900" width="13.4259259259259" style="6" customWidth="1"/>
    <col min="15901" max="15901" width="13.712962962963" style="6" customWidth="1"/>
    <col min="15902" max="16131" width="9.13888888888889" style="6"/>
    <col min="16132" max="16132" width="15" style="6" customWidth="1"/>
    <col min="16133" max="16133" width="6.28703703703704" style="6" customWidth="1"/>
    <col min="16134" max="16134" width="8.57407407407407" style="6" customWidth="1"/>
    <col min="16135" max="16135" width="7.13888888888889" style="6" customWidth="1"/>
    <col min="16136" max="16136" width="10.1388888888889" style="6" customWidth="1"/>
    <col min="16137" max="16138" width="9.57407407407407" style="6" customWidth="1"/>
    <col min="16139" max="16141" width="9.13888888888889" style="6"/>
    <col min="16142" max="16142" width="10.4259259259259" style="6" customWidth="1"/>
    <col min="16143" max="16154" width="9.13888888888889" style="6"/>
    <col min="16155" max="16155" width="14.1388888888889" style="6" customWidth="1"/>
    <col min="16156" max="16156" width="13.4259259259259" style="6" customWidth="1"/>
    <col min="16157" max="16157" width="13.712962962963" style="6" customWidth="1"/>
    <col min="16158" max="16382" width="9.13888888888889" style="6"/>
    <col min="16383" max="16384" width="9.13888888888889" style="6" customWidth="1"/>
  </cols>
  <sheetData>
    <row r="1" spans="1:41">
      <c r="A1" s="10" t="s">
        <v>0</v>
      </c>
      <c r="B1" s="11" t="s">
        <v>1</v>
      </c>
      <c r="C1" s="12" t="s">
        <v>2</v>
      </c>
      <c r="D1" s="1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2" t="s">
        <v>16</v>
      </c>
      <c r="R1" s="12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  <c r="AN1" s="62" t="s">
        <v>39</v>
      </c>
      <c r="AO1" s="79" t="s">
        <v>40</v>
      </c>
    </row>
    <row r="2" ht="15" customHeight="1" spans="1:41">
      <c r="A2" s="13" t="s">
        <v>41</v>
      </c>
      <c r="B2" s="14">
        <v>2009</v>
      </c>
      <c r="C2" s="14" t="s">
        <v>42</v>
      </c>
      <c r="D2" s="14">
        <v>0.5</v>
      </c>
      <c r="E2" s="15" t="s">
        <v>43</v>
      </c>
      <c r="F2" s="15" t="s">
        <v>44</v>
      </c>
      <c r="G2" s="15" t="s">
        <v>16</v>
      </c>
      <c r="H2" s="14">
        <v>1</v>
      </c>
      <c r="I2" s="14">
        <v>1</v>
      </c>
      <c r="J2" s="14">
        <v>0</v>
      </c>
      <c r="K2" s="14">
        <v>0</v>
      </c>
      <c r="L2" s="14">
        <v>0</v>
      </c>
      <c r="M2" s="14">
        <v>20</v>
      </c>
      <c r="N2" s="32">
        <v>0</v>
      </c>
      <c r="O2" s="32">
        <v>13</v>
      </c>
      <c r="P2" s="32">
        <v>100</v>
      </c>
      <c r="Q2" s="37">
        <v>292.5</v>
      </c>
      <c r="R2" s="37">
        <v>1027.5</v>
      </c>
      <c r="S2" s="38">
        <v>0</v>
      </c>
      <c r="T2" s="38">
        <v>0</v>
      </c>
      <c r="U2" s="39">
        <v>7.5</v>
      </c>
      <c r="V2" s="38">
        <v>127.5</v>
      </c>
      <c r="W2" s="38">
        <v>120</v>
      </c>
      <c r="X2" s="38">
        <v>22.5</v>
      </c>
      <c r="Y2" s="38">
        <v>0</v>
      </c>
      <c r="Z2" s="39">
        <v>7.5</v>
      </c>
      <c r="AA2" s="39">
        <v>7.5</v>
      </c>
      <c r="AB2" s="38">
        <v>0</v>
      </c>
      <c r="AC2" s="38">
        <v>0</v>
      </c>
      <c r="AD2" s="38">
        <v>0</v>
      </c>
      <c r="AE2" s="38">
        <v>7.5</v>
      </c>
      <c r="AF2" s="38">
        <v>270</v>
      </c>
      <c r="AG2" s="38">
        <v>15</v>
      </c>
      <c r="AH2" s="38">
        <v>0</v>
      </c>
      <c r="AI2" s="38">
        <v>0.0256410256410256</v>
      </c>
      <c r="AJ2" s="38">
        <v>0.923076923076923</v>
      </c>
      <c r="AK2" s="38">
        <v>0.0512820512820513</v>
      </c>
      <c r="AL2" s="38">
        <v>0</v>
      </c>
      <c r="AM2" s="63">
        <v>1.05</v>
      </c>
      <c r="AN2" s="64">
        <v>54.4</v>
      </c>
      <c r="AO2" s="80">
        <v>0.689655172413793</v>
      </c>
    </row>
    <row r="3" ht="15" customHeight="1" spans="1:41">
      <c r="A3" s="16" t="s">
        <v>45</v>
      </c>
      <c r="B3" s="17">
        <v>2009</v>
      </c>
      <c r="C3" s="17" t="s">
        <v>46</v>
      </c>
      <c r="D3" s="18">
        <v>2</v>
      </c>
      <c r="E3" s="19" t="s">
        <v>43</v>
      </c>
      <c r="F3" s="19" t="s">
        <v>44</v>
      </c>
      <c r="G3" s="19" t="s">
        <v>47</v>
      </c>
      <c r="H3" s="17">
        <v>1</v>
      </c>
      <c r="I3" s="17">
        <v>1</v>
      </c>
      <c r="J3" s="17">
        <v>0</v>
      </c>
      <c r="K3" s="17">
        <v>1</v>
      </c>
      <c r="L3" s="17">
        <v>0</v>
      </c>
      <c r="M3" s="17">
        <v>5</v>
      </c>
      <c r="N3" s="33">
        <v>420</v>
      </c>
      <c r="O3" s="33">
        <v>3</v>
      </c>
      <c r="P3" s="33">
        <v>480</v>
      </c>
      <c r="Q3" s="40">
        <v>46.6666666666667</v>
      </c>
      <c r="R3" s="40">
        <v>291.1</v>
      </c>
      <c r="S3" s="18">
        <v>0</v>
      </c>
      <c r="T3" s="41">
        <v>1.66</v>
      </c>
      <c r="U3" s="41">
        <v>6.66</v>
      </c>
      <c r="V3" s="18">
        <v>13.33</v>
      </c>
      <c r="W3" s="18">
        <v>6.66</v>
      </c>
      <c r="X3" s="18">
        <v>3.33</v>
      </c>
      <c r="Y3" s="18">
        <v>11.66</v>
      </c>
      <c r="Z3" s="18">
        <v>0</v>
      </c>
      <c r="AA3" s="18">
        <v>0</v>
      </c>
      <c r="AB3" s="41">
        <v>1.66</v>
      </c>
      <c r="AC3" s="41">
        <v>1.66</v>
      </c>
      <c r="AD3" s="18">
        <v>0</v>
      </c>
      <c r="AE3" s="18">
        <v>8.32</v>
      </c>
      <c r="AF3" s="18">
        <v>23.32</v>
      </c>
      <c r="AG3" s="18">
        <v>11.66</v>
      </c>
      <c r="AH3" s="18">
        <v>3.32</v>
      </c>
      <c r="AI3" s="18">
        <v>0.178464178464179</v>
      </c>
      <c r="AJ3" s="18">
        <v>0.5002145002145</v>
      </c>
      <c r="AK3" s="18">
        <v>0.25010725010725</v>
      </c>
      <c r="AL3" s="18">
        <v>0.0712140712140712</v>
      </c>
      <c r="AM3" s="65">
        <v>0.986444322977447</v>
      </c>
      <c r="AN3" s="66">
        <v>66.3</v>
      </c>
      <c r="AO3" s="81">
        <v>0.476190476190476</v>
      </c>
    </row>
    <row r="4" spans="1:41">
      <c r="A4" s="16" t="s">
        <v>48</v>
      </c>
      <c r="B4" s="17">
        <v>2009</v>
      </c>
      <c r="C4" s="17" t="s">
        <v>46</v>
      </c>
      <c r="D4" s="18">
        <v>1.5</v>
      </c>
      <c r="E4" s="19" t="s">
        <v>43</v>
      </c>
      <c r="F4" s="19" t="s">
        <v>44</v>
      </c>
      <c r="G4" s="19" t="s">
        <v>47</v>
      </c>
      <c r="H4" s="17">
        <v>1</v>
      </c>
      <c r="I4" s="17">
        <v>1</v>
      </c>
      <c r="J4" s="17">
        <v>0</v>
      </c>
      <c r="K4" s="17">
        <v>1</v>
      </c>
      <c r="L4" s="17">
        <v>0</v>
      </c>
      <c r="M4" s="17">
        <v>10</v>
      </c>
      <c r="N4" s="33">
        <v>420</v>
      </c>
      <c r="O4" s="33">
        <v>3</v>
      </c>
      <c r="P4" s="33">
        <v>480</v>
      </c>
      <c r="Q4" s="42">
        <v>186</v>
      </c>
      <c r="R4" s="40">
        <v>173.19</v>
      </c>
      <c r="S4" s="18">
        <v>0</v>
      </c>
      <c r="T4" s="17">
        <v>60</v>
      </c>
      <c r="U4" s="17">
        <v>54</v>
      </c>
      <c r="V4" s="17">
        <v>30</v>
      </c>
      <c r="W4" s="17">
        <v>24</v>
      </c>
      <c r="X4" s="17">
        <v>18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114</v>
      </c>
      <c r="AF4" s="17">
        <v>72</v>
      </c>
      <c r="AG4" s="17">
        <v>0</v>
      </c>
      <c r="AH4" s="17">
        <v>0</v>
      </c>
      <c r="AI4" s="17">
        <v>0.612903225806452</v>
      </c>
      <c r="AJ4" s="17">
        <v>0.387096774193548</v>
      </c>
      <c r="AK4" s="17">
        <v>0</v>
      </c>
      <c r="AL4" s="17">
        <v>0</v>
      </c>
      <c r="AM4" s="65">
        <v>0.862070764754449</v>
      </c>
      <c r="AN4" s="66">
        <v>33.6</v>
      </c>
      <c r="AO4" s="81">
        <v>0.45</v>
      </c>
    </row>
    <row r="5" spans="1:41">
      <c r="A5" s="16" t="s">
        <v>49</v>
      </c>
      <c r="B5" s="17">
        <v>2009</v>
      </c>
      <c r="C5" s="17" t="s">
        <v>46</v>
      </c>
      <c r="D5" s="18">
        <v>1</v>
      </c>
      <c r="E5" s="19" t="s">
        <v>43</v>
      </c>
      <c r="F5" s="19" t="s">
        <v>44</v>
      </c>
      <c r="G5" s="19" t="s">
        <v>47</v>
      </c>
      <c r="H5" s="17">
        <v>1</v>
      </c>
      <c r="I5" s="17">
        <v>1</v>
      </c>
      <c r="J5" s="17">
        <v>0</v>
      </c>
      <c r="K5" s="17">
        <v>1</v>
      </c>
      <c r="L5" s="17">
        <v>0</v>
      </c>
      <c r="M5" s="17">
        <v>30</v>
      </c>
      <c r="N5" s="33">
        <v>420</v>
      </c>
      <c r="O5" s="33">
        <v>7</v>
      </c>
      <c r="P5" s="33">
        <v>480</v>
      </c>
      <c r="Q5" s="42">
        <v>140</v>
      </c>
      <c r="R5" s="40">
        <v>71.8</v>
      </c>
      <c r="S5" s="41">
        <v>5</v>
      </c>
      <c r="T5" s="18">
        <v>40</v>
      </c>
      <c r="U5" s="18">
        <v>45</v>
      </c>
      <c r="V5" s="18">
        <v>25</v>
      </c>
      <c r="W5" s="18">
        <v>0</v>
      </c>
      <c r="X5" s="18">
        <v>20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85</v>
      </c>
      <c r="AF5" s="41">
        <v>45</v>
      </c>
      <c r="AG5" s="41">
        <v>0</v>
      </c>
      <c r="AH5" s="41">
        <v>0</v>
      </c>
      <c r="AI5" s="41">
        <v>0.653846153846154</v>
      </c>
      <c r="AJ5" s="41">
        <v>0.346153846153846</v>
      </c>
      <c r="AK5" s="41">
        <v>0</v>
      </c>
      <c r="AL5" s="41">
        <v>0</v>
      </c>
      <c r="AM5" s="65">
        <v>0.860744723040023</v>
      </c>
      <c r="AN5" s="66">
        <v>36.3</v>
      </c>
      <c r="AO5" s="81">
        <v>0.45</v>
      </c>
    </row>
    <row r="6" spans="1:41">
      <c r="A6" s="16" t="s">
        <v>50</v>
      </c>
      <c r="B6" s="17">
        <v>2009</v>
      </c>
      <c r="C6" s="17" t="s">
        <v>46</v>
      </c>
      <c r="D6" s="18">
        <v>0.5</v>
      </c>
      <c r="E6" s="19" t="s">
        <v>43</v>
      </c>
      <c r="F6" s="19" t="s">
        <v>44</v>
      </c>
      <c r="G6" s="19" t="s">
        <v>47</v>
      </c>
      <c r="H6" s="17">
        <v>1</v>
      </c>
      <c r="I6" s="17">
        <v>1</v>
      </c>
      <c r="J6" s="17">
        <v>0</v>
      </c>
      <c r="K6" s="17">
        <v>1</v>
      </c>
      <c r="L6" s="17">
        <v>0</v>
      </c>
      <c r="M6" s="17">
        <v>35</v>
      </c>
      <c r="N6" s="33">
        <v>420</v>
      </c>
      <c r="O6" s="33">
        <v>32</v>
      </c>
      <c r="P6" s="33">
        <v>480</v>
      </c>
      <c r="Q6" s="42">
        <v>2870</v>
      </c>
      <c r="R6" s="40">
        <v>4873.3</v>
      </c>
      <c r="S6" s="17">
        <v>0</v>
      </c>
      <c r="T6" s="17">
        <v>280</v>
      </c>
      <c r="U6" s="17">
        <v>460</v>
      </c>
      <c r="V6" s="17">
        <v>1060</v>
      </c>
      <c r="W6" s="17">
        <v>540</v>
      </c>
      <c r="X6" s="17">
        <v>220</v>
      </c>
      <c r="Y6" s="17">
        <v>130</v>
      </c>
      <c r="Z6" s="43">
        <v>20</v>
      </c>
      <c r="AA6" s="17">
        <v>40</v>
      </c>
      <c r="AB6" s="17">
        <v>70</v>
      </c>
      <c r="AC6" s="17">
        <v>50</v>
      </c>
      <c r="AD6" s="41">
        <v>0</v>
      </c>
      <c r="AE6" s="41">
        <v>740</v>
      </c>
      <c r="AF6" s="41">
        <v>1820</v>
      </c>
      <c r="AG6" s="41">
        <v>190</v>
      </c>
      <c r="AH6" s="41">
        <v>120</v>
      </c>
      <c r="AI6" s="41">
        <v>0.257839721254355</v>
      </c>
      <c r="AJ6" s="41">
        <v>0.634146341463415</v>
      </c>
      <c r="AK6" s="41">
        <v>0.0662020905923345</v>
      </c>
      <c r="AL6" s="41">
        <v>0.0418118466898955</v>
      </c>
      <c r="AM6" s="65">
        <v>0.955357599524392</v>
      </c>
      <c r="AN6" s="66">
        <v>59.5</v>
      </c>
      <c r="AO6" s="81">
        <v>0.23943661971831</v>
      </c>
    </row>
    <row r="7" spans="1:41">
      <c r="A7" s="16" t="s">
        <v>51</v>
      </c>
      <c r="B7" s="17">
        <v>2009</v>
      </c>
      <c r="C7" s="17" t="s">
        <v>46</v>
      </c>
      <c r="D7" s="18">
        <v>-0.5</v>
      </c>
      <c r="E7" s="19" t="s">
        <v>43</v>
      </c>
      <c r="F7" s="19" t="s">
        <v>44</v>
      </c>
      <c r="G7" s="19" t="s">
        <v>47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33">
        <v>420</v>
      </c>
      <c r="O7" s="33">
        <v>63</v>
      </c>
      <c r="P7" s="33">
        <v>480</v>
      </c>
      <c r="Q7" s="40">
        <v>6357.3</v>
      </c>
      <c r="R7" s="40">
        <v>6513.4</v>
      </c>
      <c r="S7" s="17">
        <v>0</v>
      </c>
      <c r="T7" s="17">
        <v>378.66</v>
      </c>
      <c r="U7" s="17">
        <v>2352</v>
      </c>
      <c r="V7" s="17">
        <v>1989.33</v>
      </c>
      <c r="W7" s="17">
        <v>416</v>
      </c>
      <c r="X7" s="17">
        <v>250.66</v>
      </c>
      <c r="Y7" s="17">
        <v>224</v>
      </c>
      <c r="Z7" s="17">
        <v>464</v>
      </c>
      <c r="AA7" s="17">
        <v>165.33</v>
      </c>
      <c r="AB7" s="17">
        <v>112</v>
      </c>
      <c r="AC7" s="43">
        <v>5.33</v>
      </c>
      <c r="AD7" s="41">
        <v>0</v>
      </c>
      <c r="AE7" s="41">
        <v>2730.66</v>
      </c>
      <c r="AF7" s="41">
        <v>2655.99</v>
      </c>
      <c r="AG7" s="41">
        <v>853.33</v>
      </c>
      <c r="AH7" s="41">
        <v>117.33</v>
      </c>
      <c r="AI7" s="41">
        <v>0.429530729192064</v>
      </c>
      <c r="AJ7" s="41">
        <v>0.417785195310595</v>
      </c>
      <c r="AK7" s="41">
        <v>0.134228156248476</v>
      </c>
      <c r="AL7" s="41">
        <v>0.0184559192488647</v>
      </c>
      <c r="AM7" s="65">
        <v>0.872055119905394</v>
      </c>
      <c r="AN7" s="66">
        <v>50.2</v>
      </c>
      <c r="AO7" s="81">
        <v>0.0547945205479452</v>
      </c>
    </row>
    <row r="8" spans="1:41">
      <c r="A8" s="16" t="s">
        <v>52</v>
      </c>
      <c r="B8" s="17">
        <v>2009</v>
      </c>
      <c r="C8" s="17" t="s">
        <v>46</v>
      </c>
      <c r="D8" s="18">
        <v>-1.5</v>
      </c>
      <c r="E8" s="19" t="s">
        <v>43</v>
      </c>
      <c r="F8" s="19" t="s">
        <v>44</v>
      </c>
      <c r="G8" s="19" t="s">
        <v>47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33">
        <v>420</v>
      </c>
      <c r="O8" s="33">
        <v>60</v>
      </c>
      <c r="P8" s="33">
        <v>480</v>
      </c>
      <c r="Q8" s="40">
        <v>6389.3</v>
      </c>
      <c r="R8" s="40">
        <v>7578.6</v>
      </c>
      <c r="S8" s="43">
        <v>85.33</v>
      </c>
      <c r="T8" s="17">
        <v>704</v>
      </c>
      <c r="U8" s="17">
        <v>1738.66</v>
      </c>
      <c r="V8" s="17">
        <v>1429.33</v>
      </c>
      <c r="W8" s="17">
        <v>426.66</v>
      </c>
      <c r="X8" s="17">
        <v>170.66</v>
      </c>
      <c r="Y8" s="17">
        <v>586.66</v>
      </c>
      <c r="Z8" s="17">
        <v>480</v>
      </c>
      <c r="AA8" s="17">
        <v>448</v>
      </c>
      <c r="AB8" s="17">
        <v>192</v>
      </c>
      <c r="AC8" s="17">
        <v>128</v>
      </c>
      <c r="AD8" s="41">
        <v>0</v>
      </c>
      <c r="AE8" s="41">
        <v>2442.66</v>
      </c>
      <c r="AF8" s="41">
        <v>2026.65</v>
      </c>
      <c r="AG8" s="41">
        <v>1514.66</v>
      </c>
      <c r="AH8" s="41">
        <v>320</v>
      </c>
      <c r="AI8" s="41">
        <v>0.387479635848521</v>
      </c>
      <c r="AJ8" s="41">
        <v>0.321487887791344</v>
      </c>
      <c r="AK8" s="41">
        <v>0.240270813471511</v>
      </c>
      <c r="AL8" s="41">
        <v>0.0507616628886242</v>
      </c>
      <c r="AM8" s="65">
        <v>0.767374161113359</v>
      </c>
      <c r="AN8" s="66">
        <v>48.3</v>
      </c>
      <c r="AO8" s="81">
        <v>0.0625</v>
      </c>
    </row>
    <row r="9" spans="1:41">
      <c r="A9" s="20" t="s">
        <v>53</v>
      </c>
      <c r="B9" s="21">
        <v>2009</v>
      </c>
      <c r="C9" s="22" t="s">
        <v>54</v>
      </c>
      <c r="D9" s="22">
        <v>-0.5</v>
      </c>
      <c r="E9" s="23" t="s">
        <v>43</v>
      </c>
      <c r="F9" s="23" t="s">
        <v>44</v>
      </c>
      <c r="G9" s="23" t="s">
        <v>16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34">
        <v>250</v>
      </c>
      <c r="O9" s="34">
        <v>44</v>
      </c>
      <c r="P9" s="34">
        <v>120</v>
      </c>
      <c r="Q9" s="44">
        <v>6037.3</v>
      </c>
      <c r="R9" s="44">
        <v>7872.9</v>
      </c>
      <c r="S9" s="45">
        <v>69.33</v>
      </c>
      <c r="T9" s="21">
        <v>1136</v>
      </c>
      <c r="U9" s="21">
        <v>1237.33</v>
      </c>
      <c r="V9" s="21">
        <v>1498.66</v>
      </c>
      <c r="W9" s="21">
        <v>1109.33</v>
      </c>
      <c r="X9" s="21">
        <v>522.66</v>
      </c>
      <c r="Y9" s="21">
        <v>277.33</v>
      </c>
      <c r="Z9" s="45">
        <v>53.33</v>
      </c>
      <c r="AA9" s="45">
        <v>37.33</v>
      </c>
      <c r="AB9" s="45">
        <v>32</v>
      </c>
      <c r="AC9" s="45">
        <v>37.33</v>
      </c>
      <c r="AD9" s="45">
        <v>26.66</v>
      </c>
      <c r="AE9" s="45">
        <v>2373.33</v>
      </c>
      <c r="AF9" s="45">
        <v>3130.65</v>
      </c>
      <c r="AG9" s="45">
        <v>367.99</v>
      </c>
      <c r="AH9" s="45">
        <v>95.99</v>
      </c>
      <c r="AI9" s="45">
        <v>0.397678603743993</v>
      </c>
      <c r="AJ9" s="45">
        <v>0.524576237106147</v>
      </c>
      <c r="AK9" s="45">
        <v>0.0616609360652551</v>
      </c>
      <c r="AL9" s="45">
        <v>0.0160842230846051</v>
      </c>
      <c r="AM9" s="67">
        <v>0.824159755743918</v>
      </c>
      <c r="AN9" s="68">
        <v>75.8</v>
      </c>
      <c r="AO9" s="82">
        <v>0.347107438016529</v>
      </c>
    </row>
    <row r="10" spans="1:41">
      <c r="A10" s="16" t="s">
        <v>55</v>
      </c>
      <c r="B10" s="17">
        <v>2009</v>
      </c>
      <c r="C10" s="18" t="s">
        <v>54</v>
      </c>
      <c r="D10" s="18">
        <v>0.5</v>
      </c>
      <c r="E10" s="19" t="s">
        <v>43</v>
      </c>
      <c r="F10" s="19" t="s">
        <v>44</v>
      </c>
      <c r="G10" s="19" t="s">
        <v>16</v>
      </c>
      <c r="H10" s="17">
        <v>1</v>
      </c>
      <c r="I10" s="17">
        <v>1</v>
      </c>
      <c r="J10" s="17">
        <v>0</v>
      </c>
      <c r="K10" s="17">
        <v>1</v>
      </c>
      <c r="L10" s="17">
        <v>0</v>
      </c>
      <c r="M10" s="17">
        <v>15</v>
      </c>
      <c r="N10" s="33">
        <v>250</v>
      </c>
      <c r="O10" s="33">
        <v>20</v>
      </c>
      <c r="P10" s="33">
        <v>120</v>
      </c>
      <c r="Q10" s="42">
        <v>2820</v>
      </c>
      <c r="R10" s="40">
        <v>1749.3</v>
      </c>
      <c r="S10" s="41">
        <v>10</v>
      </c>
      <c r="T10" s="18">
        <v>280</v>
      </c>
      <c r="U10" s="18">
        <v>830</v>
      </c>
      <c r="V10" s="18">
        <v>1050</v>
      </c>
      <c r="W10" s="18">
        <v>470</v>
      </c>
      <c r="X10" s="18">
        <v>120</v>
      </c>
      <c r="Y10" s="18">
        <v>40</v>
      </c>
      <c r="Z10" s="18">
        <v>0</v>
      </c>
      <c r="AA10" s="41">
        <v>10</v>
      </c>
      <c r="AB10" s="41">
        <v>10</v>
      </c>
      <c r="AC10" s="18">
        <v>0</v>
      </c>
      <c r="AD10" s="17">
        <v>0</v>
      </c>
      <c r="AE10" s="17">
        <v>1110</v>
      </c>
      <c r="AF10" s="17">
        <v>1640</v>
      </c>
      <c r="AG10" s="17">
        <v>50</v>
      </c>
      <c r="AH10" s="17">
        <v>10</v>
      </c>
      <c r="AI10" s="17">
        <v>0.395017793594306</v>
      </c>
      <c r="AJ10" s="17">
        <v>0.583629893238434</v>
      </c>
      <c r="AK10" s="17">
        <v>0.0177935943060498</v>
      </c>
      <c r="AL10" s="17">
        <v>0.00355871886120996</v>
      </c>
      <c r="AM10" s="65">
        <v>0.832507533180397</v>
      </c>
      <c r="AN10" s="66">
        <v>54.3</v>
      </c>
      <c r="AO10" s="81">
        <v>0.488372093023256</v>
      </c>
    </row>
    <row r="11" spans="1:41">
      <c r="A11" s="16" t="s">
        <v>56</v>
      </c>
      <c r="B11" s="17">
        <v>2009</v>
      </c>
      <c r="C11" s="18" t="s">
        <v>54</v>
      </c>
      <c r="D11" s="18">
        <v>1</v>
      </c>
      <c r="E11" s="19" t="s">
        <v>43</v>
      </c>
      <c r="F11" s="19" t="s">
        <v>44</v>
      </c>
      <c r="G11" s="19" t="s">
        <v>16</v>
      </c>
      <c r="H11" s="17">
        <v>1</v>
      </c>
      <c r="I11" s="17">
        <v>1</v>
      </c>
      <c r="J11" s="17">
        <v>0</v>
      </c>
      <c r="K11" s="17">
        <v>1</v>
      </c>
      <c r="L11" s="17">
        <v>0</v>
      </c>
      <c r="M11" s="17">
        <v>10</v>
      </c>
      <c r="N11" s="33">
        <v>250</v>
      </c>
      <c r="O11" s="33">
        <v>11</v>
      </c>
      <c r="P11" s="33">
        <v>120</v>
      </c>
      <c r="Q11" s="42">
        <v>210</v>
      </c>
      <c r="R11" s="40">
        <v>126.7</v>
      </c>
      <c r="S11" s="18">
        <v>0</v>
      </c>
      <c r="T11" s="18">
        <v>82.5</v>
      </c>
      <c r="U11" s="18">
        <v>71.25</v>
      </c>
      <c r="V11" s="18">
        <v>18.75</v>
      </c>
      <c r="W11" s="18">
        <v>37.5</v>
      </c>
      <c r="X11" s="18">
        <v>0</v>
      </c>
      <c r="Y11" s="18">
        <v>0</v>
      </c>
      <c r="Z11" s="18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153.75</v>
      </c>
      <c r="AF11" s="17">
        <v>56.25</v>
      </c>
      <c r="AG11" s="17">
        <v>0</v>
      </c>
      <c r="AH11" s="17">
        <v>0</v>
      </c>
      <c r="AI11" s="17">
        <v>0.732142857142857</v>
      </c>
      <c r="AJ11" s="17">
        <v>0.267857142857143</v>
      </c>
      <c r="AK11" s="17">
        <v>0</v>
      </c>
      <c r="AL11" s="17">
        <v>0</v>
      </c>
      <c r="AM11" s="65">
        <v>0.951079197078581</v>
      </c>
      <c r="AN11" s="66">
        <v>31</v>
      </c>
      <c r="AO11" s="81">
        <v>0.571428571428571</v>
      </c>
    </row>
    <row r="12" spans="1:41">
      <c r="A12" s="16" t="s">
        <v>57</v>
      </c>
      <c r="B12" s="17">
        <v>2009</v>
      </c>
      <c r="C12" s="18" t="s">
        <v>54</v>
      </c>
      <c r="D12" s="18">
        <v>1.5</v>
      </c>
      <c r="E12" s="19" t="s">
        <v>43</v>
      </c>
      <c r="F12" s="19" t="s">
        <v>44</v>
      </c>
      <c r="G12" s="19" t="s">
        <v>16</v>
      </c>
      <c r="H12" s="17">
        <v>1</v>
      </c>
      <c r="I12" s="17">
        <v>1</v>
      </c>
      <c r="J12" s="17">
        <v>0</v>
      </c>
      <c r="K12" s="17">
        <v>1</v>
      </c>
      <c r="L12" s="17">
        <v>0</v>
      </c>
      <c r="M12" s="17">
        <v>5</v>
      </c>
      <c r="N12" s="33">
        <v>250</v>
      </c>
      <c r="O12" s="33">
        <v>10</v>
      </c>
      <c r="P12" s="33">
        <v>120</v>
      </c>
      <c r="Q12" s="40">
        <v>235.7</v>
      </c>
      <c r="R12" s="40">
        <v>94.3714285714286</v>
      </c>
      <c r="S12" s="41">
        <v>8.57</v>
      </c>
      <c r="T12" s="18">
        <v>38.57</v>
      </c>
      <c r="U12" s="18">
        <v>98.57</v>
      </c>
      <c r="V12" s="18">
        <v>72.85</v>
      </c>
      <c r="W12" s="18">
        <v>17.14</v>
      </c>
      <c r="X12" s="18">
        <v>0</v>
      </c>
      <c r="Y12" s="18">
        <v>0</v>
      </c>
      <c r="Z12" s="18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137.14</v>
      </c>
      <c r="AF12" s="17">
        <v>89.99</v>
      </c>
      <c r="AG12" s="17">
        <v>0</v>
      </c>
      <c r="AH12" s="17">
        <v>0</v>
      </c>
      <c r="AI12" s="17">
        <v>0.60379518337516</v>
      </c>
      <c r="AJ12" s="17">
        <v>0.39620481662484</v>
      </c>
      <c r="AK12" s="17">
        <v>0</v>
      </c>
      <c r="AL12" s="17">
        <v>0</v>
      </c>
      <c r="AM12" s="65">
        <v>0.774768024844357</v>
      </c>
      <c r="AN12" s="66">
        <v>28.4</v>
      </c>
      <c r="AO12" s="81">
        <v>0.81</v>
      </c>
    </row>
    <row r="13" spans="1:41">
      <c r="A13" s="24" t="s">
        <v>58</v>
      </c>
      <c r="B13" s="25">
        <v>2009</v>
      </c>
      <c r="C13" s="26" t="s">
        <v>54</v>
      </c>
      <c r="D13" s="26">
        <v>2</v>
      </c>
      <c r="E13" s="27" t="s">
        <v>43</v>
      </c>
      <c r="F13" s="27" t="s">
        <v>44</v>
      </c>
      <c r="G13" s="27" t="s">
        <v>16</v>
      </c>
      <c r="H13" s="25">
        <v>1</v>
      </c>
      <c r="I13" s="25">
        <v>1</v>
      </c>
      <c r="J13" s="25">
        <v>0</v>
      </c>
      <c r="K13" s="25">
        <v>1</v>
      </c>
      <c r="L13" s="25">
        <v>0</v>
      </c>
      <c r="M13" s="25">
        <v>2</v>
      </c>
      <c r="N13" s="33">
        <v>250</v>
      </c>
      <c r="O13" s="35">
        <v>10</v>
      </c>
      <c r="P13" s="35">
        <v>120</v>
      </c>
      <c r="Q13" s="46">
        <v>21</v>
      </c>
      <c r="R13" s="47">
        <v>22.5</v>
      </c>
      <c r="S13" s="25">
        <v>0</v>
      </c>
      <c r="T13" s="48">
        <v>3</v>
      </c>
      <c r="U13" s="48">
        <v>3</v>
      </c>
      <c r="V13" s="48">
        <v>9</v>
      </c>
      <c r="W13" s="48">
        <v>6</v>
      </c>
      <c r="X13" s="26">
        <v>0</v>
      </c>
      <c r="Y13" s="26">
        <v>0</v>
      </c>
      <c r="Z13" s="26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6</v>
      </c>
      <c r="AF13" s="25">
        <v>15</v>
      </c>
      <c r="AG13" s="25">
        <v>0</v>
      </c>
      <c r="AH13" s="25">
        <v>0</v>
      </c>
      <c r="AI13" s="25">
        <v>0.285714285714286</v>
      </c>
      <c r="AJ13" s="25">
        <v>0.714285714285714</v>
      </c>
      <c r="AK13" s="25">
        <v>0</v>
      </c>
      <c r="AL13" s="25">
        <v>0</v>
      </c>
      <c r="AM13" s="69">
        <v>0.874658050992991</v>
      </c>
      <c r="AN13" s="70">
        <v>33.3</v>
      </c>
      <c r="AO13" s="83">
        <v>0.81</v>
      </c>
    </row>
    <row r="14" spans="1:41">
      <c r="A14" s="28" t="s">
        <v>59</v>
      </c>
      <c r="B14" s="21">
        <v>2009</v>
      </c>
      <c r="C14" s="22" t="s">
        <v>60</v>
      </c>
      <c r="D14" s="22">
        <v>2</v>
      </c>
      <c r="E14" s="21" t="s">
        <v>61</v>
      </c>
      <c r="F14" s="21" t="s">
        <v>62</v>
      </c>
      <c r="G14" s="23" t="s">
        <v>16</v>
      </c>
      <c r="H14" s="21">
        <v>1</v>
      </c>
      <c r="I14" s="21">
        <v>1</v>
      </c>
      <c r="J14" s="21">
        <v>1</v>
      </c>
      <c r="K14" s="21">
        <v>0</v>
      </c>
      <c r="L14" s="21">
        <v>0</v>
      </c>
      <c r="M14" s="21">
        <v>20</v>
      </c>
      <c r="N14" s="34">
        <v>1750</v>
      </c>
      <c r="O14" s="34">
        <v>5</v>
      </c>
      <c r="P14" s="34">
        <v>16</v>
      </c>
      <c r="Q14" s="49">
        <v>420</v>
      </c>
      <c r="R14" s="44">
        <v>150.6</v>
      </c>
      <c r="S14" s="21">
        <v>0</v>
      </c>
      <c r="T14" s="50">
        <v>40</v>
      </c>
      <c r="U14" s="22">
        <v>230</v>
      </c>
      <c r="V14" s="22">
        <v>130</v>
      </c>
      <c r="W14" s="22">
        <v>20</v>
      </c>
      <c r="X14" s="22">
        <v>0</v>
      </c>
      <c r="Y14" s="22">
        <v>0</v>
      </c>
      <c r="Z14" s="22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270</v>
      </c>
      <c r="AF14" s="21">
        <v>150</v>
      </c>
      <c r="AG14" s="21">
        <v>0</v>
      </c>
      <c r="AH14" s="21">
        <v>0</v>
      </c>
      <c r="AI14" s="21">
        <v>0.642857142857143</v>
      </c>
      <c r="AJ14" s="21">
        <v>0.357142857142857</v>
      </c>
      <c r="AK14" s="21">
        <v>0</v>
      </c>
      <c r="AL14" s="21">
        <v>0</v>
      </c>
      <c r="AM14" s="59">
        <v>0.99</v>
      </c>
      <c r="AN14" s="68">
        <v>29.9</v>
      </c>
      <c r="AO14" s="82">
        <v>1</v>
      </c>
    </row>
    <row r="15" spans="1:41">
      <c r="A15" s="29" t="s">
        <v>63</v>
      </c>
      <c r="B15" s="17">
        <v>2009</v>
      </c>
      <c r="C15" s="18" t="s">
        <v>60</v>
      </c>
      <c r="D15" s="18">
        <v>1.5</v>
      </c>
      <c r="E15" s="17" t="s">
        <v>61</v>
      </c>
      <c r="F15" s="17" t="s">
        <v>62</v>
      </c>
      <c r="G15" s="19" t="s">
        <v>16</v>
      </c>
      <c r="H15" s="17">
        <v>1</v>
      </c>
      <c r="I15" s="17">
        <v>0</v>
      </c>
      <c r="J15" s="17">
        <v>1</v>
      </c>
      <c r="K15" s="17">
        <v>1</v>
      </c>
      <c r="L15" s="17">
        <v>0</v>
      </c>
      <c r="M15" s="17">
        <v>30</v>
      </c>
      <c r="N15" s="33">
        <v>1750</v>
      </c>
      <c r="O15" s="33">
        <v>7</v>
      </c>
      <c r="P15" s="33">
        <v>16</v>
      </c>
      <c r="Q15" s="42">
        <v>1430</v>
      </c>
      <c r="R15" s="40">
        <v>913.5</v>
      </c>
      <c r="S15" s="17">
        <v>0</v>
      </c>
      <c r="T15" s="18">
        <v>200</v>
      </c>
      <c r="U15" s="18">
        <v>700</v>
      </c>
      <c r="V15" s="18">
        <v>400</v>
      </c>
      <c r="W15" s="18">
        <v>80</v>
      </c>
      <c r="X15" s="18">
        <v>40</v>
      </c>
      <c r="Y15" s="18">
        <v>10</v>
      </c>
      <c r="Z15" s="18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900</v>
      </c>
      <c r="AF15" s="17">
        <v>520</v>
      </c>
      <c r="AG15" s="17">
        <v>10</v>
      </c>
      <c r="AH15" s="17">
        <v>0</v>
      </c>
      <c r="AI15" s="17">
        <v>0.629370629370629</v>
      </c>
      <c r="AJ15" s="17">
        <v>0.363636363636364</v>
      </c>
      <c r="AK15" s="17">
        <v>0.00699300699300699</v>
      </c>
      <c r="AL15" s="17">
        <v>0</v>
      </c>
      <c r="AM15" s="55">
        <v>0.67870407533914</v>
      </c>
      <c r="AN15" s="66">
        <v>36.6</v>
      </c>
      <c r="AO15" s="81">
        <v>0.754385964912281</v>
      </c>
    </row>
    <row r="16" spans="1:41">
      <c r="A16" s="29" t="s">
        <v>64</v>
      </c>
      <c r="B16" s="17">
        <v>2009</v>
      </c>
      <c r="C16" s="18" t="s">
        <v>60</v>
      </c>
      <c r="D16" s="18">
        <v>1</v>
      </c>
      <c r="E16" s="17" t="s">
        <v>61</v>
      </c>
      <c r="F16" s="17" t="s">
        <v>62</v>
      </c>
      <c r="G16" s="19" t="s">
        <v>16</v>
      </c>
      <c r="H16" s="17">
        <v>1</v>
      </c>
      <c r="I16" s="17">
        <v>0</v>
      </c>
      <c r="J16" s="17">
        <v>1</v>
      </c>
      <c r="K16" s="17">
        <v>1</v>
      </c>
      <c r="L16" s="17">
        <v>0</v>
      </c>
      <c r="M16" s="17">
        <v>45</v>
      </c>
      <c r="N16" s="33">
        <v>1750</v>
      </c>
      <c r="O16" s="33">
        <v>7</v>
      </c>
      <c r="P16" s="33">
        <v>16</v>
      </c>
      <c r="Q16" s="42">
        <v>2820</v>
      </c>
      <c r="R16" s="40">
        <v>1048.4</v>
      </c>
      <c r="S16" s="41">
        <v>30</v>
      </c>
      <c r="T16" s="18">
        <v>900</v>
      </c>
      <c r="U16" s="18">
        <v>1270</v>
      </c>
      <c r="V16" s="18">
        <v>400</v>
      </c>
      <c r="W16" s="18">
        <v>100</v>
      </c>
      <c r="X16" s="18">
        <v>70</v>
      </c>
      <c r="Y16" s="41">
        <v>20</v>
      </c>
      <c r="Z16" s="18">
        <v>0</v>
      </c>
      <c r="AA16" s="41">
        <v>10</v>
      </c>
      <c r="AB16" s="17">
        <v>0</v>
      </c>
      <c r="AC16" s="17">
        <v>0</v>
      </c>
      <c r="AD16" s="17">
        <v>0</v>
      </c>
      <c r="AE16" s="17">
        <v>2170</v>
      </c>
      <c r="AF16" s="17">
        <v>570</v>
      </c>
      <c r="AG16" s="17">
        <v>30</v>
      </c>
      <c r="AH16" s="17">
        <v>0</v>
      </c>
      <c r="AI16" s="17">
        <v>0.783393501805054</v>
      </c>
      <c r="AJ16" s="17">
        <v>0.205776173285199</v>
      </c>
      <c r="AK16" s="17">
        <v>0.0108303249097473</v>
      </c>
      <c r="AL16" s="17">
        <v>0</v>
      </c>
      <c r="AM16" s="55">
        <v>0.693874619104553</v>
      </c>
      <c r="AN16" s="66">
        <v>45.4</v>
      </c>
      <c r="AO16" s="81">
        <v>0.58974358974359</v>
      </c>
    </row>
    <row r="17" spans="1:41">
      <c r="A17" s="29" t="s">
        <v>65</v>
      </c>
      <c r="B17" s="17">
        <v>2009</v>
      </c>
      <c r="C17" s="18" t="s">
        <v>60</v>
      </c>
      <c r="D17" s="18">
        <v>0.5</v>
      </c>
      <c r="E17" s="17" t="s">
        <v>61</v>
      </c>
      <c r="F17" s="17" t="s">
        <v>62</v>
      </c>
      <c r="G17" s="19" t="s">
        <v>16</v>
      </c>
      <c r="H17" s="17">
        <v>1</v>
      </c>
      <c r="I17" s="17">
        <v>0</v>
      </c>
      <c r="J17" s="17">
        <v>1</v>
      </c>
      <c r="K17" s="17">
        <v>1</v>
      </c>
      <c r="L17" s="17">
        <v>0</v>
      </c>
      <c r="M17" s="17">
        <v>60</v>
      </c>
      <c r="N17" s="33">
        <v>1750</v>
      </c>
      <c r="O17" s="33">
        <v>23</v>
      </c>
      <c r="P17" s="33">
        <v>16</v>
      </c>
      <c r="Q17" s="42">
        <v>7220</v>
      </c>
      <c r="R17" s="40">
        <v>2312.7</v>
      </c>
      <c r="S17" s="18">
        <v>840</v>
      </c>
      <c r="T17" s="18">
        <v>3130</v>
      </c>
      <c r="U17" s="18">
        <v>2530</v>
      </c>
      <c r="V17" s="18">
        <v>610</v>
      </c>
      <c r="W17" s="18">
        <v>90</v>
      </c>
      <c r="X17" s="41">
        <v>20</v>
      </c>
      <c r="Y17" s="41">
        <v>10</v>
      </c>
      <c r="Z17" s="18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5660</v>
      </c>
      <c r="AF17" s="17">
        <v>720</v>
      </c>
      <c r="AG17" s="17">
        <v>10</v>
      </c>
      <c r="AH17" s="17">
        <v>0</v>
      </c>
      <c r="AI17" s="17">
        <v>0.885758998435055</v>
      </c>
      <c r="AJ17" s="17">
        <v>0.112676056338028</v>
      </c>
      <c r="AK17" s="17">
        <v>0.00156494522691706</v>
      </c>
      <c r="AL17" s="17">
        <v>0</v>
      </c>
      <c r="AM17" s="55">
        <v>0.756869165243944</v>
      </c>
      <c r="AN17" s="66">
        <v>36</v>
      </c>
      <c r="AO17" s="81">
        <v>0.666666666666667</v>
      </c>
    </row>
    <row r="18" spans="1:41">
      <c r="A18" s="29" t="s">
        <v>66</v>
      </c>
      <c r="B18" s="17">
        <v>2009</v>
      </c>
      <c r="C18" s="18" t="s">
        <v>60</v>
      </c>
      <c r="D18" s="18">
        <v>-0.5</v>
      </c>
      <c r="E18" s="17" t="s">
        <v>61</v>
      </c>
      <c r="F18" s="17" t="s">
        <v>62</v>
      </c>
      <c r="G18" s="19" t="s">
        <v>16</v>
      </c>
      <c r="H18" s="17">
        <v>0</v>
      </c>
      <c r="I18" s="17">
        <v>0</v>
      </c>
      <c r="J18" s="17">
        <v>0</v>
      </c>
      <c r="K18" s="17">
        <v>0</v>
      </c>
      <c r="L18" s="17">
        <v>1</v>
      </c>
      <c r="M18" s="17">
        <v>35</v>
      </c>
      <c r="N18" s="33">
        <v>1750</v>
      </c>
      <c r="O18" s="33">
        <v>55</v>
      </c>
      <c r="P18" s="33">
        <v>16</v>
      </c>
      <c r="Q18" s="42">
        <v>608</v>
      </c>
      <c r="R18" s="40">
        <v>1074.13333333333</v>
      </c>
      <c r="S18" s="18">
        <v>0</v>
      </c>
      <c r="T18" s="18">
        <v>192</v>
      </c>
      <c r="U18" s="18">
        <v>208</v>
      </c>
      <c r="V18" s="18">
        <v>122.66</v>
      </c>
      <c r="W18" s="18">
        <v>69.33</v>
      </c>
      <c r="X18" s="41">
        <v>10.66</v>
      </c>
      <c r="Y18" s="18">
        <v>0</v>
      </c>
      <c r="Z18" s="18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400</v>
      </c>
      <c r="AF18" s="17">
        <v>202.65</v>
      </c>
      <c r="AG18" s="17">
        <v>0</v>
      </c>
      <c r="AH18" s="17">
        <v>0</v>
      </c>
      <c r="AI18" s="17">
        <v>0.663735169667303</v>
      </c>
      <c r="AJ18" s="17">
        <v>0.336264830332697</v>
      </c>
      <c r="AK18" s="17">
        <v>0</v>
      </c>
      <c r="AL18" s="17">
        <v>0</v>
      </c>
      <c r="AM18" s="55">
        <v>0.961271794510974</v>
      </c>
      <c r="AN18" s="66">
        <v>62.9</v>
      </c>
      <c r="AO18" s="81">
        <v>0.842105263157895</v>
      </c>
    </row>
    <row r="19" spans="1:41">
      <c r="A19" s="29" t="s">
        <v>67</v>
      </c>
      <c r="B19" s="17">
        <v>2009</v>
      </c>
      <c r="C19" s="18" t="s">
        <v>60</v>
      </c>
      <c r="D19" s="18">
        <v>-1.5</v>
      </c>
      <c r="E19" s="17" t="s">
        <v>61</v>
      </c>
      <c r="F19" s="17" t="s">
        <v>62</v>
      </c>
      <c r="G19" s="19" t="s">
        <v>16</v>
      </c>
      <c r="H19" s="17">
        <v>0</v>
      </c>
      <c r="I19" s="17">
        <v>0</v>
      </c>
      <c r="J19" s="17">
        <v>0</v>
      </c>
      <c r="K19" s="17">
        <v>0</v>
      </c>
      <c r="L19" s="17">
        <v>1</v>
      </c>
      <c r="M19" s="17">
        <v>55</v>
      </c>
      <c r="N19" s="33">
        <v>1750</v>
      </c>
      <c r="O19" s="33">
        <v>69</v>
      </c>
      <c r="P19" s="33">
        <v>16</v>
      </c>
      <c r="Q19" s="40">
        <v>1562.66666666667</v>
      </c>
      <c r="R19" s="40">
        <v>2341.33333333333</v>
      </c>
      <c r="S19" s="18">
        <v>0</v>
      </c>
      <c r="T19" s="18">
        <v>325.33</v>
      </c>
      <c r="U19" s="18">
        <v>490.66</v>
      </c>
      <c r="V19" s="18">
        <v>522.66</v>
      </c>
      <c r="W19" s="18">
        <v>218.66</v>
      </c>
      <c r="X19" s="41">
        <v>5.33</v>
      </c>
      <c r="Y19" s="18">
        <v>0</v>
      </c>
      <c r="Z19" s="18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815.99</v>
      </c>
      <c r="AF19" s="17">
        <v>746.65</v>
      </c>
      <c r="AG19" s="17">
        <v>0</v>
      </c>
      <c r="AH19" s="17">
        <v>0</v>
      </c>
      <c r="AI19" s="17">
        <v>0.522186812061639</v>
      </c>
      <c r="AJ19" s="17">
        <v>0.477813187938361</v>
      </c>
      <c r="AK19" s="17">
        <v>0</v>
      </c>
      <c r="AL19" s="17">
        <v>0</v>
      </c>
      <c r="AM19" s="55">
        <v>0.874554435638434</v>
      </c>
      <c r="AN19" s="66">
        <v>48.9</v>
      </c>
      <c r="AO19" s="81">
        <v>0.726618705035971</v>
      </c>
    </row>
    <row r="20" spans="1:41">
      <c r="A20" s="29" t="s">
        <v>68</v>
      </c>
      <c r="B20" s="17">
        <v>2009</v>
      </c>
      <c r="C20" s="18" t="s">
        <v>60</v>
      </c>
      <c r="D20" s="18">
        <v>-3.5</v>
      </c>
      <c r="E20" s="17" t="s">
        <v>61</v>
      </c>
      <c r="F20" s="17" t="s">
        <v>62</v>
      </c>
      <c r="G20" s="19" t="s">
        <v>16</v>
      </c>
      <c r="H20" s="17">
        <v>0</v>
      </c>
      <c r="I20" s="17">
        <v>0</v>
      </c>
      <c r="J20" s="17">
        <v>0</v>
      </c>
      <c r="K20" s="17">
        <v>0</v>
      </c>
      <c r="L20" s="17">
        <v>1</v>
      </c>
      <c r="M20" s="17">
        <v>75</v>
      </c>
      <c r="N20" s="33">
        <v>1750</v>
      </c>
      <c r="O20" s="33">
        <v>67</v>
      </c>
      <c r="P20" s="33">
        <v>16</v>
      </c>
      <c r="Q20" s="42">
        <v>192</v>
      </c>
      <c r="R20" s="40">
        <v>1650.1</v>
      </c>
      <c r="S20" s="18">
        <v>0</v>
      </c>
      <c r="T20" s="18">
        <v>0</v>
      </c>
      <c r="U20" s="18">
        <v>21.33</v>
      </c>
      <c r="V20" s="18">
        <v>26.66</v>
      </c>
      <c r="W20" s="18">
        <v>42.66</v>
      </c>
      <c r="X20" s="41">
        <v>10.66</v>
      </c>
      <c r="Y20" s="41">
        <v>5.33</v>
      </c>
      <c r="Z20" s="18">
        <v>32</v>
      </c>
      <c r="AA20" s="18">
        <v>26.66</v>
      </c>
      <c r="AB20" s="41">
        <v>10.66</v>
      </c>
      <c r="AC20" s="41">
        <v>16</v>
      </c>
      <c r="AD20" s="17">
        <v>0</v>
      </c>
      <c r="AE20" s="17">
        <v>21.33</v>
      </c>
      <c r="AF20" s="17">
        <v>79.98</v>
      </c>
      <c r="AG20" s="17">
        <v>63.99</v>
      </c>
      <c r="AH20" s="17">
        <v>26.66</v>
      </c>
      <c r="AI20" s="17">
        <v>0.111116899354032</v>
      </c>
      <c r="AJ20" s="17">
        <v>0.416649301937904</v>
      </c>
      <c r="AK20" s="17">
        <v>0.333350698062096</v>
      </c>
      <c r="AL20" s="17">
        <v>0.138883100645968</v>
      </c>
      <c r="AM20" s="55">
        <v>0.994469195123074</v>
      </c>
      <c r="AN20" s="66">
        <v>62.9</v>
      </c>
      <c r="AO20" s="81">
        <v>0.433333333333333</v>
      </c>
    </row>
    <row r="21" spans="1:41">
      <c r="A21" s="28" t="s">
        <v>69</v>
      </c>
      <c r="B21" s="22">
        <v>2009</v>
      </c>
      <c r="C21" s="22" t="s">
        <v>70</v>
      </c>
      <c r="D21" s="22">
        <v>2</v>
      </c>
      <c r="E21" s="21" t="s">
        <v>61</v>
      </c>
      <c r="F21" s="21" t="s">
        <v>62</v>
      </c>
      <c r="G21" s="21" t="s">
        <v>47</v>
      </c>
      <c r="H21" s="21">
        <v>1</v>
      </c>
      <c r="I21" s="21">
        <v>1</v>
      </c>
      <c r="J21" s="21">
        <v>0</v>
      </c>
      <c r="K21" s="21">
        <v>1</v>
      </c>
      <c r="L21" s="21">
        <v>0</v>
      </c>
      <c r="M21" s="21">
        <v>20</v>
      </c>
      <c r="N21" s="34">
        <v>2550</v>
      </c>
      <c r="O21" s="34">
        <v>9</v>
      </c>
      <c r="P21" s="34">
        <v>12</v>
      </c>
      <c r="Q21" s="44">
        <v>2366.6</v>
      </c>
      <c r="R21" s="44">
        <v>1917.6</v>
      </c>
      <c r="S21" s="22">
        <v>100</v>
      </c>
      <c r="T21" s="22">
        <v>433.33</v>
      </c>
      <c r="U21" s="22">
        <v>300</v>
      </c>
      <c r="V21" s="22">
        <v>766.66</v>
      </c>
      <c r="W21" s="22">
        <v>233.333</v>
      </c>
      <c r="X21" s="22">
        <v>166.66</v>
      </c>
      <c r="Y21" s="22">
        <v>133.33</v>
      </c>
      <c r="Z21" s="22">
        <v>100</v>
      </c>
      <c r="AA21" s="22">
        <v>133.33</v>
      </c>
      <c r="AB21" s="21">
        <v>0</v>
      </c>
      <c r="AC21" s="21">
        <v>0</v>
      </c>
      <c r="AD21" s="21">
        <v>0</v>
      </c>
      <c r="AE21" s="21">
        <v>733.33</v>
      </c>
      <c r="AF21" s="21">
        <v>1166.653</v>
      </c>
      <c r="AG21" s="21">
        <v>366.66</v>
      </c>
      <c r="AH21" s="21">
        <v>0</v>
      </c>
      <c r="AI21" s="21">
        <v>0.323531319224068</v>
      </c>
      <c r="AJ21" s="21">
        <v>0.514705227069283</v>
      </c>
      <c r="AK21" s="21">
        <v>0.161763453706649</v>
      </c>
      <c r="AL21" s="21">
        <v>0</v>
      </c>
      <c r="AM21" s="71">
        <v>0.640585277583472</v>
      </c>
      <c r="AN21" s="68">
        <v>42.6</v>
      </c>
      <c r="AO21" s="82">
        <v>0.6875</v>
      </c>
    </row>
    <row r="22" spans="1:41">
      <c r="A22" s="29" t="s">
        <v>71</v>
      </c>
      <c r="B22" s="18">
        <v>2009</v>
      </c>
      <c r="C22" s="18" t="s">
        <v>70</v>
      </c>
      <c r="D22" s="18">
        <v>1.5</v>
      </c>
      <c r="E22" s="17" t="s">
        <v>61</v>
      </c>
      <c r="F22" s="17" t="s">
        <v>62</v>
      </c>
      <c r="G22" s="17" t="s">
        <v>47</v>
      </c>
      <c r="H22" s="17">
        <v>1</v>
      </c>
      <c r="I22" s="17">
        <v>0</v>
      </c>
      <c r="J22" s="17">
        <v>1</v>
      </c>
      <c r="K22" s="17">
        <v>0</v>
      </c>
      <c r="L22" s="17">
        <v>0</v>
      </c>
      <c r="M22" s="17">
        <v>30</v>
      </c>
      <c r="N22" s="33">
        <v>2550</v>
      </c>
      <c r="O22" s="33">
        <v>10</v>
      </c>
      <c r="P22" s="33">
        <v>12</v>
      </c>
      <c r="Q22" s="51">
        <v>6800</v>
      </c>
      <c r="R22" s="40">
        <v>2032.3</v>
      </c>
      <c r="S22" s="41">
        <v>33.33</v>
      </c>
      <c r="T22" s="18">
        <v>1500</v>
      </c>
      <c r="U22" s="18">
        <v>3266.66</v>
      </c>
      <c r="V22" s="18">
        <v>1000</v>
      </c>
      <c r="W22" s="41">
        <v>100</v>
      </c>
      <c r="X22" s="41">
        <v>33.33</v>
      </c>
      <c r="Y22" s="18">
        <v>166.66</v>
      </c>
      <c r="Z22" s="18">
        <v>166.66</v>
      </c>
      <c r="AA22" s="18">
        <v>266.66</v>
      </c>
      <c r="AB22" s="18">
        <v>133.33</v>
      </c>
      <c r="AC22" s="18">
        <v>133.33</v>
      </c>
      <c r="AD22" s="17">
        <v>0</v>
      </c>
      <c r="AE22" s="17">
        <v>4766.66</v>
      </c>
      <c r="AF22" s="17">
        <v>1133.33</v>
      </c>
      <c r="AG22" s="17">
        <v>599.98</v>
      </c>
      <c r="AH22" s="17">
        <v>266.66</v>
      </c>
      <c r="AI22" s="17">
        <v>0.704436329457943</v>
      </c>
      <c r="AJ22" s="17">
        <v>0.16748809968921</v>
      </c>
      <c r="AK22" s="17">
        <v>0.0886674755380448</v>
      </c>
      <c r="AL22" s="17">
        <v>0.0394080953148022</v>
      </c>
      <c r="AM22" s="72">
        <v>0.647789686152323</v>
      </c>
      <c r="AN22" s="66">
        <v>36.1</v>
      </c>
      <c r="AO22" s="81">
        <v>0.631578947368421</v>
      </c>
    </row>
    <row r="23" spans="1:41">
      <c r="A23" s="29" t="s">
        <v>72</v>
      </c>
      <c r="B23" s="18">
        <v>2009</v>
      </c>
      <c r="C23" s="18" t="s">
        <v>70</v>
      </c>
      <c r="D23" s="18">
        <v>1</v>
      </c>
      <c r="E23" s="17" t="s">
        <v>61</v>
      </c>
      <c r="F23" s="17" t="s">
        <v>62</v>
      </c>
      <c r="G23" s="17" t="s">
        <v>47</v>
      </c>
      <c r="H23" s="17">
        <v>1</v>
      </c>
      <c r="I23" s="17">
        <v>0</v>
      </c>
      <c r="J23" s="17">
        <v>1</v>
      </c>
      <c r="K23" s="17">
        <v>0</v>
      </c>
      <c r="L23" s="17">
        <v>0</v>
      </c>
      <c r="M23" s="17">
        <v>50</v>
      </c>
      <c r="N23" s="33">
        <v>2550</v>
      </c>
      <c r="O23" s="33">
        <v>10</v>
      </c>
      <c r="P23" s="33">
        <v>12</v>
      </c>
      <c r="Q23" s="40">
        <v>9566.6</v>
      </c>
      <c r="R23" s="40">
        <v>2489.6</v>
      </c>
      <c r="S23" s="18">
        <v>1033.33</v>
      </c>
      <c r="T23" s="18">
        <v>2300</v>
      </c>
      <c r="U23" s="18">
        <v>2566.66</v>
      </c>
      <c r="V23" s="18">
        <v>2200</v>
      </c>
      <c r="W23" s="18">
        <v>866.66</v>
      </c>
      <c r="X23" s="18">
        <v>466.66</v>
      </c>
      <c r="Y23" s="18">
        <v>133.33</v>
      </c>
      <c r="Z23" s="18">
        <v>0</v>
      </c>
      <c r="AA23" s="18">
        <v>0</v>
      </c>
      <c r="AB23" s="18">
        <v>0</v>
      </c>
      <c r="AC23" s="18">
        <v>0</v>
      </c>
      <c r="AD23" s="17">
        <v>0</v>
      </c>
      <c r="AE23" s="17">
        <v>4866.66</v>
      </c>
      <c r="AF23" s="17">
        <v>3533.32</v>
      </c>
      <c r="AG23" s="17">
        <v>133.33</v>
      </c>
      <c r="AH23" s="17">
        <v>0</v>
      </c>
      <c r="AI23" s="17">
        <v>0.57031327820037</v>
      </c>
      <c r="AJ23" s="17">
        <v>0.414062069700972</v>
      </c>
      <c r="AK23" s="17">
        <v>0.0156246520986581</v>
      </c>
      <c r="AL23" s="17">
        <v>0</v>
      </c>
      <c r="AM23" s="72">
        <v>0.585686977472129</v>
      </c>
      <c r="AN23" s="66">
        <v>30.4</v>
      </c>
      <c r="AO23" s="81">
        <v>0.542857142857143</v>
      </c>
    </row>
    <row r="24" ht="15" customHeight="1" spans="1:41">
      <c r="A24" s="29" t="s">
        <v>73</v>
      </c>
      <c r="B24" s="18">
        <v>2009</v>
      </c>
      <c r="C24" s="18" t="s">
        <v>70</v>
      </c>
      <c r="D24" s="18">
        <v>0.5</v>
      </c>
      <c r="E24" s="17" t="s">
        <v>61</v>
      </c>
      <c r="F24" s="17" t="s">
        <v>62</v>
      </c>
      <c r="G24" s="17" t="s">
        <v>47</v>
      </c>
      <c r="H24" s="17">
        <v>1</v>
      </c>
      <c r="I24" s="17">
        <v>0</v>
      </c>
      <c r="J24" s="17">
        <v>1</v>
      </c>
      <c r="K24" s="17">
        <v>0</v>
      </c>
      <c r="L24" s="17">
        <v>0</v>
      </c>
      <c r="M24" s="17">
        <v>75</v>
      </c>
      <c r="N24" s="33">
        <v>2550</v>
      </c>
      <c r="O24" s="33">
        <v>15</v>
      </c>
      <c r="P24" s="33">
        <v>12</v>
      </c>
      <c r="Q24" s="40">
        <v>15066.66</v>
      </c>
      <c r="R24" s="52">
        <v>2311.67</v>
      </c>
      <c r="S24" s="18">
        <v>6266.66</v>
      </c>
      <c r="T24" s="18">
        <v>4166.66</v>
      </c>
      <c r="U24" s="18">
        <v>2533.33</v>
      </c>
      <c r="V24" s="18">
        <v>1466.66</v>
      </c>
      <c r="W24" s="18">
        <v>533.33</v>
      </c>
      <c r="X24" s="41">
        <v>100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7">
        <v>0</v>
      </c>
      <c r="AE24" s="17">
        <v>6699.99</v>
      </c>
      <c r="AF24" s="17">
        <v>2099.99</v>
      </c>
      <c r="AG24" s="17">
        <v>0</v>
      </c>
      <c r="AH24" s="17">
        <v>0</v>
      </c>
      <c r="AI24" s="17">
        <v>0.761364230373251</v>
      </c>
      <c r="AJ24" s="17">
        <v>0.238635769626749</v>
      </c>
      <c r="AK24" s="17">
        <v>0</v>
      </c>
      <c r="AL24" s="17">
        <v>0</v>
      </c>
      <c r="AM24" s="73">
        <v>0.82</v>
      </c>
      <c r="AN24" s="74">
        <v>35.2</v>
      </c>
      <c r="AO24" s="81">
        <v>0.4</v>
      </c>
    </row>
    <row r="25" spans="1:41">
      <c r="A25" s="29" t="s">
        <v>74</v>
      </c>
      <c r="B25" s="18">
        <v>2009</v>
      </c>
      <c r="C25" s="18" t="s">
        <v>70</v>
      </c>
      <c r="D25" s="18">
        <v>-0.5</v>
      </c>
      <c r="E25" s="17" t="s">
        <v>61</v>
      </c>
      <c r="F25" s="17" t="s">
        <v>62</v>
      </c>
      <c r="G25" s="17" t="s">
        <v>47</v>
      </c>
      <c r="H25" s="17">
        <v>0</v>
      </c>
      <c r="I25" s="17">
        <v>0</v>
      </c>
      <c r="J25" s="17">
        <v>0</v>
      </c>
      <c r="K25" s="17">
        <v>0</v>
      </c>
      <c r="L25" s="17">
        <v>1</v>
      </c>
      <c r="M25" s="17">
        <v>45</v>
      </c>
      <c r="N25" s="33">
        <v>2550</v>
      </c>
      <c r="O25" s="33">
        <v>40</v>
      </c>
      <c r="P25" s="33">
        <v>12</v>
      </c>
      <c r="Q25" s="42">
        <v>38560</v>
      </c>
      <c r="R25" s="52">
        <v>4428.1</v>
      </c>
      <c r="S25" s="18">
        <v>20120</v>
      </c>
      <c r="T25" s="18">
        <v>8820</v>
      </c>
      <c r="U25" s="18">
        <v>8120</v>
      </c>
      <c r="V25" s="18">
        <v>1400</v>
      </c>
      <c r="W25" s="18">
        <v>80</v>
      </c>
      <c r="X25" s="41">
        <v>0</v>
      </c>
      <c r="Y25" s="18">
        <v>0</v>
      </c>
      <c r="Z25" s="18">
        <v>20</v>
      </c>
      <c r="AA25" s="17">
        <v>0</v>
      </c>
      <c r="AB25" s="17">
        <v>0</v>
      </c>
      <c r="AC25" s="17">
        <v>0</v>
      </c>
      <c r="AD25" s="17">
        <v>0</v>
      </c>
      <c r="AE25" s="17">
        <v>16940</v>
      </c>
      <c r="AF25" s="17">
        <v>1480</v>
      </c>
      <c r="AG25" s="17">
        <v>20</v>
      </c>
      <c r="AH25" s="17">
        <v>0</v>
      </c>
      <c r="AI25" s="17">
        <v>0.918655097613883</v>
      </c>
      <c r="AJ25" s="17">
        <v>0.0802603036876356</v>
      </c>
      <c r="AK25" s="17">
        <v>0.00108459869848156</v>
      </c>
      <c r="AL25" s="17">
        <v>0</v>
      </c>
      <c r="AM25" s="73">
        <v>0.77</v>
      </c>
      <c r="AN25" s="74">
        <v>23.6</v>
      </c>
      <c r="AO25" s="81">
        <v>0.424242424242424</v>
      </c>
    </row>
    <row r="26" spans="1:41">
      <c r="A26" s="30" t="s">
        <v>75</v>
      </c>
      <c r="B26" s="26">
        <v>2009</v>
      </c>
      <c r="C26" s="26" t="s">
        <v>70</v>
      </c>
      <c r="D26" s="26">
        <v>-1.5</v>
      </c>
      <c r="E26" s="25" t="s">
        <v>61</v>
      </c>
      <c r="F26" s="25" t="s">
        <v>62</v>
      </c>
      <c r="G26" s="25" t="s">
        <v>47</v>
      </c>
      <c r="H26" s="25">
        <v>0</v>
      </c>
      <c r="I26" s="25">
        <v>0</v>
      </c>
      <c r="J26" s="25">
        <v>0</v>
      </c>
      <c r="K26" s="25">
        <v>0</v>
      </c>
      <c r="L26" s="25">
        <v>1</v>
      </c>
      <c r="M26" s="25">
        <v>50</v>
      </c>
      <c r="N26" s="35">
        <v>2550</v>
      </c>
      <c r="O26" s="35">
        <v>65</v>
      </c>
      <c r="P26" s="35">
        <v>12</v>
      </c>
      <c r="Q26" s="46">
        <v>7860</v>
      </c>
      <c r="R26" s="53">
        <v>9975.1</v>
      </c>
      <c r="S26" s="54">
        <v>3430</v>
      </c>
      <c r="T26" s="26">
        <v>1660</v>
      </c>
      <c r="U26" s="26">
        <v>1240</v>
      </c>
      <c r="V26" s="26">
        <v>420</v>
      </c>
      <c r="W26" s="26">
        <v>170</v>
      </c>
      <c r="X26" s="26">
        <v>40</v>
      </c>
      <c r="Y26" s="26">
        <v>90</v>
      </c>
      <c r="Z26" s="26">
        <v>90</v>
      </c>
      <c r="AA26" s="26">
        <v>200</v>
      </c>
      <c r="AB26" s="26">
        <v>400</v>
      </c>
      <c r="AC26" s="26">
        <v>110</v>
      </c>
      <c r="AD26" s="26">
        <v>10</v>
      </c>
      <c r="AE26" s="26">
        <v>2900</v>
      </c>
      <c r="AF26" s="26">
        <v>630</v>
      </c>
      <c r="AG26" s="26">
        <v>380</v>
      </c>
      <c r="AH26" s="26">
        <v>520</v>
      </c>
      <c r="AI26" s="26">
        <v>0.654627539503386</v>
      </c>
      <c r="AJ26" s="26">
        <v>0.142212189616253</v>
      </c>
      <c r="AK26" s="26">
        <v>0.0857787810383747</v>
      </c>
      <c r="AL26" s="26">
        <v>0.117381489841986</v>
      </c>
      <c r="AM26" s="75">
        <v>0.95</v>
      </c>
      <c r="AN26" s="76">
        <v>86.7</v>
      </c>
      <c r="AO26" s="83">
        <v>0.463414634146341</v>
      </c>
    </row>
    <row r="27" ht="15" customHeight="1" spans="1:41">
      <c r="A27" s="28" t="s">
        <v>76</v>
      </c>
      <c r="B27" s="22">
        <v>2010</v>
      </c>
      <c r="C27" s="22" t="s">
        <v>77</v>
      </c>
      <c r="D27" s="22">
        <v>1.5</v>
      </c>
      <c r="E27" s="23" t="s">
        <v>43</v>
      </c>
      <c r="F27" s="23" t="s">
        <v>44</v>
      </c>
      <c r="G27" s="21" t="s">
        <v>47</v>
      </c>
      <c r="H27" s="21">
        <v>1</v>
      </c>
      <c r="I27" s="21">
        <v>1</v>
      </c>
      <c r="J27" s="21">
        <v>0</v>
      </c>
      <c r="K27" s="21">
        <v>1</v>
      </c>
      <c r="L27" s="21">
        <v>0</v>
      </c>
      <c r="M27" s="21">
        <v>5</v>
      </c>
      <c r="N27" s="34">
        <v>650</v>
      </c>
      <c r="O27" s="34">
        <v>12</v>
      </c>
      <c r="P27" s="34">
        <v>420</v>
      </c>
      <c r="Q27" s="44">
        <v>32.5</v>
      </c>
      <c r="R27" s="44">
        <v>73.7</v>
      </c>
      <c r="S27" s="22">
        <v>0</v>
      </c>
      <c r="T27" s="22">
        <v>0</v>
      </c>
      <c r="U27" s="44">
        <v>7.5</v>
      </c>
      <c r="V27" s="44">
        <v>2.5</v>
      </c>
      <c r="W27" s="44">
        <v>12.5</v>
      </c>
      <c r="X27" s="44">
        <v>5</v>
      </c>
      <c r="Y27" s="22">
        <v>0</v>
      </c>
      <c r="Z27" s="44">
        <v>2.5</v>
      </c>
      <c r="AA27" s="22">
        <v>0</v>
      </c>
      <c r="AB27" s="44">
        <v>2.5</v>
      </c>
      <c r="AC27" s="22">
        <v>0</v>
      </c>
      <c r="AD27" s="22">
        <v>0</v>
      </c>
      <c r="AE27" s="22">
        <v>7.5</v>
      </c>
      <c r="AF27" s="22">
        <v>20</v>
      </c>
      <c r="AG27" s="22">
        <v>2.5</v>
      </c>
      <c r="AH27" s="22">
        <v>2.5</v>
      </c>
      <c r="AI27" s="22">
        <v>0.230769230769231</v>
      </c>
      <c r="AJ27" s="22">
        <v>0.615384615384615</v>
      </c>
      <c r="AK27" s="22">
        <v>0.0769230769230769</v>
      </c>
      <c r="AL27" s="22">
        <v>0.0769230769230769</v>
      </c>
      <c r="AM27" s="77">
        <v>0.79</v>
      </c>
      <c r="AN27" s="78">
        <v>55.5</v>
      </c>
      <c r="AO27" s="82">
        <v>0.84</v>
      </c>
    </row>
    <row r="28" spans="1:41">
      <c r="A28" s="29" t="s">
        <v>78</v>
      </c>
      <c r="B28" s="18">
        <v>2010</v>
      </c>
      <c r="C28" s="18" t="s">
        <v>77</v>
      </c>
      <c r="D28" s="18">
        <v>1</v>
      </c>
      <c r="E28" s="19" t="s">
        <v>43</v>
      </c>
      <c r="F28" s="19" t="s">
        <v>44</v>
      </c>
      <c r="G28" s="17" t="s">
        <v>47</v>
      </c>
      <c r="H28" s="17">
        <v>1</v>
      </c>
      <c r="I28" s="17">
        <v>1</v>
      </c>
      <c r="J28" s="17">
        <v>0</v>
      </c>
      <c r="K28" s="17">
        <v>1</v>
      </c>
      <c r="L28" s="17">
        <v>0</v>
      </c>
      <c r="M28" s="17">
        <v>8</v>
      </c>
      <c r="N28" s="33">
        <v>650</v>
      </c>
      <c r="O28" s="33">
        <v>10</v>
      </c>
      <c r="P28" s="33">
        <v>420</v>
      </c>
      <c r="Q28" s="42">
        <v>156</v>
      </c>
      <c r="R28" s="42">
        <v>132</v>
      </c>
      <c r="S28" s="42">
        <v>6</v>
      </c>
      <c r="T28" s="42">
        <v>42</v>
      </c>
      <c r="U28" s="42">
        <v>42</v>
      </c>
      <c r="V28" s="51">
        <v>12</v>
      </c>
      <c r="W28" s="51">
        <v>30</v>
      </c>
      <c r="X28" s="51">
        <v>6</v>
      </c>
      <c r="Y28" s="51">
        <v>18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84</v>
      </c>
      <c r="AF28" s="51">
        <v>48</v>
      </c>
      <c r="AG28" s="51">
        <v>18</v>
      </c>
      <c r="AH28" s="51">
        <v>0</v>
      </c>
      <c r="AI28" s="51">
        <v>0.56</v>
      </c>
      <c r="AJ28" s="51">
        <v>0.32</v>
      </c>
      <c r="AK28" s="51">
        <v>0.12</v>
      </c>
      <c r="AL28" s="51">
        <v>0</v>
      </c>
      <c r="AM28" s="73">
        <v>0.79</v>
      </c>
      <c r="AN28" s="74">
        <v>40.9</v>
      </c>
      <c r="AO28" s="81">
        <v>0.84</v>
      </c>
    </row>
    <row r="29" spans="1:41">
      <c r="A29" s="29" t="s">
        <v>79</v>
      </c>
      <c r="B29" s="18">
        <v>2010</v>
      </c>
      <c r="C29" s="18" t="s">
        <v>77</v>
      </c>
      <c r="D29" s="18">
        <v>0.5</v>
      </c>
      <c r="E29" s="19" t="s">
        <v>43</v>
      </c>
      <c r="F29" s="19" t="s">
        <v>44</v>
      </c>
      <c r="G29" s="17" t="s">
        <v>47</v>
      </c>
      <c r="H29" s="17">
        <v>1</v>
      </c>
      <c r="I29" s="17">
        <v>1</v>
      </c>
      <c r="J29" s="17">
        <v>0</v>
      </c>
      <c r="K29" s="17">
        <v>1</v>
      </c>
      <c r="L29" s="17">
        <v>0</v>
      </c>
      <c r="M29" s="17">
        <v>12</v>
      </c>
      <c r="N29" s="33">
        <v>650</v>
      </c>
      <c r="O29" s="33">
        <v>2</v>
      </c>
      <c r="P29" s="33">
        <v>420</v>
      </c>
      <c r="Q29" s="42">
        <v>2133.33</v>
      </c>
      <c r="R29" s="42">
        <v>1751</v>
      </c>
      <c r="S29" s="55">
        <v>966.67</v>
      </c>
      <c r="T29" s="51">
        <v>600</v>
      </c>
      <c r="U29" s="55">
        <v>233.33</v>
      </c>
      <c r="V29" s="51">
        <v>133.33</v>
      </c>
      <c r="W29" s="51">
        <v>100</v>
      </c>
      <c r="X29" s="51">
        <v>33.33</v>
      </c>
      <c r="Y29" s="51">
        <v>0</v>
      </c>
      <c r="Z29" s="51">
        <v>0</v>
      </c>
      <c r="AA29" s="51">
        <v>33.33</v>
      </c>
      <c r="AB29" s="51">
        <v>0</v>
      </c>
      <c r="AC29" s="51">
        <v>0</v>
      </c>
      <c r="AD29" s="51">
        <v>33.33</v>
      </c>
      <c r="AE29" s="51">
        <v>833.33</v>
      </c>
      <c r="AF29" s="51">
        <v>266.66</v>
      </c>
      <c r="AG29" s="51">
        <v>33.33</v>
      </c>
      <c r="AH29" s="51">
        <v>33.33</v>
      </c>
      <c r="AI29" s="51">
        <v>0.714293061329448</v>
      </c>
      <c r="AJ29" s="51">
        <v>0.228568979556851</v>
      </c>
      <c r="AK29" s="51">
        <v>0.0285689795568508</v>
      </c>
      <c r="AL29" s="51">
        <v>0.0285689795568508</v>
      </c>
      <c r="AM29" s="73">
        <v>0.81</v>
      </c>
      <c r="AN29" s="74">
        <v>77.4</v>
      </c>
      <c r="AO29" s="81">
        <v>0.32</v>
      </c>
    </row>
    <row r="30" spans="1:41">
      <c r="A30" s="31" t="s">
        <v>80</v>
      </c>
      <c r="B30" s="18">
        <v>2010</v>
      </c>
      <c r="C30" s="18" t="s">
        <v>77</v>
      </c>
      <c r="D30" s="18">
        <v>-0.5</v>
      </c>
      <c r="E30" s="19" t="s">
        <v>43</v>
      </c>
      <c r="F30" s="19" t="s">
        <v>44</v>
      </c>
      <c r="G30" s="17" t="s">
        <v>47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33">
        <v>650</v>
      </c>
      <c r="O30" s="33">
        <v>45</v>
      </c>
      <c r="P30" s="33">
        <v>420</v>
      </c>
      <c r="Q30" s="42">
        <v>900</v>
      </c>
      <c r="R30" s="51">
        <v>3106</v>
      </c>
      <c r="S30" s="18">
        <v>0</v>
      </c>
      <c r="T30" s="51">
        <v>200</v>
      </c>
      <c r="U30" s="55">
        <v>266.67</v>
      </c>
      <c r="V30" s="51">
        <v>33.33</v>
      </c>
      <c r="W30" s="51">
        <v>166.67</v>
      </c>
      <c r="X30" s="51">
        <v>100</v>
      </c>
      <c r="Y30" s="51">
        <v>33.33</v>
      </c>
      <c r="Z30" s="51">
        <v>0</v>
      </c>
      <c r="AA30" s="51">
        <v>0</v>
      </c>
      <c r="AB30" s="51">
        <v>66.67</v>
      </c>
      <c r="AC30" s="51">
        <v>66.67</v>
      </c>
      <c r="AD30" s="51">
        <v>0</v>
      </c>
      <c r="AE30" s="51">
        <v>466.67</v>
      </c>
      <c r="AF30" s="51">
        <v>300</v>
      </c>
      <c r="AG30" s="51">
        <v>33.33</v>
      </c>
      <c r="AH30" s="51">
        <v>133.34</v>
      </c>
      <c r="AI30" s="51">
        <v>0.5</v>
      </c>
      <c r="AJ30" s="51">
        <v>0.321426275526603</v>
      </c>
      <c r="AK30" s="51">
        <v>0.0357104592110056</v>
      </c>
      <c r="AL30" s="51">
        <v>0.142863265262391</v>
      </c>
      <c r="AM30" s="73">
        <v>0.81</v>
      </c>
      <c r="AN30" s="74">
        <v>82.6</v>
      </c>
      <c r="AO30" s="81">
        <v>0.32</v>
      </c>
    </row>
    <row r="31" spans="1:41">
      <c r="A31" s="31" t="s">
        <v>81</v>
      </c>
      <c r="B31" s="18">
        <v>2010</v>
      </c>
      <c r="C31" s="18" t="s">
        <v>77</v>
      </c>
      <c r="D31" s="18">
        <v>-1.5</v>
      </c>
      <c r="E31" s="19" t="s">
        <v>43</v>
      </c>
      <c r="F31" s="19" t="s">
        <v>44</v>
      </c>
      <c r="G31" s="17" t="s">
        <v>47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33">
        <v>650</v>
      </c>
      <c r="O31" s="33">
        <v>48</v>
      </c>
      <c r="P31" s="33">
        <v>420</v>
      </c>
      <c r="Q31" s="40">
        <v>133.3</v>
      </c>
      <c r="R31" s="40">
        <v>1058.3</v>
      </c>
      <c r="S31" s="51">
        <v>0</v>
      </c>
      <c r="T31" s="55">
        <v>33.33</v>
      </c>
      <c r="U31" s="51">
        <v>0</v>
      </c>
      <c r="V31" s="51">
        <v>0</v>
      </c>
      <c r="W31" s="51">
        <v>33.33</v>
      </c>
      <c r="X31" s="51">
        <v>0</v>
      </c>
      <c r="Y31" s="51">
        <v>33.33</v>
      </c>
      <c r="Z31" s="51">
        <v>0</v>
      </c>
      <c r="AA31" s="51">
        <v>0</v>
      </c>
      <c r="AB31" s="51">
        <v>33.33</v>
      </c>
      <c r="AC31" s="51">
        <v>0</v>
      </c>
      <c r="AD31" s="51">
        <v>0</v>
      </c>
      <c r="AE31" s="51">
        <v>33.33</v>
      </c>
      <c r="AF31" s="51">
        <v>33.33</v>
      </c>
      <c r="AG31" s="51">
        <v>33.33</v>
      </c>
      <c r="AH31" s="51">
        <v>33.33</v>
      </c>
      <c r="AI31" s="51">
        <v>0.25</v>
      </c>
      <c r="AJ31" s="51">
        <v>0.25</v>
      </c>
      <c r="AK31" s="51">
        <v>0.25</v>
      </c>
      <c r="AL31" s="51">
        <v>0.25</v>
      </c>
      <c r="AM31" s="73">
        <v>0.86</v>
      </c>
      <c r="AN31" s="74">
        <v>80.9</v>
      </c>
      <c r="AO31" s="81">
        <v>0.16</v>
      </c>
    </row>
    <row r="32" ht="15" customHeight="1" spans="1:41">
      <c r="A32" s="28" t="s">
        <v>82</v>
      </c>
      <c r="B32" s="22">
        <v>2010</v>
      </c>
      <c r="C32" s="22" t="s">
        <v>83</v>
      </c>
      <c r="D32" s="22">
        <v>-3.5</v>
      </c>
      <c r="E32" s="23" t="s">
        <v>43</v>
      </c>
      <c r="F32" s="23" t="s">
        <v>44</v>
      </c>
      <c r="G32" s="23" t="s">
        <v>16</v>
      </c>
      <c r="H32" s="21">
        <v>0</v>
      </c>
      <c r="I32" s="23">
        <v>0</v>
      </c>
      <c r="J32" s="23">
        <v>0</v>
      </c>
      <c r="K32" s="23">
        <v>0</v>
      </c>
      <c r="L32" s="21">
        <v>0</v>
      </c>
      <c r="M32" s="21">
        <v>0</v>
      </c>
      <c r="N32" s="34">
        <v>800</v>
      </c>
      <c r="O32" s="34">
        <v>55</v>
      </c>
      <c r="P32" s="34">
        <v>110</v>
      </c>
      <c r="Q32" s="22">
        <v>3266.67</v>
      </c>
      <c r="R32" s="56">
        <v>3602</v>
      </c>
      <c r="S32" s="57">
        <v>666.666666666667</v>
      </c>
      <c r="T32" s="57">
        <v>633.333333333333</v>
      </c>
      <c r="U32" s="58">
        <v>500</v>
      </c>
      <c r="V32" s="57">
        <v>866.666666666667</v>
      </c>
      <c r="W32" s="58">
        <v>300</v>
      </c>
      <c r="X32" s="57">
        <v>166.666666666667</v>
      </c>
      <c r="Y32" s="58">
        <v>100</v>
      </c>
      <c r="Z32" s="57">
        <v>33.3333333333333</v>
      </c>
      <c r="AA32" s="56">
        <v>0</v>
      </c>
      <c r="AB32" s="56">
        <v>0</v>
      </c>
      <c r="AC32" s="56">
        <v>0</v>
      </c>
      <c r="AD32" s="56">
        <v>0</v>
      </c>
      <c r="AE32" s="56">
        <v>1133.33333333333</v>
      </c>
      <c r="AF32" s="56">
        <v>1333.33333333333</v>
      </c>
      <c r="AG32" s="56">
        <v>133.333333333333</v>
      </c>
      <c r="AH32" s="56">
        <v>0</v>
      </c>
      <c r="AI32" s="56">
        <v>0.435897435897436</v>
      </c>
      <c r="AJ32" s="56">
        <v>0.512820512820513</v>
      </c>
      <c r="AK32" s="56">
        <v>0.0512820512820513</v>
      </c>
      <c r="AL32" s="56">
        <v>0</v>
      </c>
      <c r="AM32" s="77">
        <v>0.79</v>
      </c>
      <c r="AN32" s="78">
        <v>54.2</v>
      </c>
      <c r="AO32" s="82">
        <v>0.0454545454545455</v>
      </c>
    </row>
    <row r="33" spans="1:41">
      <c r="A33" s="29" t="s">
        <v>84</v>
      </c>
      <c r="B33" s="18">
        <v>2010</v>
      </c>
      <c r="C33" s="18" t="s">
        <v>83</v>
      </c>
      <c r="D33" s="18">
        <v>-1.5</v>
      </c>
      <c r="E33" s="19" t="s">
        <v>43</v>
      </c>
      <c r="F33" s="19" t="s">
        <v>44</v>
      </c>
      <c r="G33" s="19" t="s">
        <v>16</v>
      </c>
      <c r="H33" s="17">
        <v>0</v>
      </c>
      <c r="I33" s="19">
        <v>0</v>
      </c>
      <c r="J33" s="19">
        <v>0</v>
      </c>
      <c r="K33" s="19">
        <v>0</v>
      </c>
      <c r="L33" s="17">
        <v>0</v>
      </c>
      <c r="M33" s="17">
        <v>0</v>
      </c>
      <c r="N33" s="33">
        <v>800</v>
      </c>
      <c r="O33" s="33">
        <v>18</v>
      </c>
      <c r="P33" s="33">
        <v>110</v>
      </c>
      <c r="Q33" s="18">
        <v>466.67</v>
      </c>
      <c r="R33" s="51">
        <v>1117</v>
      </c>
      <c r="S33" s="55">
        <v>66.6666666666667</v>
      </c>
      <c r="T33" s="55">
        <v>66.6666666666667</v>
      </c>
      <c r="U33" s="51">
        <v>0</v>
      </c>
      <c r="V33" s="55">
        <v>33.3333333333333</v>
      </c>
      <c r="W33" s="55">
        <v>166.666666666667</v>
      </c>
      <c r="X33" s="55">
        <v>66.6666666666667</v>
      </c>
      <c r="Y33" s="55">
        <v>33.3333333333333</v>
      </c>
      <c r="Z33" s="55">
        <v>33.3333333333333</v>
      </c>
      <c r="AA33" s="51">
        <v>0</v>
      </c>
      <c r="AB33" s="51">
        <v>0</v>
      </c>
      <c r="AC33" s="51">
        <v>0</v>
      </c>
      <c r="AD33" s="51">
        <v>0</v>
      </c>
      <c r="AE33" s="51">
        <v>66.6666666666667</v>
      </c>
      <c r="AF33" s="51">
        <v>266.666666666667</v>
      </c>
      <c r="AG33" s="51">
        <v>66.6666666666666</v>
      </c>
      <c r="AH33" s="51">
        <v>0</v>
      </c>
      <c r="AI33" s="51">
        <v>0.166666666666667</v>
      </c>
      <c r="AJ33" s="51">
        <v>0.666666666666667</v>
      </c>
      <c r="AK33" s="51">
        <v>0.166666666666666</v>
      </c>
      <c r="AL33" s="51">
        <v>0</v>
      </c>
      <c r="AM33" s="73">
        <v>0.86</v>
      </c>
      <c r="AN33" s="74">
        <v>55.3</v>
      </c>
      <c r="AO33" s="81">
        <v>0.16</v>
      </c>
    </row>
    <row r="34" spans="1:41">
      <c r="A34" s="29" t="s">
        <v>85</v>
      </c>
      <c r="B34" s="18">
        <v>2010</v>
      </c>
      <c r="C34" s="18" t="s">
        <v>83</v>
      </c>
      <c r="D34" s="18">
        <v>-0.5</v>
      </c>
      <c r="E34" s="19" t="s">
        <v>43</v>
      </c>
      <c r="F34" s="19" t="s">
        <v>44</v>
      </c>
      <c r="G34" s="19" t="s">
        <v>16</v>
      </c>
      <c r="H34" s="17">
        <v>0</v>
      </c>
      <c r="I34" s="19">
        <v>0</v>
      </c>
      <c r="J34" s="19">
        <v>0</v>
      </c>
      <c r="K34" s="19">
        <v>0</v>
      </c>
      <c r="L34" s="17">
        <v>0</v>
      </c>
      <c r="M34" s="17">
        <v>0</v>
      </c>
      <c r="N34" s="33">
        <v>800</v>
      </c>
      <c r="O34" s="33">
        <v>13</v>
      </c>
      <c r="P34" s="33">
        <v>110</v>
      </c>
      <c r="Q34" s="18">
        <v>1533.33</v>
      </c>
      <c r="R34" s="51">
        <v>806</v>
      </c>
      <c r="S34" s="51">
        <v>300</v>
      </c>
      <c r="T34" s="55">
        <v>966.666666666667</v>
      </c>
      <c r="U34" s="55">
        <v>133.333333333333</v>
      </c>
      <c r="V34" s="55">
        <v>33.3333333333333</v>
      </c>
      <c r="W34" s="51">
        <v>100</v>
      </c>
      <c r="X34" s="55">
        <v>33.3333333333333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1100</v>
      </c>
      <c r="AF34" s="51">
        <v>166.666666666667</v>
      </c>
      <c r="AG34" s="51">
        <v>0</v>
      </c>
      <c r="AH34" s="51">
        <v>0</v>
      </c>
      <c r="AI34" s="51">
        <v>0.868421052631579</v>
      </c>
      <c r="AJ34" s="51">
        <v>0.131578947368421</v>
      </c>
      <c r="AK34" s="51">
        <v>0</v>
      </c>
      <c r="AL34" s="51">
        <v>0</v>
      </c>
      <c r="AM34" s="73">
        <v>0.95</v>
      </c>
      <c r="AN34" s="74">
        <v>43.6</v>
      </c>
      <c r="AO34" s="81">
        <v>0.54</v>
      </c>
    </row>
    <row r="35" spans="1:41">
      <c r="A35" s="29" t="s">
        <v>86</v>
      </c>
      <c r="B35" s="18">
        <v>2010</v>
      </c>
      <c r="C35" s="18" t="s">
        <v>83</v>
      </c>
      <c r="D35" s="18">
        <v>0.5</v>
      </c>
      <c r="E35" s="19" t="s">
        <v>43</v>
      </c>
      <c r="F35" s="19" t="s">
        <v>44</v>
      </c>
      <c r="G35" s="19" t="s">
        <v>16</v>
      </c>
      <c r="H35" s="17">
        <v>1</v>
      </c>
      <c r="I35" s="17">
        <v>1</v>
      </c>
      <c r="J35" s="17">
        <v>0</v>
      </c>
      <c r="K35" s="17">
        <v>1</v>
      </c>
      <c r="L35" s="17">
        <v>0</v>
      </c>
      <c r="M35" s="17">
        <v>12</v>
      </c>
      <c r="N35" s="33">
        <v>800</v>
      </c>
      <c r="O35" s="33">
        <v>12</v>
      </c>
      <c r="P35" s="33">
        <v>110</v>
      </c>
      <c r="Q35" s="18">
        <v>566.6</v>
      </c>
      <c r="R35" s="40">
        <v>649.3</v>
      </c>
      <c r="S35" s="55">
        <v>33.3333333333333</v>
      </c>
      <c r="T35" s="55">
        <v>233.333333333333</v>
      </c>
      <c r="U35" s="51">
        <v>0</v>
      </c>
      <c r="V35" s="51">
        <v>100</v>
      </c>
      <c r="W35" s="55">
        <v>166.666666666667</v>
      </c>
      <c r="X35" s="55">
        <v>0</v>
      </c>
      <c r="Y35" s="51">
        <v>0</v>
      </c>
      <c r="Z35" s="55">
        <v>33.3333333333333</v>
      </c>
      <c r="AA35" s="51">
        <v>0</v>
      </c>
      <c r="AB35" s="51">
        <v>0</v>
      </c>
      <c r="AC35" s="51">
        <v>0</v>
      </c>
      <c r="AD35" s="51">
        <v>0</v>
      </c>
      <c r="AE35" s="51">
        <v>233.333333333333</v>
      </c>
      <c r="AF35" s="51">
        <v>266.666666666667</v>
      </c>
      <c r="AG35" s="51">
        <v>33.3333333333333</v>
      </c>
      <c r="AH35" s="51">
        <v>0</v>
      </c>
      <c r="AI35" s="51">
        <v>0.437499999999999</v>
      </c>
      <c r="AJ35" s="51">
        <v>0.500000000000001</v>
      </c>
      <c r="AK35" s="51">
        <v>0.0624999999999999</v>
      </c>
      <c r="AL35" s="51">
        <v>0</v>
      </c>
      <c r="AM35" s="73">
        <v>0.95</v>
      </c>
      <c r="AN35" s="74">
        <v>45.6</v>
      </c>
      <c r="AO35" s="81">
        <v>0.54</v>
      </c>
    </row>
    <row r="36" spans="1:41">
      <c r="A36" s="31" t="s">
        <v>87</v>
      </c>
      <c r="B36" s="18">
        <v>2010</v>
      </c>
      <c r="C36" s="18" t="s">
        <v>83</v>
      </c>
      <c r="D36" s="18">
        <v>1</v>
      </c>
      <c r="E36" s="19" t="s">
        <v>43</v>
      </c>
      <c r="F36" s="19" t="s">
        <v>44</v>
      </c>
      <c r="G36" s="19" t="s">
        <v>16</v>
      </c>
      <c r="H36" s="17">
        <v>1</v>
      </c>
      <c r="I36" s="17">
        <v>1</v>
      </c>
      <c r="J36" s="17">
        <v>0</v>
      </c>
      <c r="K36" s="17">
        <v>1</v>
      </c>
      <c r="L36" s="17">
        <v>0</v>
      </c>
      <c r="M36" s="17">
        <v>8</v>
      </c>
      <c r="N36" s="33">
        <v>800</v>
      </c>
      <c r="O36" s="33">
        <v>11</v>
      </c>
      <c r="P36" s="33">
        <v>110</v>
      </c>
      <c r="Q36" s="42">
        <v>250</v>
      </c>
      <c r="R36" s="40">
        <v>517.1</v>
      </c>
      <c r="S36" s="51">
        <v>0</v>
      </c>
      <c r="T36" s="51">
        <v>0</v>
      </c>
      <c r="U36" s="18">
        <v>10</v>
      </c>
      <c r="V36" s="18">
        <v>150</v>
      </c>
      <c r="W36" s="18">
        <v>90</v>
      </c>
      <c r="X36" s="18">
        <v>50</v>
      </c>
      <c r="Y36" s="18">
        <v>20</v>
      </c>
      <c r="Z36" s="18">
        <v>10</v>
      </c>
      <c r="AA36" s="18">
        <v>10</v>
      </c>
      <c r="AB36" s="51">
        <v>0</v>
      </c>
      <c r="AC36" s="18">
        <v>10</v>
      </c>
      <c r="AD36" s="51">
        <v>0</v>
      </c>
      <c r="AE36" s="51">
        <v>10</v>
      </c>
      <c r="AF36" s="51">
        <v>290</v>
      </c>
      <c r="AG36" s="51">
        <v>40</v>
      </c>
      <c r="AH36" s="51">
        <v>10</v>
      </c>
      <c r="AI36" s="51">
        <v>0.0285714285714286</v>
      </c>
      <c r="AJ36" s="51">
        <v>0.828571428571429</v>
      </c>
      <c r="AK36" s="51">
        <v>0.114285714285714</v>
      </c>
      <c r="AL36" s="51">
        <v>0.0285714285714286</v>
      </c>
      <c r="AM36" s="73">
        <v>0.89</v>
      </c>
      <c r="AN36" s="74">
        <v>57.3</v>
      </c>
      <c r="AO36" s="81">
        <v>0.44</v>
      </c>
    </row>
    <row r="37" spans="1:41">
      <c r="A37" s="29" t="s">
        <v>88</v>
      </c>
      <c r="B37" s="18">
        <v>2010</v>
      </c>
      <c r="C37" s="18" t="s">
        <v>83</v>
      </c>
      <c r="D37" s="18">
        <v>1.5</v>
      </c>
      <c r="E37" s="19" t="s">
        <v>43</v>
      </c>
      <c r="F37" s="19" t="s">
        <v>44</v>
      </c>
      <c r="G37" s="19" t="s">
        <v>16</v>
      </c>
      <c r="H37" s="17">
        <v>1</v>
      </c>
      <c r="I37" s="17">
        <v>1</v>
      </c>
      <c r="J37" s="17">
        <v>0</v>
      </c>
      <c r="K37" s="17">
        <v>1</v>
      </c>
      <c r="L37" s="17">
        <v>0</v>
      </c>
      <c r="M37" s="17">
        <v>5</v>
      </c>
      <c r="N37" s="33">
        <v>800</v>
      </c>
      <c r="O37" s="33">
        <v>10</v>
      </c>
      <c r="P37" s="33">
        <v>110</v>
      </c>
      <c r="Q37" s="42">
        <v>400</v>
      </c>
      <c r="R37" s="40">
        <v>215.3</v>
      </c>
      <c r="S37" s="51">
        <v>0</v>
      </c>
      <c r="T37" s="51">
        <v>0</v>
      </c>
      <c r="U37" s="18">
        <v>40</v>
      </c>
      <c r="V37" s="18">
        <v>220</v>
      </c>
      <c r="W37" s="18">
        <v>120</v>
      </c>
      <c r="X37" s="18">
        <v>20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40</v>
      </c>
      <c r="AF37" s="51">
        <v>360</v>
      </c>
      <c r="AG37" s="51">
        <v>0</v>
      </c>
      <c r="AH37" s="51">
        <v>0</v>
      </c>
      <c r="AI37" s="51">
        <v>0.1</v>
      </c>
      <c r="AJ37" s="51">
        <v>0.9</v>
      </c>
      <c r="AK37" s="51">
        <v>0</v>
      </c>
      <c r="AL37" s="51">
        <v>0</v>
      </c>
      <c r="AM37" s="73">
        <v>0.89</v>
      </c>
      <c r="AN37" s="74">
        <v>28.4</v>
      </c>
      <c r="AO37" s="81">
        <v>0.44</v>
      </c>
    </row>
    <row r="38" spans="1:41">
      <c r="A38" s="29" t="s">
        <v>89</v>
      </c>
      <c r="B38" s="18">
        <v>2010</v>
      </c>
      <c r="C38" s="18" t="s">
        <v>83</v>
      </c>
      <c r="D38" s="18">
        <v>2</v>
      </c>
      <c r="E38" s="19" t="s">
        <v>43</v>
      </c>
      <c r="F38" s="19" t="s">
        <v>44</v>
      </c>
      <c r="G38" s="19" t="s">
        <v>16</v>
      </c>
      <c r="H38" s="17">
        <v>1</v>
      </c>
      <c r="I38" s="17">
        <v>1</v>
      </c>
      <c r="J38" s="17">
        <v>0</v>
      </c>
      <c r="K38" s="17">
        <v>1</v>
      </c>
      <c r="L38" s="17">
        <v>0</v>
      </c>
      <c r="M38" s="17">
        <v>2</v>
      </c>
      <c r="N38" s="33">
        <v>800</v>
      </c>
      <c r="O38" s="33">
        <v>5</v>
      </c>
      <c r="P38" s="33">
        <v>110</v>
      </c>
      <c r="Q38" s="42">
        <v>750</v>
      </c>
      <c r="R38" s="40">
        <v>313.1</v>
      </c>
      <c r="S38" s="51">
        <v>0</v>
      </c>
      <c r="T38" s="18">
        <v>30</v>
      </c>
      <c r="U38" s="18">
        <v>90</v>
      </c>
      <c r="V38" s="18">
        <v>460</v>
      </c>
      <c r="W38" s="18">
        <v>160</v>
      </c>
      <c r="X38" s="51">
        <v>0</v>
      </c>
      <c r="Y38" s="51">
        <v>0</v>
      </c>
      <c r="Z38" s="51">
        <v>0</v>
      </c>
      <c r="AA38" s="51">
        <v>0</v>
      </c>
      <c r="AB38" s="18">
        <v>10</v>
      </c>
      <c r="AC38" s="18">
        <v>0</v>
      </c>
      <c r="AD38" s="51">
        <v>0</v>
      </c>
      <c r="AE38" s="51">
        <v>120</v>
      </c>
      <c r="AF38" s="51">
        <v>620</v>
      </c>
      <c r="AG38" s="51">
        <v>0</v>
      </c>
      <c r="AH38" s="51">
        <v>10</v>
      </c>
      <c r="AI38" s="51">
        <v>0.16</v>
      </c>
      <c r="AJ38" s="51">
        <v>0.826666666666667</v>
      </c>
      <c r="AK38" s="51">
        <v>0</v>
      </c>
      <c r="AL38" s="51">
        <v>0.0133333333333333</v>
      </c>
      <c r="AM38" s="73">
        <v>0.87</v>
      </c>
      <c r="AN38" s="74">
        <v>48.4</v>
      </c>
      <c r="AO38" s="81">
        <v>0.787878787878788</v>
      </c>
    </row>
    <row r="39" ht="15" customHeight="1" spans="1:41">
      <c r="A39" s="28" t="s">
        <v>90</v>
      </c>
      <c r="B39" s="22">
        <v>2010</v>
      </c>
      <c r="C39" s="22" t="s">
        <v>91</v>
      </c>
      <c r="D39" s="22">
        <v>-1.5</v>
      </c>
      <c r="E39" s="21" t="s">
        <v>92</v>
      </c>
      <c r="F39" s="21" t="s">
        <v>62</v>
      </c>
      <c r="G39" s="23" t="s">
        <v>16</v>
      </c>
      <c r="H39" s="21">
        <v>0</v>
      </c>
      <c r="I39" s="21">
        <v>0</v>
      </c>
      <c r="J39" s="21">
        <v>0</v>
      </c>
      <c r="K39" s="21">
        <v>0</v>
      </c>
      <c r="L39" s="21">
        <v>1</v>
      </c>
      <c r="M39" s="21">
        <v>50</v>
      </c>
      <c r="N39" s="34">
        <v>2700</v>
      </c>
      <c r="O39" s="34">
        <v>35</v>
      </c>
      <c r="P39" s="34">
        <v>8</v>
      </c>
      <c r="Q39" s="44">
        <v>10266.6666666667</v>
      </c>
      <c r="R39" s="22">
        <v>5976.7</v>
      </c>
      <c r="S39" s="59">
        <v>2033.33333333333</v>
      </c>
      <c r="T39" s="56">
        <v>4500</v>
      </c>
      <c r="U39" s="59">
        <v>1966.66666666667</v>
      </c>
      <c r="V39" s="56">
        <v>900</v>
      </c>
      <c r="W39" s="59">
        <v>533.333333333333</v>
      </c>
      <c r="X39" s="56">
        <v>200</v>
      </c>
      <c r="Y39" s="56">
        <v>100</v>
      </c>
      <c r="Z39" s="59">
        <v>33.3333333333333</v>
      </c>
      <c r="AA39" s="59">
        <v>0</v>
      </c>
      <c r="AB39" s="59">
        <v>0</v>
      </c>
      <c r="AC39" s="59">
        <v>0</v>
      </c>
      <c r="AD39" s="56">
        <v>0</v>
      </c>
      <c r="AE39" s="56">
        <v>6466.66666666667</v>
      </c>
      <c r="AF39" s="56">
        <v>1633.33333333333</v>
      </c>
      <c r="AG39" s="56">
        <v>133.333333333333</v>
      </c>
      <c r="AH39" s="56">
        <v>0</v>
      </c>
      <c r="AI39" s="56">
        <v>0.785425101214575</v>
      </c>
      <c r="AJ39" s="56">
        <v>0.198380566801619</v>
      </c>
      <c r="AK39" s="56">
        <v>0.0161943319838057</v>
      </c>
      <c r="AL39" s="56">
        <v>0</v>
      </c>
      <c r="AM39" s="77">
        <v>0.96</v>
      </c>
      <c r="AN39" s="78">
        <v>45.7</v>
      </c>
      <c r="AO39" s="82">
        <v>0.5</v>
      </c>
    </row>
    <row r="40" spans="1:41">
      <c r="A40" s="29" t="s">
        <v>93</v>
      </c>
      <c r="B40" s="18">
        <v>2010</v>
      </c>
      <c r="C40" s="18" t="s">
        <v>91</v>
      </c>
      <c r="D40" s="18">
        <v>-0.5</v>
      </c>
      <c r="E40" s="17" t="s">
        <v>92</v>
      </c>
      <c r="F40" s="17" t="s">
        <v>62</v>
      </c>
      <c r="G40" s="19" t="s">
        <v>16</v>
      </c>
      <c r="H40" s="17">
        <v>0</v>
      </c>
      <c r="I40" s="17">
        <v>0</v>
      </c>
      <c r="J40" s="17">
        <v>0</v>
      </c>
      <c r="K40" s="17">
        <v>0</v>
      </c>
      <c r="L40" s="17">
        <v>1</v>
      </c>
      <c r="M40" s="17">
        <v>45</v>
      </c>
      <c r="N40" s="33">
        <v>2700</v>
      </c>
      <c r="O40" s="33">
        <v>23</v>
      </c>
      <c r="P40" s="33">
        <v>8</v>
      </c>
      <c r="Q40" s="40">
        <v>31433.3333333333</v>
      </c>
      <c r="R40" s="18">
        <v>9894</v>
      </c>
      <c r="S40" s="55">
        <v>14033.3333333333</v>
      </c>
      <c r="T40" s="51">
        <v>15900</v>
      </c>
      <c r="U40" s="51">
        <v>1100</v>
      </c>
      <c r="V40" s="51">
        <v>300</v>
      </c>
      <c r="W40" s="51">
        <v>100</v>
      </c>
      <c r="X40" s="51">
        <v>0</v>
      </c>
      <c r="Y40" s="51">
        <v>0</v>
      </c>
      <c r="Z40" s="51">
        <v>0</v>
      </c>
      <c r="AA40" s="55">
        <v>0</v>
      </c>
      <c r="AB40" s="55">
        <v>0</v>
      </c>
      <c r="AC40" s="55">
        <v>0</v>
      </c>
      <c r="AD40" s="51">
        <v>0</v>
      </c>
      <c r="AE40" s="51">
        <v>17000</v>
      </c>
      <c r="AF40" s="51">
        <v>400</v>
      </c>
      <c r="AG40" s="51">
        <v>0</v>
      </c>
      <c r="AH40" s="51">
        <v>0</v>
      </c>
      <c r="AI40" s="51">
        <v>0.977011494252874</v>
      </c>
      <c r="AJ40" s="51">
        <v>0.0229885057471264</v>
      </c>
      <c r="AK40" s="51">
        <v>0</v>
      </c>
      <c r="AL40" s="51">
        <v>0</v>
      </c>
      <c r="AM40" s="73">
        <v>1.06</v>
      </c>
      <c r="AN40" s="74">
        <v>43.8</v>
      </c>
      <c r="AO40" s="81">
        <v>0.909090909090909</v>
      </c>
    </row>
    <row r="41" spans="1:41">
      <c r="A41" s="29" t="s">
        <v>94</v>
      </c>
      <c r="B41" s="18">
        <v>2010</v>
      </c>
      <c r="C41" s="18" t="s">
        <v>91</v>
      </c>
      <c r="D41" s="18">
        <v>0.5</v>
      </c>
      <c r="E41" s="17" t="s">
        <v>61</v>
      </c>
      <c r="F41" s="17" t="s">
        <v>62</v>
      </c>
      <c r="G41" s="19" t="s">
        <v>16</v>
      </c>
      <c r="H41" s="17">
        <v>1</v>
      </c>
      <c r="I41" s="17">
        <v>1</v>
      </c>
      <c r="J41" s="17">
        <v>0</v>
      </c>
      <c r="K41" s="17">
        <v>1</v>
      </c>
      <c r="L41" s="17">
        <v>0</v>
      </c>
      <c r="M41" s="17">
        <v>75</v>
      </c>
      <c r="N41" s="33">
        <v>2700</v>
      </c>
      <c r="O41" s="33">
        <v>21</v>
      </c>
      <c r="P41" s="33">
        <v>8</v>
      </c>
      <c r="Q41" s="51">
        <v>19100</v>
      </c>
      <c r="R41" s="18">
        <v>4490.7</v>
      </c>
      <c r="S41" s="55">
        <v>4666.66666666667</v>
      </c>
      <c r="T41" s="51">
        <v>10200</v>
      </c>
      <c r="U41" s="55">
        <v>3266.66666666667</v>
      </c>
      <c r="V41" s="55">
        <v>766.666666666667</v>
      </c>
      <c r="W41" s="51">
        <v>200</v>
      </c>
      <c r="X41" s="51">
        <v>0</v>
      </c>
      <c r="Y41" s="51">
        <v>0</v>
      </c>
      <c r="Z41" s="51">
        <v>0</v>
      </c>
      <c r="AA41" s="55">
        <v>0</v>
      </c>
      <c r="AB41" s="55">
        <v>0</v>
      </c>
      <c r="AC41" s="55">
        <v>0</v>
      </c>
      <c r="AD41" s="51">
        <v>0</v>
      </c>
      <c r="AE41" s="51">
        <v>13466.6666666667</v>
      </c>
      <c r="AF41" s="51">
        <v>966.666666666667</v>
      </c>
      <c r="AG41" s="51">
        <v>0</v>
      </c>
      <c r="AH41" s="51">
        <v>0</v>
      </c>
      <c r="AI41" s="51">
        <v>0.933025404157044</v>
      </c>
      <c r="AJ41" s="51">
        <v>0.0669745958429561</v>
      </c>
      <c r="AK41" s="51">
        <v>0</v>
      </c>
      <c r="AL41" s="51">
        <v>0</v>
      </c>
      <c r="AM41" s="73">
        <v>0.89</v>
      </c>
      <c r="AN41" s="74">
        <v>37.2</v>
      </c>
      <c r="AO41" s="81">
        <v>0.740740740740741</v>
      </c>
    </row>
    <row r="42" spans="1:41">
      <c r="A42" s="29" t="s">
        <v>95</v>
      </c>
      <c r="B42" s="18">
        <v>2010</v>
      </c>
      <c r="C42" s="18" t="s">
        <v>91</v>
      </c>
      <c r="D42" s="18">
        <v>1</v>
      </c>
      <c r="E42" s="17" t="s">
        <v>92</v>
      </c>
      <c r="F42" s="17" t="s">
        <v>62</v>
      </c>
      <c r="G42" s="19" t="s">
        <v>16</v>
      </c>
      <c r="H42" s="17">
        <v>1</v>
      </c>
      <c r="I42" s="17">
        <v>0</v>
      </c>
      <c r="J42" s="17">
        <v>1</v>
      </c>
      <c r="K42" s="17">
        <v>0</v>
      </c>
      <c r="L42" s="17">
        <v>0</v>
      </c>
      <c r="M42" s="17">
        <v>50</v>
      </c>
      <c r="N42" s="33">
        <v>2700</v>
      </c>
      <c r="O42" s="33">
        <v>15</v>
      </c>
      <c r="P42" s="33">
        <v>8</v>
      </c>
      <c r="Q42" s="40">
        <v>4733.33333333333</v>
      </c>
      <c r="R42" s="18">
        <v>1547</v>
      </c>
      <c r="S42" s="51">
        <v>200</v>
      </c>
      <c r="T42" s="55">
        <v>1233.33333333333</v>
      </c>
      <c r="U42" s="55">
        <v>1566.66666666667</v>
      </c>
      <c r="V42" s="51">
        <v>1300</v>
      </c>
      <c r="W42" s="55">
        <v>266.666666666667</v>
      </c>
      <c r="X42" s="55">
        <v>66.6666666666667</v>
      </c>
      <c r="Y42" s="55">
        <v>33.3333333333333</v>
      </c>
      <c r="Z42" s="51">
        <v>0</v>
      </c>
      <c r="AA42" s="55">
        <v>33.3333333333333</v>
      </c>
      <c r="AB42" s="55">
        <v>33.3333333333333</v>
      </c>
      <c r="AC42" s="51">
        <v>0</v>
      </c>
      <c r="AD42" s="51">
        <v>0</v>
      </c>
      <c r="AE42" s="51">
        <v>2800</v>
      </c>
      <c r="AF42" s="51">
        <v>1633.33333333333</v>
      </c>
      <c r="AG42" s="51">
        <v>66.6666666666666</v>
      </c>
      <c r="AH42" s="51">
        <v>33.3333333333333</v>
      </c>
      <c r="AI42" s="51">
        <v>0.617647058823529</v>
      </c>
      <c r="AJ42" s="51">
        <v>0.360294117647059</v>
      </c>
      <c r="AK42" s="51">
        <v>0.0147058823529412</v>
      </c>
      <c r="AL42" s="51">
        <v>0.00735294117647058</v>
      </c>
      <c r="AM42" s="73">
        <v>0.76</v>
      </c>
      <c r="AN42" s="74">
        <v>32.4</v>
      </c>
      <c r="AO42" s="81">
        <v>0.633333333333333</v>
      </c>
    </row>
    <row r="43" spans="1:41">
      <c r="A43" s="29" t="s">
        <v>96</v>
      </c>
      <c r="B43" s="18">
        <v>2010</v>
      </c>
      <c r="C43" s="18" t="s">
        <v>91</v>
      </c>
      <c r="D43" s="18">
        <v>1.5</v>
      </c>
      <c r="E43" s="17" t="s">
        <v>92</v>
      </c>
      <c r="F43" s="17" t="s">
        <v>62</v>
      </c>
      <c r="G43" s="19" t="s">
        <v>16</v>
      </c>
      <c r="H43" s="17">
        <v>1</v>
      </c>
      <c r="I43" s="17">
        <v>0</v>
      </c>
      <c r="J43" s="17">
        <v>1</v>
      </c>
      <c r="K43" s="17">
        <v>0</v>
      </c>
      <c r="L43" s="17">
        <v>0</v>
      </c>
      <c r="M43" s="17">
        <v>30</v>
      </c>
      <c r="N43" s="33">
        <v>2700</v>
      </c>
      <c r="O43" s="33">
        <v>15</v>
      </c>
      <c r="P43" s="33">
        <v>8</v>
      </c>
      <c r="Q43" s="40">
        <v>11233.3333333333</v>
      </c>
      <c r="R43" s="18">
        <v>4147.3</v>
      </c>
      <c r="S43" s="55">
        <v>66.6666666666667</v>
      </c>
      <c r="T43" s="55">
        <v>2266.66666666667</v>
      </c>
      <c r="U43" s="51">
        <v>2200</v>
      </c>
      <c r="V43" s="55">
        <v>2833.33333333333</v>
      </c>
      <c r="W43" s="55">
        <v>2166.66666666667</v>
      </c>
      <c r="X43" s="55">
        <v>1033.33333333333</v>
      </c>
      <c r="Y43" s="51">
        <v>400</v>
      </c>
      <c r="Z43" s="51">
        <v>200</v>
      </c>
      <c r="AA43" s="55">
        <v>33.3333333333333</v>
      </c>
      <c r="AB43" s="51">
        <v>0</v>
      </c>
      <c r="AC43" s="55">
        <v>33.3333333333333</v>
      </c>
      <c r="AD43" s="51">
        <v>0</v>
      </c>
      <c r="AE43" s="51">
        <v>4466.66666666667</v>
      </c>
      <c r="AF43" s="51">
        <v>6033.33333333333</v>
      </c>
      <c r="AG43" s="51">
        <v>633.333333333333</v>
      </c>
      <c r="AH43" s="51">
        <v>33.3333333333333</v>
      </c>
      <c r="AI43" s="51">
        <v>0.4</v>
      </c>
      <c r="AJ43" s="51">
        <v>0.540298507462686</v>
      </c>
      <c r="AK43" s="51">
        <v>0.0567164179104478</v>
      </c>
      <c r="AL43" s="51">
        <v>0.00298507462686567</v>
      </c>
      <c r="AM43" s="73">
        <v>0.62</v>
      </c>
      <c r="AN43" s="74">
        <v>51.2</v>
      </c>
      <c r="AO43" s="81">
        <v>0.8</v>
      </c>
    </row>
    <row r="44" spans="1:41">
      <c r="A44" s="30" t="s">
        <v>97</v>
      </c>
      <c r="B44" s="26">
        <v>2010</v>
      </c>
      <c r="C44" s="26" t="s">
        <v>91</v>
      </c>
      <c r="D44" s="26">
        <v>2</v>
      </c>
      <c r="E44" s="25" t="s">
        <v>92</v>
      </c>
      <c r="F44" s="25" t="s">
        <v>62</v>
      </c>
      <c r="G44" s="27" t="s">
        <v>16</v>
      </c>
      <c r="H44" s="25">
        <v>1</v>
      </c>
      <c r="I44" s="25">
        <v>0</v>
      </c>
      <c r="J44" s="25">
        <v>1</v>
      </c>
      <c r="K44" s="25">
        <v>0</v>
      </c>
      <c r="L44" s="25">
        <v>0</v>
      </c>
      <c r="M44" s="25">
        <v>20</v>
      </c>
      <c r="N44" s="35">
        <v>2700</v>
      </c>
      <c r="O44" s="35">
        <v>8</v>
      </c>
      <c r="P44" s="35">
        <v>8</v>
      </c>
      <c r="Q44" s="47">
        <v>3266.66666666667</v>
      </c>
      <c r="R44" s="26">
        <v>1176.7</v>
      </c>
      <c r="S44" s="60">
        <v>0</v>
      </c>
      <c r="T44" s="60">
        <v>0</v>
      </c>
      <c r="U44" s="60">
        <v>1000</v>
      </c>
      <c r="V44" s="61">
        <v>966.666666666667</v>
      </c>
      <c r="W44" s="61">
        <v>633.333333333333</v>
      </c>
      <c r="X44" s="61">
        <v>166.666666666667</v>
      </c>
      <c r="Y44" s="60">
        <v>200</v>
      </c>
      <c r="Z44" s="61">
        <v>66.6666666666667</v>
      </c>
      <c r="AA44" s="61">
        <v>133.333333333333</v>
      </c>
      <c r="AB44" s="61">
        <v>33.3333333333333</v>
      </c>
      <c r="AC44" s="61">
        <v>66.6666666666667</v>
      </c>
      <c r="AD44" s="60">
        <v>0</v>
      </c>
      <c r="AE44" s="60">
        <v>1000</v>
      </c>
      <c r="AF44" s="60">
        <v>1766.66666666667</v>
      </c>
      <c r="AG44" s="60">
        <v>400</v>
      </c>
      <c r="AH44" s="60">
        <v>100</v>
      </c>
      <c r="AI44" s="60">
        <v>0.306122448979592</v>
      </c>
      <c r="AJ44" s="60">
        <v>0.540816326530612</v>
      </c>
      <c r="AK44" s="60">
        <v>0.122448979591837</v>
      </c>
      <c r="AL44" s="60">
        <v>0.0306122448979592</v>
      </c>
      <c r="AM44" s="75">
        <v>0.84</v>
      </c>
      <c r="AN44" s="76">
        <v>32.4</v>
      </c>
      <c r="AO44" s="83">
        <v>0.8</v>
      </c>
    </row>
  </sheetData>
  <autoFilter ref="A1:AO44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abSelected="1" topLeftCell="A24" workbookViewId="0">
      <selection activeCell="G36" sqref="G36"/>
    </sheetView>
  </sheetViews>
  <sheetFormatPr defaultColWidth="9" defaultRowHeight="14.4" outlineLevelCol="7"/>
  <cols>
    <col min="2" max="2" width="10.1388888888889" customWidth="1"/>
  </cols>
  <sheetData>
    <row r="1" spans="1:8">
      <c r="A1" s="2" t="s">
        <v>2</v>
      </c>
      <c r="B1" s="2" t="s">
        <v>98</v>
      </c>
      <c r="C1" s="2" t="s">
        <v>3</v>
      </c>
      <c r="D1" s="2" t="s">
        <v>99</v>
      </c>
      <c r="E1" s="2" t="s">
        <v>100</v>
      </c>
      <c r="F1" s="2" t="s">
        <v>101</v>
      </c>
      <c r="G1" s="2" t="s">
        <v>102</v>
      </c>
      <c r="H1" s="3" t="s">
        <v>13</v>
      </c>
    </row>
    <row r="2" spans="1:8">
      <c r="A2" t="s">
        <v>103</v>
      </c>
      <c r="B2" s="4" t="s">
        <v>104</v>
      </c>
      <c r="C2">
        <v>0</v>
      </c>
      <c r="D2" s="5" t="s">
        <v>105</v>
      </c>
      <c r="E2">
        <v>3</v>
      </c>
      <c r="F2">
        <v>13.5488840844545</v>
      </c>
      <c r="G2">
        <v>1.31</v>
      </c>
      <c r="H2">
        <v>250</v>
      </c>
    </row>
    <row r="3" spans="1:8">
      <c r="A3" t="s">
        <v>103</v>
      </c>
      <c r="B3" s="4" t="s">
        <v>104</v>
      </c>
      <c r="C3">
        <v>-2</v>
      </c>
      <c r="D3" s="5" t="s">
        <v>106</v>
      </c>
      <c r="E3">
        <v>7</v>
      </c>
      <c r="F3">
        <v>10.5860474660116</v>
      </c>
      <c r="G3">
        <v>2.42</v>
      </c>
      <c r="H3">
        <v>250</v>
      </c>
    </row>
    <row r="4" spans="1:8">
      <c r="A4" t="s">
        <v>103</v>
      </c>
      <c r="B4" s="4" t="s">
        <v>104</v>
      </c>
      <c r="C4">
        <v>-1</v>
      </c>
      <c r="D4" s="5" t="s">
        <v>106</v>
      </c>
      <c r="E4">
        <v>26</v>
      </c>
      <c r="F4">
        <v>9.24477440526581</v>
      </c>
      <c r="G4">
        <v>2.42</v>
      </c>
      <c r="H4">
        <v>250</v>
      </c>
    </row>
    <row r="5" spans="1:8">
      <c r="A5" t="s">
        <v>103</v>
      </c>
      <c r="B5" s="4" t="s">
        <v>104</v>
      </c>
      <c r="C5">
        <v>0</v>
      </c>
      <c r="D5" s="5" t="s">
        <v>106</v>
      </c>
      <c r="E5">
        <v>26</v>
      </c>
      <c r="F5">
        <v>9.79577787684555</v>
      </c>
      <c r="G5">
        <v>2.42</v>
      </c>
      <c r="H5">
        <v>250</v>
      </c>
    </row>
    <row r="6" spans="1:8">
      <c r="A6" t="s">
        <v>103</v>
      </c>
      <c r="B6" s="4" t="s">
        <v>104</v>
      </c>
      <c r="C6">
        <v>-2</v>
      </c>
      <c r="D6" s="5" t="s">
        <v>107</v>
      </c>
      <c r="E6">
        <v>25</v>
      </c>
      <c r="F6">
        <v>10.7447124288864</v>
      </c>
      <c r="G6">
        <v>3.57</v>
      </c>
      <c r="H6">
        <v>250</v>
      </c>
    </row>
    <row r="7" spans="1:8">
      <c r="A7" t="s">
        <v>103</v>
      </c>
      <c r="B7" s="4" t="s">
        <v>104</v>
      </c>
      <c r="C7">
        <v>-1</v>
      </c>
      <c r="D7" s="5" t="s">
        <v>107</v>
      </c>
      <c r="E7">
        <v>25</v>
      </c>
      <c r="F7">
        <v>10.0966813217057</v>
      </c>
      <c r="G7">
        <v>3.57</v>
      </c>
      <c r="H7">
        <v>250</v>
      </c>
    </row>
    <row r="8" spans="1:8">
      <c r="A8" t="s">
        <v>103</v>
      </c>
      <c r="B8" s="4" t="s">
        <v>104</v>
      </c>
      <c r="C8">
        <v>0</v>
      </c>
      <c r="D8" s="5" t="s">
        <v>107</v>
      </c>
      <c r="E8">
        <v>25</v>
      </c>
      <c r="F8">
        <v>10.1021160206853</v>
      </c>
      <c r="G8">
        <v>3.57</v>
      </c>
      <c r="H8">
        <v>250</v>
      </c>
    </row>
    <row r="9" spans="1:8">
      <c r="A9" t="s">
        <v>103</v>
      </c>
      <c r="B9" s="4" t="s">
        <v>104</v>
      </c>
      <c r="C9">
        <v>-2</v>
      </c>
      <c r="D9" s="5" t="s">
        <v>108</v>
      </c>
      <c r="E9">
        <v>25</v>
      </c>
      <c r="F9">
        <v>10.8819636717766</v>
      </c>
      <c r="G9">
        <v>-3.46</v>
      </c>
      <c r="H9">
        <v>250</v>
      </c>
    </row>
    <row r="10" spans="1:8">
      <c r="A10" t="s">
        <v>103</v>
      </c>
      <c r="B10" s="4" t="s">
        <v>104</v>
      </c>
      <c r="C10">
        <v>-1</v>
      </c>
      <c r="D10" s="5" t="s">
        <v>108</v>
      </c>
      <c r="E10">
        <v>26</v>
      </c>
      <c r="F10">
        <v>10.6287631804689</v>
      </c>
      <c r="G10">
        <v>-3.46</v>
      </c>
      <c r="H10">
        <v>250</v>
      </c>
    </row>
    <row r="11" spans="1:8">
      <c r="A11" t="s">
        <v>103</v>
      </c>
      <c r="B11" s="4" t="s">
        <v>104</v>
      </c>
      <c r="C11">
        <v>0</v>
      </c>
      <c r="D11" s="5" t="s">
        <v>108</v>
      </c>
      <c r="E11">
        <v>27</v>
      </c>
      <c r="F11">
        <v>10.0094857256236</v>
      </c>
      <c r="G11">
        <v>-3.46</v>
      </c>
      <c r="H11">
        <v>250</v>
      </c>
    </row>
    <row r="12" spans="1:8">
      <c r="A12" t="s">
        <v>103</v>
      </c>
      <c r="B12" s="4" t="s">
        <v>109</v>
      </c>
      <c r="C12">
        <v>0</v>
      </c>
      <c r="D12" s="5" t="s">
        <v>110</v>
      </c>
      <c r="E12">
        <v>3</v>
      </c>
      <c r="F12">
        <v>16.3946522282691</v>
      </c>
      <c r="G12">
        <v>0.94</v>
      </c>
      <c r="H12">
        <v>250</v>
      </c>
    </row>
    <row r="13" spans="1:8">
      <c r="A13" t="s">
        <v>103</v>
      </c>
      <c r="B13" s="4" t="s">
        <v>109</v>
      </c>
      <c r="C13">
        <v>-1</v>
      </c>
      <c r="D13" s="5" t="s">
        <v>111</v>
      </c>
      <c r="E13">
        <v>27</v>
      </c>
      <c r="F13">
        <v>11.8531889040816</v>
      </c>
      <c r="G13">
        <v>2.26</v>
      </c>
      <c r="H13">
        <v>250</v>
      </c>
    </row>
    <row r="14" spans="1:8">
      <c r="A14" t="s">
        <v>103</v>
      </c>
      <c r="B14" s="4" t="s">
        <v>109</v>
      </c>
      <c r="C14">
        <v>0</v>
      </c>
      <c r="D14" s="5" t="s">
        <v>111</v>
      </c>
      <c r="E14">
        <v>28</v>
      </c>
      <c r="F14">
        <v>10.033489995679</v>
      </c>
      <c r="G14">
        <v>2.26</v>
      </c>
      <c r="H14">
        <v>250</v>
      </c>
    </row>
    <row r="15" spans="1:8">
      <c r="A15" t="s">
        <v>112</v>
      </c>
      <c r="B15" s="4" t="s">
        <v>109</v>
      </c>
      <c r="C15">
        <v>0</v>
      </c>
      <c r="D15" s="5" t="s">
        <v>113</v>
      </c>
      <c r="E15">
        <v>22</v>
      </c>
      <c r="F15">
        <v>11.5704180384984</v>
      </c>
      <c r="G15">
        <v>1.21</v>
      </c>
      <c r="H15">
        <v>1750</v>
      </c>
    </row>
    <row r="16" spans="1:8">
      <c r="A16" t="s">
        <v>112</v>
      </c>
      <c r="B16" s="4" t="s">
        <v>104</v>
      </c>
      <c r="C16">
        <v>0</v>
      </c>
      <c r="D16" s="5" t="s">
        <v>114</v>
      </c>
      <c r="E16">
        <v>19</v>
      </c>
      <c r="F16">
        <v>10.024803581538</v>
      </c>
      <c r="G16">
        <v>1.57</v>
      </c>
      <c r="H16">
        <v>1750</v>
      </c>
    </row>
    <row r="17" spans="1:8">
      <c r="A17" t="s">
        <v>112</v>
      </c>
      <c r="B17" s="4" t="s">
        <v>104</v>
      </c>
      <c r="C17">
        <v>-2</v>
      </c>
      <c r="D17" s="5" t="s">
        <v>115</v>
      </c>
      <c r="E17">
        <v>17</v>
      </c>
      <c r="F17">
        <v>11.0510952154321</v>
      </c>
      <c r="G17">
        <v>2.83</v>
      </c>
      <c r="H17">
        <v>1750</v>
      </c>
    </row>
    <row r="18" spans="1:8">
      <c r="A18" t="s">
        <v>112</v>
      </c>
      <c r="B18" s="4" t="s">
        <v>104</v>
      </c>
      <c r="C18">
        <v>-1</v>
      </c>
      <c r="D18" s="5" t="s">
        <v>115</v>
      </c>
      <c r="E18">
        <v>24</v>
      </c>
      <c r="F18">
        <v>10.6936221792139</v>
      </c>
      <c r="G18">
        <v>2.83</v>
      </c>
      <c r="H18">
        <v>1750</v>
      </c>
    </row>
    <row r="19" spans="1:8">
      <c r="A19" t="s">
        <v>112</v>
      </c>
      <c r="B19" s="4" t="s">
        <v>104</v>
      </c>
      <c r="C19">
        <v>0</v>
      </c>
      <c r="D19" s="5" t="s">
        <v>115</v>
      </c>
      <c r="E19">
        <v>24</v>
      </c>
      <c r="F19">
        <v>10.1936469785336</v>
      </c>
      <c r="G19">
        <v>2.83</v>
      </c>
      <c r="H19">
        <v>1750</v>
      </c>
    </row>
    <row r="20" spans="1:8">
      <c r="A20" t="s">
        <v>112</v>
      </c>
      <c r="B20" s="4" t="s">
        <v>104</v>
      </c>
      <c r="C20">
        <v>-2</v>
      </c>
      <c r="D20" s="5" t="s">
        <v>116</v>
      </c>
      <c r="E20">
        <v>24</v>
      </c>
      <c r="F20">
        <v>10.0190403949074</v>
      </c>
      <c r="G20">
        <v>3.8</v>
      </c>
      <c r="H20">
        <v>1750</v>
      </c>
    </row>
    <row r="21" spans="1:8">
      <c r="A21" t="s">
        <v>112</v>
      </c>
      <c r="B21" s="4" t="s">
        <v>104</v>
      </c>
      <c r="C21">
        <v>-1</v>
      </c>
      <c r="D21" s="5" t="s">
        <v>116</v>
      </c>
      <c r="E21">
        <v>25</v>
      </c>
      <c r="F21">
        <v>9.75930801744772</v>
      </c>
      <c r="G21">
        <v>3.8</v>
      </c>
      <c r="H21">
        <v>1750</v>
      </c>
    </row>
    <row r="22" spans="1:8">
      <c r="A22" t="s">
        <v>112</v>
      </c>
      <c r="B22" s="4" t="s">
        <v>104</v>
      </c>
      <c r="C22">
        <v>0</v>
      </c>
      <c r="D22" s="5" t="s">
        <v>116</v>
      </c>
      <c r="E22">
        <v>25</v>
      </c>
      <c r="F22">
        <v>9.29579442454019</v>
      </c>
      <c r="G22">
        <v>3.8</v>
      </c>
      <c r="H22">
        <v>1750</v>
      </c>
    </row>
    <row r="23" spans="1:8">
      <c r="A23" t="s">
        <v>112</v>
      </c>
      <c r="B23" s="4" t="s">
        <v>104</v>
      </c>
      <c r="C23">
        <v>-2</v>
      </c>
      <c r="D23" s="5" t="s">
        <v>117</v>
      </c>
      <c r="E23">
        <v>25</v>
      </c>
      <c r="F23">
        <v>9.50102412729907</v>
      </c>
      <c r="G23">
        <v>-3.06</v>
      </c>
      <c r="H23">
        <v>1750</v>
      </c>
    </row>
    <row r="24" spans="1:8">
      <c r="A24" t="s">
        <v>112</v>
      </c>
      <c r="B24" s="4" t="s">
        <v>104</v>
      </c>
      <c r="C24">
        <v>-1</v>
      </c>
      <c r="D24" s="5" t="s">
        <v>117</v>
      </c>
      <c r="E24">
        <v>27</v>
      </c>
      <c r="F24">
        <v>9.6287342370953</v>
      </c>
      <c r="G24">
        <v>-3.06</v>
      </c>
      <c r="H24">
        <v>1750</v>
      </c>
    </row>
    <row r="25" spans="1:8">
      <c r="A25" t="s">
        <v>112</v>
      </c>
      <c r="B25" s="4" t="s">
        <v>104</v>
      </c>
      <c r="C25">
        <v>0</v>
      </c>
      <c r="D25" s="5" t="s">
        <v>117</v>
      </c>
      <c r="E25">
        <v>28</v>
      </c>
      <c r="F25">
        <v>9.25324592687075</v>
      </c>
      <c r="G25">
        <v>-3.06</v>
      </c>
      <c r="H25">
        <v>1750</v>
      </c>
    </row>
    <row r="26" spans="1:8">
      <c r="A26" t="s">
        <v>112</v>
      </c>
      <c r="B26" s="4" t="s">
        <v>109</v>
      </c>
      <c r="C26">
        <v>-2</v>
      </c>
      <c r="D26" s="5" t="s">
        <v>118</v>
      </c>
      <c r="E26">
        <v>28</v>
      </c>
      <c r="F26">
        <v>10.0056838760394</v>
      </c>
      <c r="G26">
        <v>3.26</v>
      </c>
      <c r="H26">
        <v>1750</v>
      </c>
    </row>
    <row r="27" spans="1:8">
      <c r="A27" t="s">
        <v>112</v>
      </c>
      <c r="B27" s="4" t="s">
        <v>109</v>
      </c>
      <c r="C27">
        <v>-1</v>
      </c>
      <c r="D27" s="5" t="s">
        <v>118</v>
      </c>
      <c r="E27">
        <v>31</v>
      </c>
      <c r="F27">
        <v>8.42830391853827</v>
      </c>
      <c r="G27">
        <v>3.26</v>
      </c>
      <c r="H27">
        <v>1750</v>
      </c>
    </row>
    <row r="28" spans="1:8">
      <c r="A28" t="s">
        <v>112</v>
      </c>
      <c r="B28" s="4" t="s">
        <v>109</v>
      </c>
      <c r="C28">
        <v>0</v>
      </c>
      <c r="D28" s="5" t="s">
        <v>118</v>
      </c>
      <c r="E28">
        <v>32.5</v>
      </c>
      <c r="F28">
        <v>8.69152636663103</v>
      </c>
      <c r="G28">
        <v>3.26</v>
      </c>
      <c r="H28">
        <v>1750</v>
      </c>
    </row>
    <row r="29" spans="1:8">
      <c r="A29" t="s">
        <v>119</v>
      </c>
      <c r="B29" s="4" t="s">
        <v>109</v>
      </c>
      <c r="C29">
        <v>0</v>
      </c>
      <c r="D29" s="5" t="s">
        <v>120</v>
      </c>
      <c r="E29">
        <v>24</v>
      </c>
      <c r="F29">
        <v>12.6475199158982</v>
      </c>
      <c r="G29">
        <v>1.51</v>
      </c>
      <c r="H29">
        <v>2550</v>
      </c>
    </row>
    <row r="30" spans="1:8">
      <c r="A30" t="s">
        <v>119</v>
      </c>
      <c r="B30" s="4" t="s">
        <v>104</v>
      </c>
      <c r="C30">
        <v>0</v>
      </c>
      <c r="D30" s="5" t="s">
        <v>121</v>
      </c>
      <c r="E30">
        <v>12</v>
      </c>
      <c r="F30">
        <v>10.8520110235702</v>
      </c>
      <c r="G30">
        <v>1.71</v>
      </c>
      <c r="H30">
        <v>2550</v>
      </c>
    </row>
    <row r="31" spans="1:8">
      <c r="A31" t="s">
        <v>119</v>
      </c>
      <c r="B31" s="4" t="s">
        <v>104</v>
      </c>
      <c r="C31">
        <v>-2</v>
      </c>
      <c r="D31" s="5" t="s">
        <v>122</v>
      </c>
      <c r="E31">
        <v>11</v>
      </c>
      <c r="F31">
        <v>10.8978707528093</v>
      </c>
      <c r="G31">
        <v>3.08</v>
      </c>
      <c r="H31">
        <v>2550</v>
      </c>
    </row>
    <row r="32" spans="1:8">
      <c r="A32" t="s">
        <v>119</v>
      </c>
      <c r="B32" s="4" t="s">
        <v>104</v>
      </c>
      <c r="C32">
        <v>-1</v>
      </c>
      <c r="D32" s="5" t="s">
        <v>122</v>
      </c>
      <c r="E32">
        <v>19</v>
      </c>
      <c r="F32">
        <v>10.8468367174477</v>
      </c>
      <c r="G32">
        <v>3.08</v>
      </c>
      <c r="H32">
        <v>2550</v>
      </c>
    </row>
    <row r="33" spans="1:8">
      <c r="A33" t="s">
        <v>119</v>
      </c>
      <c r="B33" s="4" t="s">
        <v>104</v>
      </c>
      <c r="C33">
        <v>0</v>
      </c>
      <c r="D33" s="5" t="s">
        <v>122</v>
      </c>
      <c r="E33">
        <v>25</v>
      </c>
      <c r="F33">
        <v>9.98948766326531</v>
      </c>
      <c r="G33">
        <v>3.08</v>
      </c>
      <c r="H33">
        <v>2550</v>
      </c>
    </row>
    <row r="34" spans="1:8">
      <c r="A34" t="s">
        <v>119</v>
      </c>
      <c r="B34" s="4" t="s">
        <v>104</v>
      </c>
      <c r="C34">
        <v>-2</v>
      </c>
      <c r="D34" s="5" t="s">
        <v>123</v>
      </c>
      <c r="E34">
        <v>25</v>
      </c>
      <c r="F34">
        <v>9.26483778061224</v>
      </c>
      <c r="G34">
        <v>-3.79</v>
      </c>
      <c r="H34">
        <v>2550</v>
      </c>
    </row>
    <row r="35" spans="1:8">
      <c r="A35" t="s">
        <v>119</v>
      </c>
      <c r="B35" s="4" t="s">
        <v>104</v>
      </c>
      <c r="C35">
        <v>-1</v>
      </c>
      <c r="D35" s="5" t="s">
        <v>123</v>
      </c>
      <c r="E35">
        <v>27</v>
      </c>
      <c r="F35">
        <v>9.00623567901235</v>
      </c>
      <c r="G35">
        <v>-3.79</v>
      </c>
      <c r="H35">
        <v>2550</v>
      </c>
    </row>
    <row r="36" spans="1:8">
      <c r="A36" t="s">
        <v>119</v>
      </c>
      <c r="B36" s="4" t="s">
        <v>104</v>
      </c>
      <c r="C36">
        <v>0</v>
      </c>
      <c r="D36" s="5" t="s">
        <v>123</v>
      </c>
      <c r="E36">
        <v>27</v>
      </c>
      <c r="F36">
        <v>8.24882303917863</v>
      </c>
      <c r="G36">
        <v>-3.79</v>
      </c>
      <c r="H36">
        <v>2550</v>
      </c>
    </row>
    <row r="37" spans="1:8">
      <c r="A37" t="s">
        <v>119</v>
      </c>
      <c r="B37" s="4" t="s">
        <v>104</v>
      </c>
      <c r="C37">
        <v>-2</v>
      </c>
      <c r="D37" s="5" t="s">
        <v>124</v>
      </c>
      <c r="E37">
        <v>23.5</v>
      </c>
      <c r="F37">
        <v>11.2854928746142</v>
      </c>
      <c r="G37">
        <v>-2.82</v>
      </c>
      <c r="H37">
        <v>2550</v>
      </c>
    </row>
    <row r="38" spans="1:8">
      <c r="A38" t="s">
        <v>119</v>
      </c>
      <c r="B38" s="4" t="s">
        <v>104</v>
      </c>
      <c r="C38">
        <v>-1</v>
      </c>
      <c r="D38" s="5" t="s">
        <v>124</v>
      </c>
      <c r="E38">
        <v>25</v>
      </c>
      <c r="F38">
        <v>9.50626046044344</v>
      </c>
      <c r="G38">
        <v>-2.82</v>
      </c>
      <c r="H38">
        <v>2550</v>
      </c>
    </row>
    <row r="39" spans="1:8">
      <c r="A39" t="s">
        <v>119</v>
      </c>
      <c r="B39" s="4" t="s">
        <v>104</v>
      </c>
      <c r="C39">
        <v>0</v>
      </c>
      <c r="D39" s="5" t="s">
        <v>124</v>
      </c>
      <c r="E39">
        <v>25</v>
      </c>
      <c r="F39">
        <v>9.50626046044344</v>
      </c>
      <c r="G39">
        <v>-2.82</v>
      </c>
      <c r="H39">
        <v>2550</v>
      </c>
    </row>
    <row r="40" spans="1:8">
      <c r="A40" t="s">
        <v>119</v>
      </c>
      <c r="B40" s="4" t="s">
        <v>109</v>
      </c>
      <c r="C40">
        <v>-2</v>
      </c>
      <c r="D40" s="5" t="s">
        <v>125</v>
      </c>
      <c r="E40">
        <v>28</v>
      </c>
      <c r="F40">
        <v>9.28744106036785</v>
      </c>
      <c r="G40">
        <v>3.59</v>
      </c>
      <c r="H40">
        <v>2550</v>
      </c>
    </row>
    <row r="41" spans="1:8">
      <c r="A41" t="s">
        <v>119</v>
      </c>
      <c r="B41" s="4" t="s">
        <v>109</v>
      </c>
      <c r="C41">
        <v>-1</v>
      </c>
      <c r="D41" s="5" t="s">
        <v>125</v>
      </c>
      <c r="E41">
        <v>30</v>
      </c>
      <c r="F41">
        <v>8.65903831167717</v>
      </c>
      <c r="G41">
        <v>3.59</v>
      </c>
      <c r="H41">
        <v>2550</v>
      </c>
    </row>
    <row r="42" spans="1:8">
      <c r="A42" t="s">
        <v>119</v>
      </c>
      <c r="B42" s="4" t="s">
        <v>109</v>
      </c>
      <c r="C42">
        <v>0</v>
      </c>
      <c r="D42" s="5" t="s">
        <v>125</v>
      </c>
      <c r="E42">
        <v>32</v>
      </c>
      <c r="F42">
        <v>7.94755019929816</v>
      </c>
      <c r="G42">
        <v>3.59</v>
      </c>
      <c r="H42">
        <v>2550</v>
      </c>
    </row>
    <row r="43" spans="1:8">
      <c r="A43" t="s">
        <v>126</v>
      </c>
      <c r="B43" s="4" t="s">
        <v>109</v>
      </c>
      <c r="C43">
        <v>0</v>
      </c>
      <c r="D43" s="5" t="s">
        <v>127</v>
      </c>
      <c r="E43">
        <v>4.5</v>
      </c>
      <c r="F43">
        <v>10.9941465720663</v>
      </c>
      <c r="G43">
        <v>0.5</v>
      </c>
      <c r="H43">
        <v>0</v>
      </c>
    </row>
    <row r="44" spans="1:8">
      <c r="A44" t="s">
        <v>126</v>
      </c>
      <c r="B44" s="4" t="s">
        <v>109</v>
      </c>
      <c r="C44">
        <v>0</v>
      </c>
      <c r="D44" s="5" t="s">
        <v>128</v>
      </c>
      <c r="E44">
        <v>4</v>
      </c>
      <c r="F44">
        <v>16.3775654527589</v>
      </c>
      <c r="G44">
        <v>1.96</v>
      </c>
      <c r="H44">
        <v>0</v>
      </c>
    </row>
    <row r="45" spans="1:8">
      <c r="A45" t="s">
        <v>126</v>
      </c>
      <c r="B45" s="4" t="s">
        <v>104</v>
      </c>
      <c r="C45">
        <v>0</v>
      </c>
      <c r="D45" s="5" t="s">
        <v>129</v>
      </c>
      <c r="E45">
        <v>5</v>
      </c>
      <c r="F45">
        <v>11.4382684673595</v>
      </c>
      <c r="G45">
        <v>1.08</v>
      </c>
      <c r="H45">
        <v>0</v>
      </c>
    </row>
    <row r="46" spans="1:8">
      <c r="A46" t="s">
        <v>126</v>
      </c>
      <c r="B46" s="4" t="s">
        <v>104</v>
      </c>
      <c r="C46">
        <v>0</v>
      </c>
      <c r="D46" s="5" t="s">
        <v>130</v>
      </c>
      <c r="E46">
        <v>5</v>
      </c>
      <c r="F46">
        <v>14.201005023482</v>
      </c>
      <c r="G46">
        <v>2.13</v>
      </c>
      <c r="H46">
        <v>0</v>
      </c>
    </row>
    <row r="47" spans="1:8">
      <c r="A47" t="s">
        <v>126</v>
      </c>
      <c r="B47" s="4" t="s">
        <v>104</v>
      </c>
      <c r="C47">
        <v>-2</v>
      </c>
      <c r="D47" s="5" t="s">
        <v>131</v>
      </c>
      <c r="E47">
        <v>24</v>
      </c>
      <c r="F47">
        <v>10.2235480778534</v>
      </c>
      <c r="G47">
        <v>3.4</v>
      </c>
      <c r="H47">
        <v>0</v>
      </c>
    </row>
    <row r="48" spans="1:8">
      <c r="A48" t="s">
        <v>126</v>
      </c>
      <c r="B48" s="4" t="s">
        <v>104</v>
      </c>
      <c r="C48">
        <v>-1</v>
      </c>
      <c r="D48" s="5" t="s">
        <v>131</v>
      </c>
      <c r="E48">
        <v>25</v>
      </c>
      <c r="F48">
        <v>9.54054815181406</v>
      </c>
      <c r="G48">
        <v>3.4</v>
      </c>
      <c r="H48">
        <v>0</v>
      </c>
    </row>
    <row r="49" spans="1:8">
      <c r="A49" t="s">
        <v>126</v>
      </c>
      <c r="B49" s="4" t="s">
        <v>104</v>
      </c>
      <c r="C49">
        <v>0</v>
      </c>
      <c r="D49" s="5" t="s">
        <v>131</v>
      </c>
      <c r="E49">
        <v>27</v>
      </c>
      <c r="F49">
        <v>9.59777654406652</v>
      </c>
      <c r="G49">
        <v>3.4</v>
      </c>
      <c r="H49">
        <v>0</v>
      </c>
    </row>
    <row r="50" spans="1:8">
      <c r="A50" t="s">
        <v>126</v>
      </c>
      <c r="B50" s="4" t="s">
        <v>104</v>
      </c>
      <c r="C50">
        <v>-2</v>
      </c>
      <c r="D50" s="5" t="s">
        <v>132</v>
      </c>
      <c r="E50">
        <v>23</v>
      </c>
      <c r="F50">
        <v>10.9933179239103</v>
      </c>
      <c r="G50">
        <v>-3.61</v>
      </c>
      <c r="H50">
        <v>0</v>
      </c>
    </row>
    <row r="51" spans="1:8">
      <c r="A51" t="s">
        <v>126</v>
      </c>
      <c r="B51" s="4" t="s">
        <v>104</v>
      </c>
      <c r="C51">
        <v>-1</v>
      </c>
      <c r="D51" s="5" t="s">
        <v>132</v>
      </c>
      <c r="E51">
        <v>25.5</v>
      </c>
      <c r="F51">
        <v>10.6055190454649</v>
      </c>
      <c r="G51">
        <v>-3.61</v>
      </c>
      <c r="H51">
        <v>0</v>
      </c>
    </row>
    <row r="52" spans="1:8">
      <c r="A52" t="s">
        <v>126</v>
      </c>
      <c r="B52" s="4" t="s">
        <v>104</v>
      </c>
      <c r="C52">
        <v>0</v>
      </c>
      <c r="D52" s="5" t="s">
        <v>132</v>
      </c>
      <c r="E52">
        <v>26</v>
      </c>
      <c r="F52">
        <v>10.0094857256236</v>
      </c>
      <c r="G52">
        <v>-3.61</v>
      </c>
      <c r="H52">
        <v>0</v>
      </c>
    </row>
    <row r="53" spans="1:8">
      <c r="A53" t="s">
        <v>126</v>
      </c>
      <c r="B53" s="4" t="s">
        <v>109</v>
      </c>
      <c r="C53">
        <v>0</v>
      </c>
      <c r="D53" s="5" t="s">
        <v>133</v>
      </c>
      <c r="E53">
        <v>34</v>
      </c>
      <c r="F53">
        <v>8.19345701103552</v>
      </c>
      <c r="G53">
        <v>-3.6</v>
      </c>
      <c r="H53">
        <v>0</v>
      </c>
    </row>
  </sheetData>
  <sortState ref="A2:G53">
    <sortCondition ref="A2:A53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selection activeCell="I33" sqref="I33"/>
    </sheetView>
  </sheetViews>
  <sheetFormatPr defaultColWidth="9" defaultRowHeight="14.4"/>
  <cols>
    <col min="13" max="13" width="19.4259259259259" customWidth="1"/>
    <col min="17" max="17" width="10" customWidth="1"/>
  </cols>
  <sheetData>
    <row r="1" spans="1:2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134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>
      <c r="A2">
        <v>0</v>
      </c>
      <c r="B2">
        <v>0</v>
      </c>
      <c r="C2">
        <v>7.5</v>
      </c>
      <c r="D2">
        <v>127.5</v>
      </c>
      <c r="E2">
        <v>120</v>
      </c>
      <c r="F2">
        <v>22.5</v>
      </c>
      <c r="G2">
        <v>0</v>
      </c>
      <c r="H2">
        <v>7.5</v>
      </c>
      <c r="I2">
        <v>7.5</v>
      </c>
      <c r="J2">
        <v>0</v>
      </c>
      <c r="K2">
        <v>0</v>
      </c>
      <c r="L2">
        <v>0</v>
      </c>
      <c r="M2">
        <f>SUM(B2:L2)</f>
        <v>292.5</v>
      </c>
      <c r="N2">
        <f>SUM(B2:C2)</f>
        <v>7.5</v>
      </c>
      <c r="O2">
        <f>SUM(D2:F2)</f>
        <v>270</v>
      </c>
      <c r="P2">
        <f>SUM(G2:I2)</f>
        <v>15</v>
      </c>
      <c r="Q2">
        <f>SUM(J2:L2)</f>
        <v>0</v>
      </c>
      <c r="R2">
        <f>N2/M2</f>
        <v>0.0256410256410256</v>
      </c>
      <c r="S2">
        <f>O2/M2</f>
        <v>0.923076923076923</v>
      </c>
      <c r="T2">
        <f>P2/M2</f>
        <v>0.0512820512820513</v>
      </c>
      <c r="U2">
        <f>Q2/M2</f>
        <v>0</v>
      </c>
    </row>
    <row r="3" spans="1:21">
      <c r="A3">
        <v>0</v>
      </c>
      <c r="B3">
        <v>1.66</v>
      </c>
      <c r="C3">
        <v>6.66</v>
      </c>
      <c r="D3">
        <v>13.33</v>
      </c>
      <c r="E3">
        <v>6.66</v>
      </c>
      <c r="F3">
        <v>3.33</v>
      </c>
      <c r="G3">
        <v>11.66</v>
      </c>
      <c r="H3">
        <v>0</v>
      </c>
      <c r="I3">
        <v>0</v>
      </c>
      <c r="J3">
        <v>1.66</v>
      </c>
      <c r="K3">
        <v>1.66</v>
      </c>
      <c r="L3">
        <v>0</v>
      </c>
      <c r="M3">
        <f t="shared" ref="M3:M44" si="0">SUM(B3:L3)</f>
        <v>46.62</v>
      </c>
      <c r="N3">
        <f t="shared" ref="N3:N44" si="1">SUM(B3:C3)</f>
        <v>8.32</v>
      </c>
      <c r="O3">
        <f t="shared" ref="O3:O44" si="2">SUM(D3:F3)</f>
        <v>23.32</v>
      </c>
      <c r="P3">
        <f t="shared" ref="P3:P44" si="3">SUM(G3:I3)</f>
        <v>11.66</v>
      </c>
      <c r="Q3">
        <f t="shared" ref="Q3:Q44" si="4">SUM(J3:L3)</f>
        <v>3.32</v>
      </c>
      <c r="R3">
        <f t="shared" ref="R3:R44" si="5">N3/M3</f>
        <v>0.178464178464179</v>
      </c>
      <c r="S3">
        <f t="shared" ref="S3:S44" si="6">O3/M3</f>
        <v>0.5002145002145</v>
      </c>
      <c r="T3">
        <f t="shared" ref="T3:T44" si="7">P3/M3</f>
        <v>0.25010725010725</v>
      </c>
      <c r="U3">
        <f t="shared" ref="U3:U44" si="8">Q3/M3</f>
        <v>0.0712140712140712</v>
      </c>
    </row>
    <row r="4" spans="1:21">
      <c r="A4">
        <v>0</v>
      </c>
      <c r="B4">
        <v>60</v>
      </c>
      <c r="C4">
        <v>54</v>
      </c>
      <c r="D4">
        <v>30</v>
      </c>
      <c r="E4">
        <v>24</v>
      </c>
      <c r="F4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186</v>
      </c>
      <c r="N4">
        <f t="shared" si="1"/>
        <v>114</v>
      </c>
      <c r="O4">
        <f t="shared" si="2"/>
        <v>72</v>
      </c>
      <c r="P4">
        <f t="shared" si="3"/>
        <v>0</v>
      </c>
      <c r="Q4">
        <f t="shared" si="4"/>
        <v>0</v>
      </c>
      <c r="R4">
        <f t="shared" si="5"/>
        <v>0.612903225806452</v>
      </c>
      <c r="S4">
        <f t="shared" si="6"/>
        <v>0.387096774193548</v>
      </c>
      <c r="T4">
        <f t="shared" si="7"/>
        <v>0</v>
      </c>
      <c r="U4">
        <f t="shared" si="8"/>
        <v>0</v>
      </c>
    </row>
    <row r="5" spans="1:21">
      <c r="A5">
        <v>5</v>
      </c>
      <c r="B5">
        <v>40</v>
      </c>
      <c r="C5">
        <v>45</v>
      </c>
      <c r="D5">
        <v>25</v>
      </c>
      <c r="E5">
        <v>0</v>
      </c>
      <c r="F5">
        <v>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130</v>
      </c>
      <c r="N5">
        <f t="shared" si="1"/>
        <v>85</v>
      </c>
      <c r="O5">
        <f t="shared" si="2"/>
        <v>45</v>
      </c>
      <c r="P5">
        <f t="shared" si="3"/>
        <v>0</v>
      </c>
      <c r="Q5">
        <f t="shared" si="4"/>
        <v>0</v>
      </c>
      <c r="R5">
        <f t="shared" si="5"/>
        <v>0.653846153846154</v>
      </c>
      <c r="S5">
        <f t="shared" si="6"/>
        <v>0.346153846153846</v>
      </c>
      <c r="T5">
        <f t="shared" si="7"/>
        <v>0</v>
      </c>
      <c r="U5">
        <f t="shared" si="8"/>
        <v>0</v>
      </c>
    </row>
    <row r="6" spans="1:21">
      <c r="A6">
        <v>0</v>
      </c>
      <c r="B6">
        <v>280</v>
      </c>
      <c r="C6">
        <v>460</v>
      </c>
      <c r="D6">
        <v>1060</v>
      </c>
      <c r="E6">
        <v>540</v>
      </c>
      <c r="F6">
        <v>220</v>
      </c>
      <c r="G6">
        <v>130</v>
      </c>
      <c r="H6">
        <v>20</v>
      </c>
      <c r="I6">
        <v>40</v>
      </c>
      <c r="J6">
        <v>70</v>
      </c>
      <c r="K6">
        <v>50</v>
      </c>
      <c r="L6">
        <v>0</v>
      </c>
      <c r="M6">
        <f t="shared" si="0"/>
        <v>2870</v>
      </c>
      <c r="N6">
        <f t="shared" si="1"/>
        <v>740</v>
      </c>
      <c r="O6">
        <f t="shared" si="2"/>
        <v>1820</v>
      </c>
      <c r="P6">
        <f t="shared" si="3"/>
        <v>190</v>
      </c>
      <c r="Q6">
        <f t="shared" si="4"/>
        <v>120</v>
      </c>
      <c r="R6">
        <f t="shared" si="5"/>
        <v>0.257839721254355</v>
      </c>
      <c r="S6">
        <f t="shared" si="6"/>
        <v>0.634146341463415</v>
      </c>
      <c r="T6">
        <f t="shared" si="7"/>
        <v>0.0662020905923345</v>
      </c>
      <c r="U6">
        <f t="shared" si="8"/>
        <v>0.0418118466898955</v>
      </c>
    </row>
    <row r="7" spans="1:21">
      <c r="A7">
        <v>0</v>
      </c>
      <c r="B7">
        <v>378.66</v>
      </c>
      <c r="C7">
        <v>2352</v>
      </c>
      <c r="D7">
        <v>1989.33</v>
      </c>
      <c r="E7">
        <v>416</v>
      </c>
      <c r="F7">
        <v>250.66</v>
      </c>
      <c r="G7">
        <v>224</v>
      </c>
      <c r="H7">
        <v>464</v>
      </c>
      <c r="I7">
        <v>165.33</v>
      </c>
      <c r="J7">
        <v>112</v>
      </c>
      <c r="K7">
        <v>5.33</v>
      </c>
      <c r="L7">
        <v>0</v>
      </c>
      <c r="M7">
        <f t="shared" si="0"/>
        <v>6357.31</v>
      </c>
      <c r="N7">
        <f t="shared" si="1"/>
        <v>2730.66</v>
      </c>
      <c r="O7">
        <f t="shared" si="2"/>
        <v>2655.99</v>
      </c>
      <c r="P7">
        <f t="shared" si="3"/>
        <v>853.33</v>
      </c>
      <c r="Q7">
        <f t="shared" si="4"/>
        <v>117.33</v>
      </c>
      <c r="R7">
        <f t="shared" si="5"/>
        <v>0.429530729192064</v>
      </c>
      <c r="S7">
        <f t="shared" si="6"/>
        <v>0.417785195310595</v>
      </c>
      <c r="T7">
        <f t="shared" si="7"/>
        <v>0.134228156248476</v>
      </c>
      <c r="U7">
        <f t="shared" si="8"/>
        <v>0.0184559192488647</v>
      </c>
    </row>
    <row r="8" spans="1:21">
      <c r="A8">
        <v>85.33</v>
      </c>
      <c r="B8">
        <v>704</v>
      </c>
      <c r="C8">
        <v>1738.66</v>
      </c>
      <c r="D8">
        <v>1429.33</v>
      </c>
      <c r="E8">
        <v>426.66</v>
      </c>
      <c r="F8">
        <v>170.66</v>
      </c>
      <c r="G8">
        <v>586.66</v>
      </c>
      <c r="H8">
        <v>480</v>
      </c>
      <c r="I8">
        <v>448</v>
      </c>
      <c r="J8">
        <v>192</v>
      </c>
      <c r="K8">
        <v>128</v>
      </c>
      <c r="L8">
        <v>0</v>
      </c>
      <c r="M8">
        <f t="shared" si="0"/>
        <v>6303.97</v>
      </c>
      <c r="N8">
        <f t="shared" si="1"/>
        <v>2442.66</v>
      </c>
      <c r="O8">
        <f t="shared" si="2"/>
        <v>2026.65</v>
      </c>
      <c r="P8">
        <f t="shared" si="3"/>
        <v>1514.66</v>
      </c>
      <c r="Q8">
        <f t="shared" si="4"/>
        <v>320</v>
      </c>
      <c r="R8">
        <f t="shared" si="5"/>
        <v>0.387479635848521</v>
      </c>
      <c r="S8">
        <f t="shared" si="6"/>
        <v>0.321487887791344</v>
      </c>
      <c r="T8">
        <f t="shared" si="7"/>
        <v>0.240270813471511</v>
      </c>
      <c r="U8">
        <f t="shared" si="8"/>
        <v>0.0507616628886242</v>
      </c>
    </row>
    <row r="9" spans="1:21">
      <c r="A9">
        <v>69.33</v>
      </c>
      <c r="B9">
        <v>1136</v>
      </c>
      <c r="C9">
        <v>1237.33</v>
      </c>
      <c r="D9">
        <v>1498.66</v>
      </c>
      <c r="E9">
        <v>1109.33</v>
      </c>
      <c r="F9">
        <v>522.66</v>
      </c>
      <c r="G9">
        <v>277.33</v>
      </c>
      <c r="H9">
        <v>53.33</v>
      </c>
      <c r="I9">
        <v>37.33</v>
      </c>
      <c r="J9">
        <v>32</v>
      </c>
      <c r="K9">
        <v>37.33</v>
      </c>
      <c r="L9">
        <v>26.66</v>
      </c>
      <c r="M9">
        <f t="shared" si="0"/>
        <v>5967.96</v>
      </c>
      <c r="N9">
        <f t="shared" si="1"/>
        <v>2373.33</v>
      </c>
      <c r="O9">
        <f t="shared" si="2"/>
        <v>3130.65</v>
      </c>
      <c r="P9">
        <f t="shared" si="3"/>
        <v>367.99</v>
      </c>
      <c r="Q9">
        <f t="shared" si="4"/>
        <v>95.99</v>
      </c>
      <c r="R9">
        <f t="shared" si="5"/>
        <v>0.397678603743993</v>
      </c>
      <c r="S9">
        <f t="shared" si="6"/>
        <v>0.524576237106147</v>
      </c>
      <c r="T9">
        <f t="shared" si="7"/>
        <v>0.0616609360652551</v>
      </c>
      <c r="U9">
        <f t="shared" si="8"/>
        <v>0.0160842230846051</v>
      </c>
    </row>
    <row r="10" spans="1:21">
      <c r="A10">
        <v>10</v>
      </c>
      <c r="B10">
        <v>280</v>
      </c>
      <c r="C10">
        <v>830</v>
      </c>
      <c r="D10">
        <v>1050</v>
      </c>
      <c r="E10">
        <v>470</v>
      </c>
      <c r="F10">
        <v>120</v>
      </c>
      <c r="G10">
        <v>40</v>
      </c>
      <c r="H10">
        <v>0</v>
      </c>
      <c r="I10">
        <v>10</v>
      </c>
      <c r="J10">
        <v>10</v>
      </c>
      <c r="K10">
        <v>0</v>
      </c>
      <c r="L10">
        <v>0</v>
      </c>
      <c r="M10">
        <f t="shared" si="0"/>
        <v>2810</v>
      </c>
      <c r="N10">
        <f t="shared" si="1"/>
        <v>1110</v>
      </c>
      <c r="O10">
        <f t="shared" si="2"/>
        <v>1640</v>
      </c>
      <c r="P10">
        <f t="shared" si="3"/>
        <v>50</v>
      </c>
      <c r="Q10">
        <f t="shared" si="4"/>
        <v>10</v>
      </c>
      <c r="R10">
        <f t="shared" si="5"/>
        <v>0.395017793594306</v>
      </c>
      <c r="S10">
        <f t="shared" si="6"/>
        <v>0.583629893238434</v>
      </c>
      <c r="T10">
        <f t="shared" si="7"/>
        <v>0.0177935943060498</v>
      </c>
      <c r="U10">
        <f t="shared" si="8"/>
        <v>0.00355871886120996</v>
      </c>
    </row>
    <row r="11" spans="1:21">
      <c r="A11">
        <v>0</v>
      </c>
      <c r="B11">
        <v>82.5</v>
      </c>
      <c r="C11">
        <v>71.25</v>
      </c>
      <c r="D11">
        <v>18.75</v>
      </c>
      <c r="E11">
        <v>37.5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210</v>
      </c>
      <c r="N11">
        <f t="shared" si="1"/>
        <v>153.75</v>
      </c>
      <c r="O11">
        <f t="shared" si="2"/>
        <v>56.25</v>
      </c>
      <c r="P11">
        <f t="shared" si="3"/>
        <v>0</v>
      </c>
      <c r="Q11">
        <f t="shared" si="4"/>
        <v>0</v>
      </c>
      <c r="R11">
        <f t="shared" si="5"/>
        <v>0.732142857142857</v>
      </c>
      <c r="S11">
        <f t="shared" si="6"/>
        <v>0.267857142857143</v>
      </c>
      <c r="T11">
        <f t="shared" si="7"/>
        <v>0</v>
      </c>
      <c r="U11">
        <f t="shared" si="8"/>
        <v>0</v>
      </c>
    </row>
    <row r="12" spans="1:21">
      <c r="A12">
        <v>8.57</v>
      </c>
      <c r="B12">
        <v>38.57</v>
      </c>
      <c r="C12">
        <v>98.57</v>
      </c>
      <c r="D12">
        <v>72.85</v>
      </c>
      <c r="E12">
        <v>17.14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227.13</v>
      </c>
      <c r="N12">
        <f t="shared" si="1"/>
        <v>137.14</v>
      </c>
      <c r="O12">
        <f t="shared" si="2"/>
        <v>89.99</v>
      </c>
      <c r="P12">
        <f t="shared" si="3"/>
        <v>0</v>
      </c>
      <c r="Q12">
        <f t="shared" si="4"/>
        <v>0</v>
      </c>
      <c r="R12">
        <f t="shared" si="5"/>
        <v>0.60379518337516</v>
      </c>
      <c r="S12">
        <f t="shared" si="6"/>
        <v>0.39620481662484</v>
      </c>
      <c r="T12">
        <f t="shared" si="7"/>
        <v>0</v>
      </c>
      <c r="U12">
        <f t="shared" si="8"/>
        <v>0</v>
      </c>
    </row>
    <row r="13" spans="1:21">
      <c r="A13">
        <v>0</v>
      </c>
      <c r="B13">
        <v>3</v>
      </c>
      <c r="C13">
        <v>3</v>
      </c>
      <c r="D13">
        <v>9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21</v>
      </c>
      <c r="N13">
        <f t="shared" si="1"/>
        <v>6</v>
      </c>
      <c r="O13">
        <f t="shared" si="2"/>
        <v>15</v>
      </c>
      <c r="P13">
        <f t="shared" si="3"/>
        <v>0</v>
      </c>
      <c r="Q13">
        <f t="shared" si="4"/>
        <v>0</v>
      </c>
      <c r="R13">
        <f t="shared" si="5"/>
        <v>0.285714285714286</v>
      </c>
      <c r="S13">
        <f t="shared" si="6"/>
        <v>0.714285714285714</v>
      </c>
      <c r="T13">
        <f t="shared" si="7"/>
        <v>0</v>
      </c>
      <c r="U13">
        <f t="shared" si="8"/>
        <v>0</v>
      </c>
    </row>
    <row r="14" spans="1:21">
      <c r="A14">
        <v>0</v>
      </c>
      <c r="B14">
        <v>40</v>
      </c>
      <c r="C14">
        <v>230</v>
      </c>
      <c r="D14">
        <v>130</v>
      </c>
      <c r="E14">
        <v>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420</v>
      </c>
      <c r="N14">
        <f t="shared" si="1"/>
        <v>270</v>
      </c>
      <c r="O14">
        <f t="shared" si="2"/>
        <v>150</v>
      </c>
      <c r="P14">
        <f t="shared" si="3"/>
        <v>0</v>
      </c>
      <c r="Q14">
        <f t="shared" si="4"/>
        <v>0</v>
      </c>
      <c r="R14">
        <f t="shared" si="5"/>
        <v>0.642857142857143</v>
      </c>
      <c r="S14">
        <f t="shared" si="6"/>
        <v>0.357142857142857</v>
      </c>
      <c r="T14">
        <f t="shared" si="7"/>
        <v>0</v>
      </c>
      <c r="U14">
        <f t="shared" si="8"/>
        <v>0</v>
      </c>
    </row>
    <row r="15" spans="1:21">
      <c r="A15">
        <v>0</v>
      </c>
      <c r="B15">
        <v>200</v>
      </c>
      <c r="C15">
        <v>700</v>
      </c>
      <c r="D15">
        <v>400</v>
      </c>
      <c r="E15">
        <v>80</v>
      </c>
      <c r="F15">
        <v>40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1430</v>
      </c>
      <c r="N15">
        <f t="shared" si="1"/>
        <v>900</v>
      </c>
      <c r="O15">
        <f t="shared" si="2"/>
        <v>520</v>
      </c>
      <c r="P15">
        <f t="shared" si="3"/>
        <v>10</v>
      </c>
      <c r="Q15">
        <f t="shared" si="4"/>
        <v>0</v>
      </c>
      <c r="R15">
        <f t="shared" si="5"/>
        <v>0.629370629370629</v>
      </c>
      <c r="S15">
        <f t="shared" si="6"/>
        <v>0.363636363636364</v>
      </c>
      <c r="T15">
        <f t="shared" si="7"/>
        <v>0.00699300699300699</v>
      </c>
      <c r="U15">
        <f t="shared" si="8"/>
        <v>0</v>
      </c>
    </row>
    <row r="16" spans="1:21">
      <c r="A16">
        <v>30</v>
      </c>
      <c r="B16">
        <v>900</v>
      </c>
      <c r="C16">
        <v>1270</v>
      </c>
      <c r="D16">
        <v>400</v>
      </c>
      <c r="E16">
        <v>100</v>
      </c>
      <c r="F16">
        <v>70</v>
      </c>
      <c r="G16">
        <v>20</v>
      </c>
      <c r="H16">
        <v>0</v>
      </c>
      <c r="I16">
        <v>10</v>
      </c>
      <c r="J16">
        <v>0</v>
      </c>
      <c r="K16">
        <v>0</v>
      </c>
      <c r="L16">
        <v>0</v>
      </c>
      <c r="M16">
        <f t="shared" si="0"/>
        <v>2770</v>
      </c>
      <c r="N16">
        <f t="shared" si="1"/>
        <v>2170</v>
      </c>
      <c r="O16">
        <f t="shared" si="2"/>
        <v>570</v>
      </c>
      <c r="P16">
        <f t="shared" si="3"/>
        <v>30</v>
      </c>
      <c r="Q16">
        <f t="shared" si="4"/>
        <v>0</v>
      </c>
      <c r="R16">
        <f t="shared" si="5"/>
        <v>0.783393501805054</v>
      </c>
      <c r="S16">
        <f t="shared" si="6"/>
        <v>0.205776173285199</v>
      </c>
      <c r="T16">
        <f t="shared" si="7"/>
        <v>0.0108303249097473</v>
      </c>
      <c r="U16">
        <f t="shared" si="8"/>
        <v>0</v>
      </c>
    </row>
    <row r="17" spans="1:21">
      <c r="A17">
        <v>840</v>
      </c>
      <c r="B17">
        <v>3130</v>
      </c>
      <c r="C17">
        <v>2530</v>
      </c>
      <c r="D17">
        <v>610</v>
      </c>
      <c r="E17">
        <v>90</v>
      </c>
      <c r="F17">
        <v>20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6390</v>
      </c>
      <c r="N17">
        <f t="shared" si="1"/>
        <v>5660</v>
      </c>
      <c r="O17">
        <f t="shared" si="2"/>
        <v>720</v>
      </c>
      <c r="P17">
        <f t="shared" si="3"/>
        <v>10</v>
      </c>
      <c r="Q17">
        <f t="shared" si="4"/>
        <v>0</v>
      </c>
      <c r="R17">
        <f t="shared" si="5"/>
        <v>0.885758998435055</v>
      </c>
      <c r="S17">
        <f t="shared" si="6"/>
        <v>0.112676056338028</v>
      </c>
      <c r="T17">
        <f t="shared" si="7"/>
        <v>0.00156494522691706</v>
      </c>
      <c r="U17">
        <f t="shared" si="8"/>
        <v>0</v>
      </c>
    </row>
    <row r="18" spans="1:21">
      <c r="A18">
        <v>0</v>
      </c>
      <c r="B18">
        <v>192</v>
      </c>
      <c r="C18">
        <v>208</v>
      </c>
      <c r="D18">
        <v>122.66</v>
      </c>
      <c r="E18">
        <v>69.33</v>
      </c>
      <c r="F18">
        <v>10.66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602.65</v>
      </c>
      <c r="N18">
        <f t="shared" si="1"/>
        <v>400</v>
      </c>
      <c r="O18">
        <f t="shared" si="2"/>
        <v>202.65</v>
      </c>
      <c r="P18">
        <f t="shared" si="3"/>
        <v>0</v>
      </c>
      <c r="Q18">
        <f t="shared" si="4"/>
        <v>0</v>
      </c>
      <c r="R18">
        <f t="shared" si="5"/>
        <v>0.663735169667303</v>
      </c>
      <c r="S18">
        <f t="shared" si="6"/>
        <v>0.336264830332697</v>
      </c>
      <c r="T18">
        <f t="shared" si="7"/>
        <v>0</v>
      </c>
      <c r="U18">
        <f t="shared" si="8"/>
        <v>0</v>
      </c>
    </row>
    <row r="19" spans="1:21">
      <c r="A19">
        <v>0</v>
      </c>
      <c r="B19">
        <v>325.33</v>
      </c>
      <c r="C19">
        <v>490.66</v>
      </c>
      <c r="D19">
        <v>522.66</v>
      </c>
      <c r="E19">
        <v>218.66</v>
      </c>
      <c r="F19">
        <v>5.33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1562.64</v>
      </c>
      <c r="N19">
        <f t="shared" si="1"/>
        <v>815.99</v>
      </c>
      <c r="O19">
        <f t="shared" si="2"/>
        <v>746.65</v>
      </c>
      <c r="P19">
        <f t="shared" si="3"/>
        <v>0</v>
      </c>
      <c r="Q19">
        <f t="shared" si="4"/>
        <v>0</v>
      </c>
      <c r="R19">
        <f t="shared" si="5"/>
        <v>0.522186812061639</v>
      </c>
      <c r="S19">
        <f t="shared" si="6"/>
        <v>0.477813187938361</v>
      </c>
      <c r="T19">
        <f t="shared" si="7"/>
        <v>0</v>
      </c>
      <c r="U19">
        <f t="shared" si="8"/>
        <v>0</v>
      </c>
    </row>
    <row r="20" spans="1:21">
      <c r="A20">
        <v>0</v>
      </c>
      <c r="B20">
        <v>0</v>
      </c>
      <c r="C20">
        <v>21.33</v>
      </c>
      <c r="D20">
        <v>26.66</v>
      </c>
      <c r="E20">
        <v>42.66</v>
      </c>
      <c r="F20">
        <v>10.66</v>
      </c>
      <c r="G20">
        <v>5.33</v>
      </c>
      <c r="H20">
        <v>32</v>
      </c>
      <c r="I20">
        <v>26.66</v>
      </c>
      <c r="J20">
        <v>10.66</v>
      </c>
      <c r="K20">
        <v>16</v>
      </c>
      <c r="L20">
        <v>0</v>
      </c>
      <c r="M20">
        <f t="shared" si="0"/>
        <v>191.96</v>
      </c>
      <c r="N20">
        <f t="shared" si="1"/>
        <v>21.33</v>
      </c>
      <c r="O20">
        <f t="shared" si="2"/>
        <v>79.98</v>
      </c>
      <c r="P20">
        <f t="shared" si="3"/>
        <v>63.99</v>
      </c>
      <c r="Q20">
        <f t="shared" si="4"/>
        <v>26.66</v>
      </c>
      <c r="R20">
        <f t="shared" si="5"/>
        <v>0.111116899354032</v>
      </c>
      <c r="S20">
        <f t="shared" si="6"/>
        <v>0.416649301937904</v>
      </c>
      <c r="T20">
        <f t="shared" si="7"/>
        <v>0.333350698062096</v>
      </c>
      <c r="U20">
        <f t="shared" si="8"/>
        <v>0.138883100645968</v>
      </c>
    </row>
    <row r="21" spans="1:21">
      <c r="A21">
        <v>100</v>
      </c>
      <c r="B21">
        <v>433.33</v>
      </c>
      <c r="C21">
        <v>300</v>
      </c>
      <c r="D21">
        <v>766.66</v>
      </c>
      <c r="E21">
        <v>233.333</v>
      </c>
      <c r="F21">
        <v>166.66</v>
      </c>
      <c r="G21">
        <v>133.33</v>
      </c>
      <c r="H21">
        <v>100</v>
      </c>
      <c r="I21">
        <v>133.33</v>
      </c>
      <c r="J21">
        <v>0</v>
      </c>
      <c r="K21">
        <v>0</v>
      </c>
      <c r="L21">
        <v>0</v>
      </c>
      <c r="M21">
        <f t="shared" si="0"/>
        <v>2266.643</v>
      </c>
      <c r="N21">
        <f t="shared" si="1"/>
        <v>733.33</v>
      </c>
      <c r="O21">
        <f t="shared" si="2"/>
        <v>1166.653</v>
      </c>
      <c r="P21">
        <f t="shared" si="3"/>
        <v>366.66</v>
      </c>
      <c r="Q21">
        <f t="shared" si="4"/>
        <v>0</v>
      </c>
      <c r="R21">
        <f t="shared" si="5"/>
        <v>0.323531319224068</v>
      </c>
      <c r="S21">
        <f t="shared" si="6"/>
        <v>0.514705227069283</v>
      </c>
      <c r="T21">
        <f t="shared" si="7"/>
        <v>0.161763453706649</v>
      </c>
      <c r="U21">
        <f t="shared" si="8"/>
        <v>0</v>
      </c>
    </row>
    <row r="22" spans="1:21">
      <c r="A22">
        <v>33.33</v>
      </c>
      <c r="B22">
        <v>1500</v>
      </c>
      <c r="C22">
        <v>3266.66</v>
      </c>
      <c r="D22">
        <v>1000</v>
      </c>
      <c r="E22">
        <v>100</v>
      </c>
      <c r="F22">
        <v>33.33</v>
      </c>
      <c r="G22">
        <v>166.66</v>
      </c>
      <c r="H22">
        <v>166.66</v>
      </c>
      <c r="I22">
        <v>266.66</v>
      </c>
      <c r="J22">
        <v>133.33</v>
      </c>
      <c r="K22">
        <v>133.33</v>
      </c>
      <c r="L22">
        <v>0</v>
      </c>
      <c r="M22">
        <f t="shared" si="0"/>
        <v>6766.63</v>
      </c>
      <c r="N22">
        <f t="shared" si="1"/>
        <v>4766.66</v>
      </c>
      <c r="O22">
        <f t="shared" si="2"/>
        <v>1133.33</v>
      </c>
      <c r="P22">
        <f t="shared" si="3"/>
        <v>599.98</v>
      </c>
      <c r="Q22">
        <f t="shared" si="4"/>
        <v>266.66</v>
      </c>
      <c r="R22">
        <f t="shared" si="5"/>
        <v>0.704436329457943</v>
      </c>
      <c r="S22">
        <f t="shared" si="6"/>
        <v>0.16748809968921</v>
      </c>
      <c r="T22">
        <f t="shared" si="7"/>
        <v>0.0886674755380448</v>
      </c>
      <c r="U22">
        <f t="shared" si="8"/>
        <v>0.0394080953148022</v>
      </c>
    </row>
    <row r="23" spans="1:21">
      <c r="A23">
        <v>1033.33</v>
      </c>
      <c r="B23">
        <v>2300</v>
      </c>
      <c r="C23">
        <v>2566.66</v>
      </c>
      <c r="D23">
        <v>2200</v>
      </c>
      <c r="E23">
        <v>866.66</v>
      </c>
      <c r="F23">
        <v>466.66</v>
      </c>
      <c r="G23">
        <v>133.33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8533.31</v>
      </c>
      <c r="N23">
        <f t="shared" si="1"/>
        <v>4866.66</v>
      </c>
      <c r="O23">
        <f t="shared" si="2"/>
        <v>3533.32</v>
      </c>
      <c r="P23">
        <f t="shared" si="3"/>
        <v>133.33</v>
      </c>
      <c r="Q23">
        <f t="shared" si="4"/>
        <v>0</v>
      </c>
      <c r="R23">
        <f t="shared" si="5"/>
        <v>0.57031327820037</v>
      </c>
      <c r="S23">
        <f t="shared" si="6"/>
        <v>0.414062069700972</v>
      </c>
      <c r="T23">
        <f t="shared" si="7"/>
        <v>0.0156246520986581</v>
      </c>
      <c r="U23">
        <f t="shared" si="8"/>
        <v>0</v>
      </c>
    </row>
    <row r="24" spans="1:21">
      <c r="A24">
        <v>6266.66</v>
      </c>
      <c r="B24">
        <v>4166.66</v>
      </c>
      <c r="C24">
        <v>2533.33</v>
      </c>
      <c r="D24">
        <v>1466.66</v>
      </c>
      <c r="E24">
        <v>533.33</v>
      </c>
      <c r="F24">
        <v>100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8799.98</v>
      </c>
      <c r="N24">
        <f t="shared" si="1"/>
        <v>6699.99</v>
      </c>
      <c r="O24">
        <f t="shared" si="2"/>
        <v>2099.99</v>
      </c>
      <c r="P24">
        <f t="shared" si="3"/>
        <v>0</v>
      </c>
      <c r="Q24">
        <f t="shared" si="4"/>
        <v>0</v>
      </c>
      <c r="R24">
        <f t="shared" si="5"/>
        <v>0.761364230373251</v>
      </c>
      <c r="S24">
        <f t="shared" si="6"/>
        <v>0.238635769626749</v>
      </c>
      <c r="T24">
        <f t="shared" si="7"/>
        <v>0</v>
      </c>
      <c r="U24">
        <f t="shared" si="8"/>
        <v>0</v>
      </c>
    </row>
    <row r="25" spans="1:21">
      <c r="A25">
        <v>20120</v>
      </c>
      <c r="B25">
        <v>8820</v>
      </c>
      <c r="C25">
        <v>8120</v>
      </c>
      <c r="D25">
        <v>1400</v>
      </c>
      <c r="E25">
        <v>80</v>
      </c>
      <c r="F25">
        <v>0</v>
      </c>
      <c r="G25">
        <v>0</v>
      </c>
      <c r="H25">
        <v>20</v>
      </c>
      <c r="I25">
        <v>0</v>
      </c>
      <c r="J25">
        <v>0</v>
      </c>
      <c r="K25">
        <v>0</v>
      </c>
      <c r="L25">
        <v>0</v>
      </c>
      <c r="M25">
        <f t="shared" si="0"/>
        <v>18440</v>
      </c>
      <c r="N25">
        <f t="shared" si="1"/>
        <v>16940</v>
      </c>
      <c r="O25">
        <f t="shared" si="2"/>
        <v>1480</v>
      </c>
      <c r="P25">
        <f t="shared" si="3"/>
        <v>20</v>
      </c>
      <c r="Q25">
        <f t="shared" si="4"/>
        <v>0</v>
      </c>
      <c r="R25">
        <f t="shared" si="5"/>
        <v>0.918655097613883</v>
      </c>
      <c r="S25">
        <f t="shared" si="6"/>
        <v>0.0802603036876356</v>
      </c>
      <c r="T25">
        <f t="shared" si="7"/>
        <v>0.00108459869848156</v>
      </c>
      <c r="U25">
        <f t="shared" si="8"/>
        <v>0</v>
      </c>
    </row>
    <row r="26" spans="1:21">
      <c r="A26">
        <v>3430</v>
      </c>
      <c r="B26">
        <v>1660</v>
      </c>
      <c r="C26">
        <v>1240</v>
      </c>
      <c r="D26">
        <v>420</v>
      </c>
      <c r="E26">
        <v>170</v>
      </c>
      <c r="F26">
        <v>40</v>
      </c>
      <c r="G26">
        <v>90</v>
      </c>
      <c r="H26">
        <v>90</v>
      </c>
      <c r="I26">
        <v>200</v>
      </c>
      <c r="J26">
        <v>400</v>
      </c>
      <c r="K26">
        <v>110</v>
      </c>
      <c r="L26">
        <v>10</v>
      </c>
      <c r="M26">
        <f t="shared" si="0"/>
        <v>4430</v>
      </c>
      <c r="N26">
        <f t="shared" si="1"/>
        <v>2900</v>
      </c>
      <c r="O26">
        <f t="shared" si="2"/>
        <v>630</v>
      </c>
      <c r="P26">
        <f t="shared" si="3"/>
        <v>380</v>
      </c>
      <c r="Q26">
        <f t="shared" si="4"/>
        <v>520</v>
      </c>
      <c r="R26">
        <f t="shared" si="5"/>
        <v>0.654627539503386</v>
      </c>
      <c r="S26">
        <f t="shared" si="6"/>
        <v>0.142212189616253</v>
      </c>
      <c r="T26">
        <f t="shared" si="7"/>
        <v>0.0857787810383747</v>
      </c>
      <c r="U26">
        <f t="shared" si="8"/>
        <v>0.117381489841986</v>
      </c>
    </row>
    <row r="27" spans="1:21">
      <c r="A27">
        <v>0</v>
      </c>
      <c r="B27">
        <v>0</v>
      </c>
      <c r="C27">
        <v>7.5</v>
      </c>
      <c r="D27">
        <v>2.5</v>
      </c>
      <c r="E27">
        <v>12.5</v>
      </c>
      <c r="F27">
        <v>5</v>
      </c>
      <c r="G27">
        <v>0</v>
      </c>
      <c r="H27">
        <v>2.5</v>
      </c>
      <c r="I27">
        <v>0</v>
      </c>
      <c r="J27">
        <v>2.5</v>
      </c>
      <c r="K27">
        <v>0</v>
      </c>
      <c r="L27">
        <v>0</v>
      </c>
      <c r="M27">
        <f t="shared" si="0"/>
        <v>32.5</v>
      </c>
      <c r="N27">
        <f t="shared" si="1"/>
        <v>7.5</v>
      </c>
      <c r="O27">
        <f t="shared" si="2"/>
        <v>20</v>
      </c>
      <c r="P27">
        <f t="shared" si="3"/>
        <v>2.5</v>
      </c>
      <c r="Q27">
        <f t="shared" si="4"/>
        <v>2.5</v>
      </c>
      <c r="R27">
        <f t="shared" si="5"/>
        <v>0.230769230769231</v>
      </c>
      <c r="S27">
        <f t="shared" si="6"/>
        <v>0.615384615384615</v>
      </c>
      <c r="T27">
        <f t="shared" si="7"/>
        <v>0.0769230769230769</v>
      </c>
      <c r="U27">
        <f t="shared" si="8"/>
        <v>0.0769230769230769</v>
      </c>
    </row>
    <row r="28" spans="1:21">
      <c r="A28">
        <v>6</v>
      </c>
      <c r="B28">
        <v>42</v>
      </c>
      <c r="C28">
        <v>42</v>
      </c>
      <c r="D28">
        <v>12</v>
      </c>
      <c r="E28">
        <v>30</v>
      </c>
      <c r="F28">
        <v>6</v>
      </c>
      <c r="G28">
        <v>18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150</v>
      </c>
      <c r="N28">
        <f t="shared" si="1"/>
        <v>84</v>
      </c>
      <c r="O28">
        <f t="shared" si="2"/>
        <v>48</v>
      </c>
      <c r="P28">
        <f t="shared" si="3"/>
        <v>18</v>
      </c>
      <c r="Q28">
        <f t="shared" si="4"/>
        <v>0</v>
      </c>
      <c r="R28">
        <f t="shared" si="5"/>
        <v>0.56</v>
      </c>
      <c r="S28">
        <f t="shared" si="6"/>
        <v>0.32</v>
      </c>
      <c r="T28">
        <f t="shared" si="7"/>
        <v>0.12</v>
      </c>
      <c r="U28">
        <f t="shared" si="8"/>
        <v>0</v>
      </c>
    </row>
    <row r="29" spans="1:21">
      <c r="A29">
        <v>966.67</v>
      </c>
      <c r="B29">
        <v>600</v>
      </c>
      <c r="C29">
        <v>233.33</v>
      </c>
      <c r="D29">
        <v>133.33</v>
      </c>
      <c r="E29">
        <v>100</v>
      </c>
      <c r="F29">
        <v>33.33</v>
      </c>
      <c r="G29">
        <v>0</v>
      </c>
      <c r="H29">
        <v>0</v>
      </c>
      <c r="I29">
        <v>33.33</v>
      </c>
      <c r="J29">
        <v>0</v>
      </c>
      <c r="K29">
        <v>0</v>
      </c>
      <c r="L29">
        <v>33.33</v>
      </c>
      <c r="M29">
        <f t="shared" si="0"/>
        <v>1166.65</v>
      </c>
      <c r="N29">
        <f t="shared" si="1"/>
        <v>833.33</v>
      </c>
      <c r="O29">
        <f t="shared" si="2"/>
        <v>266.66</v>
      </c>
      <c r="P29">
        <f t="shared" si="3"/>
        <v>33.33</v>
      </c>
      <c r="Q29">
        <f t="shared" si="4"/>
        <v>33.33</v>
      </c>
      <c r="R29">
        <f t="shared" si="5"/>
        <v>0.714293061329448</v>
      </c>
      <c r="S29">
        <f t="shared" si="6"/>
        <v>0.228568979556851</v>
      </c>
      <c r="T29">
        <f t="shared" si="7"/>
        <v>0.0285689795568508</v>
      </c>
      <c r="U29">
        <f t="shared" si="8"/>
        <v>0.0285689795568508</v>
      </c>
    </row>
    <row r="30" spans="1:21">
      <c r="A30">
        <v>0</v>
      </c>
      <c r="B30">
        <v>200</v>
      </c>
      <c r="C30">
        <v>266.67</v>
      </c>
      <c r="D30">
        <v>33.33</v>
      </c>
      <c r="E30">
        <v>166.67</v>
      </c>
      <c r="F30">
        <v>100</v>
      </c>
      <c r="G30">
        <v>33.33</v>
      </c>
      <c r="H30">
        <v>0</v>
      </c>
      <c r="I30">
        <v>0</v>
      </c>
      <c r="J30">
        <v>66.67</v>
      </c>
      <c r="K30">
        <v>66.67</v>
      </c>
      <c r="L30">
        <v>0</v>
      </c>
      <c r="M30">
        <f t="shared" si="0"/>
        <v>933.34</v>
      </c>
      <c r="N30">
        <f t="shared" si="1"/>
        <v>466.67</v>
      </c>
      <c r="O30">
        <f t="shared" si="2"/>
        <v>300</v>
      </c>
      <c r="P30">
        <f t="shared" si="3"/>
        <v>33.33</v>
      </c>
      <c r="Q30">
        <f t="shared" si="4"/>
        <v>133.34</v>
      </c>
      <c r="R30">
        <f t="shared" si="5"/>
        <v>0.5</v>
      </c>
      <c r="S30">
        <f t="shared" si="6"/>
        <v>0.321426275526603</v>
      </c>
      <c r="T30">
        <f t="shared" si="7"/>
        <v>0.0357104592110056</v>
      </c>
      <c r="U30">
        <f t="shared" si="8"/>
        <v>0.142863265262391</v>
      </c>
    </row>
    <row r="31" spans="1:21">
      <c r="A31">
        <v>0</v>
      </c>
      <c r="B31">
        <v>33.33</v>
      </c>
      <c r="C31">
        <v>0</v>
      </c>
      <c r="D31">
        <v>0</v>
      </c>
      <c r="E31">
        <v>33.33</v>
      </c>
      <c r="F31">
        <v>0</v>
      </c>
      <c r="G31">
        <v>33.33</v>
      </c>
      <c r="H31">
        <v>0</v>
      </c>
      <c r="I31">
        <v>0</v>
      </c>
      <c r="J31">
        <v>33.33</v>
      </c>
      <c r="K31">
        <v>0</v>
      </c>
      <c r="L31">
        <v>0</v>
      </c>
      <c r="M31">
        <f t="shared" si="0"/>
        <v>133.32</v>
      </c>
      <c r="N31">
        <f t="shared" si="1"/>
        <v>33.33</v>
      </c>
      <c r="O31">
        <f t="shared" si="2"/>
        <v>33.33</v>
      </c>
      <c r="P31">
        <f t="shared" si="3"/>
        <v>33.33</v>
      </c>
      <c r="Q31">
        <f t="shared" si="4"/>
        <v>33.33</v>
      </c>
      <c r="R31">
        <f t="shared" si="5"/>
        <v>0.25</v>
      </c>
      <c r="S31">
        <f t="shared" si="6"/>
        <v>0.25</v>
      </c>
      <c r="T31">
        <f t="shared" si="7"/>
        <v>0.25</v>
      </c>
      <c r="U31">
        <f t="shared" si="8"/>
        <v>0.25</v>
      </c>
    </row>
    <row r="32" spans="1:21">
      <c r="A32">
        <v>666.666666666667</v>
      </c>
      <c r="B32">
        <v>633.333333333333</v>
      </c>
      <c r="C32">
        <v>500</v>
      </c>
      <c r="D32">
        <v>866.666666666667</v>
      </c>
      <c r="E32">
        <v>300</v>
      </c>
      <c r="F32">
        <v>166.666666666667</v>
      </c>
      <c r="G32">
        <v>100</v>
      </c>
      <c r="H32">
        <v>33.3333333333333</v>
      </c>
      <c r="I32">
        <v>0</v>
      </c>
      <c r="J32">
        <v>0</v>
      </c>
      <c r="K32">
        <v>0</v>
      </c>
      <c r="L32">
        <v>0</v>
      </c>
      <c r="M32">
        <f t="shared" si="0"/>
        <v>2600</v>
      </c>
      <c r="N32">
        <f t="shared" si="1"/>
        <v>1133.33333333333</v>
      </c>
      <c r="O32">
        <f t="shared" si="2"/>
        <v>1333.33333333333</v>
      </c>
      <c r="P32">
        <f t="shared" si="3"/>
        <v>133.333333333333</v>
      </c>
      <c r="Q32">
        <f t="shared" si="4"/>
        <v>0</v>
      </c>
      <c r="R32">
        <f t="shared" si="5"/>
        <v>0.435897435897436</v>
      </c>
      <c r="S32">
        <f t="shared" si="6"/>
        <v>0.512820512820513</v>
      </c>
      <c r="T32">
        <f t="shared" si="7"/>
        <v>0.0512820512820513</v>
      </c>
      <c r="U32">
        <f t="shared" si="8"/>
        <v>0</v>
      </c>
    </row>
    <row r="33" spans="1:21">
      <c r="A33">
        <v>66.6666666666667</v>
      </c>
      <c r="B33">
        <v>66.6666666666667</v>
      </c>
      <c r="C33">
        <v>0</v>
      </c>
      <c r="D33">
        <v>33.3333333333333</v>
      </c>
      <c r="E33">
        <v>166.666666666667</v>
      </c>
      <c r="F33">
        <v>66.6666666666667</v>
      </c>
      <c r="G33">
        <v>33.3333333333333</v>
      </c>
      <c r="H33">
        <v>33.3333333333333</v>
      </c>
      <c r="I33">
        <v>0</v>
      </c>
      <c r="J33">
        <v>0</v>
      </c>
      <c r="K33">
        <v>0</v>
      </c>
      <c r="L33">
        <v>0</v>
      </c>
      <c r="M33">
        <f t="shared" si="0"/>
        <v>400</v>
      </c>
      <c r="N33">
        <f t="shared" si="1"/>
        <v>66.6666666666667</v>
      </c>
      <c r="O33">
        <f t="shared" si="2"/>
        <v>266.666666666667</v>
      </c>
      <c r="P33">
        <f t="shared" si="3"/>
        <v>66.6666666666666</v>
      </c>
      <c r="Q33">
        <f t="shared" si="4"/>
        <v>0</v>
      </c>
      <c r="R33">
        <f t="shared" si="5"/>
        <v>0.166666666666667</v>
      </c>
      <c r="S33">
        <f t="shared" si="6"/>
        <v>0.666666666666667</v>
      </c>
      <c r="T33">
        <f t="shared" si="7"/>
        <v>0.166666666666666</v>
      </c>
      <c r="U33">
        <f t="shared" si="8"/>
        <v>0</v>
      </c>
    </row>
    <row r="34" spans="1:21">
      <c r="A34">
        <v>300</v>
      </c>
      <c r="B34">
        <v>966.666666666667</v>
      </c>
      <c r="C34">
        <v>133.333333333333</v>
      </c>
      <c r="D34">
        <v>33.3333333333333</v>
      </c>
      <c r="E34">
        <v>100</v>
      </c>
      <c r="F34">
        <v>33.3333333333333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f t="shared" si="0"/>
        <v>1266.66666666667</v>
      </c>
      <c r="N34">
        <f t="shared" si="1"/>
        <v>1100</v>
      </c>
      <c r="O34">
        <f t="shared" si="2"/>
        <v>166.666666666667</v>
      </c>
      <c r="P34">
        <f t="shared" si="3"/>
        <v>0</v>
      </c>
      <c r="Q34">
        <f t="shared" si="4"/>
        <v>0</v>
      </c>
      <c r="R34">
        <f t="shared" si="5"/>
        <v>0.868421052631579</v>
      </c>
      <c r="S34">
        <f t="shared" si="6"/>
        <v>0.131578947368421</v>
      </c>
      <c r="T34">
        <f t="shared" si="7"/>
        <v>0</v>
      </c>
      <c r="U34">
        <f t="shared" si="8"/>
        <v>0</v>
      </c>
    </row>
    <row r="35" spans="1:21">
      <c r="A35">
        <v>33.3333333333333</v>
      </c>
      <c r="B35">
        <v>233.333333333333</v>
      </c>
      <c r="C35">
        <v>0</v>
      </c>
      <c r="D35">
        <v>100</v>
      </c>
      <c r="E35">
        <v>166.666666666667</v>
      </c>
      <c r="F35">
        <v>0</v>
      </c>
      <c r="G35">
        <v>0</v>
      </c>
      <c r="H35">
        <v>33.3333333333333</v>
      </c>
      <c r="I35">
        <v>0</v>
      </c>
      <c r="J35">
        <v>0</v>
      </c>
      <c r="K35">
        <v>0</v>
      </c>
      <c r="L35">
        <v>0</v>
      </c>
      <c r="M35">
        <f t="shared" si="0"/>
        <v>533.333333333333</v>
      </c>
      <c r="N35">
        <f t="shared" si="1"/>
        <v>233.333333333333</v>
      </c>
      <c r="O35">
        <f t="shared" si="2"/>
        <v>266.666666666667</v>
      </c>
      <c r="P35">
        <f t="shared" si="3"/>
        <v>33.3333333333333</v>
      </c>
      <c r="Q35">
        <f t="shared" si="4"/>
        <v>0</v>
      </c>
      <c r="R35">
        <f t="shared" si="5"/>
        <v>0.437499999999999</v>
      </c>
      <c r="S35">
        <f t="shared" si="6"/>
        <v>0.500000000000001</v>
      </c>
      <c r="T35">
        <f t="shared" si="7"/>
        <v>0.0624999999999999</v>
      </c>
      <c r="U35">
        <f t="shared" si="8"/>
        <v>0</v>
      </c>
    </row>
    <row r="36" spans="1:21">
      <c r="A36">
        <v>0</v>
      </c>
      <c r="B36">
        <v>0</v>
      </c>
      <c r="C36">
        <v>10</v>
      </c>
      <c r="D36">
        <v>150</v>
      </c>
      <c r="E36">
        <v>90</v>
      </c>
      <c r="F36">
        <v>50</v>
      </c>
      <c r="G36">
        <v>20</v>
      </c>
      <c r="H36">
        <v>10</v>
      </c>
      <c r="I36">
        <v>10</v>
      </c>
      <c r="J36">
        <v>0</v>
      </c>
      <c r="K36">
        <v>10</v>
      </c>
      <c r="L36">
        <v>0</v>
      </c>
      <c r="M36">
        <f t="shared" si="0"/>
        <v>350</v>
      </c>
      <c r="N36">
        <f t="shared" si="1"/>
        <v>10</v>
      </c>
      <c r="O36">
        <f t="shared" si="2"/>
        <v>290</v>
      </c>
      <c r="P36">
        <f t="shared" si="3"/>
        <v>40</v>
      </c>
      <c r="Q36">
        <f t="shared" si="4"/>
        <v>10</v>
      </c>
      <c r="R36">
        <f t="shared" si="5"/>
        <v>0.0285714285714286</v>
      </c>
      <c r="S36">
        <f t="shared" si="6"/>
        <v>0.828571428571429</v>
      </c>
      <c r="T36">
        <f t="shared" si="7"/>
        <v>0.114285714285714</v>
      </c>
      <c r="U36">
        <f t="shared" si="8"/>
        <v>0.0285714285714286</v>
      </c>
    </row>
    <row r="37" spans="1:21">
      <c r="A37">
        <v>0</v>
      </c>
      <c r="B37">
        <v>0</v>
      </c>
      <c r="C37">
        <v>40</v>
      </c>
      <c r="D37">
        <v>220</v>
      </c>
      <c r="E37">
        <v>120</v>
      </c>
      <c r="F37">
        <v>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0"/>
        <v>400</v>
      </c>
      <c r="N37">
        <f t="shared" si="1"/>
        <v>40</v>
      </c>
      <c r="O37">
        <f t="shared" si="2"/>
        <v>360</v>
      </c>
      <c r="P37">
        <f t="shared" si="3"/>
        <v>0</v>
      </c>
      <c r="Q37">
        <f t="shared" si="4"/>
        <v>0</v>
      </c>
      <c r="R37">
        <f t="shared" si="5"/>
        <v>0.1</v>
      </c>
      <c r="S37">
        <f t="shared" si="6"/>
        <v>0.9</v>
      </c>
      <c r="T37">
        <f t="shared" si="7"/>
        <v>0</v>
      </c>
      <c r="U37">
        <f t="shared" si="8"/>
        <v>0</v>
      </c>
    </row>
    <row r="38" spans="1:21">
      <c r="A38">
        <v>0</v>
      </c>
      <c r="B38">
        <v>30</v>
      </c>
      <c r="C38">
        <v>90</v>
      </c>
      <c r="D38">
        <v>460</v>
      </c>
      <c r="E38">
        <v>160</v>
      </c>
      <c r="F38">
        <v>0</v>
      </c>
      <c r="G38">
        <v>0</v>
      </c>
      <c r="H38">
        <v>0</v>
      </c>
      <c r="I38">
        <v>0</v>
      </c>
      <c r="J38">
        <v>10</v>
      </c>
      <c r="K38">
        <v>0</v>
      </c>
      <c r="L38">
        <v>0</v>
      </c>
      <c r="M38">
        <f t="shared" si="0"/>
        <v>750</v>
      </c>
      <c r="N38">
        <f t="shared" si="1"/>
        <v>120</v>
      </c>
      <c r="O38">
        <f t="shared" si="2"/>
        <v>620</v>
      </c>
      <c r="P38">
        <f t="shared" si="3"/>
        <v>0</v>
      </c>
      <c r="Q38">
        <f t="shared" si="4"/>
        <v>10</v>
      </c>
      <c r="R38">
        <f t="shared" si="5"/>
        <v>0.16</v>
      </c>
      <c r="S38">
        <f t="shared" si="6"/>
        <v>0.826666666666667</v>
      </c>
      <c r="T38">
        <f t="shared" si="7"/>
        <v>0</v>
      </c>
      <c r="U38">
        <f t="shared" si="8"/>
        <v>0.0133333333333333</v>
      </c>
    </row>
    <row r="39" spans="1:21">
      <c r="A39">
        <v>2033.33333333333</v>
      </c>
      <c r="B39">
        <v>4500</v>
      </c>
      <c r="C39">
        <v>1966.66666666667</v>
      </c>
      <c r="D39">
        <v>900</v>
      </c>
      <c r="E39">
        <v>533.333333333333</v>
      </c>
      <c r="F39">
        <v>200</v>
      </c>
      <c r="G39">
        <v>100</v>
      </c>
      <c r="H39">
        <v>33.3333333333333</v>
      </c>
      <c r="I39">
        <v>0</v>
      </c>
      <c r="J39">
        <v>0</v>
      </c>
      <c r="K39">
        <v>0</v>
      </c>
      <c r="L39">
        <v>0</v>
      </c>
      <c r="M39">
        <f t="shared" si="0"/>
        <v>8233.33333333334</v>
      </c>
      <c r="N39">
        <f t="shared" si="1"/>
        <v>6466.66666666667</v>
      </c>
      <c r="O39">
        <f t="shared" si="2"/>
        <v>1633.33333333333</v>
      </c>
      <c r="P39">
        <f t="shared" si="3"/>
        <v>133.333333333333</v>
      </c>
      <c r="Q39">
        <f t="shared" si="4"/>
        <v>0</v>
      </c>
      <c r="R39">
        <f t="shared" si="5"/>
        <v>0.785425101214575</v>
      </c>
      <c r="S39">
        <f t="shared" si="6"/>
        <v>0.198380566801619</v>
      </c>
      <c r="T39">
        <f t="shared" si="7"/>
        <v>0.0161943319838057</v>
      </c>
      <c r="U39">
        <f t="shared" si="8"/>
        <v>0</v>
      </c>
    </row>
    <row r="40" spans="1:21">
      <c r="A40">
        <v>14033.3333333333</v>
      </c>
      <c r="B40">
        <v>15900</v>
      </c>
      <c r="C40">
        <v>1100</v>
      </c>
      <c r="D40">
        <v>300</v>
      </c>
      <c r="E40">
        <v>100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0"/>
        <v>17400</v>
      </c>
      <c r="N40">
        <f t="shared" si="1"/>
        <v>17000</v>
      </c>
      <c r="O40">
        <f t="shared" si="2"/>
        <v>400</v>
      </c>
      <c r="P40">
        <f t="shared" si="3"/>
        <v>0</v>
      </c>
      <c r="Q40">
        <f t="shared" si="4"/>
        <v>0</v>
      </c>
      <c r="R40">
        <f t="shared" si="5"/>
        <v>0.977011494252874</v>
      </c>
      <c r="S40">
        <f t="shared" si="6"/>
        <v>0.0229885057471264</v>
      </c>
      <c r="T40">
        <f t="shared" si="7"/>
        <v>0</v>
      </c>
      <c r="U40">
        <f t="shared" si="8"/>
        <v>0</v>
      </c>
    </row>
    <row r="41" spans="1:21">
      <c r="A41">
        <v>4666.66666666667</v>
      </c>
      <c r="B41">
        <v>10200</v>
      </c>
      <c r="C41">
        <v>3266.66666666667</v>
      </c>
      <c r="D41">
        <v>766.666666666667</v>
      </c>
      <c r="E41">
        <v>200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 t="shared" si="0"/>
        <v>14433.3333333333</v>
      </c>
      <c r="N41">
        <f t="shared" si="1"/>
        <v>13466.6666666667</v>
      </c>
      <c r="O41">
        <f t="shared" si="2"/>
        <v>966.666666666667</v>
      </c>
      <c r="P41">
        <f t="shared" si="3"/>
        <v>0</v>
      </c>
      <c r="Q41">
        <f t="shared" si="4"/>
        <v>0</v>
      </c>
      <c r="R41">
        <f t="shared" si="5"/>
        <v>0.933025404157044</v>
      </c>
      <c r="S41">
        <f t="shared" si="6"/>
        <v>0.0669745958429561</v>
      </c>
      <c r="T41">
        <f t="shared" si="7"/>
        <v>0</v>
      </c>
      <c r="U41">
        <f t="shared" si="8"/>
        <v>0</v>
      </c>
    </row>
    <row r="42" spans="1:21">
      <c r="A42">
        <v>200</v>
      </c>
      <c r="B42">
        <v>1233.33333333333</v>
      </c>
      <c r="C42">
        <v>1566.66666666667</v>
      </c>
      <c r="D42">
        <v>1300</v>
      </c>
      <c r="E42">
        <v>266.666666666667</v>
      </c>
      <c r="F42">
        <v>66.6666666666667</v>
      </c>
      <c r="G42">
        <v>33.3333333333333</v>
      </c>
      <c r="H42">
        <v>0</v>
      </c>
      <c r="I42">
        <v>33.3333333333333</v>
      </c>
      <c r="J42">
        <v>33.3333333333333</v>
      </c>
      <c r="K42">
        <v>0</v>
      </c>
      <c r="L42">
        <v>0</v>
      </c>
      <c r="M42">
        <f t="shared" si="0"/>
        <v>4533.33333333333</v>
      </c>
      <c r="N42">
        <f t="shared" si="1"/>
        <v>2800</v>
      </c>
      <c r="O42">
        <f t="shared" si="2"/>
        <v>1633.33333333333</v>
      </c>
      <c r="P42">
        <f t="shared" si="3"/>
        <v>66.6666666666666</v>
      </c>
      <c r="Q42">
        <f t="shared" si="4"/>
        <v>33.3333333333333</v>
      </c>
      <c r="R42">
        <f t="shared" si="5"/>
        <v>0.617647058823529</v>
      </c>
      <c r="S42">
        <f t="shared" si="6"/>
        <v>0.360294117647059</v>
      </c>
      <c r="T42">
        <f t="shared" si="7"/>
        <v>0.0147058823529412</v>
      </c>
      <c r="U42">
        <f t="shared" si="8"/>
        <v>0.00735294117647058</v>
      </c>
    </row>
    <row r="43" spans="1:21">
      <c r="A43">
        <v>66.6666666666667</v>
      </c>
      <c r="B43">
        <v>2266.66666666667</v>
      </c>
      <c r="C43">
        <v>2200</v>
      </c>
      <c r="D43">
        <v>2833.33333333333</v>
      </c>
      <c r="E43">
        <v>2166.66666666667</v>
      </c>
      <c r="F43">
        <v>1033.33333333333</v>
      </c>
      <c r="G43">
        <v>400</v>
      </c>
      <c r="H43">
        <v>200</v>
      </c>
      <c r="I43">
        <v>33.3333333333333</v>
      </c>
      <c r="J43">
        <v>0</v>
      </c>
      <c r="K43">
        <v>33.3333333333333</v>
      </c>
      <c r="L43">
        <v>0</v>
      </c>
      <c r="M43">
        <f t="shared" si="0"/>
        <v>11166.6666666667</v>
      </c>
      <c r="N43">
        <f t="shared" si="1"/>
        <v>4466.66666666667</v>
      </c>
      <c r="O43">
        <f t="shared" si="2"/>
        <v>6033.33333333333</v>
      </c>
      <c r="P43">
        <f t="shared" si="3"/>
        <v>633.333333333333</v>
      </c>
      <c r="Q43">
        <f t="shared" si="4"/>
        <v>33.3333333333333</v>
      </c>
      <c r="R43">
        <f t="shared" si="5"/>
        <v>0.4</v>
      </c>
      <c r="S43">
        <f t="shared" si="6"/>
        <v>0.540298507462686</v>
      </c>
      <c r="T43">
        <f t="shared" si="7"/>
        <v>0.0567164179104478</v>
      </c>
      <c r="U43">
        <f t="shared" si="8"/>
        <v>0.00298507462686567</v>
      </c>
    </row>
    <row r="44" spans="1:21">
      <c r="A44">
        <v>0</v>
      </c>
      <c r="B44">
        <v>0</v>
      </c>
      <c r="C44">
        <v>1000</v>
      </c>
      <c r="D44">
        <v>966.666666666667</v>
      </c>
      <c r="E44">
        <v>633.333333333333</v>
      </c>
      <c r="F44">
        <v>166.666666666667</v>
      </c>
      <c r="G44">
        <v>200</v>
      </c>
      <c r="H44">
        <v>66.6666666666667</v>
      </c>
      <c r="I44">
        <v>133.333333333333</v>
      </c>
      <c r="J44">
        <v>33.3333333333333</v>
      </c>
      <c r="K44">
        <v>66.6666666666667</v>
      </c>
      <c r="L44">
        <v>0</v>
      </c>
      <c r="M44">
        <f t="shared" si="0"/>
        <v>3266.66666666667</v>
      </c>
      <c r="N44">
        <f t="shared" si="1"/>
        <v>1000</v>
      </c>
      <c r="O44">
        <f t="shared" si="2"/>
        <v>1766.66666666667</v>
      </c>
      <c r="P44">
        <f t="shared" si="3"/>
        <v>400</v>
      </c>
      <c r="Q44">
        <f t="shared" si="4"/>
        <v>100</v>
      </c>
      <c r="R44">
        <f t="shared" si="5"/>
        <v>0.306122448979592</v>
      </c>
      <c r="S44">
        <f t="shared" si="6"/>
        <v>0.540816326530612</v>
      </c>
      <c r="T44">
        <f t="shared" si="7"/>
        <v>0.122448979591837</v>
      </c>
      <c r="U44">
        <f t="shared" si="8"/>
        <v>0.0306122448979592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B1" sqref="B1:C1"/>
    </sheetView>
  </sheetViews>
  <sheetFormatPr defaultColWidth="8.85185185185185" defaultRowHeight="14.4" outlineLevelCol="2"/>
  <cols>
    <col min="1" max="2" width="20.4259259259259" customWidth="1"/>
  </cols>
  <sheetData>
    <row r="1" spans="2:3">
      <c r="B1" t="s">
        <v>135</v>
      </c>
      <c r="C1" t="s">
        <v>136</v>
      </c>
    </row>
    <row r="2" spans="1:3">
      <c r="A2" t="s">
        <v>19</v>
      </c>
      <c r="B2" t="s">
        <v>137</v>
      </c>
      <c r="C2" t="s">
        <v>138</v>
      </c>
    </row>
    <row r="3" spans="1:3">
      <c r="A3" t="s">
        <v>20</v>
      </c>
      <c r="B3" t="s">
        <v>139</v>
      </c>
      <c r="C3">
        <f>-0.222347303669641</f>
        <v>-0.222347303669641</v>
      </c>
    </row>
    <row r="4" spans="1:3">
      <c r="A4" t="s">
        <v>21</v>
      </c>
      <c r="B4">
        <f>-0.343779376177748</f>
        <v>-0.343779376177748</v>
      </c>
      <c r="C4">
        <f>-0.36560574655108</f>
        <v>-0.36560574655108</v>
      </c>
    </row>
    <row r="5" spans="1:3">
      <c r="A5" t="s">
        <v>22</v>
      </c>
      <c r="B5">
        <f>-0.474279250614491</f>
        <v>-0.474279250614491</v>
      </c>
      <c r="C5">
        <f>-0.371281117108412</f>
        <v>-0.371281117108412</v>
      </c>
    </row>
    <row r="6" spans="1:3">
      <c r="A6" t="s">
        <v>23</v>
      </c>
      <c r="B6">
        <f>-0.456243789879083</f>
        <v>-0.456243789879083</v>
      </c>
      <c r="C6">
        <f>-0.466603723572614</f>
        <v>-0.466603723572614</v>
      </c>
    </row>
    <row r="7" spans="1:3">
      <c r="A7" t="s">
        <v>24</v>
      </c>
      <c r="B7">
        <f>-0.656264160330642</f>
        <v>-0.656264160330642</v>
      </c>
      <c r="C7">
        <f>-0.30131313755517</f>
        <v>-0.30131313755517</v>
      </c>
    </row>
    <row r="8" spans="1:3">
      <c r="A8" t="s">
        <v>25</v>
      </c>
      <c r="B8">
        <f>-0.84941162163524</f>
        <v>-0.84941162163524</v>
      </c>
      <c r="C8">
        <f>-0.119605589049462</f>
        <v>-0.119605589049462</v>
      </c>
    </row>
    <row r="9" spans="1:3">
      <c r="A9" t="s">
        <v>26</v>
      </c>
      <c r="B9">
        <f>-0.541693053068506</f>
        <v>-0.541693053068506</v>
      </c>
      <c r="C9">
        <f>-0.212119063625115</f>
        <v>-0.212119063625115</v>
      </c>
    </row>
    <row r="10" spans="1:3">
      <c r="A10" t="s">
        <v>27</v>
      </c>
      <c r="B10">
        <f>-0.413062763472631</f>
        <v>-0.413062763472631</v>
      </c>
      <c r="C10" t="s">
        <v>140</v>
      </c>
    </row>
    <row r="11" spans="1:3">
      <c r="A11" t="s">
        <v>28</v>
      </c>
      <c r="B11">
        <f>-0.503903922076415</f>
        <v>-0.503903922076415</v>
      </c>
      <c r="C11">
        <f>-0.1286482754638</f>
        <v>-0.1286482754638</v>
      </c>
    </row>
    <row r="12" spans="1:3">
      <c r="A12" t="s">
        <v>29</v>
      </c>
      <c r="B12">
        <f>-1.24808927684472</f>
        <v>-1.24808927684472</v>
      </c>
      <c r="C12" t="s">
        <v>141</v>
      </c>
    </row>
    <row r="13" spans="1:3">
      <c r="A13" t="s">
        <v>40</v>
      </c>
      <c r="B13">
        <f>-0.698030337219834</f>
        <v>-0.698030337219834</v>
      </c>
      <c r="C13">
        <f>-0.110805933146377</f>
        <v>-0.110805933146377</v>
      </c>
    </row>
    <row r="14" spans="1:3">
      <c r="A14" t="s">
        <v>16</v>
      </c>
      <c r="B14" t="s">
        <v>142</v>
      </c>
      <c r="C14" t="s">
        <v>143</v>
      </c>
    </row>
    <row r="15" spans="1:3">
      <c r="A15" t="s">
        <v>17</v>
      </c>
      <c r="B15">
        <f>-0.44685615569287</f>
        <v>-0.44685615569287</v>
      </c>
      <c r="C15" t="s">
        <v>144</v>
      </c>
    </row>
    <row r="16" spans="1:3">
      <c r="A16" t="s">
        <v>38</v>
      </c>
      <c r="B16">
        <f>-0.895327741760043</f>
        <v>-0.895327741760043</v>
      </c>
      <c r="C16" t="s">
        <v>145</v>
      </c>
    </row>
    <row r="17" spans="1:3">
      <c r="A17" t="s">
        <v>39</v>
      </c>
      <c r="B17">
        <f>-0.971146969905168</f>
        <v>-0.971146969905168</v>
      </c>
      <c r="C17" t="s">
        <v>146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workbookViewId="0">
      <selection activeCell="A3" sqref="A3"/>
    </sheetView>
  </sheetViews>
  <sheetFormatPr defaultColWidth="8.85185185185185" defaultRowHeight="14.4" outlineLevelCol="2"/>
  <cols>
    <col min="2" max="2" width="14.1388888888889"/>
  </cols>
  <sheetData>
    <row r="1" spans="2:3">
      <c r="B1" t="s">
        <v>135</v>
      </c>
      <c r="C1" t="s">
        <v>136</v>
      </c>
    </row>
    <row r="2" spans="1:3">
      <c r="A2" t="s">
        <v>147</v>
      </c>
      <c r="B2">
        <f>-3.22598660471392</f>
        <v>-3.22598660471392</v>
      </c>
      <c r="C2" t="s">
        <v>148</v>
      </c>
    </row>
    <row r="3" spans="1:3">
      <c r="A3" t="s">
        <v>149</v>
      </c>
      <c r="B3">
        <f>-4.20367713627854</f>
        <v>-4.20367713627854</v>
      </c>
      <c r="C3" t="s">
        <v>150</v>
      </c>
    </row>
    <row r="4" spans="1:3">
      <c r="A4" t="s">
        <v>151</v>
      </c>
      <c r="B4">
        <f>-1.2318054659218</f>
        <v>-1.2318054659218</v>
      </c>
      <c r="C4">
        <f>-0.0169432584565215</f>
        <v>-0.0169432584565215</v>
      </c>
    </row>
    <row r="5" spans="1:3">
      <c r="A5" t="s">
        <v>152</v>
      </c>
      <c r="B5">
        <f>-0.966155950460714</f>
        <v>-0.966155950460714</v>
      </c>
      <c r="C5">
        <f>-0.854997684200252</f>
        <v>-0.854997684200252</v>
      </c>
    </row>
    <row r="6" spans="1:3">
      <c r="A6" t="s">
        <v>153</v>
      </c>
      <c r="B6">
        <f>-2.12018424358416</f>
        <v>-2.12018424358416</v>
      </c>
      <c r="C6" t="s">
        <v>154</v>
      </c>
    </row>
    <row r="7" spans="1:3">
      <c r="A7" t="s">
        <v>155</v>
      </c>
      <c r="B7">
        <f>-1.47207302291828</f>
        <v>-1.47207302291828</v>
      </c>
      <c r="C7">
        <f>-0.70474969791427</f>
        <v>-0.70474969791427</v>
      </c>
    </row>
    <row r="8" spans="1:3">
      <c r="A8" t="s">
        <v>156</v>
      </c>
      <c r="B8">
        <f>-1.70405774872403</f>
        <v>-1.70405774872403</v>
      </c>
      <c r="C8" t="s">
        <v>157</v>
      </c>
    </row>
    <row r="9" spans="1:3">
      <c r="A9" t="s">
        <v>158</v>
      </c>
      <c r="B9">
        <f>-1.61563232378661</f>
        <v>-1.61563232378661</v>
      </c>
      <c r="C9" t="s">
        <v>159</v>
      </c>
    </row>
    <row r="10" spans="1:3">
      <c r="A10" t="s">
        <v>160</v>
      </c>
      <c r="B10">
        <f>-0.976491889378265</f>
        <v>-0.976491889378265</v>
      </c>
      <c r="C10">
        <f>-2.24357838008268</f>
        <v>-2.24357838008268</v>
      </c>
    </row>
    <row r="11" spans="1:3">
      <c r="A11" t="s">
        <v>161</v>
      </c>
      <c r="B11">
        <f>-0.528709209697905</f>
        <v>-0.528709209697905</v>
      </c>
      <c r="C11">
        <f>-0.221093002193475</f>
        <v>-0.221093002193475</v>
      </c>
    </row>
    <row r="12" spans="1:3">
      <c r="A12" t="s">
        <v>162</v>
      </c>
      <c r="B12">
        <f>-0.549168754726275</f>
        <v>-0.549168754726275</v>
      </c>
      <c r="C12">
        <f>-1.96910594167088</f>
        <v>-1.96910594167088</v>
      </c>
    </row>
    <row r="13" spans="1:3">
      <c r="A13" t="s">
        <v>163</v>
      </c>
      <c r="B13">
        <f>-4.13948792680668</f>
        <v>-4.13948792680668</v>
      </c>
      <c r="C13" t="s">
        <v>164</v>
      </c>
    </row>
    <row r="14" spans="1:3">
      <c r="A14" t="s">
        <v>165</v>
      </c>
      <c r="B14">
        <f>-0.314998865432293</f>
        <v>-0.314998865432293</v>
      </c>
      <c r="C14">
        <f>-2.56566410181026</f>
        <v>-2.56566410181026</v>
      </c>
    </row>
    <row r="15" spans="1:3">
      <c r="A15" t="s">
        <v>166</v>
      </c>
      <c r="B15">
        <f>-0.555976236499644</f>
        <v>-0.555976236499644</v>
      </c>
      <c r="C15">
        <f>-1.53675593295044</f>
        <v>-1.53675593295044</v>
      </c>
    </row>
    <row r="16" spans="1:3">
      <c r="A16" t="s">
        <v>167</v>
      </c>
      <c r="B16" t="s">
        <v>168</v>
      </c>
      <c r="C16">
        <f>-1.2377819137514</f>
        <v>-1.2377819137514</v>
      </c>
    </row>
    <row r="17" spans="1:3">
      <c r="A17" t="s">
        <v>169</v>
      </c>
      <c r="B17" t="s">
        <v>170</v>
      </c>
      <c r="C17">
        <f>-0.242808311639461</f>
        <v>-0.242808311639461</v>
      </c>
    </row>
    <row r="18" spans="1:3">
      <c r="A18" t="s">
        <v>171</v>
      </c>
      <c r="B18">
        <f>-1.6306795508147</f>
        <v>-1.6306795508147</v>
      </c>
      <c r="C18" t="s">
        <v>172</v>
      </c>
    </row>
    <row r="19" spans="1:3">
      <c r="A19" t="s">
        <v>173</v>
      </c>
      <c r="B19">
        <f>-1.53218879909934</f>
        <v>-1.53218879909934</v>
      </c>
      <c r="C19" t="s">
        <v>174</v>
      </c>
    </row>
    <row r="20" spans="1:3">
      <c r="A20" t="s">
        <v>175</v>
      </c>
      <c r="B20">
        <f>-3.787731057886</f>
        <v>-3.787731057886</v>
      </c>
      <c r="C20" t="s">
        <v>176</v>
      </c>
    </row>
    <row r="21" spans="1:3">
      <c r="A21" t="s">
        <v>177</v>
      </c>
      <c r="B21">
        <f>-1.32584920548289</f>
        <v>-1.32584920548289</v>
      </c>
      <c r="C21">
        <f>-1.05742840117626</f>
        <v>-1.05742840117626</v>
      </c>
    </row>
    <row r="22" spans="1:3">
      <c r="A22" t="s">
        <v>178</v>
      </c>
      <c r="B22" t="s">
        <v>179</v>
      </c>
      <c r="C22">
        <f>-1.6854850621005</f>
        <v>-1.6854850621005</v>
      </c>
    </row>
    <row r="23" spans="1:3">
      <c r="A23" t="s">
        <v>180</v>
      </c>
      <c r="B23" t="s">
        <v>181</v>
      </c>
      <c r="C23">
        <f>-2.26745876876855</f>
        <v>-2.26745876876855</v>
      </c>
    </row>
    <row r="24" spans="1:3">
      <c r="A24" t="s">
        <v>182</v>
      </c>
      <c r="B24" t="s">
        <v>183</v>
      </c>
      <c r="C24">
        <f>-0.593997420947932</f>
        <v>-0.593997420947932</v>
      </c>
    </row>
    <row r="25" spans="1:3">
      <c r="A25" t="s">
        <v>184</v>
      </c>
      <c r="B25" t="s">
        <v>185</v>
      </c>
      <c r="C25">
        <f>-0.189352916211504</f>
        <v>-0.189352916211504</v>
      </c>
    </row>
    <row r="26" spans="1:3">
      <c r="A26" t="s">
        <v>186</v>
      </c>
      <c r="B26">
        <f>-1.24102507124814</f>
        <v>-1.24102507124814</v>
      </c>
      <c r="C26" t="s">
        <v>187</v>
      </c>
    </row>
    <row r="27" spans="1:3">
      <c r="A27" t="s">
        <v>188</v>
      </c>
      <c r="B27">
        <f>-4.44644332737986</f>
        <v>-4.44644332737986</v>
      </c>
      <c r="C27" t="s">
        <v>189</v>
      </c>
    </row>
    <row r="28" spans="1:3">
      <c r="A28" t="s">
        <v>190</v>
      </c>
      <c r="B28">
        <f>-1.59982548005956</f>
        <v>-1.59982548005956</v>
      </c>
      <c r="C28">
        <f>-0.123286989474952</f>
        <v>-0.123286989474952</v>
      </c>
    </row>
    <row r="29" spans="1:3">
      <c r="A29" t="s">
        <v>191</v>
      </c>
      <c r="B29">
        <f>-0.647552562559943</f>
        <v>-0.647552562559943</v>
      </c>
      <c r="C29" t="s">
        <v>192</v>
      </c>
    </row>
    <row r="30" spans="1:3">
      <c r="A30" t="s">
        <v>193</v>
      </c>
      <c r="B30">
        <f>-2.6206940562512</f>
        <v>-2.6206940562512</v>
      </c>
      <c r="C30" t="s">
        <v>194</v>
      </c>
    </row>
    <row r="31" spans="1:3">
      <c r="A31" t="s">
        <v>195</v>
      </c>
      <c r="B31">
        <f>-3.74437406900623</f>
        <v>-3.74437406900623</v>
      </c>
      <c r="C31" t="s">
        <v>196</v>
      </c>
    </row>
    <row r="32" spans="1:3">
      <c r="A32" t="s">
        <v>197</v>
      </c>
      <c r="B32">
        <f>-1.31755566314589</f>
        <v>-1.31755566314589</v>
      </c>
      <c r="C32" t="s">
        <v>198</v>
      </c>
    </row>
    <row r="33" spans="1:3">
      <c r="A33" t="s">
        <v>199</v>
      </c>
      <c r="B33">
        <f>-2.77892744861624</f>
        <v>-2.77892744861624</v>
      </c>
      <c r="C33" t="s">
        <v>200</v>
      </c>
    </row>
    <row r="34" spans="1:3">
      <c r="A34" t="s">
        <v>201</v>
      </c>
      <c r="B34" t="s">
        <v>202</v>
      </c>
      <c r="C34" t="s">
        <v>203</v>
      </c>
    </row>
    <row r="35" spans="1:3">
      <c r="A35" t="s">
        <v>204</v>
      </c>
      <c r="B35">
        <f>-1.4320920363171</f>
        <v>-1.4320920363171</v>
      </c>
      <c r="C35" t="s">
        <v>205</v>
      </c>
    </row>
    <row r="36" spans="1:3">
      <c r="A36" t="s">
        <v>206</v>
      </c>
      <c r="B36">
        <f>-3.07270878761619</f>
        <v>-3.07270878761619</v>
      </c>
      <c r="C36">
        <f>-0.800542738619391</f>
        <v>-0.800542738619391</v>
      </c>
    </row>
    <row r="37" spans="1:3">
      <c r="A37" t="s">
        <v>207</v>
      </c>
      <c r="B37">
        <f>-1.65189493003076</f>
        <v>-1.65189493003076</v>
      </c>
      <c r="C37">
        <f>-3.5754941144508</f>
        <v>-3.5754941144508</v>
      </c>
    </row>
    <row r="38" spans="1:3">
      <c r="A38" t="s">
        <v>208</v>
      </c>
      <c r="B38">
        <f>-1.30459516293922</f>
        <v>-1.30459516293922</v>
      </c>
      <c r="C38">
        <f>-3.57455211264923</f>
        <v>-3.57455211264923</v>
      </c>
    </row>
    <row r="39" spans="1:3">
      <c r="A39" t="s">
        <v>209</v>
      </c>
      <c r="B39" t="s">
        <v>210</v>
      </c>
      <c r="C39" t="s">
        <v>211</v>
      </c>
    </row>
    <row r="40" spans="1:3">
      <c r="A40" t="s">
        <v>212</v>
      </c>
      <c r="B40" t="s">
        <v>213</v>
      </c>
      <c r="C40" t="s">
        <v>214</v>
      </c>
    </row>
    <row r="41" spans="1:3">
      <c r="A41" t="s">
        <v>215</v>
      </c>
      <c r="B41" t="s">
        <v>216</v>
      </c>
      <c r="C41" t="s">
        <v>217</v>
      </c>
    </row>
    <row r="42" spans="1:3">
      <c r="A42" t="s">
        <v>218</v>
      </c>
      <c r="B42" t="s">
        <v>219</v>
      </c>
      <c r="C42">
        <f>-1.88931235620749</f>
        <v>-1.88931235620749</v>
      </c>
    </row>
    <row r="43" spans="1:3">
      <c r="A43" t="s">
        <v>220</v>
      </c>
      <c r="B43">
        <f>-0.553097160072017</f>
        <v>-0.553097160072017</v>
      </c>
      <c r="C43">
        <f>-2.77069252451789</f>
        <v>-2.77069252451789</v>
      </c>
    </row>
    <row r="44" spans="1:3">
      <c r="A44" t="s">
        <v>221</v>
      </c>
      <c r="B44">
        <f>-1.02456892737259</f>
        <v>-1.02456892737259</v>
      </c>
      <c r="C44">
        <f>-3.59597064326744</f>
        <v>-3.59597064326744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6" sqref="A6"/>
    </sheetView>
  </sheetViews>
  <sheetFormatPr defaultColWidth="8.85185185185185" defaultRowHeight="14.4" outlineLevelRow="6" outlineLevelCol="2"/>
  <cols>
    <col min="1" max="1" width="17.5740740740741" customWidth="1"/>
    <col min="3" max="3" width="19.287037037037" customWidth="1"/>
  </cols>
  <sheetData>
    <row r="1" spans="2:3">
      <c r="B1" s="1" t="s">
        <v>135</v>
      </c>
      <c r="C1" s="1" t="s">
        <v>136</v>
      </c>
    </row>
    <row r="2" spans="1:3">
      <c r="A2" t="s">
        <v>222</v>
      </c>
      <c r="B2" t="s">
        <v>223</v>
      </c>
      <c r="C2">
        <f>-0.04627754217723</f>
        <v>-0.04627754217723</v>
      </c>
    </row>
    <row r="3" spans="1:3">
      <c r="A3" t="s">
        <v>224</v>
      </c>
      <c r="B3">
        <f>-1.59991883957454</f>
        <v>-1.59991883957454</v>
      </c>
      <c r="C3" t="s">
        <v>225</v>
      </c>
    </row>
    <row r="4" spans="1:3">
      <c r="A4" t="s">
        <v>226</v>
      </c>
      <c r="B4">
        <f>-1.60787612695821</f>
        <v>-1.60787612695821</v>
      </c>
      <c r="C4" t="s">
        <v>227</v>
      </c>
    </row>
    <row r="5" spans="1:3">
      <c r="A5" t="s">
        <v>228</v>
      </c>
      <c r="B5" t="s">
        <v>229</v>
      </c>
      <c r="C5" t="s">
        <v>230</v>
      </c>
    </row>
    <row r="6" spans="1:3">
      <c r="A6" t="s">
        <v>231</v>
      </c>
      <c r="B6" t="s">
        <v>232</v>
      </c>
      <c r="C6">
        <f>-1.01105927899206</f>
        <v>-1.01105927899206</v>
      </c>
    </row>
    <row r="7" spans="1:3">
      <c r="A7" t="s">
        <v>233</v>
      </c>
      <c r="B7">
        <f>-2.03037216705145</f>
        <v>-2.03037216705145</v>
      </c>
      <c r="C7" t="s">
        <v>234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для многомерки</vt:lpstr>
      <vt:lpstr>sal-temp</vt:lpstr>
      <vt:lpstr>age_groups</vt:lpstr>
      <vt:lpstr>Ординация признаков</vt:lpstr>
      <vt:lpstr>Ординация проб</vt:lpstr>
      <vt:lpstr>центроиды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2006-09-16T00:00:00Z</dcterms:created>
  <dcterms:modified xsi:type="dcterms:W3CDTF">2020-12-03T15:48:11Z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1049-11.2.0.9747</vt:lpwstr>
  </property>
</Properties>
</file>