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comments" sheetId="2" r:id="rId1"/>
    <sheet name="data_fieldnotes 2019_2020" sheetId="1" r:id="rId2"/>
    <sheet name="2021 seasonal observations" sheetId="6" r:id="rId3"/>
    <sheet name="2021 fish nursery areas" sheetId="3" r:id="rId4"/>
    <sheet name="all 2022" sheetId="7" r:id="rId5"/>
    <sheet name="2021 littoral and phyto" sheetId="4" r:id="rId6"/>
    <sheet name="2021 major sampling" sheetId="5" r:id="rId7"/>
  </sheets>
  <definedNames>
    <definedName name="FWPlan2020" localSheetId="1">'data_fieldnotes 2019_2020'!$C$3:$I$193</definedName>
  </definedNames>
  <calcPr calcId="144525"/>
</workbook>
</file>

<file path=xl/connections.xml><?xml version="1.0" encoding="utf-8"?>
<connections xmlns="http://schemas.openxmlformats.org/spreadsheetml/2006/main">
  <connection id="1" name="FWPlan2020" type="6" background="1" refreshedVersion="2" saveData="1">
    <textPr sourceFile="D:\Filipp_Leontiev\xBio\2020\FWPlan2020.txt" decimal="," thousands=" 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<sst xmlns="http://schemas.openxmlformats.org/spreadsheetml/2006/main" count="4366" uniqueCount="1760">
  <si>
    <t>комментарии</t>
  </si>
  <si>
    <t xml:space="preserve">уточненная координата, или координата станции, которая была перенесенастанция была перенесена </t>
  </si>
  <si>
    <t>уточненная из моего полевого дневника, по навигатору РИСК,  сверить к навигатором геологов</t>
  </si>
  <si>
    <t>координата не уточнялась, взята из первоначальной таблицы Фи липпа</t>
  </si>
  <si>
    <t>30 m westward</t>
  </si>
  <si>
    <t>по отношению к точке, где координаты определены. Определить по карте или вычислить по расстоянию</t>
  </si>
  <si>
    <t>C23'</t>
  </si>
  <si>
    <t>перенесенная станция</t>
  </si>
  <si>
    <t>протока</t>
  </si>
  <si>
    <t>подлежит доделке</t>
  </si>
  <si>
    <t>ПОЛЕВОЙ ДНЕВНИК 2020-2019</t>
  </si>
  <si>
    <t>FIELDNOTES 2020-2019</t>
  </si>
  <si>
    <t>predominant substrates</t>
  </si>
  <si>
    <t xml:space="preserve">biotope dscription by video or visually  </t>
  </si>
  <si>
    <t>samples - type of sample, sampler</t>
  </si>
  <si>
    <t>NN</t>
  </si>
  <si>
    <t>Field No</t>
  </si>
  <si>
    <t>DMY</t>
  </si>
  <si>
    <t>HM</t>
  </si>
  <si>
    <t>Long DD</t>
  </si>
  <si>
    <t>Lat DD</t>
  </si>
  <si>
    <t>E grad</t>
  </si>
  <si>
    <t>E after comma</t>
  </si>
  <si>
    <t>N grad</t>
  </si>
  <si>
    <t>N after comma</t>
  </si>
  <si>
    <t>h</t>
  </si>
  <si>
    <t>Secchi</t>
  </si>
  <si>
    <t>S_h</t>
  </si>
  <si>
    <t>T_s_</t>
  </si>
  <si>
    <t>T_b_</t>
  </si>
  <si>
    <t>T_soil</t>
  </si>
  <si>
    <t>S_s_</t>
  </si>
  <si>
    <t>S_b_</t>
  </si>
  <si>
    <t>pH_s_</t>
  </si>
  <si>
    <t>pH_b_</t>
  </si>
  <si>
    <t>pH_soil</t>
  </si>
  <si>
    <t>Oxygen concentration_s (mg/l)</t>
  </si>
  <si>
    <t>O2_b_</t>
  </si>
  <si>
    <t>Eh_s</t>
  </si>
  <si>
    <t>Eh_b</t>
  </si>
  <si>
    <t>unusual</t>
  </si>
  <si>
    <t>text</t>
  </si>
  <si>
    <t>phytoplankton</t>
  </si>
  <si>
    <t>zooplabkton</t>
  </si>
  <si>
    <t>benthos</t>
  </si>
  <si>
    <t>periphyton</t>
  </si>
  <si>
    <t>fishes</t>
  </si>
  <si>
    <t>aquatic vegetation or algae</t>
  </si>
  <si>
    <t>grain-size analyses</t>
  </si>
  <si>
    <t>video or photo</t>
  </si>
  <si>
    <t>non-indigenous species estimated in scores</t>
  </si>
  <si>
    <t>район</t>
  </si>
  <si>
    <t>станция</t>
  </si>
  <si>
    <t>дата</t>
  </si>
  <si>
    <t>время</t>
  </si>
  <si>
    <t>в. д. (десятичн.)</t>
  </si>
  <si>
    <t>с. ш. (десятичн.)</t>
  </si>
  <si>
    <t>в. д. (градусы)</t>
  </si>
  <si>
    <t>в. д. (дес. минуты)</t>
  </si>
  <si>
    <t>с. ш. (градусы)</t>
  </si>
  <si>
    <t>с. ш. (дес. минуты)</t>
  </si>
  <si>
    <t>глубина (м)</t>
  </si>
  <si>
    <t>прозрачность (м)</t>
  </si>
  <si>
    <t>Т пов</t>
  </si>
  <si>
    <t>Т прид</t>
  </si>
  <si>
    <t>Т грунта</t>
  </si>
  <si>
    <t>сол. пов</t>
  </si>
  <si>
    <t>сол. Прид</t>
  </si>
  <si>
    <t>пов</t>
  </si>
  <si>
    <t>прид</t>
  </si>
  <si>
    <t>грунта</t>
  </si>
  <si>
    <t>что необычного</t>
  </si>
  <si>
    <t>текстовое описание субстратов</t>
  </si>
  <si>
    <t>ос обенности биотопа</t>
  </si>
  <si>
    <t>фитопл.</t>
  </si>
  <si>
    <t>зоопл, длина протяжки</t>
  </si>
  <si>
    <t>бентос</t>
  </si>
  <si>
    <t>перифитон</t>
  </si>
  <si>
    <t>ихтиологич. Сборы</t>
  </si>
  <si>
    <t>растительность</t>
  </si>
  <si>
    <t>гр. Анализ</t>
  </si>
  <si>
    <t>фото и видеодокументирование</t>
  </si>
  <si>
    <t>Amphibalanus improvisus</t>
  </si>
  <si>
    <t>Chelicorophium curvispinum (Sars, 1895)</t>
  </si>
  <si>
    <t>Cordylophora caspia</t>
  </si>
  <si>
    <t>Dreissena polymorpha (Pallas, 1771)</t>
  </si>
  <si>
    <t>Fucus vesiculosus</t>
  </si>
  <si>
    <t>Gammarus tigrinus Sexton, 1939 </t>
  </si>
  <si>
    <t>Isochaetides michaelseni</t>
  </si>
  <si>
    <t>Jaera</t>
  </si>
  <si>
    <t>Laonome sp (calida)</t>
  </si>
  <si>
    <t>Laonome xeprovala Bick &amp; Bastrop, 2018</t>
  </si>
  <si>
    <t>Marenzelleria spp</t>
  </si>
  <si>
    <t>Mytilopsis leucophaeata</t>
  </si>
  <si>
    <t>Paranais frici Hrabe, 1941</t>
  </si>
  <si>
    <t>Paranais litoralis (Muller, 1780)</t>
  </si>
  <si>
    <t>Plumatella geimermassardi</t>
  </si>
  <si>
    <t>Potamopyrgus antipodarum (Gray, 1843)</t>
  </si>
  <si>
    <t>Potamothrix moldaviensis Vejdovskż et Mrįzek, 1902</t>
  </si>
  <si>
    <t>Potamothrix vejdovski (Hrabe, 1941)</t>
  </si>
  <si>
    <t>Prostoma sp.</t>
  </si>
  <si>
    <t>Rangia caneata</t>
  </si>
  <si>
    <t>Tenellia adspersa</t>
  </si>
  <si>
    <t>Tubifex newaensis</t>
  </si>
  <si>
    <t>Ns</t>
  </si>
  <si>
    <t>B</t>
  </si>
  <si>
    <t>S</t>
  </si>
  <si>
    <t>H</t>
  </si>
  <si>
    <t>T</t>
  </si>
  <si>
    <t>Eu</t>
  </si>
  <si>
    <t>V</t>
  </si>
  <si>
    <t>U</t>
  </si>
  <si>
    <t>-R</t>
  </si>
  <si>
    <t>-NP</t>
  </si>
  <si>
    <t>-Ex</t>
  </si>
  <si>
    <t>-Co</t>
  </si>
  <si>
    <t>Восприимчивость</t>
  </si>
  <si>
    <t>А1</t>
  </si>
  <si>
    <t>strong oscillation of water level, shallows, bottom relief is changeable</t>
  </si>
  <si>
    <t xml:space="preserve">sand </t>
  </si>
  <si>
    <t>exposed, close to the Narva River</t>
  </si>
  <si>
    <t>yes, boxcorer, 0,025</t>
  </si>
  <si>
    <t>yes</t>
  </si>
  <si>
    <t>А2</t>
  </si>
  <si>
    <t>by photo</t>
  </si>
  <si>
    <t>washed sand</t>
  </si>
  <si>
    <t>А3</t>
  </si>
  <si>
    <t>fine densy sand</t>
  </si>
  <si>
    <t>L=8 m</t>
  </si>
  <si>
    <t>А4</t>
  </si>
  <si>
    <t>very fine sand with clay and fluff</t>
  </si>
  <si>
    <t>А5</t>
  </si>
  <si>
    <t>А6</t>
  </si>
  <si>
    <t>silty fine sand, with same clay</t>
  </si>
  <si>
    <t>dampind area in the past</t>
  </si>
  <si>
    <t>dumping</t>
  </si>
  <si>
    <t>А7</t>
  </si>
  <si>
    <t>very fine silty sand with some clay</t>
  </si>
  <si>
    <t>damping area in the past; life is rich - gammarids, marenzelleria, good for fishing (pers. Comm.)</t>
  </si>
  <si>
    <t>А8</t>
  </si>
  <si>
    <t>fine silty sand</t>
  </si>
  <si>
    <t>А9</t>
  </si>
  <si>
    <t>two layers- upper - slightly silty sand, lower -sand with black silt as small lenses</t>
  </si>
  <si>
    <t>slope</t>
  </si>
  <si>
    <t>А10</t>
  </si>
  <si>
    <t>washed middle-grained sand</t>
  </si>
  <si>
    <t>А11</t>
  </si>
  <si>
    <t>sorted sand - very coarse sand lays on very fine sand</t>
  </si>
  <si>
    <t>current?</t>
  </si>
  <si>
    <t>А12</t>
  </si>
  <si>
    <t>А13</t>
  </si>
  <si>
    <t>densy silt and clay with fluff</t>
  </si>
  <si>
    <t>yes, boxcorer, 0,05</t>
  </si>
  <si>
    <t>А14</t>
  </si>
  <si>
    <t>silted fine-grain sand</t>
  </si>
  <si>
    <t>А15</t>
  </si>
  <si>
    <t>small rubble and very coarse sand</t>
  </si>
  <si>
    <t>А16</t>
  </si>
  <si>
    <t>variegated silted sand with small-sized rubbles</t>
  </si>
  <si>
    <t>stones</t>
  </si>
  <si>
    <t>А17</t>
  </si>
  <si>
    <t>sand with stones sooner of all</t>
  </si>
  <si>
    <t>mixed bottoms, barnacles are present in the sample</t>
  </si>
  <si>
    <t>А18</t>
  </si>
  <si>
    <t>silt with wholes of Marenzelleria</t>
  </si>
  <si>
    <t>accumulative plane?</t>
  </si>
  <si>
    <t>L=28</t>
  </si>
  <si>
    <t>А19</t>
  </si>
  <si>
    <t>very fine sand with fluff</t>
  </si>
  <si>
    <t>anchorage of ships</t>
  </si>
  <si>
    <t>ankor place</t>
  </si>
  <si>
    <t>А20</t>
  </si>
  <si>
    <t>coarse sand</t>
  </si>
  <si>
    <t>А21</t>
  </si>
  <si>
    <t>coarse sand with rubbles 95%, stones - 5%</t>
  </si>
  <si>
    <t>yes tube</t>
  </si>
  <si>
    <t>yes, stones</t>
  </si>
  <si>
    <t>А22</t>
  </si>
  <si>
    <t>as A-17</t>
  </si>
  <si>
    <t>А23</t>
  </si>
  <si>
    <t>coarse sand with rubbles, sooner of all surface with ripples</t>
  </si>
  <si>
    <t>А24</t>
  </si>
  <si>
    <t>песок с галькой и щебенем - 95%б 5% булыжники.</t>
  </si>
  <si>
    <t>L=10 m</t>
  </si>
  <si>
    <t>?</t>
  </si>
  <si>
    <t>А25</t>
  </si>
  <si>
    <t>70% песок со щебнем и галькой, 30% камни, обросшие балянусами и воорослями, валуны - грядами. Гряды чередуются с песком</t>
  </si>
  <si>
    <t>fish nursery area?????</t>
  </si>
  <si>
    <t>10x10, stones (area at label)</t>
  </si>
  <si>
    <t>А26</t>
  </si>
  <si>
    <t>16.05</t>
  </si>
  <si>
    <t>100% stones ovf various sizes</t>
  </si>
  <si>
    <t>stony plane. No mezorelief</t>
  </si>
  <si>
    <t>yes (tube under stones)</t>
  </si>
  <si>
    <t>stones, scratch 10x10</t>
  </si>
  <si>
    <t>yes (under stones)</t>
  </si>
  <si>
    <t>100 stones</t>
  </si>
  <si>
    <t>А27</t>
  </si>
  <si>
    <t>not found</t>
  </si>
  <si>
    <t>А28</t>
  </si>
  <si>
    <t>90% sorted sand, 10% stones</t>
  </si>
  <si>
    <t>stone, area on label</t>
  </si>
  <si>
    <t>А29</t>
  </si>
  <si>
    <t>98% stones of middle size, 2% sand, clay underlies stones and sand</t>
  </si>
  <si>
    <t>stony plain</t>
  </si>
  <si>
    <t>no</t>
  </si>
  <si>
    <t>А30</t>
  </si>
  <si>
    <t>clean, washed sand with groving short algae bundles</t>
  </si>
  <si>
    <t>full illuminated photic zone</t>
  </si>
  <si>
    <t>boxcorer 0,025</t>
  </si>
  <si>
    <t>А31</t>
  </si>
  <si>
    <t xml:space="preserve">clean, washed sand </t>
  </si>
  <si>
    <t>photic zone</t>
  </si>
  <si>
    <t>L=10m</t>
  </si>
  <si>
    <t>tube</t>
  </si>
  <si>
    <t>А32</t>
  </si>
  <si>
    <t>N. melanostomus, ca 10 ind per square meter</t>
  </si>
  <si>
    <t>30% large stones, 70% sand, clay underlies stones and sand</t>
  </si>
  <si>
    <t>slope in photic zone, the area has very good transparency when decrease of water level induced by winds of E and SE directions</t>
  </si>
  <si>
    <t>two stones, area on label</t>
  </si>
  <si>
    <t>gobies</t>
  </si>
  <si>
    <t>А33</t>
  </si>
  <si>
    <t>А34</t>
  </si>
  <si>
    <t>90% rubbles, stones are about 2 %, 8% sand and clay</t>
  </si>
  <si>
    <t>disphotic zone</t>
  </si>
  <si>
    <t>L=8</t>
  </si>
  <si>
    <t>А35</t>
  </si>
  <si>
    <t>8.00</t>
  </si>
  <si>
    <t>barnacles and E#. Baltica are predominant andle to collect with boxcorer</t>
  </si>
  <si>
    <t>98% rubbles and stones of ca 40 cm length? 2% sand with clay</t>
  </si>
  <si>
    <t>aphotic zone</t>
  </si>
  <si>
    <t>3 samples of various type</t>
  </si>
  <si>
    <t>missed</t>
  </si>
  <si>
    <t>А36</t>
  </si>
  <si>
    <t>fine grained samd with fluff, solid clay with rubbles incorporated beneath the sand. Stones present, but rare, plant detrit is present too</t>
  </si>
  <si>
    <t>Area is plane</t>
  </si>
  <si>
    <t>tube or boxcorer</t>
  </si>
  <si>
    <t>А37</t>
  </si>
  <si>
    <t>rubble is about 100%, all other tupes of stony substrates present but rare</t>
  </si>
  <si>
    <t>А38</t>
  </si>
  <si>
    <t>5% stones, 95% sorted sand with rubbles</t>
  </si>
  <si>
    <t>exposed to current. current is present, parallel ripples can also be result from current</t>
  </si>
  <si>
    <t>stone, scratch 10x10 cm</t>
  </si>
  <si>
    <t>s</t>
  </si>
  <si>
    <t>А39</t>
  </si>
  <si>
    <t>3% stones, 97%  sand with some fluff</t>
  </si>
  <si>
    <t>exposed to current. current is perpendicular to the coastline</t>
  </si>
  <si>
    <t xml:space="preserve">tube </t>
  </si>
  <si>
    <t>scratch 10x10</t>
  </si>
  <si>
    <t>А40</t>
  </si>
  <si>
    <t>sand with small-sized rubble (98%), larger stones (2%) are brought in sand, some fine fluff is present</t>
  </si>
  <si>
    <t>stone with area on label</t>
  </si>
  <si>
    <t>А41</t>
  </si>
  <si>
    <t>F. vesiculosus overgrowth stones together with A. improvisus</t>
  </si>
  <si>
    <t>30% stones and boulders, 70% sand</t>
  </si>
  <si>
    <t xml:space="preserve">plain, photic, probably, sheltered with Kurgal'sky reef and shallows </t>
  </si>
  <si>
    <t>L=5m</t>
  </si>
  <si>
    <t xml:space="preserve">3 samples </t>
  </si>
  <si>
    <t>А42</t>
  </si>
  <si>
    <t>F. vesiculosus is not so abundant as at A41</t>
  </si>
  <si>
    <t>slope, current is present, very rich in life (shrimps, fishes, fucus)</t>
  </si>
  <si>
    <t>yes (sand deposits on stones)</t>
  </si>
  <si>
    <t>А43</t>
  </si>
  <si>
    <t>95% sand, 5 % stones from rubbles till boulders</t>
  </si>
  <si>
    <t>exposed to currents. By pers communication in all types of weater, ripples on sand are looking as resilts fro current</t>
  </si>
  <si>
    <t>stone, area is on labels, scratch 10x10</t>
  </si>
  <si>
    <t>А44</t>
  </si>
  <si>
    <t>Catastrophich change of habitat after the storm</t>
  </si>
  <si>
    <t>100 sand, sand looks as deposit, algal detrit is common</t>
  </si>
  <si>
    <t>nearby Hangeluda island</t>
  </si>
  <si>
    <t>А45</t>
  </si>
  <si>
    <t>40% stone (boulders), 60% sand</t>
  </si>
  <si>
    <t>theoretically fully illuminated photic zone</t>
  </si>
  <si>
    <t>bo[corer 0,025</t>
  </si>
  <si>
    <t>А46</t>
  </si>
  <si>
    <t xml:space="preserve">70% small stones, covered with sand deposits; 30% boulders </t>
  </si>
  <si>
    <t>А47</t>
  </si>
  <si>
    <t>100 silt with plant detritus</t>
  </si>
  <si>
    <t>M. baltica and Marenzelleria are abundant</t>
  </si>
  <si>
    <t>А48</t>
  </si>
  <si>
    <t>silt with coarse sand and Fe-Mn concretes</t>
  </si>
  <si>
    <t>А49</t>
  </si>
  <si>
    <t>black silt with holes of marenzelleria with oxygenated fragments and surface of sample</t>
  </si>
  <si>
    <t>А50</t>
  </si>
  <si>
    <t>mixture of sand of two types - small grained and coarse</t>
  </si>
  <si>
    <t>А51</t>
  </si>
  <si>
    <t>silt with some sand</t>
  </si>
  <si>
    <t>А52</t>
  </si>
  <si>
    <t>silted sand</t>
  </si>
  <si>
    <t xml:space="preserve"> </t>
  </si>
  <si>
    <t>L=7m</t>
  </si>
  <si>
    <t>20-GFLuRi-3</t>
  </si>
  <si>
    <t>7.00</t>
  </si>
  <si>
    <t>silted sand with artificial staff (fishing equipment)</t>
  </si>
  <si>
    <t>riverbed nerby right bank</t>
  </si>
  <si>
    <t>L=10</t>
  </si>
  <si>
    <t>B1</t>
  </si>
  <si>
    <t>description by geologists</t>
  </si>
  <si>
    <t>B10</t>
  </si>
  <si>
    <t>black silt with holes of marenzelleria with light smell of H2S</t>
  </si>
  <si>
    <t>B11</t>
  </si>
  <si>
    <t>13.11</t>
  </si>
  <si>
    <t>100 stohy substrates with samn between stones</t>
  </si>
  <si>
    <t>nearby stony shallow</t>
  </si>
  <si>
    <t>diving</t>
  </si>
  <si>
    <t>stones with area on labels</t>
  </si>
  <si>
    <t>should be</t>
  </si>
  <si>
    <t>B12</t>
  </si>
  <si>
    <t>13.53</t>
  </si>
  <si>
    <t>20% stones 80% sand with shell debrises</t>
  </si>
  <si>
    <t>hearby stony shallow</t>
  </si>
  <si>
    <t>diving, tube</t>
  </si>
  <si>
    <t>B13</t>
  </si>
  <si>
    <t>14.38</t>
  </si>
  <si>
    <t>silt with somwe clay and smell of H2S</t>
  </si>
  <si>
    <t>B14</t>
  </si>
  <si>
    <t>18.50</t>
  </si>
  <si>
    <t>silt with Fe-Mn concretes</t>
  </si>
  <si>
    <t>B15</t>
  </si>
  <si>
    <t>B16</t>
  </si>
  <si>
    <t>18.11</t>
  </si>
  <si>
    <t>description from geologists</t>
  </si>
  <si>
    <t>to clarify</t>
  </si>
  <si>
    <t>B17</t>
  </si>
  <si>
    <t>17.45</t>
  </si>
  <si>
    <t>80% sand, 20% stones of various sise</t>
  </si>
  <si>
    <t>stone with area on label, scratch 10x10</t>
  </si>
  <si>
    <t>B18</t>
  </si>
  <si>
    <t>silt with clay</t>
  </si>
  <si>
    <t>B19</t>
  </si>
  <si>
    <t>silt with small amount of sand</t>
  </si>
  <si>
    <t>marginal part of dampimg area?</t>
  </si>
  <si>
    <t>B2</t>
  </si>
  <si>
    <t>B20</t>
  </si>
  <si>
    <t>rubble, Fe-Mn concreted, sand, fluffy clay, fluff</t>
  </si>
  <si>
    <t>damping area by personal communication</t>
  </si>
  <si>
    <t>B21</t>
  </si>
  <si>
    <t>clay with sand and small rubble</t>
  </si>
  <si>
    <t>M/ baltica is rather abundant</t>
  </si>
  <si>
    <t>B22</t>
  </si>
  <si>
    <t>silt with sand and clay</t>
  </si>
  <si>
    <t>B23</t>
  </si>
  <si>
    <t>Fe-Mn concretes and coarse sand</t>
  </si>
  <si>
    <t>no! only photo</t>
  </si>
  <si>
    <t>B24</t>
  </si>
  <si>
    <t>16.53</t>
  </si>
  <si>
    <t>fine sand, washed</t>
  </si>
  <si>
    <t>so-called "REEF"</t>
  </si>
  <si>
    <t>B25</t>
  </si>
  <si>
    <t>Fe-Mn concretes</t>
  </si>
  <si>
    <t>no qualitative and geological sampling at this locality</t>
  </si>
  <si>
    <t>B25A</t>
  </si>
  <si>
    <t>16.33</t>
  </si>
  <si>
    <t>sand</t>
  </si>
  <si>
    <t>B26</t>
  </si>
  <si>
    <t>15.29</t>
  </si>
  <si>
    <t>fine filt with brown fluff</t>
  </si>
  <si>
    <t>B27</t>
  </si>
  <si>
    <t>12.22</t>
  </si>
  <si>
    <t>very fine silt, liquid fluff</t>
  </si>
  <si>
    <t>B28</t>
  </si>
  <si>
    <t>aleuropelite with sand</t>
  </si>
  <si>
    <t>B29</t>
  </si>
  <si>
    <t>sand, rare stones</t>
  </si>
  <si>
    <t>B3</t>
  </si>
  <si>
    <t>12.00</t>
  </si>
  <si>
    <t>slightly silted sand</t>
  </si>
  <si>
    <t>B30</t>
  </si>
  <si>
    <t>30% middle stones, 5% small stones, 65% sand</t>
  </si>
  <si>
    <t>stone,  area on label</t>
  </si>
  <si>
    <t>B31</t>
  </si>
  <si>
    <t>15.00</t>
  </si>
  <si>
    <t>variegated sand with rubbles - 50%, stones, boulders - 50%\</t>
  </si>
  <si>
    <t>boxcorer 0,025; tube</t>
  </si>
  <si>
    <t>2 stones</t>
  </si>
  <si>
    <t>B32</t>
  </si>
  <si>
    <t>16.17</t>
  </si>
  <si>
    <t>aleuropelites - 50%, sand - 50</t>
  </si>
  <si>
    <t>B33</t>
  </si>
  <si>
    <t>16.39</t>
  </si>
  <si>
    <t>aleuropelite gre-black till black</t>
  </si>
  <si>
    <t>nearby the shipwreck @Aurora@</t>
  </si>
  <si>
    <t>shipwreck</t>
  </si>
  <si>
    <t>B34</t>
  </si>
  <si>
    <t>15.13</t>
  </si>
  <si>
    <t>solid, stone-like clay and other types of clay bottom, rare stones</t>
  </si>
  <si>
    <t>L=7,5 m</t>
  </si>
  <si>
    <t>B35</t>
  </si>
  <si>
    <t>13.35</t>
  </si>
  <si>
    <t>100% stones</t>
  </si>
  <si>
    <t>morain</t>
  </si>
  <si>
    <t>2 stones, area is on label</t>
  </si>
  <si>
    <t>B36</t>
  </si>
  <si>
    <t>17.10'</t>
  </si>
  <si>
    <t>aleuropelites with sphaeroidal concretes (10% by volume of sample)</t>
  </si>
  <si>
    <t>B37</t>
  </si>
  <si>
    <t>17.40</t>
  </si>
  <si>
    <t>black aleuropelite with 1% of concretes</t>
  </si>
  <si>
    <t>B38</t>
  </si>
  <si>
    <t>18.14</t>
  </si>
  <si>
    <t>aleuropelites with coarse plant detritus</t>
  </si>
  <si>
    <t>B39</t>
  </si>
  <si>
    <t>12.29</t>
  </si>
  <si>
    <t>75% stones, the rest - sand (coarse), rubble and clay</t>
  </si>
  <si>
    <t>diving, tube sand, tube clay</t>
  </si>
  <si>
    <t>B4</t>
  </si>
  <si>
    <t>aleuropelite</t>
  </si>
  <si>
    <t>B40</t>
  </si>
  <si>
    <t>18.44</t>
  </si>
  <si>
    <t>aleuropelite, relatively dense, some sand and few rubbles</t>
  </si>
  <si>
    <r>
      <rPr>
        <i/>
        <sz val="11"/>
        <color theme="1"/>
        <rFont val="Calibri"/>
        <charset val="204"/>
        <scheme val="minor"/>
      </rPr>
      <t>M. baltica</t>
    </r>
    <r>
      <rPr>
        <sz val="11"/>
        <color theme="1"/>
        <rFont val="Calibri"/>
        <charset val="134"/>
        <scheme val="minor"/>
      </rPr>
      <t xml:space="preserve"> is abundant, seems some sand is very appropriate for it</t>
    </r>
  </si>
  <si>
    <t>B41</t>
  </si>
  <si>
    <t>12.20</t>
  </si>
  <si>
    <t>stones - 80%, of them 5% boulders, 20% rubbles, sand 20%</t>
  </si>
  <si>
    <t xml:space="preserve">diving </t>
  </si>
  <si>
    <t>B42</t>
  </si>
  <si>
    <t>very fine sand with ca 20% of silt, sone plant detritus</t>
  </si>
  <si>
    <t>B43</t>
  </si>
  <si>
    <t>09.40</t>
  </si>
  <si>
    <t>80% coarse sand, 20% stony substrates from rubbles till stones (20%) some stones have belt consisting of Fe-Mn concretes</t>
  </si>
  <si>
    <t>diving 3 tubes</t>
  </si>
  <si>
    <t>B44</t>
  </si>
  <si>
    <t>19.20</t>
  </si>
  <si>
    <t>100% hard bottom, where 50:50 stony and hard clay substrates, highest variety if lays - from just dense till looking like stoned with Fe(ON)3</t>
  </si>
  <si>
    <r>
      <rPr>
        <sz val="11"/>
        <color theme="1"/>
        <rFont val="Calibri"/>
        <charset val="134"/>
        <scheme val="minor"/>
      </rPr>
      <t xml:space="preserve">barnacles and </t>
    </r>
    <r>
      <rPr>
        <i/>
        <sz val="11"/>
        <color theme="1"/>
        <rFont val="Calibri"/>
        <charset val="204"/>
        <scheme val="minor"/>
      </rPr>
      <t>E. baltica</t>
    </r>
    <r>
      <rPr>
        <sz val="11"/>
        <color theme="1"/>
        <rFont val="Calibri"/>
        <charset val="134"/>
        <scheme val="minor"/>
      </rPr>
      <t xml:space="preserve"> are typical for this habitat</t>
    </r>
  </si>
  <si>
    <t>diving, 3 samples of various substrates, area is onlabel</t>
  </si>
  <si>
    <t>B45</t>
  </si>
  <si>
    <t>21.00</t>
  </si>
  <si>
    <r>
      <rPr>
        <sz val="11"/>
        <color theme="1"/>
        <rFont val="Calibri"/>
        <charset val="134"/>
        <scheme val="minor"/>
      </rPr>
      <t xml:space="preserve">no stones - usual </t>
    </r>
    <r>
      <rPr>
        <sz val="11"/>
        <color rgb="FFFF0000"/>
        <rFont val="Calibri"/>
        <charset val="204"/>
        <scheme val="minor"/>
      </rPr>
      <t>clay and sand, loose-like green algae</t>
    </r>
  </si>
  <si>
    <t>B46A</t>
  </si>
  <si>
    <t>06.30</t>
  </si>
  <si>
    <t>100% sand</t>
  </si>
  <si>
    <t>B5</t>
  </si>
  <si>
    <t>silt with oxygenated fluff, some plant detrit</t>
  </si>
  <si>
    <t>B6A</t>
  </si>
  <si>
    <t>12.40</t>
  </si>
  <si>
    <t>fine silt</t>
  </si>
  <si>
    <t>chironomidae and Marenzelleria a re abundant</t>
  </si>
  <si>
    <t>B7</t>
  </si>
  <si>
    <t>sand with silt and clay</t>
  </si>
  <si>
    <t>L=12m</t>
  </si>
  <si>
    <t>B8</t>
  </si>
  <si>
    <t>silt, light smell ofH2S, numerous holes of Marenzelleria</t>
  </si>
  <si>
    <t>L=?</t>
  </si>
  <si>
    <t>B9</t>
  </si>
  <si>
    <t>25.89.2020</t>
  </si>
  <si>
    <t>black silt with H2S smell, life is present</t>
  </si>
  <si>
    <t>BX (Old Harbor)</t>
  </si>
  <si>
    <t>open part of the Bay</t>
  </si>
  <si>
    <t>berth</t>
  </si>
  <si>
    <t>diving sampling from two horizons (scratches) 0-1,5 v - photic-zone community4 1,5 - bottom - barnacles, bottom is contaminated with organic matter</t>
  </si>
  <si>
    <t>C1</t>
  </si>
  <si>
    <t>5% stones, sand, loose-like algae</t>
  </si>
  <si>
    <t>L=8m</t>
  </si>
  <si>
    <t>diving, sand</t>
  </si>
  <si>
    <t>2 stone with area on label</t>
  </si>
  <si>
    <t>C10</t>
  </si>
  <si>
    <t>18,21</t>
  </si>
  <si>
    <t>no sampling</t>
  </si>
  <si>
    <t>12.50</t>
  </si>
  <si>
    <t>95% large stones, 5% sand</t>
  </si>
  <si>
    <t>diving, frame 10x10, stone 10x10</t>
  </si>
  <si>
    <t>C11</t>
  </si>
  <si>
    <t>15.09</t>
  </si>
  <si>
    <t>red sand, clay</t>
  </si>
  <si>
    <t>petersen 0,025</t>
  </si>
  <si>
    <t>???</t>
  </si>
  <si>
    <t>C12</t>
  </si>
  <si>
    <t>12.30</t>
  </si>
  <si>
    <t>silt, sand</t>
  </si>
  <si>
    <t>C13</t>
  </si>
  <si>
    <t>12.09</t>
  </si>
  <si>
    <t>salt,sand</t>
  </si>
  <si>
    <t>C14</t>
  </si>
  <si>
    <t>14.51</t>
  </si>
  <si>
    <t>sand with rubble</t>
  </si>
  <si>
    <t>C15</t>
  </si>
  <si>
    <t>10.00</t>
  </si>
  <si>
    <t>sand - 50%, stones -50%</t>
  </si>
  <si>
    <t>stone 20x10</t>
  </si>
  <si>
    <t>C16</t>
  </si>
  <si>
    <t>10.32</t>
  </si>
  <si>
    <t>sand - 70%, stoned burried in sand - 30%</t>
  </si>
  <si>
    <t>frame 10x10 cv</t>
  </si>
  <si>
    <t>C17</t>
  </si>
  <si>
    <t>14.35</t>
  </si>
  <si>
    <t>red sand</t>
  </si>
  <si>
    <t>C18</t>
  </si>
  <si>
    <t>"12.52</t>
  </si>
  <si>
    <t>silt, Fe-Mn concretes</t>
  </si>
  <si>
    <t>C19</t>
  </si>
  <si>
    <t>11.27</t>
  </si>
  <si>
    <t>C2</t>
  </si>
  <si>
    <t>50% algae growth, 50% clay, 5% stones  under algae, clay looks like stairs</t>
  </si>
  <si>
    <t xml:space="preserve">diving, 2 tubes, </t>
  </si>
  <si>
    <t>3 stones, 2 stone-leke clay debrices</t>
  </si>
  <si>
    <t>C20</t>
  </si>
  <si>
    <t>11.11</t>
  </si>
  <si>
    <t>C21</t>
  </si>
  <si>
    <t>13.17</t>
  </si>
  <si>
    <t>fine sand</t>
  </si>
  <si>
    <t>C22</t>
  </si>
  <si>
    <t>13.41</t>
  </si>
  <si>
    <t>16.03</t>
  </si>
  <si>
    <t>C24</t>
  </si>
  <si>
    <t>17,15</t>
  </si>
  <si>
    <t>geologists-description</t>
  </si>
  <si>
    <t>C25</t>
  </si>
  <si>
    <t>16,03</t>
  </si>
  <si>
    <t>C26</t>
  </si>
  <si>
    <t>10.51</t>
  </si>
  <si>
    <t>no sanpling</t>
  </si>
  <si>
    <t>13.40</t>
  </si>
  <si>
    <t>yellow sand 90%, smallstones and boulders - 10%</t>
  </si>
  <si>
    <t>stone 7x7 cm</t>
  </si>
  <si>
    <t>C27</t>
  </si>
  <si>
    <t>10.30</t>
  </si>
  <si>
    <t>14.00</t>
  </si>
  <si>
    <t>red coarese sand with rubble</t>
  </si>
  <si>
    <t>C28</t>
  </si>
  <si>
    <t>20.27</t>
  </si>
  <si>
    <t>C29</t>
  </si>
  <si>
    <t>10.02</t>
  </si>
  <si>
    <t>14.25</t>
  </si>
  <si>
    <t>red sand with rubble</t>
  </si>
  <si>
    <t>C3</t>
  </si>
  <si>
    <t>10% stones, sand with rubbles and some fluff</t>
  </si>
  <si>
    <t>stones with area on label</t>
  </si>
  <si>
    <t>C30</t>
  </si>
  <si>
    <t>20.03</t>
  </si>
  <si>
    <t>C31</t>
  </si>
  <si>
    <t>19.47</t>
  </si>
  <si>
    <t>C32_2S</t>
  </si>
  <si>
    <t>19.13</t>
  </si>
  <si>
    <t>yes 0-10m C32_2</t>
  </si>
  <si>
    <t>L=20m C32_2</t>
  </si>
  <si>
    <t>C32_1N</t>
  </si>
  <si>
    <t>19.00</t>
  </si>
  <si>
    <t>silt and sand</t>
  </si>
  <si>
    <t>C33</t>
  </si>
  <si>
    <t>missed???</t>
  </si>
  <si>
    <t>C34'</t>
  </si>
  <si>
    <t>18.31</t>
  </si>
  <si>
    <t>clay</t>
  </si>
  <si>
    <t>C35</t>
  </si>
  <si>
    <t>16.41</t>
  </si>
  <si>
    <t>C36</t>
  </si>
  <si>
    <t>16.29</t>
  </si>
  <si>
    <t>C37</t>
  </si>
  <si>
    <t>16.16</t>
  </si>
  <si>
    <t>rubble</t>
  </si>
  <si>
    <t>C38</t>
  </si>
  <si>
    <t>15.44</t>
  </si>
  <si>
    <t>14.12</t>
  </si>
  <si>
    <t>middle stones -95%, large stones (boulders) - 5 %</t>
  </si>
  <si>
    <t>diving, stone 12x10 cm, frame 10x10 cm</t>
  </si>
  <si>
    <t>C39</t>
  </si>
  <si>
    <t>15.58</t>
  </si>
  <si>
    <t>C4</t>
  </si>
  <si>
    <t>18,57</t>
  </si>
  <si>
    <t>red sand, rubble</t>
  </si>
  <si>
    <t>C40</t>
  </si>
  <si>
    <t>17.08</t>
  </si>
  <si>
    <t>C41</t>
  </si>
  <si>
    <t>17.30</t>
  </si>
  <si>
    <t>silt with sand</t>
  </si>
  <si>
    <t>C42'</t>
  </si>
  <si>
    <t>17.52</t>
  </si>
  <si>
    <t>yes 0-7m - C42</t>
  </si>
  <si>
    <t>L=26 m - C42</t>
  </si>
  <si>
    <t>C43</t>
  </si>
  <si>
    <t>14'49</t>
  </si>
  <si>
    <t>grey silt</t>
  </si>
  <si>
    <t>C44</t>
  </si>
  <si>
    <t>15.20</t>
  </si>
  <si>
    <t>15.50</t>
  </si>
  <si>
    <t>coarse grey sand - 50%, boulders -50%</t>
  </si>
  <si>
    <t>diving tube</t>
  </si>
  <si>
    <t>stone 8x10 cm, frame 10x10</t>
  </si>
  <si>
    <t>C5</t>
  </si>
  <si>
    <t>19.34</t>
  </si>
  <si>
    <t>red coarse sand</t>
  </si>
  <si>
    <t>C6</t>
  </si>
  <si>
    <t>19,59</t>
  </si>
  <si>
    <t>C7</t>
  </si>
  <si>
    <t>19.24</t>
  </si>
  <si>
    <t>C8</t>
  </si>
  <si>
    <t>18.41</t>
  </si>
  <si>
    <t>grey silt with brown surface</t>
  </si>
  <si>
    <t>C9</t>
  </si>
  <si>
    <t>9.52</t>
  </si>
  <si>
    <t>brown sand</t>
  </si>
  <si>
    <t>D1</t>
  </si>
  <si>
    <t>14.05</t>
  </si>
  <si>
    <t>no sample</t>
  </si>
  <si>
    <t>16.10</t>
  </si>
  <si>
    <t>on clay-frame 10x10, stone 8x6 cv</t>
  </si>
  <si>
    <t>D10</t>
  </si>
  <si>
    <t>10.07</t>
  </si>
  <si>
    <t>washed middle grained sand</t>
  </si>
  <si>
    <t>D11</t>
  </si>
  <si>
    <t>10.22</t>
  </si>
  <si>
    <t>yes 0-5m - D11</t>
  </si>
  <si>
    <t>L=20m, D11</t>
  </si>
  <si>
    <t>D12</t>
  </si>
  <si>
    <t>10.48</t>
  </si>
  <si>
    <t>D13</t>
  </si>
  <si>
    <t>20.38</t>
  </si>
  <si>
    <t>silt with H2S smell</t>
  </si>
  <si>
    <t>D14</t>
  </si>
  <si>
    <t>21.08</t>
  </si>
  <si>
    <t>not possible to sample</t>
  </si>
  <si>
    <t>17.59</t>
  </si>
  <si>
    <t>sand with rubbles</t>
  </si>
  <si>
    <t>:???</t>
  </si>
  <si>
    <t>D15</t>
  </si>
  <si>
    <t>21.34</t>
  </si>
  <si>
    <t>D16</t>
  </si>
  <si>
    <t>21.51</t>
  </si>
  <si>
    <t>stones, barnacles, hydrozoa, zebra mussel</t>
  </si>
  <si>
    <t>D17</t>
  </si>
  <si>
    <t>22.02</t>
  </si>
  <si>
    <t>D18</t>
  </si>
  <si>
    <t>22.16</t>
  </si>
  <si>
    <t>D19</t>
  </si>
  <si>
    <t>19.35</t>
  </si>
  <si>
    <t>D2</t>
  </si>
  <si>
    <t>14.23</t>
  </si>
  <si>
    <t>D20</t>
  </si>
  <si>
    <t>D21</t>
  </si>
  <si>
    <t>19.55</t>
  </si>
  <si>
    <t>D22</t>
  </si>
  <si>
    <t>20.17</t>
  </si>
  <si>
    <t>D23</t>
  </si>
  <si>
    <t>18.27</t>
  </si>
  <si>
    <t>sand, silt</t>
  </si>
  <si>
    <t>D24</t>
  </si>
  <si>
    <t>18.45</t>
  </si>
  <si>
    <t>D25</t>
  </si>
  <si>
    <t>19.01</t>
  </si>
  <si>
    <t>D26</t>
  </si>
  <si>
    <t>17.34</t>
  </si>
  <si>
    <t>D27</t>
  </si>
  <si>
    <t>17.41</t>
  </si>
  <si>
    <t>D28</t>
  </si>
  <si>
    <t>17.56</t>
  </si>
  <si>
    <t>D29</t>
  </si>
  <si>
    <t>18.09</t>
  </si>
  <si>
    <t>grey clay</t>
  </si>
  <si>
    <t>D3</t>
  </si>
  <si>
    <t>13.05</t>
  </si>
  <si>
    <t>yes (0-5m) D3</t>
  </si>
  <si>
    <t>L=25 m -D3</t>
  </si>
  <si>
    <t>D30</t>
  </si>
  <si>
    <t>16.30</t>
  </si>
  <si>
    <t>8.50</t>
  </si>
  <si>
    <t>yes (0-5m) D30</t>
  </si>
  <si>
    <t>yes (0-8m) D300</t>
  </si>
  <si>
    <t>D31</t>
  </si>
  <si>
    <t>16.51</t>
  </si>
  <si>
    <t>D32</t>
  </si>
  <si>
    <t>17.17</t>
  </si>
  <si>
    <t>D4</t>
  </si>
  <si>
    <t>13.39</t>
  </si>
  <si>
    <t>D5</t>
  </si>
  <si>
    <t>12.08</t>
  </si>
  <si>
    <t>middle grained sand</t>
  </si>
  <si>
    <t>D6</t>
  </si>
  <si>
    <t>12.27</t>
  </si>
  <si>
    <t>D6A</t>
  </si>
  <si>
    <t>17.10</t>
  </si>
  <si>
    <t>grey silt with oxygenated brown fluff</t>
  </si>
  <si>
    <t>yes?</t>
  </si>
  <si>
    <t>D7</t>
  </si>
  <si>
    <t>11.16</t>
  </si>
  <si>
    <t>D8</t>
  </si>
  <si>
    <t>11.43</t>
  </si>
  <si>
    <t>D9</t>
  </si>
  <si>
    <t>09.43</t>
  </si>
  <si>
    <t>60% yellow sand, stomes of middle size - 40%, boulders of 70-120 sm - 5%</t>
  </si>
  <si>
    <t>stone 20x8 cm</t>
  </si>
  <si>
    <t>20-GFLuNa-1</t>
  </si>
  <si>
    <t>the same, air temperature 24,9 C</t>
  </si>
  <si>
    <t>20-GFVybRi-1</t>
  </si>
  <si>
    <t>evident brackishwater conditions</t>
  </si>
  <si>
    <t>L=3</t>
  </si>
  <si>
    <t>20-GFVybRi-2</t>
  </si>
  <si>
    <t>20-GFLuRi-1</t>
  </si>
  <si>
    <t>13.30</t>
  </si>
  <si>
    <t>yes, boxcorer, 0,026</t>
  </si>
  <si>
    <t>20-GFLuRi-2</t>
  </si>
  <si>
    <t>20-GFKovRi-1</t>
  </si>
  <si>
    <t>16.00</t>
  </si>
  <si>
    <t xml:space="preserve">moderate current </t>
  </si>
  <si>
    <t>20-GFSisRi-1</t>
  </si>
  <si>
    <t>верх</t>
  </si>
  <si>
    <t>very strong current</t>
  </si>
  <si>
    <t>20-GFSisRi-2</t>
  </si>
  <si>
    <t>низ</t>
  </si>
  <si>
    <t>slower, but still strong</t>
  </si>
  <si>
    <t>логи</t>
  </si>
  <si>
    <t>чистый плотный песок и валуны</t>
  </si>
  <si>
    <t>растительности почти нет, рдест на удалении, кладофоры мало</t>
  </si>
  <si>
    <t>beach-seine</t>
  </si>
  <si>
    <t>вистино</t>
  </si>
  <si>
    <t xml:space="preserve">камни 5-10 см диаметром, валуны, песок вдоль берега </t>
  </si>
  <si>
    <t>рдест на удалении от берега, кладофора - средне</t>
  </si>
  <si>
    <t>колгонпя юг</t>
  </si>
  <si>
    <t>18.00</t>
  </si>
  <si>
    <t>плотный песок и валуны</t>
  </si>
  <si>
    <t>кладофора у берега - выбросы</t>
  </si>
  <si>
    <t>Систо-палкино.1</t>
  </si>
  <si>
    <t>у берега полоса гниющей кладофоры, прозрачность воды 0, сильный запах. В 15-20 м от берега вода чистая, легкая муть, кладофора куртинами по дну - много.</t>
  </si>
  <si>
    <t>плотный песок</t>
  </si>
  <si>
    <t>кладофора куртинами 25% площади дна</t>
  </si>
  <si>
    <t>пейпия</t>
  </si>
  <si>
    <t>28, 5601</t>
  </si>
  <si>
    <t>очень много молоди бычков и креветок в большой луже на берегу в 5 м от уреза воды</t>
  </si>
  <si>
    <t>песок плотный, крупные камни и валуны - мало</t>
  </si>
  <si>
    <t>кладофора на камнях - мало</t>
  </si>
  <si>
    <t>колгонпя мыс</t>
  </si>
  <si>
    <t>18.30</t>
  </si>
  <si>
    <t>чистый песок, валуны в стороне от прохода - много</t>
  </si>
  <si>
    <t>кладофора по дну и на камнях - средне, взвесь из фрагментов кладофоры у берега - много</t>
  </si>
  <si>
    <t>лужицы</t>
  </si>
  <si>
    <t>плотный чистый песок, камни единично</t>
  </si>
  <si>
    <t>растительности нет, тростник на берегу - вне воды</t>
  </si>
  <si>
    <t>Луга - устье</t>
  </si>
  <si>
    <t>песок чистый плотный</t>
  </si>
  <si>
    <t>тростник и камыш по урезу воды</t>
  </si>
  <si>
    <t>выбье</t>
  </si>
  <si>
    <t>песок плотный</t>
  </si>
  <si>
    <t>фрагменты кладофоры в толще воды - очень много, по дну растительности нет</t>
  </si>
  <si>
    <t>усть-нарва</t>
  </si>
  <si>
    <t>чистый плотный песок</t>
  </si>
  <si>
    <t>выбросы кладофоры в толще и у берега - много</t>
  </si>
  <si>
    <t>норд-стрим</t>
  </si>
  <si>
    <t>59.55002</t>
  </si>
  <si>
    <t>28.08960</t>
  </si>
  <si>
    <t>плотный чистый песок</t>
  </si>
  <si>
    <t>растительности нет</t>
  </si>
  <si>
    <t>гакково</t>
  </si>
  <si>
    <t>песок и камни разной величины, ил у берега</t>
  </si>
  <si>
    <t>сладофора по дну - мало</t>
  </si>
  <si>
    <t>конново</t>
  </si>
  <si>
    <t>16.45</t>
  </si>
  <si>
    <t>песок плотный, камни средние и крупные 40% площади, валуны</t>
  </si>
  <si>
    <t>кладофора на камнях, кладофора в толще - мало, выбросы по урезу - много.</t>
  </si>
  <si>
    <t>Хангелода</t>
  </si>
  <si>
    <t>11.00</t>
  </si>
  <si>
    <t>песок крупнозернистый, валуны - по сторонам от прохода</t>
  </si>
  <si>
    <t>кладофора куртинами по дну, плотно</t>
  </si>
  <si>
    <t>Липпово</t>
  </si>
  <si>
    <t>13.00</t>
  </si>
  <si>
    <t>кладоффора пятнами по дну, фукус в толще воды - мало</t>
  </si>
  <si>
    <t>П2</t>
  </si>
  <si>
    <t>9.30</t>
  </si>
  <si>
    <t>песок</t>
  </si>
  <si>
    <t>рдест - много</t>
  </si>
  <si>
    <t>бронка</t>
  </si>
  <si>
    <t>песок и камни мелкие</t>
  </si>
  <si>
    <t>камыш</t>
  </si>
  <si>
    <t>Ал4</t>
  </si>
  <si>
    <t>60.043135</t>
  </si>
  <si>
    <t>29.965044</t>
  </si>
  <si>
    <t>песок, песок + мелкие камни</t>
  </si>
  <si>
    <t>noname_Olga</t>
  </si>
  <si>
    <t>mud</t>
  </si>
  <si>
    <t>harbor area</t>
  </si>
  <si>
    <t>yes, boxcorer</t>
  </si>
  <si>
    <t>ER55</t>
  </si>
  <si>
    <t>19-GFMosh-1</t>
  </si>
  <si>
    <t>technogenic</t>
  </si>
  <si>
    <t>clays, concrete debrices, shells, live fouling including algae</t>
  </si>
  <si>
    <t>yes, boxcorer 1/40</t>
  </si>
  <si>
    <t>yes, GNOM and photo</t>
  </si>
  <si>
    <t>wall side 1</t>
  </si>
  <si>
    <t>hard</t>
  </si>
  <si>
    <t>yes, scuba, scratches</t>
  </si>
  <si>
    <t>yes, CANON</t>
  </si>
  <si>
    <t>wall side 2</t>
  </si>
  <si>
    <t>19-GFMosh-2</t>
  </si>
  <si>
    <t>natural hard</t>
  </si>
  <si>
    <t>sand with stones of 30-50% of projective cover</t>
  </si>
  <si>
    <t>failed</t>
  </si>
  <si>
    <t>19-GFKop-10</t>
  </si>
  <si>
    <t>12.02</t>
  </si>
  <si>
    <t>accumulative plane, aleuropelites with sand an Fe-Mn concretes, clay</t>
  </si>
  <si>
    <t>yes, boxcorer 1/40 (2)</t>
  </si>
  <si>
    <t>GNOM</t>
  </si>
  <si>
    <t>19-GFKop-9</t>
  </si>
  <si>
    <t>13.15</t>
  </si>
  <si>
    <t>19-GFKop-8</t>
  </si>
  <si>
    <t>coarse</t>
  </si>
  <si>
    <t xml:space="preserve"> sand and Fe-Mn concretes,small stones, debrices, some mud</t>
  </si>
  <si>
    <t>19-GFKop-6</t>
  </si>
  <si>
    <t>19-GFKop-7</t>
  </si>
  <si>
    <t>liqid silt, sand</t>
  </si>
  <si>
    <t>19-GFKop-5</t>
  </si>
  <si>
    <t>diverse-grain sand, concretes, some mud, macomas</t>
  </si>
  <si>
    <t>19-GFKop-4</t>
  </si>
  <si>
    <t>19-GFKop-3</t>
  </si>
  <si>
    <t>mud-coarse</t>
  </si>
  <si>
    <t>silt, sand, debrices, Fe-Mn concretes</t>
  </si>
  <si>
    <t>19-GFKop-1</t>
  </si>
  <si>
    <t>mud with H2S smell</t>
  </si>
  <si>
    <t>19-GFKop-2</t>
  </si>
  <si>
    <t>19-GFKop-11</t>
  </si>
  <si>
    <t>probe at 14.49</t>
  </si>
  <si>
    <t>photosynthetic pigments</t>
  </si>
  <si>
    <t>yes (Gos)</t>
  </si>
  <si>
    <t>yes, boxcorer 1/40, 2 samples (Gos)</t>
  </si>
  <si>
    <t>19-GFKop-12</t>
  </si>
  <si>
    <t>Dyb-1 (Dybowskoy cape)</t>
  </si>
  <si>
    <t>sand  with stones</t>
  </si>
  <si>
    <t>sand - 70, stones - 20, галька - 10, coverage by filamenthous algae - 70</t>
  </si>
  <si>
    <t>yes, scuba 1 stone - 142 sm^2</t>
  </si>
  <si>
    <t>yes, scuba 1 stone</t>
  </si>
  <si>
    <t>yes (sandy component)</t>
  </si>
  <si>
    <t>CANON</t>
  </si>
  <si>
    <t>ER55, PO18-5330</t>
  </si>
  <si>
    <t>19-GFKop-13</t>
  </si>
  <si>
    <t>Sisto Palkino</t>
  </si>
  <si>
    <t>stones and sand</t>
  </si>
  <si>
    <t>sorted coarse sands with debrices - 55, boulders -20. stones - 20, галька - 5</t>
  </si>
  <si>
    <t>yes, scuba 1 stone- 203 sm^2</t>
  </si>
  <si>
    <t>19-GFKopSP-1</t>
  </si>
  <si>
    <t xml:space="preserve"> 17.30</t>
  </si>
  <si>
    <t xml:space="preserve">deverse sand, boulders,  silt black </t>
  </si>
  <si>
    <t>sands with boulders -20, stones - 10, filamentous and Charophyte algae - 5, hydrophytes - 2, helophytes - 3</t>
  </si>
  <si>
    <t xml:space="preserve">yes (in the note it is 19-FGKpSP-1) sample 1 - sev stones - 302 sm^2, samole 2 - 3 stones - 6sm^29 </t>
  </si>
  <si>
    <t>NIKON</t>
  </si>
  <si>
    <t>19-GFKop-14</t>
  </si>
  <si>
    <t>OM18, 3k (Gos)</t>
  </si>
  <si>
    <t>probe at  18.14</t>
  </si>
  <si>
    <t xml:space="preserve">Fe-Mn,coarse sand, small debrices, </t>
  </si>
  <si>
    <t>19-GFKop-16</t>
  </si>
  <si>
    <t>Ustinsky cape (inner part), банка</t>
  </si>
  <si>
    <t>a lot of gobies</t>
  </si>
  <si>
    <t>coarse sand and stones</t>
  </si>
  <si>
    <t>boulders -50, coarse ssand - 50, stones are covered by polyps, barnacles, zebra, alive vegetation is absent</t>
  </si>
  <si>
    <t>yes, tube - D10</t>
  </si>
  <si>
    <t>yes, scuba 1 stone - 197 sm^2</t>
  </si>
  <si>
    <t>19-GFKop-17</t>
  </si>
  <si>
    <t>W-1</t>
  </si>
  <si>
    <t>stones - 90, sand - 10, coverage with algae and mats -90</t>
  </si>
  <si>
    <t>yes, scuba 3 stones</t>
  </si>
  <si>
    <t>in content of periphyton</t>
  </si>
  <si>
    <t>19-GFKop-18</t>
  </si>
  <si>
    <t>discharge canal 2 left bank, pontoons</t>
  </si>
  <si>
    <t>plastic</t>
  </si>
  <si>
    <t>yes, scuba 3 scratches 10X10 from the bottom of pontoones</t>
  </si>
  <si>
    <t>PO18-5330,ER55</t>
  </si>
  <si>
    <t>19-GFKop-19</t>
  </si>
  <si>
    <t>discharge canal 2 left bank, bottom</t>
  </si>
  <si>
    <t>heterogenous</t>
  </si>
  <si>
    <t>stones and shell debrices -90, patches of clay and coarse sand - 10</t>
  </si>
  <si>
    <t xml:space="preserve">yes, tube - D10, 2 samples </t>
  </si>
  <si>
    <t>19-GFKop-20</t>
  </si>
  <si>
    <t>discharge canal 2 right bank, bottom</t>
  </si>
  <si>
    <t xml:space="preserve">stones -20, shell debrices-30, щебень - 40, clays and sands - 10 </t>
  </si>
  <si>
    <t xml:space="preserve">yes, tube - D10, 1 sample </t>
  </si>
  <si>
    <t>yes, scuba 3 stone</t>
  </si>
  <si>
    <t>19-GFKop-21</t>
  </si>
  <si>
    <t>intake canal 2 right bank, bottom</t>
  </si>
  <si>
    <t>stones -10, shell debrices-10, щебень - 50, clays and coarse sands - 30</t>
  </si>
  <si>
    <t>yes, scuba 1 stones</t>
  </si>
  <si>
    <t>19-GFKop-22</t>
  </si>
  <si>
    <t xml:space="preserve">byou-1, створ между intake canals 2 and 1 </t>
  </si>
  <si>
    <t>plastic with coating</t>
  </si>
  <si>
    <t xml:space="preserve">yes, scuba 1 scratch 10X10 </t>
  </si>
  <si>
    <t>19-GFKop-23</t>
  </si>
  <si>
    <t xml:space="preserve">byou-2, створ между intake canals 1 and dscharge canal 1 </t>
  </si>
  <si>
    <t>19-GFKop-24</t>
  </si>
  <si>
    <t>discharge canal 1 left bank</t>
  </si>
  <si>
    <t>stones -10, shell debrices-10, щебень - 50, clays and coarse sands - 30, cover by macrophytes - 70</t>
  </si>
  <si>
    <t>19-GFKop-25</t>
  </si>
  <si>
    <t xml:space="preserve">byou-3, створ of dscharge canal 1 </t>
  </si>
  <si>
    <t>methal with oating</t>
  </si>
  <si>
    <t>19-GFKop-26</t>
  </si>
  <si>
    <t>Pike's Bay</t>
  </si>
  <si>
    <t>stones- 60, sand - 40</t>
  </si>
  <si>
    <t>19-GFKop-27</t>
  </si>
  <si>
    <t>C-3</t>
  </si>
  <si>
    <t>щебнистый песок ad stones</t>
  </si>
  <si>
    <t>sand -80, stones - 20</t>
  </si>
  <si>
    <t>19-GFKop-28</t>
  </si>
  <si>
    <t>intake canal 1 right bank, bottom, the same as seasonal</t>
  </si>
  <si>
    <t>sand -60, stones - 30, clay - 10</t>
  </si>
  <si>
    <t>19-GFKop-29</t>
  </si>
  <si>
    <t>LAES 1c.1</t>
  </si>
  <si>
    <t>stones, gravel, shalls, filamentous algae</t>
  </si>
  <si>
    <t>landing net</t>
  </si>
  <si>
    <t>LAES 1c.1, repeat</t>
  </si>
  <si>
    <t>19-GFKop-30</t>
  </si>
  <si>
    <t>LAES 1c.2</t>
  </si>
  <si>
    <t>sand, stones, filamentous algae</t>
  </si>
  <si>
    <t>19-GFSe-1</t>
  </si>
  <si>
    <t>19-GFSe-2</t>
  </si>
  <si>
    <t>algal mats, sadurias, macomas</t>
  </si>
  <si>
    <t>19-GFSe-3</t>
  </si>
  <si>
    <t>06.40</t>
  </si>
  <si>
    <t>coarse sorted diverse-grain sands</t>
  </si>
  <si>
    <t>19GFGrBay-1</t>
  </si>
  <si>
    <t>Grafskaja Bay</t>
  </si>
  <si>
    <t xml:space="preserve"> 20.00</t>
  </si>
  <si>
    <t>sand-stony with boulders and with  silt black</t>
  </si>
  <si>
    <t xml:space="preserve">sand- stony  - 80 to 20, filamentous algae, hydrophytes, helophytes </t>
  </si>
  <si>
    <t>depth of fish and benthos sampling</t>
  </si>
  <si>
    <t>Gravel, stones and boulders. Filamentous algae.</t>
  </si>
  <si>
    <t>yes, tube D10 (#1-gravel) and washing (#2-stones)</t>
  </si>
  <si>
    <t>beach-seine, 300m2</t>
  </si>
  <si>
    <t>yes (#1-gravel)</t>
  </si>
  <si>
    <t xml:space="preserve"> 16.25</t>
  </si>
  <si>
    <t>sand-stony with black silt with boulders</t>
  </si>
  <si>
    <t xml:space="preserve">filamentous algae - 2, hydrophytes - 1, helophytes - 3 </t>
  </si>
  <si>
    <t>19GFGrBay-2</t>
  </si>
  <si>
    <t>Grafskaja Bay cape</t>
  </si>
  <si>
    <t xml:space="preserve"> 17.20</t>
  </si>
  <si>
    <t>sand-stony  with boulders</t>
  </si>
  <si>
    <t xml:space="preserve">filamentous and Charophyte algae - 3, hydrophytes - 2, helophytes - 1 </t>
  </si>
  <si>
    <t>19-NevBBrP-1</t>
  </si>
  <si>
    <t>Bronka Port</t>
  </si>
  <si>
    <t xml:space="preserve"> 10.08</t>
  </si>
  <si>
    <t xml:space="preserve">sand-сlay with  boulders </t>
  </si>
  <si>
    <t xml:space="preserve">filamentous algae - 4, hydrophytes - 2, helophytes - 3, Elodea </t>
  </si>
  <si>
    <t>19-NevBBrP-2</t>
  </si>
  <si>
    <t>Bronka SWDam</t>
  </si>
  <si>
    <t>beach-seine, 540m2</t>
  </si>
  <si>
    <t>19-GFAl-1</t>
  </si>
  <si>
    <t>Alexandrovskaya Bay-3</t>
  </si>
  <si>
    <t>sand and sand+gravel 50/50. Filamentous algae.</t>
  </si>
  <si>
    <t>19-NevBOL-1</t>
  </si>
  <si>
    <t>Olgino-Lachta</t>
  </si>
  <si>
    <t xml:space="preserve"> sand+gravel near shoreline, outward - sand. Filamentous algae and scirpus.</t>
  </si>
  <si>
    <t>19-GFSmIz-1</t>
  </si>
  <si>
    <t>Malaja Izhora</t>
  </si>
  <si>
    <t xml:space="preserve"> 11.50</t>
  </si>
  <si>
    <t xml:space="preserve">sand with stony and boulders  </t>
  </si>
  <si>
    <t xml:space="preserve">filamentous algae - 1, hydrophytes - no, helophytes - 3 </t>
  </si>
  <si>
    <t>19-GFLm-1</t>
  </si>
  <si>
    <t>Limuzi</t>
  </si>
  <si>
    <t xml:space="preserve">  12.30</t>
  </si>
  <si>
    <t>pebble bottom with boulders and sund</t>
  </si>
  <si>
    <t xml:space="preserve">filamentous algae - rare, hydrophytes - 2, helophytes - 5 </t>
  </si>
  <si>
    <t>19-GFLeBe</t>
  </si>
  <si>
    <t>Lebyazh'ye</t>
  </si>
  <si>
    <t xml:space="preserve"> 13.30</t>
  </si>
  <si>
    <t>sand-gravel with stony  and boulders</t>
  </si>
  <si>
    <t>filamentous and Charophyte algae - 3, hydrophytes - rare, helophytes - rare</t>
  </si>
  <si>
    <t>19-GFShM</t>
  </si>
  <si>
    <t>Shepelevo lighthouse</t>
  </si>
  <si>
    <t xml:space="preserve"> 18.20</t>
  </si>
  <si>
    <t>gravel bottom with boulders</t>
  </si>
  <si>
    <t>bacterial-algal mats,  hydrophytes - rare, helophytes - 2</t>
  </si>
  <si>
    <t>19-GFNS2Va-6</t>
  </si>
  <si>
    <t>неровное дно? Mud</t>
  </si>
  <si>
    <t>PO18-5330</t>
  </si>
  <si>
    <t>19-GFNS2Va-5</t>
  </si>
  <si>
    <t>19-GFNS2Va-1</t>
  </si>
  <si>
    <t>aleuropelites</t>
  </si>
  <si>
    <t>yes, boxcorer 1/40X2</t>
  </si>
  <si>
    <t>19-GFNS2Va-2</t>
  </si>
  <si>
    <t>19-GFNS2Va-3</t>
  </si>
  <si>
    <t>15.15</t>
  </si>
  <si>
    <t>19-GFNS2Va-4</t>
  </si>
  <si>
    <t>aleuropelites and F-Mn cincetes</t>
  </si>
  <si>
    <t>19-GFLuDu-1</t>
  </si>
  <si>
    <t>a lot od ladocerans, ballast exchange area</t>
  </si>
  <si>
    <t>probe at 9.36</t>
  </si>
  <si>
    <t>стройка в разгаре</t>
  </si>
  <si>
    <t>yes, 7 m</t>
  </si>
  <si>
    <t>19-GFLuDu-2</t>
  </si>
  <si>
    <t>coarse sand with gravel</t>
  </si>
  <si>
    <t>19-GFLuDu-3</t>
  </si>
  <si>
    <t>too strange to be natural? Damping area?</t>
  </si>
  <si>
    <t>coarse-mud</t>
  </si>
  <si>
    <t>sands, gravel, Fe-Mn concretes, some clay</t>
  </si>
  <si>
    <t>19-GFLuDu-4</t>
  </si>
  <si>
    <t>19-GFLuW-1</t>
  </si>
  <si>
    <t>19-GFLuW-2</t>
  </si>
  <si>
    <t>sand with gravel, macomas</t>
  </si>
  <si>
    <t>19-GFLuW-3</t>
  </si>
  <si>
    <t>coarse on hard surface</t>
  </si>
  <si>
    <t>19-GFLuW-4</t>
  </si>
  <si>
    <t>simalr to 19-GFLuW-1</t>
  </si>
  <si>
    <t>19-GFLuW-5</t>
  </si>
  <si>
    <t>simalr to 19-GFLuW-3</t>
  </si>
  <si>
    <t>19-GFLuW-6</t>
  </si>
  <si>
    <t>19-GFLuW-7</t>
  </si>
  <si>
    <t>19-GFLuW-8</t>
  </si>
  <si>
    <t>19-GFLuW-9</t>
  </si>
  <si>
    <t>ship hull</t>
  </si>
  <si>
    <t>yes, scuba scratches</t>
  </si>
  <si>
    <t>19-GFLuW-10</t>
  </si>
  <si>
    <t>W-10</t>
  </si>
  <si>
    <t>11.41</t>
  </si>
  <si>
    <t>fine sand with silt</t>
  </si>
  <si>
    <t>19-GFLuW-11</t>
  </si>
  <si>
    <t>W-11</t>
  </si>
  <si>
    <t>11.51</t>
  </si>
  <si>
    <t>fine sand with signifcant contribution by silt</t>
  </si>
  <si>
    <t>19-GFLuW-12</t>
  </si>
  <si>
    <t>W-12</t>
  </si>
  <si>
    <t>12.05</t>
  </si>
  <si>
    <t>fine sand and green filamentous algae</t>
  </si>
  <si>
    <t>19-GFLuW-13</t>
  </si>
  <si>
    <t>W-13</t>
  </si>
  <si>
    <t>12.18</t>
  </si>
  <si>
    <t>19-GFLuW-14</t>
  </si>
  <si>
    <t>W-14</t>
  </si>
  <si>
    <t>12.24</t>
  </si>
  <si>
    <t>19-GFLuW-15</t>
  </si>
  <si>
    <t>W-15</t>
  </si>
  <si>
    <t>12.37</t>
  </si>
  <si>
    <t>19-GFLuW-16</t>
  </si>
  <si>
    <t>W-16</t>
  </si>
  <si>
    <t>15.05</t>
  </si>
  <si>
    <t>19-GFLuW-17</t>
  </si>
  <si>
    <t>W-17</t>
  </si>
  <si>
    <t>19-GFLuW-18</t>
  </si>
  <si>
    <t>W-18</t>
  </si>
  <si>
    <t>15.25</t>
  </si>
  <si>
    <t>19-GFLuW-19</t>
  </si>
  <si>
    <t>W-19</t>
  </si>
  <si>
    <t>yes, W19</t>
  </si>
  <si>
    <t>19-GFLuW-20</t>
  </si>
  <si>
    <t>W-20</t>
  </si>
  <si>
    <t>15.52</t>
  </si>
  <si>
    <t>boulders - 80, coarse sand -20, filamenthous algae -10</t>
  </si>
  <si>
    <t>scuba, frame 1/40</t>
  </si>
  <si>
    <t>yes, W20</t>
  </si>
  <si>
    <t>CANON: IMG_2036.jpg IMG_2037.JPG IMG_2038.jpg</t>
  </si>
  <si>
    <t>19-GFLuW-21</t>
  </si>
  <si>
    <t>W-21</t>
  </si>
  <si>
    <t>17.01</t>
  </si>
  <si>
    <t>rocks and boulders - 80, samll stones -10, samd -10, browm filamenthous-70</t>
  </si>
  <si>
    <t>scuba, sample 1 - 1 stome - 81,54 sm, sample 2 - 2 stones - totally 150,11 sm</t>
  </si>
  <si>
    <t>CANON: IMG_2041 IMG_2043 IMG_2044 IMG_2046</t>
  </si>
  <si>
    <t>19-GFLuDu-5</t>
  </si>
  <si>
    <t>W-22</t>
  </si>
  <si>
    <t>gray clay</t>
  </si>
  <si>
    <t>the same, repeat of July</t>
  </si>
  <si>
    <t>probe at 10.17</t>
  </si>
  <si>
    <t>the same</t>
  </si>
  <si>
    <t>19-GFLuDu-6</t>
  </si>
  <si>
    <t>W-23</t>
  </si>
  <si>
    <t>20.04</t>
  </si>
  <si>
    <t>boulders 90, sand -10,filamentous algae - 95, fucus - 5</t>
  </si>
  <si>
    <t>scuba, 1 stone - 176,91 sm</t>
  </si>
  <si>
    <t>sand with stonty substrates</t>
  </si>
  <si>
    <t>sand -70, stones with barnaclews overgrowth - 30, галька - 10</t>
  </si>
  <si>
    <t xml:space="preserve">no </t>
  </si>
  <si>
    <t>scuba, 1 stone - 191 sm</t>
  </si>
  <si>
    <t>within sample</t>
  </si>
  <si>
    <t>19-GFLuDu-7</t>
  </si>
  <si>
    <t>W-24</t>
  </si>
  <si>
    <t>boulders 50, sand -50, boulders are in barnackes and polyps</t>
  </si>
  <si>
    <t>scuba, 2 stone - 305,09 sm</t>
  </si>
  <si>
    <t>DSC00627 -DSC00632</t>
  </si>
  <si>
    <t>stont substrates with attched Fucus, also overgrowth with barnacles and polyps</t>
  </si>
  <si>
    <t>stones - 90, sand - 100, filamethous algae - 100, Fucus - 5</t>
  </si>
  <si>
    <t xml:space="preserve">scuba, 1 stone -177 sm^2 </t>
  </si>
  <si>
    <t>19-GFKopBa-1</t>
  </si>
  <si>
    <t>W-25</t>
  </si>
  <si>
    <t>"9.53</t>
  </si>
  <si>
    <t>technogenic - concrete</t>
  </si>
  <si>
    <t>horizins: 0=0,7 v - pure ; 0,7-1,4 - green filamentous algae; 1,4-2,2 brown filamentous algae; 2,2-6,1 - barbnacles, zebra mussels</t>
  </si>
  <si>
    <t>CANON: IMG_2053</t>
  </si>
  <si>
    <t>19-GFKopBa-2</t>
  </si>
  <si>
    <t>W-26</t>
  </si>
  <si>
    <t>overgrowth with green and "brown"  filamentous, barnacles</t>
  </si>
  <si>
    <t>CANON: IMG_2058</t>
  </si>
  <si>
    <t>19-GFNKopBa-1(1)</t>
  </si>
  <si>
    <t>the same as  19-GFKopBa-1</t>
  </si>
  <si>
    <t>overgrowth with green filamentous, barnacles, zebra mussels, very fragile, spoiled with oil products</t>
  </si>
  <si>
    <t>scuba, scratch 25X25</t>
  </si>
  <si>
    <t>within periphyton samples</t>
  </si>
  <si>
    <t>19-GFKopBa-1(2)</t>
  </si>
  <si>
    <t>horizon2</t>
  </si>
  <si>
    <t>19-GFKopBa-1(3)</t>
  </si>
  <si>
    <t>horizon3</t>
  </si>
  <si>
    <t>scuba, scratch 25X26</t>
  </si>
  <si>
    <t>19-GFKopBa-1(4)</t>
  </si>
  <si>
    <t>horizon4</t>
  </si>
  <si>
    <t>scuba, scratch 25X27</t>
  </si>
  <si>
    <t>probe 20.00</t>
  </si>
  <si>
    <t>medium dense sands on the bottom</t>
  </si>
  <si>
    <t>19-GFLuKop-1</t>
  </si>
  <si>
    <t>W-27</t>
  </si>
  <si>
    <t>boulders 100</t>
  </si>
  <si>
    <t>bpolyps, barnacles, zebra</t>
  </si>
  <si>
    <t>yes, scuba, 1 stone - 193,34 sm</t>
  </si>
  <si>
    <t>CANON: IMG_2062  IMG_2063 IMG_2065 -2067</t>
  </si>
  <si>
    <t>19-GFNbGa-1</t>
  </si>
  <si>
    <t>Gakkovo</t>
  </si>
  <si>
    <t>deverse samd, pebbles, boulders on grey clay</t>
  </si>
  <si>
    <t>sand- stony substrates - 50 to 50, filamentous and Charophyte algae - 5, hydrophytes - 2, helophytes - 3</t>
  </si>
  <si>
    <t>100 l</t>
  </si>
  <si>
    <t>yes, tube D10 sm</t>
  </si>
  <si>
    <t>yes, littoral survey, 1- 3 samples are stones - sample 2 - 2 stones - 118 sm^2, 2nd- algae</t>
  </si>
  <si>
    <t>19-GFNbGa-2</t>
  </si>
  <si>
    <t>probe at 18.51</t>
  </si>
  <si>
    <t>stony-sandy bottom</t>
  </si>
  <si>
    <r>
      <rPr>
        <sz val="8"/>
        <color theme="1"/>
        <rFont val="Arial"/>
        <charset val="204"/>
      </rPr>
      <t xml:space="preserve">boulders 60, sand 20, pebbles 20 with algal growth, </t>
    </r>
    <r>
      <rPr>
        <i/>
        <sz val="8"/>
        <color indexed="8"/>
        <rFont val="Arial"/>
        <charset val="204"/>
      </rPr>
      <t xml:space="preserve">Electra baltica </t>
    </r>
    <r>
      <rPr>
        <sz val="8"/>
        <color theme="1"/>
        <rFont val="Arial"/>
        <charset val="204"/>
      </rPr>
      <t>is present, barnacles, polyps are comon, zebras are rare</t>
    </r>
  </si>
  <si>
    <t>7 m</t>
  </si>
  <si>
    <t xml:space="preserve">yes, boxcorer </t>
  </si>
  <si>
    <t>yes, scuba,sample 1 -one stone - 150 sm^2, sample 1 - one stone -81 sm^</t>
  </si>
  <si>
    <t>in samples</t>
  </si>
  <si>
    <t>yes(sand)</t>
  </si>
  <si>
    <t>19-GFNbGa-3</t>
  </si>
  <si>
    <t>exposed to western winds</t>
  </si>
  <si>
    <t>coarse samds with stones</t>
  </si>
  <si>
    <r>
      <rPr>
        <sz val="8"/>
        <color theme="1"/>
        <rFont val="Arial"/>
        <charset val="204"/>
      </rPr>
      <t xml:space="preserve">boulders and stones 20, pebbles 40, sand 40 cladophora 20%, </t>
    </r>
    <r>
      <rPr>
        <i/>
        <sz val="8"/>
        <color indexed="8"/>
        <rFont val="Arial"/>
        <charset val="204"/>
      </rPr>
      <t>Electra baltica</t>
    </r>
    <r>
      <rPr>
        <sz val="8"/>
        <color theme="1"/>
        <rFont val="Arial"/>
        <charset val="204"/>
      </rPr>
      <t xml:space="preserve"> is present, gobies too</t>
    </r>
  </si>
  <si>
    <t xml:space="preserve">yes, scuba, two samples, 1 stone - 175 sm^1 and 1 scratch from boulder, 1/40 m </t>
  </si>
  <si>
    <t>19- GFNbKu-1</t>
  </si>
  <si>
    <t>Kusemkino</t>
  </si>
  <si>
    <t>sands with some stont substrates</t>
  </si>
  <si>
    <t>щебнистые пески с растительным (водоролсевым) детритом</t>
  </si>
  <si>
    <t>yes, boxcorer, 1/40</t>
  </si>
  <si>
    <t>19- GFNbKu-2</t>
  </si>
  <si>
    <t>19- GFNbKu-3</t>
  </si>
  <si>
    <t>time 1</t>
  </si>
  <si>
    <t>probe at 8.30</t>
  </si>
  <si>
    <t>fine wahed sand</t>
  </si>
  <si>
    <t>yes, boxcorer, 1/40, two (Gos)</t>
  </si>
  <si>
    <t>time 2</t>
  </si>
  <si>
    <t>probe at 9.23</t>
  </si>
  <si>
    <t>time 3</t>
  </si>
  <si>
    <t>probe at 10.26</t>
  </si>
  <si>
    <t>time 4</t>
  </si>
  <si>
    <t>probe at 11.26</t>
  </si>
  <si>
    <t>time 5</t>
  </si>
  <si>
    <t>probe at 12.20</t>
  </si>
  <si>
    <t>19-GFLuVy-1</t>
  </si>
  <si>
    <t>Vybje coast</t>
  </si>
  <si>
    <t>sorted medium to fine sand</t>
  </si>
  <si>
    <t>filamentous algae - rare, helophytes reeds - rare, hydrophytes - no</t>
  </si>
  <si>
    <t>yes, tube D10</t>
  </si>
  <si>
    <t>yest, littoral suvey, algae</t>
  </si>
  <si>
    <t>19-GFLuVy-2</t>
  </si>
  <si>
    <t>sand and stones</t>
  </si>
  <si>
    <t>sand-95, stones -5</t>
  </si>
  <si>
    <t>yes, tube D11</t>
  </si>
  <si>
    <t>yes, littoral syrvey 3 stones</t>
  </si>
  <si>
    <t>19-GFLuDu-5a</t>
  </si>
  <si>
    <t>sand - 80, stones - 20, ulva an cladophora - 30. garbage and techogenic mud</t>
  </si>
  <si>
    <t>ulva and cladophora - 5, helophytes reeds - no, hydrophytes - rare floating stems</t>
  </si>
  <si>
    <t>littoral survey, stones, several samples depending on filanetous overgrowth, sample 1 - 3 stones - 312 sm^2? Sample 2 - 3 stones - - 201 sm^2</t>
  </si>
  <si>
    <t>19-GFKopBe-1</t>
  </si>
  <si>
    <t>wild beach</t>
  </si>
  <si>
    <t>pebble bottom with boulders, very clean water, algal overgrowth of boulders, fucus</t>
  </si>
  <si>
    <t>very clean water, algal overgrowth of boulders, fucus - rare floating stems, helophytes and hydrophytes - no</t>
  </si>
  <si>
    <t>50 l</t>
  </si>
  <si>
    <t>littoral survey, stones, several samples depending on filanetous overgrowth</t>
  </si>
  <si>
    <t>19-GFNS2Nb-1</t>
  </si>
  <si>
    <t>probe at 13.25</t>
  </si>
  <si>
    <t>very fine and solid sand</t>
  </si>
  <si>
    <t>19-GFNS2Nb-2</t>
  </si>
  <si>
    <t>probe at 13.36</t>
  </si>
  <si>
    <t>fine washed sand</t>
  </si>
  <si>
    <t>19-GFNS2Nb-3</t>
  </si>
  <si>
    <t>probe at 13.44</t>
  </si>
  <si>
    <t>19-GFNS2Nb-4</t>
  </si>
  <si>
    <t>probe at 14.05</t>
  </si>
  <si>
    <t>5m</t>
  </si>
  <si>
    <t>19-GFNS2Nb-5</t>
  </si>
  <si>
    <t>probe at 14.20</t>
  </si>
  <si>
    <t>fine sand. On the surfece of water milky-coloured fragments of film</t>
  </si>
  <si>
    <t>19-GFNS2Nb-6</t>
  </si>
  <si>
    <t>probe at 14.32</t>
  </si>
  <si>
    <t>19-GFNS2Nb-7</t>
  </si>
  <si>
    <t>probe at 15.30</t>
  </si>
  <si>
    <t>silt</t>
  </si>
  <si>
    <t>19-GFNS2Nb-8</t>
  </si>
  <si>
    <t>probe at 15.52</t>
  </si>
  <si>
    <t>black silt with oxygenated layers, a lot of Macomas</t>
  </si>
  <si>
    <t>19-GFNS2Nb-9</t>
  </si>
  <si>
    <t>probe at 16.21</t>
  </si>
  <si>
    <t>black silt with H2S smell</t>
  </si>
  <si>
    <t>yes (Gos, 30 m)</t>
  </si>
  <si>
    <t>19-GFKur-1</t>
  </si>
  <si>
    <t>probe at 9.50</t>
  </si>
  <si>
    <t>sand with small stones</t>
  </si>
  <si>
    <t>reef</t>
  </si>
  <si>
    <t>9m</t>
  </si>
  <si>
    <t>19-GFKur-2</t>
  </si>
  <si>
    <t>sand with stones, все окатанное</t>
  </si>
  <si>
    <t>19-GFKur-3</t>
  </si>
  <si>
    <t>stones 90, галька 10, gobies (Proterorhynus)</t>
  </si>
  <si>
    <t>yes, scuba, 1 stone - 167 sm^2</t>
  </si>
  <si>
    <t>19-GFKur-4</t>
  </si>
  <si>
    <t>probe at 11.07</t>
  </si>
  <si>
    <t>утоплен батометр</t>
  </si>
  <si>
    <t>anoxyc silts with smell</t>
  </si>
  <si>
    <t>локальная застойная яма</t>
  </si>
  <si>
    <t>yes, #2, GosNIORH</t>
  </si>
  <si>
    <t>yes 35m, angle 40</t>
  </si>
  <si>
    <t>19-GFKur-5</t>
  </si>
  <si>
    <t>19-GFKur-6</t>
  </si>
  <si>
    <t>19-GFKur-7</t>
  </si>
  <si>
    <t>sand isvery solid - 95, stones 5, sand iv densely inhabited by macomas</t>
  </si>
  <si>
    <t>failed (solid sand)</t>
  </si>
  <si>
    <t>scuba, 1 sample - 137 sm^2</t>
  </si>
  <si>
    <t>yes (by diver)</t>
  </si>
  <si>
    <t>19-GFKur-8</t>
  </si>
  <si>
    <t xml:space="preserve">patchy distribution - sand - 50, stones - 50. in patches - stones - 100 and sand - 100. sand is inhabited by macoma  (co 40 ind per m), when macona are digged uot numerous curious cobies cone to look </t>
  </si>
  <si>
    <t>yes, scuba 1 stone - 82 sm^2</t>
  </si>
  <si>
    <t>19-GFKur-9</t>
  </si>
  <si>
    <t xml:space="preserve">sand small  stones </t>
  </si>
  <si>
    <t>19-GFKur-10</t>
  </si>
  <si>
    <t>surface is plane, silt is dense, stones are rare, mysids are numerous</t>
  </si>
  <si>
    <t>scuba, 1 stone - 72 sm^2</t>
  </si>
  <si>
    <t>19-GFLuUl-1</t>
  </si>
  <si>
    <t>Ust-Luga Seaport</t>
  </si>
  <si>
    <t>probe at 11.00</t>
  </si>
  <si>
    <t>clayed silt and sand</t>
  </si>
  <si>
    <t>yes (Gos) _ 1 sample L11 m</t>
  </si>
  <si>
    <t>19-GFLuOut-1</t>
  </si>
  <si>
    <t>Between Luga and Kipora Bay, also OM15</t>
  </si>
  <si>
    <t>probe at 13.20</t>
  </si>
  <si>
    <t xml:space="preserve">silt </t>
  </si>
  <si>
    <t>np</t>
  </si>
  <si>
    <t>19-GFSwd-1</t>
  </si>
  <si>
    <t>Swd-shallow water district</t>
  </si>
  <si>
    <t>probe at 9.30</t>
  </si>
  <si>
    <t>clayed silt</t>
  </si>
  <si>
    <t>19-GFSwd-2</t>
  </si>
  <si>
    <t>probe at 10.25</t>
  </si>
  <si>
    <t>19-GFNS1Po-1</t>
  </si>
  <si>
    <t>Portovaya Bay</t>
  </si>
  <si>
    <t>clayed sand with artificial stone ridge</t>
  </si>
  <si>
    <t>каменная отсыпка трубы на песчаном основании, отсыпка из гальки и щебня</t>
  </si>
  <si>
    <t>scuba, гряда верх проба1 - 2 камня -91 см, прба 3 - 1 камень - 82 см; гряда - низ - проба 1 - 1 камень - 108 см; отсыпка - проба 1 - 1 камень - 58 см; гряда низ - проба 2 -67 см, гряда низ, проба 3 - 1 камень - 93 см2,</t>
  </si>
  <si>
    <t>not CANON</t>
  </si>
  <si>
    <t>19-GFNS1Po-2</t>
  </si>
  <si>
    <t>Portovaya Bay, выход трубы из насыпи первый или регулярный</t>
  </si>
  <si>
    <t>pipe and stones</t>
  </si>
  <si>
    <t>выход трубы из каменной отсыпки, труба на песке, песок с читаемыми знаками ряби, под трубой набился водоролсевый детрит</t>
  </si>
  <si>
    <t xml:space="preserve">scuba, 3 stones - отсыпка, проьа 1 - 1 камень - 50 см, там же проба 2 - 1 камень - 43 см, там же проба 3 - 1 камень - 96 см, 3 scratches 1/40 </t>
  </si>
  <si>
    <t>19-GFVb-10</t>
  </si>
  <si>
    <t>Vyborg polygon near Kiperort, Pohjakivi</t>
  </si>
  <si>
    <t>stones - 100%</t>
  </si>
  <si>
    <t>scuba, проба 1 - 1 камень - 114 см, проба 2 - 1 камень - 58 см, проба - 3 - 1 камень - 86 см6 stones</t>
  </si>
  <si>
    <t>все то же, н у подножия морены</t>
  </si>
  <si>
    <t xml:space="preserve">scuba? Проба 1 ЖМК и их остатки в бурой жиже- около 50 см, проба 2 - 1 камень - 56 см, роба 3 - 1 камень - 131 см </t>
  </si>
  <si>
    <t>19-GFErB-1</t>
  </si>
  <si>
    <t>Ermilovskaya bay</t>
  </si>
  <si>
    <t>stones near shoreline, outward - sand and sand+gravel 50/50. Filamentous algae.</t>
  </si>
  <si>
    <t>beach-seine, 360m2</t>
  </si>
  <si>
    <t>19-GFCaFlo-1</t>
  </si>
  <si>
    <t>Cape Flotskiy</t>
  </si>
  <si>
    <t>sand+stones+boulders. filamentous algae.</t>
  </si>
  <si>
    <t>19-GFNevBPet-1</t>
  </si>
  <si>
    <t>Petrodvorets-2</t>
  </si>
  <si>
    <t>sand+stones near shoreline, outward - sand. potamogeton, scirpus, filamentous algae.</t>
  </si>
  <si>
    <t>beach-seine, 480m2</t>
  </si>
  <si>
    <t>19-GF-21</t>
  </si>
  <si>
    <t>Resort district of SPb, observed in 2004-2008, 2014</t>
  </si>
  <si>
    <t>5.00</t>
  </si>
  <si>
    <t>accumilative plaine aleuropelites</t>
  </si>
  <si>
    <t>yes, 0-14 m</t>
  </si>
  <si>
    <t>yes, L=24m</t>
  </si>
  <si>
    <t>19-GF-20</t>
  </si>
  <si>
    <t>Resort district of SPb, observed in 2004-2008, 2015</t>
  </si>
  <si>
    <t>6.30</t>
  </si>
  <si>
    <t>yes, 0-12 m</t>
  </si>
  <si>
    <t>yes, L=20m</t>
  </si>
  <si>
    <t>19-GF7(7)</t>
  </si>
  <si>
    <t>Resort district of SPb, observed in 2004-2008, 2016</t>
  </si>
  <si>
    <t>7</t>
  </si>
  <si>
    <t>sand with boulders</t>
  </si>
  <si>
    <t>terrace</t>
  </si>
  <si>
    <t>yes, 0-7m</t>
  </si>
  <si>
    <t>yes, L=12m</t>
  </si>
  <si>
    <t>19-GF-19</t>
  </si>
  <si>
    <t>Resort district of SPb, observed in 2004-2008, 2017</t>
  </si>
  <si>
    <t>mud with heterogenous sand, riples</t>
  </si>
  <si>
    <t>yes, 0-9m</t>
  </si>
  <si>
    <t>yes, L=16m</t>
  </si>
  <si>
    <t>19-GFKom-1</t>
  </si>
  <si>
    <t>Resort district of SPb, new, the Repini polygon</t>
  </si>
  <si>
    <t>7.45</t>
  </si>
  <si>
    <t>fine sand with some mud and clay, ripples filled with dethrit</t>
  </si>
  <si>
    <t>19-GFKom-2</t>
  </si>
  <si>
    <t>8.30</t>
  </si>
  <si>
    <t>diverse sorted sands with ripples, dethrit</t>
  </si>
  <si>
    <t>19-GFKom-3</t>
  </si>
  <si>
    <t>9.20</t>
  </si>
  <si>
    <t>19-GFKom-4</t>
  </si>
  <si>
    <t>diverse bottom relief,sand, dethrit, probably algae</t>
  </si>
  <si>
    <t>yes, 0-4m taken because of cyanoprocaryotes</t>
  </si>
  <si>
    <t>19-GFKom-5</t>
  </si>
  <si>
    <t>diverse bottom relirf, divrse sand with dethrit,ripples with @wide@ step</t>
  </si>
  <si>
    <t>19-GFKom-6</t>
  </si>
  <si>
    <t>coarse sand with spots of mud, seems there are suspended cyanoprocaryotes</t>
  </si>
  <si>
    <t>19-GFKom-7</t>
  </si>
  <si>
    <t>11.20</t>
  </si>
  <si>
    <t>medium sand a lot of ssprnded organic material, the  botton is flat</t>
  </si>
  <si>
    <t>19-GFKom-8</t>
  </si>
  <si>
    <t>11.40</t>
  </si>
  <si>
    <t>diverse sand, there is current, some suspended matter is present, debrices</t>
  </si>
  <si>
    <t>19-GFKom-9</t>
  </si>
  <si>
    <t>very fine sand, the bottom is relatively flat, some algal detrit is present</t>
  </si>
  <si>
    <t>19-GFKom-10</t>
  </si>
  <si>
    <t>diverse sands</t>
  </si>
  <si>
    <t>19-GFUlNGt</t>
  </si>
  <si>
    <t>Ust-Luga seaport, terminal Novaya Gavan', Vistino</t>
  </si>
  <si>
    <t>boulders and clay</t>
  </si>
  <si>
    <t>harbor area with inicially clay-sand-gravel bottom with added boulders</t>
  </si>
  <si>
    <t>yes, surface</t>
  </si>
  <si>
    <t>yes, 100L</t>
  </si>
  <si>
    <t>yes, scratch 10X10, 2 samples</t>
  </si>
  <si>
    <t>yes, one of scratch</t>
  </si>
  <si>
    <t>№</t>
  </si>
  <si>
    <t>x</t>
  </si>
  <si>
    <t>y</t>
  </si>
  <si>
    <t>рН пов</t>
  </si>
  <si>
    <t>рН прид</t>
  </si>
  <si>
    <t xml:space="preserve">Еh пов </t>
  </si>
  <si>
    <t>Eh прид</t>
  </si>
  <si>
    <t>T грунт</t>
  </si>
  <si>
    <t>pH грунт</t>
  </si>
  <si>
    <t>other</t>
  </si>
  <si>
    <t>21-GFLuNa-1</t>
  </si>
  <si>
    <t>current from the Sea to the Lake</t>
  </si>
  <si>
    <t>L=9m</t>
  </si>
  <si>
    <t>photo</t>
  </si>
  <si>
    <t>21-GFVybRi-1</t>
  </si>
  <si>
    <t>current fom the Lake to the sea slow</t>
  </si>
  <si>
    <t>very high concentration of turf in water</t>
  </si>
  <si>
    <t>extra high concentration of turf in water with visible particles</t>
  </si>
  <si>
    <t>current from the Sea to the Lake very strong</t>
  </si>
  <si>
    <t xml:space="preserve">water is more clear, slow current from the sea </t>
  </si>
  <si>
    <t>two-tie current</t>
  </si>
  <si>
    <t>relatively still water</t>
  </si>
  <si>
    <t>current from the Lake to the Sea, moderate</t>
  </si>
  <si>
    <t>microbiology</t>
  </si>
  <si>
    <t>low water</t>
  </si>
  <si>
    <t>21-Sp-1</t>
  </si>
  <si>
    <t>bath nearby spring</t>
  </si>
  <si>
    <t>21-GFLuRi-1</t>
  </si>
  <si>
    <t>21GFKOSb-1</t>
  </si>
  <si>
    <t>burried shells of R.cuneta 1+</t>
  </si>
  <si>
    <t>L=6m</t>
  </si>
  <si>
    <t>current from the Lake to the Sea, strong</t>
  </si>
  <si>
    <t>strong wind, current from the Lake to the Sea</t>
  </si>
  <si>
    <t>very low water, shell of petrol, no visible benthos</t>
  </si>
  <si>
    <t>very high water, curent from the Lake to the Sea very strong in surface level</t>
  </si>
  <si>
    <t>very high level, strong current to the Sea</t>
  </si>
  <si>
    <t>21-GFLuNa-2</t>
  </si>
  <si>
    <t>промытый разнозернистый песок со следами гипоксии растительным и животным детритом</t>
  </si>
  <si>
    <t>surf</t>
  </si>
  <si>
    <t>boxcorer 0,025 m2</t>
  </si>
  <si>
    <t>boxcorer 1/40</t>
  </si>
  <si>
    <t>21-GFLuNa-3</t>
  </si>
  <si>
    <t>на камнях балянусы и кордилофора</t>
  </si>
  <si>
    <t>щебень с песком</t>
  </si>
  <si>
    <t>21-GFLuRi-5</t>
  </si>
  <si>
    <t>песок средней зернистости с наилком</t>
  </si>
  <si>
    <t>прошлогодняя ночевка</t>
  </si>
  <si>
    <t>0;1;2;3;4;5</t>
  </si>
  <si>
    <t>4 м, диаметр 22 см</t>
  </si>
  <si>
    <t>21-GFLuRi-6</t>
  </si>
  <si>
    <t>мелкозернистый промытый песок</t>
  </si>
  <si>
    <t>5 м, диаметр 22 см</t>
  </si>
  <si>
    <t>21-GFLuzRi-1</t>
  </si>
  <si>
    <t>мелкозарнистый песок</t>
  </si>
  <si>
    <t>макрофиты - N. candida, N. Lutea</t>
  </si>
  <si>
    <t>100л</t>
  </si>
  <si>
    <t>21-GFLuzRi-2</t>
  </si>
  <si>
    <t>то же</t>
  </si>
  <si>
    <t>21-GFLuRi-7</t>
  </si>
  <si>
    <t>плотный мелкозернистый песок</t>
  </si>
  <si>
    <t>вблизи порта, фарватер</t>
  </si>
  <si>
    <t>21-GFVybRi-3</t>
  </si>
  <si>
    <t>высокая цветность воды, рыба плавает поверху, много колюшек с признаками грибковой инфекции</t>
  </si>
  <si>
    <t>мелкозернистый песок с наилком и запахом сероводорода</t>
  </si>
  <si>
    <t>русло с прирежной растительностью на стеблях которой много млллюсков</t>
  </si>
  <si>
    <t>1,5 м, диаметр 22 см</t>
  </si>
  <si>
    <t>21-GFVybRi43</t>
  </si>
  <si>
    <t>много личинок гетеротопных насекомых</t>
  </si>
  <si>
    <t>ил с остатками растительности</t>
  </si>
  <si>
    <t>21-GFKhaRi-1</t>
  </si>
  <si>
    <t>окрестности угольного порта</t>
  </si>
  <si>
    <t xml:space="preserve">крупнозернистый песок и глинистые фрагменты, первоначально принятые за щебень </t>
  </si>
  <si>
    <t>100 л</t>
  </si>
  <si>
    <t>21-GFKhaRi-2</t>
  </si>
  <si>
    <t>вблизи скоротсной автодороги</t>
  </si>
  <si>
    <t>ил, растительный детрит, песок</t>
  </si>
  <si>
    <t>зона седиментации осадков, берега поросшие ивгяком</t>
  </si>
  <si>
    <t>Доп. Сведения</t>
  </si>
  <si>
    <t>22-GFLuNa-1</t>
  </si>
  <si>
    <t>низкий уровень</t>
  </si>
  <si>
    <t>среднее нагонное течение</t>
  </si>
  <si>
    <t>22GFVybRi-1</t>
  </si>
  <si>
    <t>L=1,5m</t>
  </si>
  <si>
    <t>очень высокий уровень воды, отсутсвуют тростники и фитоперифитон</t>
  </si>
  <si>
    <t>сильное сбросное, возможно\. ветровое течение</t>
  </si>
  <si>
    <t>L=3m</t>
  </si>
  <si>
    <t>высокий уровень воды</t>
  </si>
  <si>
    <t>высокий уровень воды, слабое развиие фитобентоса и полупогруженной растительности для этого времени года</t>
  </si>
  <si>
    <t>течение отсутствует</t>
  </si>
  <si>
    <t>VybRi-1</t>
  </si>
  <si>
    <t>высокий уровень воды, много пресноводных моллюсков, много молоди рыб</t>
  </si>
  <si>
    <t>Логи, пляж</t>
  </si>
  <si>
    <t>утрачена</t>
  </si>
  <si>
    <t>10 м</t>
  </si>
  <si>
    <t>с 28.07 использована малая сеть</t>
  </si>
  <si>
    <t>сбросное течение, слабое</t>
  </si>
  <si>
    <t>сбросное течение</t>
  </si>
  <si>
    <t>SP-1 купель</t>
  </si>
  <si>
    <t>бактериопланктон</t>
  </si>
  <si>
    <t>dpukzyenm yf ghj,s</t>
  </si>
  <si>
    <t>22GFLuRi-1</t>
  </si>
  <si>
    <t>по шагам</t>
  </si>
  <si>
    <t>7, Сосновый Бор, пляж</t>
  </si>
  <si>
    <t>много рангии, размер существенно меньше, чем в каналах</t>
  </si>
  <si>
    <t>10м, протяжка вручную по шагам</t>
  </si>
  <si>
    <t>никогда так чисто здесь не было</t>
  </si>
  <si>
    <t>течение из залива реднее</t>
  </si>
  <si>
    <t>бактериопланктог</t>
  </si>
  <si>
    <t>сброс-2 л.б.</t>
  </si>
  <si>
    <t>щебень, глина</t>
  </si>
  <si>
    <t>сильное сбросное течение</t>
  </si>
  <si>
    <t>труба D=10 cm</t>
  </si>
  <si>
    <t>камень 14Х17 см</t>
  </si>
  <si>
    <t>R. cuneata - массово</t>
  </si>
  <si>
    <t>сброс-2 п.б.</t>
  </si>
  <si>
    <t>расширена зона садков, следы заморных явлений на дне</t>
  </si>
  <si>
    <t>соскоб 10Х10 см</t>
  </si>
  <si>
    <t>R. cuneata - массово, сеголетки отсутсвют, есть только крупные особи</t>
  </si>
  <si>
    <t>вток-2 л.б.</t>
  </si>
  <si>
    <t>камни,щебень, глина, включая окаменевшую</t>
  </si>
  <si>
    <t>2 камня 20Х15 и 12Х10 см</t>
  </si>
  <si>
    <t>вток-2 п.б.</t>
  </si>
  <si>
    <t>щебень 10%, глина 90%, включая окаменевшую</t>
  </si>
  <si>
    <t>3 камня9Х7 и 12Х10, 12Х9, 13Х7 см</t>
  </si>
  <si>
    <t xml:space="preserve">сброс-1 </t>
  </si>
  <si>
    <t>стоячая вода, на дне слой ила около 10 см (ранеекаеал был подобен сбросу 2), в воде много мелких иловых частиц, все чёрное</t>
  </si>
  <si>
    <t>ил,  изредка камни</t>
  </si>
  <si>
    <t>камень 9Х19 см</t>
  </si>
  <si>
    <t>безжтизненно</t>
  </si>
  <si>
    <t>вток-1 стоянка</t>
  </si>
  <si>
    <t>очень слабый проток, практически стояцая вода</t>
  </si>
  <si>
    <t>камни, щебень, глина</t>
  </si>
  <si>
    <t>3 камня 10Х12 и 10Х10, 19Х21 см</t>
  </si>
  <si>
    <t>обрастатлей нет, рангии относительно мало</t>
  </si>
  <si>
    <t>большие косяки салаки, идущей на нерест в озеро</t>
  </si>
  <si>
    <t xml:space="preserve">течение в море, сила течения снижена из-за биомассы рыб </t>
  </si>
  <si>
    <t>течение в море</t>
  </si>
  <si>
    <t>прочие водотоки покрыты ьдом, протока чистая даже без припоя</t>
  </si>
  <si>
    <t>примерно одинаковые значения солености с Копорской Губой</t>
  </si>
  <si>
    <t>Kolgompya cape</t>
  </si>
  <si>
    <t>песок 60%, валуны - 20%, камни - 20%</t>
  </si>
  <si>
    <t>пов.</t>
  </si>
  <si>
    <t>stone - 13x9 sm</t>
  </si>
  <si>
    <t>fine grained sand with debrices</t>
  </si>
  <si>
    <t>147 (1)</t>
  </si>
  <si>
    <t>clays and boulders</t>
  </si>
  <si>
    <t>2 samples (1,2)  Scratch 10x10</t>
  </si>
  <si>
    <t>147 (2)</t>
  </si>
  <si>
    <t>Rangia</t>
  </si>
  <si>
    <t>2 samples (3,4)</t>
  </si>
  <si>
    <t>moraine ridge</t>
  </si>
  <si>
    <t>100 sony bottom from rubbles till boulders</t>
  </si>
  <si>
    <t>scratch 10x10,  Stone</t>
  </si>
  <si>
    <t>fine grained, washed, densy sand</t>
  </si>
  <si>
    <t>rubbles</t>
  </si>
  <si>
    <t>no samples</t>
  </si>
  <si>
    <t>fine grained washed sand</t>
  </si>
  <si>
    <t>hard clays!, N. melanostomus</t>
  </si>
  <si>
    <t>90 stones from rubbles to large stones -90%, sand, clay basement</t>
  </si>
  <si>
    <t>stone 7x5 sm</t>
  </si>
  <si>
    <t>Rangia in sand</t>
  </si>
  <si>
    <t>boulders 3% 50% clays 47% sand</t>
  </si>
  <si>
    <t>sample 1 boxcorer - clay, sample 2 - boxcorer sand,</t>
  </si>
  <si>
    <t xml:space="preserve"> sample 3 - scratch 10x10, sample 4 stone 11x7</t>
  </si>
  <si>
    <t>154 (1)</t>
  </si>
  <si>
    <t>gravelly calys, 2% boulders</t>
  </si>
  <si>
    <t xml:space="preserve">sample 1 boxcorer </t>
  </si>
  <si>
    <t>154 (2)</t>
  </si>
  <si>
    <t>samples 2 and 3</t>
  </si>
  <si>
    <t>21-GFLuzRi-3</t>
  </si>
  <si>
    <t>estuarine bar</t>
  </si>
  <si>
    <t>fine grained sand</t>
  </si>
  <si>
    <t>estuarine bar and spit</t>
  </si>
  <si>
    <t>21-GFLuzRi-4</t>
  </si>
  <si>
    <t>phytobenthos</t>
  </si>
  <si>
    <t>21-GFLuRi-8</t>
  </si>
  <si>
    <t>siene beach</t>
  </si>
  <si>
    <t>21-GFVybRi-6</t>
  </si>
  <si>
    <t>Marenz., Rangia</t>
  </si>
  <si>
    <t>100l</t>
  </si>
  <si>
    <t xml:space="preserve"> two samples, boxcorer 1/40</t>
  </si>
  <si>
    <t>21-GFVybRi-7</t>
  </si>
  <si>
    <t>21-GFLuLu-1</t>
  </si>
  <si>
    <t>Rangia, Dreaissena Macoma</t>
  </si>
  <si>
    <t>diversegravelly  sand, 50% covered with submerged vegetation with settled juveniled of dreissenids</t>
  </si>
  <si>
    <t>21-GFLuLu-2</t>
  </si>
  <si>
    <t>10% boulders, 80 fine grained sand</t>
  </si>
  <si>
    <t>boxcorer 1/40 scratch 10x10</t>
  </si>
  <si>
    <t>21-GFLiLi-1</t>
  </si>
  <si>
    <t>5% boulders, 95% fine grained sand</t>
  </si>
  <si>
    <t>21-GFLuNa-4</t>
  </si>
  <si>
    <t>close to the stream and between small islands</t>
  </si>
  <si>
    <t>diverse sand, 5% boulders</t>
  </si>
  <si>
    <t>diverse washed sand</t>
  </si>
  <si>
    <t>boulders with bladder wrack</t>
  </si>
  <si>
    <t>diverse sand with boulders</t>
  </si>
  <si>
    <t>A45_rep</t>
  </si>
  <si>
    <t>diverse sands, rare boulders, some vegetation</t>
  </si>
  <si>
    <t>sand, rare boulders</t>
  </si>
  <si>
    <t>fine grained sand with some dethritus</t>
  </si>
  <si>
    <t>nearby NS-2, ichthiology</t>
  </si>
  <si>
    <t>fine grained pure sand with ripples</t>
  </si>
  <si>
    <t>patchy bottom 95% stony</t>
  </si>
  <si>
    <t>sample 2 stone 12x6, sample 3 scratch 10x10</t>
  </si>
  <si>
    <t>100% stony bottom</t>
  </si>
  <si>
    <t>sample 1 - boxcorer with small diverse stones; Sample 2 stone 17x12</t>
  </si>
  <si>
    <t>sample 1 stone 18x14, sample 2 scratc 10x10</t>
  </si>
  <si>
    <t>3% boulders, 97 fine grained sand</t>
  </si>
  <si>
    <t>50% diverse sorted sands , 50% stones and boulders</t>
  </si>
  <si>
    <t>Kol-1</t>
  </si>
  <si>
    <t>100% stones on clayer basement</t>
  </si>
  <si>
    <t>stone 13x9? Scratch 10x10</t>
  </si>
  <si>
    <t>Kol-2</t>
  </si>
  <si>
    <t>dried brook's mouth, 20% boulders, 80  fine grained sand</t>
  </si>
  <si>
    <t>Kol-4</t>
  </si>
  <si>
    <t>fine grained sand - 90%, boulders - 10%</t>
  </si>
  <si>
    <t>surface</t>
  </si>
  <si>
    <t>Kol-3</t>
  </si>
  <si>
    <t>fine grained sand with some fluff</t>
  </si>
  <si>
    <t>B-1_rep</t>
  </si>
  <si>
    <t>silted sand with clay</t>
  </si>
  <si>
    <t>aleuropelite, surface is oxygenated, with black inclusion and slightly H2S smelling</t>
  </si>
  <si>
    <t>aleuropelite, surface is oxygenated, with black inclusions</t>
  </si>
  <si>
    <t>aleuropelite with sand, then dense clay (basement)</t>
  </si>
  <si>
    <t>30% stones, 70 sands</t>
  </si>
  <si>
    <t xml:space="preserve">sample 2 tube </t>
  </si>
  <si>
    <t xml:space="preserve">sample 1 stone 12x5 sm, sample 3 stone 12x11? Sample 4 scratch 10x10 </t>
  </si>
  <si>
    <t>gravelly clay</t>
  </si>
  <si>
    <t>A-51_rep</t>
  </si>
  <si>
    <t xml:space="preserve">fine grained sand </t>
  </si>
  <si>
    <t>80% coarse sand, 20 % stones all on clay's basement</t>
  </si>
  <si>
    <t>stone 13x18 sm</t>
  </si>
  <si>
    <t>morain, impossible to dive</t>
  </si>
  <si>
    <t>80A</t>
  </si>
  <si>
    <t>25% stones</t>
  </si>
  <si>
    <t xml:space="preserve"> with no sampling</t>
  </si>
  <si>
    <t>80B</t>
  </si>
  <si>
    <t xml:space="preserve">gravelly sand - 75%, stones - 25%, </t>
  </si>
  <si>
    <t>sample 2 - tube</t>
  </si>
  <si>
    <t>sample 1 - stone 16x12</t>
  </si>
  <si>
    <t>10% stones , 90% sand</t>
  </si>
  <si>
    <t>&amp;</t>
  </si>
  <si>
    <t>dense gravelly fine grained sand</t>
  </si>
  <si>
    <t>grey fine grained sand</t>
  </si>
  <si>
    <t>boxcorer 1/40 and genetics</t>
  </si>
  <si>
    <t>sand with clay</t>
  </si>
  <si>
    <t>aleuropelite with fine fluff</t>
  </si>
  <si>
    <t>stones and sand 50/50</t>
  </si>
  <si>
    <t>scratch 10x10, stone 8x7</t>
  </si>
  <si>
    <t>NbGa-3_rep</t>
  </si>
  <si>
    <t>stones and sand 70?30</t>
  </si>
  <si>
    <t>L=4m</t>
  </si>
  <si>
    <t>boxcorer 1/40 qualitative sample</t>
  </si>
  <si>
    <t>NbKu-1_rep</t>
  </si>
  <si>
    <t>gravelly sand and stones</t>
  </si>
  <si>
    <t>0; 3; 6m</t>
  </si>
  <si>
    <t>fine grained sand with thin fluff</t>
  </si>
  <si>
    <t>stony bottom</t>
  </si>
  <si>
    <t>Macomas empty shells</t>
  </si>
  <si>
    <t>fine grained sand, stratified with strata separated by  blackl layers</t>
  </si>
  <si>
    <t>20% stones a md 80% cobbles and pebbles on clay as a basement</t>
  </si>
  <si>
    <t>stone 7x8 sm</t>
  </si>
  <si>
    <t>50% sand with ripples and 50% stony substrates till boulders</t>
  </si>
  <si>
    <t>stone 7x9 sm</t>
  </si>
  <si>
    <t>stones under the sand</t>
  </si>
  <si>
    <t>50% stones up to diameter of 2m and 50% sand and rubbles</t>
  </si>
  <si>
    <t>stone 3x6, stone 7x6</t>
  </si>
  <si>
    <t>80% fine grained sand with gravel, 20% stones of 20-30 sm diameter</t>
  </si>
  <si>
    <t>stone 11x7</t>
  </si>
  <si>
    <t>A-25_rep</t>
  </si>
  <si>
    <t>stone 4x5 sm</t>
  </si>
  <si>
    <t>coarse sans with stone debrices</t>
  </si>
  <si>
    <t>stone 13x7</t>
  </si>
  <si>
    <t>Fe-MN present</t>
  </si>
  <si>
    <t>diverse sands with some fluff with 33% of stones all on a clay as basement</t>
  </si>
  <si>
    <t>stone  7x5</t>
  </si>
  <si>
    <t>sand - 10%, other - diverse stony substrates, there is some fluff upon the stones</t>
  </si>
  <si>
    <t xml:space="preserve"> tube</t>
  </si>
  <si>
    <t>stone 7x3</t>
  </si>
  <si>
    <t>very fine grey sand with yellow fluff and dark inclusions</t>
  </si>
  <si>
    <t>hard aleuropelites, a lot of Macomas</t>
  </si>
  <si>
    <t>NSNb-8_rep</t>
  </si>
  <si>
    <t>aleuropelites without expressed oxygenation or Н2S smell</t>
  </si>
  <si>
    <t>0-24 v, in a 3 meters</t>
  </si>
  <si>
    <t>L=24</t>
  </si>
  <si>
    <t>aleuropelite with clay, slight smell of H2S, Macoma is abundant</t>
  </si>
  <si>
    <t>sample 1 boxcorer 1/40, sample 2 - conditionally quantitative</t>
  </si>
  <si>
    <t>sand with aleuropelites, some clay</t>
  </si>
  <si>
    <t>fine grained sand with less silt then at previous locality</t>
  </si>
  <si>
    <t>diverse sand on densy clay</t>
  </si>
  <si>
    <t>crushed pebbles and grey fine grained washed sand, the locality in very patchy</t>
  </si>
  <si>
    <t>2 samples by boxcorer</t>
  </si>
  <si>
    <t>coarse washed sand, stones are very probable</t>
  </si>
  <si>
    <t>fine grained sand, Macomas, perhaps there are stones there, stony debrices are present</t>
  </si>
  <si>
    <t>very fine sand with fluff (sandy silt?)</t>
  </si>
  <si>
    <t>diverse sand</t>
  </si>
  <si>
    <t>coarse sand with stony debrices</t>
  </si>
  <si>
    <t>silted fine grained sand</t>
  </si>
  <si>
    <t>fine grained sand with admixture of silt</t>
  </si>
  <si>
    <t xml:space="preserve">coarse sand </t>
  </si>
  <si>
    <t>rubble and small stones</t>
  </si>
  <si>
    <t>fine grained sand, gravelly, 30% middle stones, single boulders</t>
  </si>
  <si>
    <t>sample 1 - tube, sample 2 - stone ??x?? Sm</t>
  </si>
  <si>
    <t>small stones and boulders - 50%, sand - 50%, however the sand in upon the stones - see samples</t>
  </si>
  <si>
    <t>sample 1- stone - 5x8 sm, sample 2 - scratch - 22x17 sm</t>
  </si>
  <si>
    <t>sample - tube?</t>
  </si>
  <si>
    <t>fine and middle grained sand</t>
  </si>
  <si>
    <t xml:space="preserve">gravelly diverse sand </t>
  </si>
  <si>
    <t>fine grained sand with stony debrices</t>
  </si>
  <si>
    <t>fine grained sand with fine fluff upon and stony debrices inside</t>
  </si>
  <si>
    <t>fine grained samd with significant presence of stiny debrices</t>
  </si>
  <si>
    <t>slighly gravelly fine grained sand</t>
  </si>
  <si>
    <t>silt (5-6 sm) and then clay</t>
  </si>
  <si>
    <t>middle grained sand with some clay and debrices</t>
  </si>
  <si>
    <t>diverse sand with some fluff</t>
  </si>
  <si>
    <t>111A</t>
  </si>
  <si>
    <t>0;3;6;9;12;15;18;21;</t>
  </si>
  <si>
    <t>L=21 m</t>
  </si>
  <si>
    <t>aleuropelite with H2S smell</t>
  </si>
  <si>
    <t>silted fine grained sand , also clay, rubbles and pebbles</t>
  </si>
  <si>
    <t>aleuropelites with Fe-Mn concretes</t>
  </si>
  <si>
    <t>B10_rep</t>
  </si>
  <si>
    <t>aleuropelite slighly H2S smelling</t>
  </si>
  <si>
    <t>0;3;6;9;12;15;18;21</t>
  </si>
  <si>
    <t>L=20m</t>
  </si>
  <si>
    <t xml:space="preserve">all benthic sampling is failed </t>
  </si>
  <si>
    <t>patchy distribution of small grained and diverse sand with debrices</t>
  </si>
  <si>
    <t>aleoropelites slightly smelling with  H2S, holes of Marenzelleria, Macoma is present</t>
  </si>
  <si>
    <t>aleuropelites smelling with H2S</t>
  </si>
  <si>
    <t>aleuropelites with numerous holes of Marenzelleria</t>
  </si>
  <si>
    <t>stones - 10-20 sm diameter on clay as basement</t>
  </si>
  <si>
    <t>sample 1 - tube, sample 2 - stone 19x15 sm</t>
  </si>
  <si>
    <t>mixed bottom, Fe-Mn, fine and coarse sands, rubbles</t>
  </si>
  <si>
    <t>very small amount</t>
  </si>
  <si>
    <t>diverse sand with Fe-Mn on clay as basement</t>
  </si>
  <si>
    <t>1005 stones</t>
  </si>
  <si>
    <t>1 sample of 3 stones 8x5; 7x5; 9x4 sm</t>
  </si>
  <si>
    <t>aleoropelites wit fine grained sand, Macoma is present</t>
  </si>
  <si>
    <t>bj[corer 1/40</t>
  </si>
  <si>
    <t>stomes 30%, gravelly sad medium grained, Rangia is present</t>
  </si>
  <si>
    <t>ample 1 - tube</t>
  </si>
  <si>
    <t>sample 2 - stone 17x12</t>
  </si>
  <si>
    <t>coarse gravelly sand</t>
  </si>
  <si>
    <t>отмечено, что в пробе есть ккамень 2 на 3 см и червячок!</t>
  </si>
  <si>
    <t xml:space="preserve">coarse gravelly sand and stones </t>
  </si>
  <si>
    <t>sample 1, tube</t>
  </si>
  <si>
    <t>sample 2 - stone 12,5x11,5; 7x6; 3x3,5; 2x2 sm</t>
  </si>
  <si>
    <t>fine grained gravelly sand - 30%, stones - 70%</t>
  </si>
  <si>
    <t>sample 1 tube</t>
  </si>
  <si>
    <t>sample 2 - stone 15x9 sm</t>
  </si>
  <si>
    <t>coarse gravelly sand and stones (50x50)</t>
  </si>
  <si>
    <t>sample 1 tube, stones from tube - 3 are separately</t>
  </si>
  <si>
    <t>sample 2 - stone 10,5x11 sm</t>
  </si>
  <si>
    <t>coarse sand 90%, stones 10%</t>
  </si>
  <si>
    <t xml:space="preserve">sample 1 - tube </t>
  </si>
  <si>
    <t>sample 2 stone 14,5x11 sm</t>
  </si>
  <si>
    <t>coarse gravelly sand 90%, stones 10%</t>
  </si>
  <si>
    <t>sample 1 tube with stone separately or inside</t>
  </si>
  <si>
    <t>sample 2 stone 10,5x9 sm</t>
  </si>
  <si>
    <t>A-41_rep</t>
  </si>
  <si>
    <t>L=2m</t>
  </si>
  <si>
    <t xml:space="preserve">fine grained gravelly sand </t>
  </si>
  <si>
    <t>grave with sand 3%, stones 97%</t>
  </si>
  <si>
    <t>sample 1 tube with sand and 5 stones</t>
  </si>
  <si>
    <t>sample 2 stone 12x7 sm</t>
  </si>
  <si>
    <t>Kur-5_rep</t>
  </si>
  <si>
    <t>black aleuropelites with fine detrit, H2S smell and some sights of oxygenation</t>
  </si>
  <si>
    <t>0; 3; 6; 9; 12; 15; 18; 21; 24; 27</t>
  </si>
  <si>
    <t>L=27</t>
  </si>
  <si>
    <t>stones 100%</t>
  </si>
  <si>
    <t>sample 1  stone, sample 2 scratch</t>
  </si>
  <si>
    <t>stones 90% buried in gravelly sand</t>
  </si>
  <si>
    <t>sample 3 tube</t>
  </si>
  <si>
    <t>sample 1 stone 8x8 sm, sample 2 scratch 10x10 sm</t>
  </si>
  <si>
    <t>medium graide sand 95%, boulders 5%</t>
  </si>
  <si>
    <t>scratch 10X10</t>
  </si>
  <si>
    <t>diverse gravelly sand</t>
  </si>
  <si>
    <t>coarse sand upon clay</t>
  </si>
  <si>
    <t>sand 90%, stones 10%</t>
  </si>
  <si>
    <t>sample 1 stone 11X8, sample 2 scratch 10x10</t>
  </si>
  <si>
    <t>gravel 90% some coarse sand and boulders</t>
  </si>
  <si>
    <t>sample 4 tube</t>
  </si>
  <si>
    <t>sample 1 gravel in boxcorer. Sample 2 - stone 14X7 sm, sample 3 scratch</t>
  </si>
  <si>
    <t>80%medium stones, 90% boulders. 10% gravelly sand</t>
  </si>
  <si>
    <t>sample 1 stone 14X9, sample 2 - scratch 10X10</t>
  </si>
  <si>
    <t xml:space="preserve">medium grained sslighly gravelled sand, </t>
  </si>
  <si>
    <t>black aluropelites slighly oxygenated withHY2S smell</t>
  </si>
  <si>
    <t>80% sand, 20% smapll and large stones</t>
  </si>
  <si>
    <t>sample 3 - tube</t>
  </si>
  <si>
    <t>sample 1 - stone 13X11, sample 2 - scratch 10x10</t>
  </si>
  <si>
    <t>aleuropelites with expressed oxygenation</t>
  </si>
  <si>
    <t>a lot of marenzelleria</t>
  </si>
  <si>
    <t>marenzelleria is present</t>
  </si>
  <si>
    <t>aleuropelites with H2S smell</t>
  </si>
  <si>
    <t>marenzelleria's holes</t>
  </si>
  <si>
    <t>black aleuropelites withot H2S smell</t>
  </si>
  <si>
    <t>marenzelleria is present, holes are numerous</t>
  </si>
  <si>
    <t>Fe-Mn cjncretes, sampling was failed</t>
  </si>
  <si>
    <t>85A</t>
  </si>
  <si>
    <t>aleuropelites with concretes</t>
  </si>
  <si>
    <t>very mixed bottom</t>
  </si>
  <si>
    <t>clay, gravel, silt and sand</t>
  </si>
  <si>
    <t>sample as mixture of two boxcorers (1/20 m2)</t>
  </si>
  <si>
    <t>B-30_rep</t>
  </si>
  <si>
    <t>benthic sampling was failed</t>
  </si>
  <si>
    <t>L=3,5 v</t>
  </si>
  <si>
    <t>B-6a_rep</t>
  </si>
  <si>
    <t>ust-luga</t>
  </si>
  <si>
    <t>aleuropelites with oxygeneted top And black inside</t>
  </si>
  <si>
    <t>0. 3, 6, 9, 12, 15, 18</t>
  </si>
  <si>
    <t>L=17</t>
  </si>
  <si>
    <t>aleuropelites, Macoma and Marenzelleria are present</t>
  </si>
  <si>
    <t>aleuropelites  with some sand</t>
  </si>
  <si>
    <t>clay, sand and silt in equal comtribution</t>
  </si>
  <si>
    <t>B3_rep</t>
  </si>
  <si>
    <t>fine grained sand with clay</t>
  </si>
  <si>
    <t>L=5</t>
  </si>
  <si>
    <t>fine grained and diverse sand with some silt</t>
  </si>
  <si>
    <t>fine grained slightly silted sand with Laonome-looking tube</t>
  </si>
  <si>
    <t>Kop-16_rep</t>
  </si>
  <si>
    <t>0.1.2.3.4.5.</t>
  </si>
  <si>
    <t>sample 2 - stone 8,5x12,5 sm</t>
  </si>
  <si>
    <t>stones 80%, sand 20%</t>
  </si>
  <si>
    <t>stone 17,5x12,5 sm; scratch 10x10 sm</t>
  </si>
  <si>
    <t>Kop-17_rep</t>
  </si>
  <si>
    <t>stone and sand - 50/50</t>
  </si>
  <si>
    <t>100 L</t>
  </si>
  <si>
    <t>10x10</t>
  </si>
  <si>
    <t>sand with some clay (5%)</t>
  </si>
  <si>
    <t>coarse sand with gravel (29)</t>
  </si>
  <si>
    <t>D1_rep</t>
  </si>
  <si>
    <t>vanveen 1/40</t>
  </si>
  <si>
    <t>aleuropelites, black with H2S smell</t>
  </si>
  <si>
    <t>aleuropelites (90), clay (10)</t>
  </si>
  <si>
    <t>clay (30) and sand (70)</t>
  </si>
  <si>
    <t>Kop-8_rep</t>
  </si>
  <si>
    <t>0.3.6.9.12.15.18.21.24</t>
  </si>
  <si>
    <t>L=26m</t>
  </si>
  <si>
    <t>gravelly sand</t>
  </si>
  <si>
    <t>sand with Fe-Mn concretes (10%)</t>
  </si>
  <si>
    <t>stones 90, gravel 5%, boulders 3%,  coarse sand 2%</t>
  </si>
  <si>
    <t>sand (50), clay (50)</t>
  </si>
  <si>
    <t>coarse sand with gravel (15%)</t>
  </si>
  <si>
    <t>medium grained sand</t>
  </si>
  <si>
    <t>/////////////</t>
  </si>
  <si>
    <t>/////</t>
  </si>
</sst>
</file>

<file path=xl/styles.xml><?xml version="1.0" encoding="utf-8"?>
<styleSheet xmlns="http://schemas.openxmlformats.org/spreadsheetml/2006/main">
  <numFmts count="12">
    <numFmt numFmtId="176" formatCode="dd\.mmm"/>
    <numFmt numFmtId="177" formatCode="0.00000"/>
    <numFmt numFmtId="178" formatCode="_-* #\.##0\ &quot;₽&quot;_-;\-* #\.##0\ &quot;₽&quot;_-;_-* \-\ &quot;₽&quot;_-;_-@_-"/>
    <numFmt numFmtId="179" formatCode="_-* #\ ##0.00_-;\-* #\ ##0.00_-;_-* &quot;-&quot;??_-;_-@_-"/>
    <numFmt numFmtId="180" formatCode="_-* #\.##0_-;\-* #\.##0_-;_-* &quot;-&quot;_-;_-@_-"/>
    <numFmt numFmtId="181" formatCode="_-* #\.##0.00\ &quot;₽&quot;_-;\-* #\.##0.00\ &quot;₽&quot;_-;_-* \-??\ &quot;₽&quot;_-;_-@_-"/>
    <numFmt numFmtId="182" formatCode="dd\.mm\.yyyy"/>
    <numFmt numFmtId="183" formatCode="0.000000"/>
    <numFmt numFmtId="184" formatCode="mmm\.yy"/>
    <numFmt numFmtId="185" formatCode="0.000"/>
    <numFmt numFmtId="186" formatCode="0.0000"/>
    <numFmt numFmtId="187" formatCode="0.0"/>
  </numFmts>
  <fonts count="37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sz val="8"/>
      <color theme="1"/>
      <name val="Arial"/>
      <charset val="204"/>
    </font>
    <font>
      <sz val="11"/>
      <color rgb="FFFF0000"/>
      <name val="Calibri"/>
      <charset val="134"/>
      <scheme val="minor"/>
    </font>
    <font>
      <sz val="8"/>
      <name val="Arial"/>
      <charset val="204"/>
    </font>
    <font>
      <sz val="8"/>
      <color rgb="FFFF0000"/>
      <name val="Arial"/>
      <charset val="204"/>
    </font>
    <font>
      <u/>
      <sz val="7"/>
      <color rgb="FF4285F4"/>
      <name val="Arial"/>
      <charset val="204"/>
    </font>
    <font>
      <sz val="11"/>
      <name val="Calibri"/>
      <charset val="204"/>
    </font>
    <font>
      <b/>
      <sz val="8"/>
      <color theme="1"/>
      <name val="Arial"/>
      <charset val="204"/>
    </font>
    <font>
      <sz val="8"/>
      <color indexed="10"/>
      <name val="Arial"/>
      <charset val="204"/>
    </font>
    <font>
      <b/>
      <sz val="8"/>
      <color indexed="8"/>
      <name val="Arial"/>
      <charset val="204"/>
    </font>
    <font>
      <b/>
      <sz val="8"/>
      <color indexed="10"/>
      <name val="Arial"/>
      <charset val="20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i/>
      <sz val="8"/>
      <color indexed="8"/>
      <name val="Arial"/>
      <charset val="20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21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181" fontId="15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8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7" fillId="23" borderId="1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3" borderId="1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21" fillId="25" borderId="14" applyNumberFormat="0" applyAlignment="0" applyProtection="0">
      <alignment vertical="center"/>
    </xf>
    <xf numFmtId="0" fontId="19" fillId="23" borderId="12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</cellStyleXfs>
  <cellXfs count="168">
    <xf numFmtId="0" fontId="0" fillId="0" borderId="0" xfId="0"/>
    <xf numFmtId="0" fontId="1" fillId="0" borderId="0" xfId="0" applyFont="1" applyFill="1" applyAlignment="1">
      <alignment horizontal="left" vertical="top"/>
    </xf>
    <xf numFmtId="177" fontId="1" fillId="0" borderId="0" xfId="0" applyNumberFormat="1" applyFont="1" applyFill="1" applyAlignment="1">
      <alignment horizontal="left" vertical="top"/>
    </xf>
    <xf numFmtId="182" fontId="0" fillId="0" borderId="0" xfId="0" applyNumberFormat="1"/>
    <xf numFmtId="0" fontId="2" fillId="0" borderId="0" xfId="0" applyFont="1"/>
    <xf numFmtId="0" fontId="3" fillId="0" borderId="0" xfId="0" applyFont="1" applyFill="1" applyAlignment="1">
      <alignment horizontal="left" vertical="top"/>
    </xf>
    <xf numFmtId="0" fontId="0" fillId="2" borderId="0" xfId="0" applyFill="1"/>
    <xf numFmtId="2" fontId="4" fillId="2" borderId="1" xfId="0" applyNumberFormat="1" applyFont="1" applyFill="1" applyBorder="1"/>
    <xf numFmtId="182" fontId="1" fillId="0" borderId="0" xfId="0" applyNumberFormat="1" applyFont="1" applyFill="1" applyAlignment="1">
      <alignment horizontal="left" vertical="top"/>
    </xf>
    <xf numFmtId="177" fontId="0" fillId="2" borderId="0" xfId="0" applyNumberFormat="1" applyFill="1" applyAlignment="1">
      <alignment horizontal="left" vertical="top"/>
    </xf>
    <xf numFmtId="182" fontId="0" fillId="2" borderId="0" xfId="0" applyNumberFormat="1" applyFill="1"/>
    <xf numFmtId="0" fontId="0" fillId="0" borderId="0" xfId="0" applyFill="1"/>
    <xf numFmtId="0" fontId="1" fillId="3" borderId="0" xfId="0" applyFont="1" applyFill="1" applyAlignment="1">
      <alignment horizontal="left" vertical="top"/>
    </xf>
    <xf numFmtId="0" fontId="0" fillId="3" borderId="0" xfId="0" applyFill="1"/>
    <xf numFmtId="2" fontId="4" fillId="0" borderId="1" xfId="0" applyNumberFormat="1" applyFont="1" applyBorder="1"/>
    <xf numFmtId="177" fontId="0" fillId="0" borderId="0" xfId="0" applyNumberFormat="1" applyAlignment="1">
      <alignment horizontal="left" vertical="top"/>
    </xf>
    <xf numFmtId="2" fontId="4" fillId="0" borderId="2" xfId="0" applyNumberFormat="1" applyFont="1" applyFill="1" applyBorder="1"/>
    <xf numFmtId="0" fontId="0" fillId="0" borderId="0" xfId="0" applyNumberFormat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" xfId="0" applyFont="1" applyBorder="1"/>
    <xf numFmtId="0" fontId="4" fillId="0" borderId="3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183" fontId="4" fillId="7" borderId="1" xfId="0" applyNumberFormat="1" applyFont="1" applyFill="1" applyBorder="1" applyAlignment="1">
      <alignment horizontal="right" vertical="top"/>
    </xf>
    <xf numFmtId="18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176" fontId="0" fillId="0" borderId="0" xfId="0" applyNumberFormat="1" applyAlignment="1">
      <alignment horizontal="left" vertical="top"/>
    </xf>
    <xf numFmtId="177" fontId="5" fillId="0" borderId="0" xfId="0" applyNumberFormat="1" applyFont="1" applyAlignment="1">
      <alignment horizontal="left" vertical="top"/>
    </xf>
    <xf numFmtId="183" fontId="4" fillId="0" borderId="4" xfId="0" applyNumberFormat="1" applyFont="1" applyBorder="1"/>
    <xf numFmtId="183" fontId="4" fillId="8" borderId="1" xfId="0" applyNumberFormat="1" applyFont="1" applyFill="1" applyBorder="1"/>
    <xf numFmtId="183" fontId="4" fillId="0" borderId="1" xfId="0" applyNumberFormat="1" applyFont="1" applyBorder="1"/>
    <xf numFmtId="177" fontId="5" fillId="2" borderId="0" xfId="0" applyNumberFormat="1" applyFont="1" applyFill="1" applyAlignment="1">
      <alignment horizontal="left" vertical="top"/>
    </xf>
    <xf numFmtId="183" fontId="4" fillId="8" borderId="5" xfId="0" applyNumberFormat="1" applyFont="1" applyFill="1" applyBorder="1"/>
    <xf numFmtId="183" fontId="4" fillId="8" borderId="6" xfId="0" applyNumberFormat="1" applyFont="1" applyFill="1" applyBorder="1"/>
    <xf numFmtId="0" fontId="4" fillId="0" borderId="6" xfId="0" applyFont="1" applyBorder="1"/>
    <xf numFmtId="183" fontId="4" fillId="0" borderId="6" xfId="0" applyNumberFormat="1" applyFont="1" applyBorder="1"/>
    <xf numFmtId="0" fontId="6" fillId="0" borderId="7" xfId="0" applyFont="1" applyBorder="1"/>
    <xf numFmtId="1" fontId="4" fillId="0" borderId="6" xfId="0" applyNumberFormat="1" applyFont="1" applyBorder="1"/>
    <xf numFmtId="1" fontId="4" fillId="0" borderId="6" xfId="0" applyNumberFormat="1" applyFont="1" applyFill="1" applyBorder="1"/>
    <xf numFmtId="183" fontId="4" fillId="0" borderId="0" xfId="0" applyNumberFormat="1" applyFont="1"/>
    <xf numFmtId="0" fontId="7" fillId="0" borderId="0" xfId="0" applyFont="1"/>
    <xf numFmtId="0" fontId="5" fillId="0" borderId="8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5" fillId="0" borderId="0" xfId="0" applyFont="1" applyFill="1" applyAlignment="1">
      <alignment horizontal="left" vertical="top"/>
    </xf>
    <xf numFmtId="177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84" fontId="0" fillId="0" borderId="0" xfId="0" applyNumberFormat="1" applyAlignment="1">
      <alignment horizontal="left" vertical="top"/>
    </xf>
    <xf numFmtId="177" fontId="0" fillId="9" borderId="0" xfId="0" applyNumberForma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177" fontId="5" fillId="0" borderId="0" xfId="0" applyNumberFormat="1" applyFont="1" applyFill="1" applyAlignment="1">
      <alignment horizontal="left" vertical="top"/>
    </xf>
    <xf numFmtId="177" fontId="1" fillId="10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8" fillId="0" borderId="0" xfId="0" applyFont="1"/>
    <xf numFmtId="182" fontId="0" fillId="0" borderId="0" xfId="0" applyNumberFormat="1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1" fillId="0" borderId="0" xfId="0" applyFont="1" applyFill="1" applyAlignment="1">
      <alignment horizontal="center"/>
    </xf>
    <xf numFmtId="182" fontId="0" fillId="2" borderId="0" xfId="0" applyNumberFormat="1" applyFill="1" applyAlignment="1">
      <alignment horizontal="left" vertical="top"/>
    </xf>
    <xf numFmtId="49" fontId="0" fillId="2" borderId="0" xfId="0" applyNumberFormat="1" applyFill="1" applyAlignment="1">
      <alignment horizontal="left" vertical="top"/>
    </xf>
    <xf numFmtId="0" fontId="9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82" fontId="4" fillId="0" borderId="1" xfId="0" applyNumberFormat="1" applyFont="1" applyBorder="1"/>
    <xf numFmtId="183" fontId="4" fillId="0" borderId="1" xfId="0" applyNumberFormat="1" applyFont="1" applyBorder="1" applyAlignment="1">
      <alignment horizontal="right" vertical="top"/>
    </xf>
    <xf numFmtId="183" fontId="4" fillId="0" borderId="3" xfId="0" applyNumberFormat="1" applyFont="1" applyBorder="1" applyAlignment="1">
      <alignment horizontal="right" vertical="top"/>
    </xf>
    <xf numFmtId="1" fontId="4" fillId="7" borderId="1" xfId="0" applyNumberFormat="1" applyFont="1" applyFill="1" applyBorder="1" applyAlignment="1">
      <alignment horizontal="right" vertical="top"/>
    </xf>
    <xf numFmtId="184" fontId="4" fillId="0" borderId="1" xfId="0" applyNumberFormat="1" applyFont="1" applyBorder="1"/>
    <xf numFmtId="49" fontId="6" fillId="11" borderId="1" xfId="0" applyNumberFormat="1" applyFont="1" applyFill="1" applyBorder="1"/>
    <xf numFmtId="182" fontId="4" fillId="11" borderId="1" xfId="0" applyNumberFormat="1" applyFont="1" applyFill="1" applyBorder="1"/>
    <xf numFmtId="0" fontId="4" fillId="11" borderId="1" xfId="0" applyFont="1" applyFill="1" applyBorder="1"/>
    <xf numFmtId="2" fontId="4" fillId="5" borderId="1" xfId="0" applyNumberFormat="1" applyFont="1" applyFill="1" applyBorder="1"/>
    <xf numFmtId="2" fontId="0" fillId="0" borderId="0" xfId="0" applyNumberFormat="1" applyAlignment="1">
      <alignment horizontal="left" vertical="top"/>
    </xf>
    <xf numFmtId="186" fontId="4" fillId="7" borderId="1" xfId="0" applyNumberFormat="1" applyFont="1" applyFill="1" applyBorder="1" applyAlignment="1">
      <alignment horizontal="right" vertical="top"/>
    </xf>
    <xf numFmtId="2" fontId="4" fillId="0" borderId="4" xfId="0" applyNumberFormat="1" applyFont="1" applyBorder="1"/>
    <xf numFmtId="0" fontId="4" fillId="0" borderId="4" xfId="0" applyFont="1" applyBorder="1"/>
    <xf numFmtId="2" fontId="4" fillId="0" borderId="9" xfId="0" applyNumberFormat="1" applyFont="1" applyBorder="1"/>
    <xf numFmtId="2" fontId="4" fillId="0" borderId="7" xfId="0" applyNumberFormat="1" applyFont="1" applyBorder="1"/>
    <xf numFmtId="0" fontId="4" fillId="0" borderId="7" xfId="0" applyFont="1" applyBorder="1"/>
    <xf numFmtId="0" fontId="4" fillId="0" borderId="9" xfId="0" applyFont="1" applyBorder="1"/>
    <xf numFmtId="1" fontId="4" fillId="0" borderId="7" xfId="0" applyNumberFormat="1" applyFont="1" applyBorder="1"/>
    <xf numFmtId="0" fontId="4" fillId="11" borderId="7" xfId="0" applyFont="1" applyFill="1" applyBorder="1"/>
    <xf numFmtId="1" fontId="4" fillId="11" borderId="7" xfId="0" applyNumberFormat="1" applyFont="1" applyFill="1" applyBorder="1"/>
    <xf numFmtId="0" fontId="1" fillId="0" borderId="0" xfId="0" applyFont="1"/>
    <xf numFmtId="1" fontId="4" fillId="5" borderId="7" xfId="0" applyNumberFormat="1" applyFont="1" applyFill="1" applyBorder="1"/>
    <xf numFmtId="1" fontId="4" fillId="12" borderId="7" xfId="0" applyNumberFormat="1" applyFont="1" applyFill="1" applyBorder="1"/>
    <xf numFmtId="2" fontId="7" fillId="0" borderId="0" xfId="0" applyNumberFormat="1" applyFont="1"/>
    <xf numFmtId="0" fontId="4" fillId="5" borderId="7" xfId="0" applyFont="1" applyFill="1" applyBorder="1"/>
    <xf numFmtId="1" fontId="4" fillId="0" borderId="10" xfId="0" applyNumberFormat="1" applyFont="1" applyBorder="1"/>
    <xf numFmtId="2" fontId="4" fillId="11" borderId="7" xfId="0" applyNumberFormat="1" applyFont="1" applyFill="1" applyBorder="1"/>
    <xf numFmtId="0" fontId="4" fillId="12" borderId="1" xfId="0" applyFont="1" applyFill="1" applyBorder="1"/>
    <xf numFmtId="49" fontId="4" fillId="12" borderId="1" xfId="7" applyNumberFormat="1" applyFont="1" applyFill="1" applyBorder="1" applyAlignment="1">
      <alignment vertical="center"/>
    </xf>
    <xf numFmtId="49" fontId="4" fillId="12" borderId="1" xfId="0" applyNumberFormat="1" applyFont="1" applyFill="1" applyBorder="1"/>
    <xf numFmtId="182" fontId="4" fillId="12" borderId="1" xfId="0" applyNumberFormat="1" applyFont="1" applyFill="1" applyBorder="1"/>
    <xf numFmtId="183" fontId="4" fillId="12" borderId="1" xfId="0" applyNumberFormat="1" applyFont="1" applyFill="1" applyBorder="1" applyAlignment="1">
      <alignment horizontal="right" vertical="top"/>
    </xf>
    <xf numFmtId="183" fontId="4" fillId="12" borderId="3" xfId="0" applyNumberFormat="1" applyFont="1" applyFill="1" applyBorder="1" applyAlignment="1">
      <alignment horizontal="right" vertical="top"/>
    </xf>
    <xf numFmtId="49" fontId="10" fillId="0" borderId="1" xfId="7" applyNumberFormat="1" applyFont="1" applyFill="1" applyBorder="1" applyAlignment="1">
      <alignment vertical="center"/>
    </xf>
    <xf numFmtId="2" fontId="4" fillId="13" borderId="1" xfId="7" applyNumberFormat="1" applyFont="1" applyFill="1" applyBorder="1" applyAlignment="1">
      <alignment vertical="center"/>
    </xf>
    <xf numFmtId="49" fontId="4" fillId="13" borderId="1" xfId="7" applyNumberFormat="1" applyFont="1" applyFill="1" applyBorder="1" applyAlignment="1">
      <alignment vertical="center"/>
    </xf>
    <xf numFmtId="182" fontId="4" fillId="13" borderId="1" xfId="7" applyNumberFormat="1" applyFont="1" applyFill="1" applyBorder="1" applyAlignment="1">
      <alignment vertical="center"/>
    </xf>
    <xf numFmtId="179" fontId="4" fillId="13" borderId="1" xfId="7" applyFont="1" applyFill="1" applyBorder="1" applyAlignment="1">
      <alignment vertical="center"/>
    </xf>
    <xf numFmtId="183" fontId="4" fillId="13" borderId="1" xfId="0" applyNumberFormat="1" applyFont="1" applyFill="1" applyBorder="1" applyAlignment="1">
      <alignment horizontal="right" vertical="top"/>
    </xf>
    <xf numFmtId="183" fontId="4" fillId="13" borderId="3" xfId="0" applyNumberFormat="1" applyFont="1" applyFill="1" applyBorder="1" applyAlignment="1">
      <alignment horizontal="right" vertical="top"/>
    </xf>
    <xf numFmtId="49" fontId="4" fillId="0" borderId="1" xfId="7" applyNumberFormat="1" applyFont="1" applyFill="1" applyBorder="1" applyAlignment="1">
      <alignment vertical="center"/>
    </xf>
    <xf numFmtId="0" fontId="10" fillId="0" borderId="1" xfId="0" applyFont="1" applyBorder="1"/>
    <xf numFmtId="49" fontId="4" fillId="10" borderId="1" xfId="7" applyNumberFormat="1" applyFont="1" applyFill="1" applyBorder="1" applyAlignment="1">
      <alignment vertical="center"/>
    </xf>
    <xf numFmtId="182" fontId="4" fillId="10" borderId="1" xfId="7" applyNumberFormat="1" applyFont="1" applyFill="1" applyBorder="1" applyAlignment="1">
      <alignment vertical="center"/>
    </xf>
    <xf numFmtId="179" fontId="4" fillId="10" borderId="1" xfId="7" applyFont="1" applyFill="1" applyBorder="1" applyAlignment="1">
      <alignment vertical="center"/>
    </xf>
    <xf numFmtId="183" fontId="4" fillId="10" borderId="1" xfId="0" applyNumberFormat="1" applyFont="1" applyFill="1" applyBorder="1" applyAlignment="1">
      <alignment horizontal="right" vertical="top"/>
    </xf>
    <xf numFmtId="183" fontId="4" fillId="10" borderId="3" xfId="0" applyNumberFormat="1" applyFont="1" applyFill="1" applyBorder="1" applyAlignment="1">
      <alignment horizontal="right" vertical="top"/>
    </xf>
    <xf numFmtId="2" fontId="4" fillId="14" borderId="1" xfId="7" applyNumberFormat="1" applyFont="1" applyFill="1" applyBorder="1" applyAlignment="1">
      <alignment vertical="center"/>
    </xf>
    <xf numFmtId="49" fontId="4" fillId="14" borderId="1" xfId="7" applyNumberFormat="1" applyFont="1" applyFill="1" applyBorder="1" applyAlignment="1">
      <alignment vertical="center"/>
    </xf>
    <xf numFmtId="182" fontId="4" fillId="14" borderId="1" xfId="7" applyNumberFormat="1" applyFont="1" applyFill="1" applyBorder="1" applyAlignment="1">
      <alignment vertical="center"/>
    </xf>
    <xf numFmtId="184" fontId="4" fillId="10" borderId="1" xfId="7" applyNumberFormat="1" applyFont="1" applyFill="1" applyBorder="1" applyAlignment="1">
      <alignment vertical="center"/>
    </xf>
    <xf numFmtId="183" fontId="4" fillId="14" borderId="1" xfId="0" applyNumberFormat="1" applyFont="1" applyFill="1" applyBorder="1" applyAlignment="1">
      <alignment horizontal="right" vertical="top"/>
    </xf>
    <xf numFmtId="183" fontId="4" fillId="14" borderId="3" xfId="0" applyNumberFormat="1" applyFont="1" applyFill="1" applyBorder="1" applyAlignment="1">
      <alignment horizontal="right" vertical="top"/>
    </xf>
    <xf numFmtId="2" fontId="4" fillId="9" borderId="1" xfId="7" applyNumberFormat="1" applyFont="1" applyFill="1" applyBorder="1" applyAlignment="1">
      <alignment vertical="center"/>
    </xf>
    <xf numFmtId="49" fontId="4" fillId="9" borderId="1" xfId="7" applyNumberFormat="1" applyFont="1" applyFill="1" applyBorder="1" applyAlignment="1">
      <alignment vertical="center"/>
    </xf>
    <xf numFmtId="182" fontId="4" fillId="9" borderId="1" xfId="7" applyNumberFormat="1" applyFont="1" applyFill="1" applyBorder="1" applyAlignment="1">
      <alignment vertical="center"/>
    </xf>
    <xf numFmtId="179" fontId="4" fillId="9" borderId="1" xfId="7" applyFont="1" applyFill="1" applyBorder="1" applyAlignment="1">
      <alignment vertical="center"/>
    </xf>
    <xf numFmtId="183" fontId="4" fillId="9" borderId="1" xfId="0" applyNumberFormat="1" applyFont="1" applyFill="1" applyBorder="1" applyAlignment="1">
      <alignment horizontal="right" vertical="top"/>
    </xf>
    <xf numFmtId="183" fontId="4" fillId="9" borderId="3" xfId="0" applyNumberFormat="1" applyFont="1" applyFill="1" applyBorder="1" applyAlignment="1">
      <alignment horizontal="right" vertical="top"/>
    </xf>
    <xf numFmtId="2" fontId="4" fillId="15" borderId="1" xfId="7" applyNumberFormat="1" applyFont="1" applyFill="1" applyBorder="1" applyAlignment="1">
      <alignment vertical="center"/>
    </xf>
    <xf numFmtId="49" fontId="4" fillId="15" borderId="1" xfId="7" applyNumberFormat="1" applyFont="1" applyFill="1" applyBorder="1" applyAlignment="1">
      <alignment vertical="center"/>
    </xf>
    <xf numFmtId="182" fontId="4" fillId="15" borderId="1" xfId="7" applyNumberFormat="1" applyFont="1" applyFill="1" applyBorder="1" applyAlignment="1">
      <alignment vertical="center"/>
    </xf>
    <xf numFmtId="179" fontId="4" fillId="15" borderId="1" xfId="7" applyFont="1" applyFill="1" applyBorder="1" applyAlignment="1">
      <alignment vertical="center"/>
    </xf>
    <xf numFmtId="183" fontId="4" fillId="15" borderId="1" xfId="0" applyNumberFormat="1" applyFont="1" applyFill="1" applyBorder="1" applyAlignment="1">
      <alignment horizontal="right" vertical="top"/>
    </xf>
    <xf numFmtId="183" fontId="4" fillId="15" borderId="3" xfId="0" applyNumberFormat="1" applyFont="1" applyFill="1" applyBorder="1" applyAlignment="1">
      <alignment horizontal="right" vertical="top"/>
    </xf>
    <xf numFmtId="0" fontId="4" fillId="4" borderId="1" xfId="0" applyFont="1" applyFill="1" applyBorder="1"/>
    <xf numFmtId="2" fontId="11" fillId="0" borderId="1" xfId="0" applyNumberFormat="1" applyFont="1" applyBorder="1"/>
    <xf numFmtId="2" fontId="4" fillId="4" borderId="1" xfId="0" applyNumberFormat="1" applyFont="1" applyFill="1" applyBorder="1"/>
    <xf numFmtId="182" fontId="4" fillId="4" borderId="1" xfId="0" applyNumberFormat="1" applyFont="1" applyFill="1" applyBorder="1"/>
    <xf numFmtId="2" fontId="12" fillId="0" borderId="1" xfId="0" applyNumberFormat="1" applyFont="1" applyBorder="1"/>
    <xf numFmtId="0" fontId="4" fillId="5" borderId="1" xfId="0" applyFont="1" applyFill="1" applyBorder="1"/>
    <xf numFmtId="183" fontId="4" fillId="5" borderId="1" xfId="0" applyNumberFormat="1" applyFont="1" applyFill="1" applyBorder="1" applyAlignment="1">
      <alignment horizontal="right" vertical="top"/>
    </xf>
    <xf numFmtId="183" fontId="4" fillId="5" borderId="3" xfId="0" applyNumberFormat="1" applyFont="1" applyFill="1" applyBorder="1" applyAlignment="1">
      <alignment horizontal="right" vertical="top"/>
    </xf>
    <xf numFmtId="176" fontId="4" fillId="0" borderId="1" xfId="0" applyNumberFormat="1" applyFont="1" applyBorder="1"/>
    <xf numFmtId="0" fontId="12" fillId="0" borderId="1" xfId="0" applyFont="1" applyBorder="1"/>
    <xf numFmtId="176" fontId="4" fillId="4" borderId="1" xfId="0" applyNumberFormat="1" applyFont="1" applyFill="1" applyBorder="1"/>
    <xf numFmtId="183" fontId="4" fillId="4" borderId="1" xfId="0" applyNumberFormat="1" applyFont="1" applyFill="1" applyBorder="1" applyAlignment="1">
      <alignment horizontal="right" vertical="top"/>
    </xf>
    <xf numFmtId="183" fontId="4" fillId="4" borderId="3" xfId="0" applyNumberFormat="1" applyFont="1" applyFill="1" applyBorder="1" applyAlignment="1">
      <alignment horizontal="right" vertical="top"/>
    </xf>
    <xf numFmtId="0" fontId="12" fillId="16" borderId="1" xfId="0" applyFont="1" applyFill="1" applyBorder="1"/>
    <xf numFmtId="0" fontId="4" fillId="6" borderId="1" xfId="0" applyFont="1" applyFill="1" applyBorder="1"/>
    <xf numFmtId="182" fontId="4" fillId="6" borderId="1" xfId="0" applyNumberFormat="1" applyFont="1" applyFill="1" applyBorder="1"/>
    <xf numFmtId="2" fontId="11" fillId="0" borderId="7" xfId="0" applyNumberFormat="1" applyFont="1" applyBorder="1"/>
    <xf numFmtId="0" fontId="11" fillId="0" borderId="7" xfId="0" applyFont="1" applyBorder="1"/>
    <xf numFmtId="0" fontId="4" fillId="0" borderId="10" xfId="0" applyFont="1" applyBorder="1"/>
    <xf numFmtId="0" fontId="7" fillId="5" borderId="0" xfId="0" applyFont="1" applyFill="1"/>
    <xf numFmtId="0" fontId="7" fillId="4" borderId="0" xfId="0" applyFont="1" applyFill="1"/>
    <xf numFmtId="0" fontId="7" fillId="6" borderId="0" xfId="0" applyFont="1" applyFill="1"/>
    <xf numFmtId="183" fontId="6" fillId="6" borderId="3" xfId="0" applyNumberFormat="1" applyFont="1" applyFill="1" applyBorder="1" applyAlignment="1">
      <alignment horizontal="right" vertical="top"/>
    </xf>
    <xf numFmtId="0" fontId="12" fillId="6" borderId="1" xfId="0" applyFont="1" applyFill="1" applyBorder="1"/>
    <xf numFmtId="183" fontId="4" fillId="6" borderId="1" xfId="0" applyNumberFormat="1" applyFont="1" applyFill="1" applyBorder="1" applyAlignment="1">
      <alignment horizontal="right" vertical="top"/>
    </xf>
    <xf numFmtId="183" fontId="4" fillId="6" borderId="3" xfId="0" applyNumberFormat="1" applyFont="1" applyFill="1" applyBorder="1" applyAlignment="1">
      <alignment horizontal="right" vertical="top"/>
    </xf>
    <xf numFmtId="0" fontId="13" fillId="6" borderId="1" xfId="0" applyFont="1" applyFill="1" applyBorder="1"/>
    <xf numFmtId="0" fontId="4" fillId="17" borderId="4" xfId="0" applyFont="1" applyFill="1" applyBorder="1"/>
    <xf numFmtId="0" fontId="4" fillId="17" borderId="1" xfId="0" applyFont="1" applyFill="1" applyBorder="1"/>
    <xf numFmtId="187" fontId="4" fillId="0" borderId="1" xfId="0" applyNumberFormat="1" applyFont="1" applyBorder="1"/>
    <xf numFmtId="0" fontId="4" fillId="18" borderId="4" xfId="0" applyFont="1" applyFill="1" applyBorder="1"/>
    <xf numFmtId="185" fontId="4" fillId="18" borderId="1" xfId="0" applyNumberFormat="1" applyFont="1" applyFill="1" applyBorder="1"/>
    <xf numFmtId="2" fontId="4" fillId="0" borderId="0" xfId="0" applyNumberFormat="1" applyFont="1"/>
    <xf numFmtId="1" fontId="4" fillId="0" borderId="0" xfId="0" applyNumberFormat="1" applyFont="1"/>
    <xf numFmtId="0" fontId="4" fillId="2" borderId="7" xfId="0" applyFont="1" applyFill="1" applyBorder="1"/>
    <xf numFmtId="1" fontId="4" fillId="12" borderId="0" xfId="0" applyNumberFormat="1" applyFont="1" applyFill="1"/>
    <xf numFmtId="0" fontId="1" fillId="0" borderId="0" xfId="0" applyFont="1" applyFill="1" applyAlignment="1" quotePrefix="1">
      <alignment horizontal="left" vertical="top"/>
    </xf>
    <xf numFmtId="0" fontId="0" fillId="0" borderId="0" xfId="0" applyAlignment="1" quotePrefix="1">
      <alignment horizontal="left" vertical="top"/>
    </xf>
    <xf numFmtId="176" fontId="0" fillId="0" borderId="0" xfId="0" applyNumberFormat="1" applyAlignment="1" quotePrefix="1">
      <alignment horizontal="left" vertical="top"/>
    </xf>
    <xf numFmtId="184" fontId="0" fillId="0" borderId="0" xfId="0" applyNumberFormat="1" applyAlignment="1" quotePrefix="1">
      <alignment horizontal="left" vertical="top"/>
    </xf>
    <xf numFmtId="0" fontId="4" fillId="0" borderId="1" xfId="0" applyFont="1" applyBorder="1" quotePrefix="1"/>
    <xf numFmtId="2" fontId="4" fillId="0" borderId="1" xfId="0" applyNumberFormat="1" applyFont="1" applyBorder="1" quotePrefix="1"/>
    <xf numFmtId="184" fontId="4" fillId="0" borderId="1" xfId="0" applyNumberFormat="1" applyFont="1" applyBorder="1" quotePrefix="1"/>
    <xf numFmtId="176" fontId="4" fillId="0" borderId="1" xfId="0" applyNumberFormat="1" applyFont="1" applyBorder="1" quotePrefix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FWPlan20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4" sqref="B4"/>
    </sheetView>
  </sheetViews>
  <sheetFormatPr defaultColWidth="9" defaultRowHeight="14.4" outlineLevelRow="7" outlineLevelCol="4"/>
  <sheetData>
    <row r="1" spans="1:1">
      <c r="A1" t="s">
        <v>0</v>
      </c>
    </row>
    <row r="2" spans="1:5">
      <c r="A2" s="31">
        <v>15.881</v>
      </c>
      <c r="E2" t="s">
        <v>1</v>
      </c>
    </row>
    <row r="3" spans="1:5">
      <c r="A3" s="9">
        <v>28.3591132546999</v>
      </c>
      <c r="B3" s="9">
        <v>59.8582674514999</v>
      </c>
      <c r="C3" s="29">
        <f t="shared" ref="C3:C4" si="0">FLOOR(A3,1)</f>
        <v>28</v>
      </c>
      <c r="D3" s="35">
        <v>21.503</v>
      </c>
      <c r="E3" t="s">
        <v>2</v>
      </c>
    </row>
    <row r="4" spans="1:5">
      <c r="A4" s="9">
        <v>28.3303230713</v>
      </c>
      <c r="B4" s="9">
        <v>59.6955090047</v>
      </c>
      <c r="C4" s="29">
        <f t="shared" si="0"/>
        <v>28</v>
      </c>
      <c r="D4" s="9">
        <f t="shared" ref="D4" si="1">(A4-C4)*60</f>
        <v>19.819384278</v>
      </c>
      <c r="E4" t="s">
        <v>3</v>
      </c>
    </row>
    <row r="5" spans="1:5">
      <c r="A5" s="54" t="s">
        <v>4</v>
      </c>
      <c r="E5" t="s">
        <v>5</v>
      </c>
    </row>
    <row r="6" spans="1:5">
      <c r="A6" s="29" t="s">
        <v>6</v>
      </c>
      <c r="E6" t="s">
        <v>7</v>
      </c>
    </row>
    <row r="7" spans="1:5">
      <c r="A7" s="22">
        <v>182</v>
      </c>
      <c r="B7" s="22"/>
      <c r="C7" s="22" t="s">
        <v>8</v>
      </c>
      <c r="E7" t="s">
        <v>9</v>
      </c>
    </row>
    <row r="8" spans="1:3">
      <c r="A8" s="22"/>
      <c r="B8" s="22"/>
      <c r="C8" s="2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78"/>
  <sheetViews>
    <sheetView zoomScale="120" zoomScaleNormal="120" workbookViewId="0">
      <pane xSplit="11" ySplit="3" topLeftCell="S234" activePane="bottomRight" state="frozen"/>
      <selection/>
      <selection pane="topRight"/>
      <selection pane="bottomLeft"/>
      <selection pane="bottomRight" activeCell="U346" sqref="U346"/>
    </sheetView>
  </sheetViews>
  <sheetFormatPr defaultColWidth="9.11111111111111" defaultRowHeight="14.4"/>
  <cols>
    <col min="1" max="1" width="6.11111111111111" style="22" customWidth="1"/>
    <col min="2" max="2" width="14.3333333333333" style="22" customWidth="1"/>
    <col min="3" max="3" width="16.2222222222222" style="22" customWidth="1"/>
    <col min="4" max="4" width="10.6666666666667" style="22" customWidth="1"/>
    <col min="5" max="5" width="8.11111111111111" style="22" customWidth="1"/>
    <col min="6" max="6" width="11.4444444444444" style="15" customWidth="1"/>
    <col min="7" max="7" width="11.3333333333333" style="15" customWidth="1"/>
    <col min="8" max="8" width="7.11111111111111" style="22" customWidth="1"/>
    <col min="9" max="9" width="18" style="15" customWidth="1"/>
    <col min="10" max="10" width="8.55555555555556" style="22" customWidth="1"/>
    <col min="11" max="11" width="11" style="15" customWidth="1"/>
    <col min="12" max="28" width="9.11111111111111" style="22"/>
    <col min="29" max="29" width="29" style="22" customWidth="1"/>
    <col min="30" max="30" width="29.8888888888889" style="22" customWidth="1"/>
    <col min="31" max="39" width="9.11111111111111" style="22"/>
    <col min="40" max="40" width="13.6666666666667" style="23" customWidth="1"/>
    <col min="41" max="41" width="14.3333333333333" style="22" customWidth="1"/>
    <col min="42" max="42" width="14.3333333333333" style="23" customWidth="1"/>
    <col min="43" max="43" width="13.3333333333333" style="23" customWidth="1"/>
    <col min="44" max="44" width="14" style="23" customWidth="1"/>
    <col min="45" max="45" width="13.3333333333333" style="23" customWidth="1"/>
    <col min="46" max="46" width="13.5555555555556" style="22" customWidth="1"/>
    <col min="47" max="47" width="10.4444444444444" style="22" customWidth="1"/>
    <col min="48" max="48" width="11.1111111111111" style="23" customWidth="1"/>
    <col min="49" max="49" width="15.3333333333333" style="22" customWidth="1"/>
    <col min="50" max="50" width="15.3333333333333" style="23" customWidth="1"/>
    <col min="51" max="51" width="15" style="23" customWidth="1"/>
    <col min="52" max="52" width="13" style="22" customWidth="1"/>
    <col min="53" max="53" width="12.6666666666667" style="22" customWidth="1"/>
    <col min="54" max="54" width="12.6666666666667" style="23" customWidth="1"/>
    <col min="55" max="55" width="14.4444444444444" style="23" customWidth="1"/>
    <col min="56" max="56" width="13.3333333333333" style="22" customWidth="1"/>
    <col min="57" max="57" width="12.8888888888889" style="22" customWidth="1"/>
    <col min="58" max="58" width="12" style="22" customWidth="1"/>
    <col min="59" max="59" width="11.6666666666667" style="23" customWidth="1"/>
    <col min="60" max="60" width="11.1111111111111" style="22" customWidth="1"/>
    <col min="61" max="61" width="11.6666666666667" style="22" customWidth="1"/>
    <col min="62" max="73" width="9.11111111111111" style="22"/>
    <col min="74" max="74" width="9.11111111111111" style="23"/>
    <col min="75" max="16384" width="9.11111111111111" style="22"/>
  </cols>
  <sheetData>
    <row r="1" spans="2:52">
      <c r="B1" s="22" t="s">
        <v>10</v>
      </c>
      <c r="F1" s="15" t="s">
        <v>11</v>
      </c>
      <c r="AC1" s="22" t="s">
        <v>12</v>
      </c>
      <c r="AD1" s="40" t="s">
        <v>13</v>
      </c>
      <c r="AE1" s="22" t="s">
        <v>14</v>
      </c>
      <c r="AZ1" s="22">
        <v>0</v>
      </c>
    </row>
    <row r="2" s="18" customFormat="1" ht="10.95" spans="2:74">
      <c r="B2" s="24" t="s">
        <v>15</v>
      </c>
      <c r="C2" s="24" t="s">
        <v>16</v>
      </c>
      <c r="D2" s="24" t="s">
        <v>17</v>
      </c>
      <c r="E2" s="24" t="s">
        <v>18</v>
      </c>
      <c r="F2" s="25" t="s">
        <v>19</v>
      </c>
      <c r="G2" s="26" t="s">
        <v>20</v>
      </c>
      <c r="H2" s="27" t="s">
        <v>21</v>
      </c>
      <c r="I2" s="27" t="s">
        <v>22</v>
      </c>
      <c r="J2" s="27" t="s">
        <v>23</v>
      </c>
      <c r="K2" s="27" t="s">
        <v>24</v>
      </c>
      <c r="L2" s="32" t="s">
        <v>25</v>
      </c>
      <c r="M2" s="33" t="s">
        <v>26</v>
      </c>
      <c r="N2" s="34" t="s">
        <v>27</v>
      </c>
      <c r="O2" s="33" t="s">
        <v>28</v>
      </c>
      <c r="P2" s="33" t="s">
        <v>29</v>
      </c>
      <c r="Q2" s="34" t="s">
        <v>30</v>
      </c>
      <c r="R2" s="33" t="s">
        <v>31</v>
      </c>
      <c r="S2" s="33" t="s">
        <v>32</v>
      </c>
      <c r="T2" s="33" t="s">
        <v>33</v>
      </c>
      <c r="U2" s="36" t="s">
        <v>34</v>
      </c>
      <c r="V2" s="37" t="s">
        <v>35</v>
      </c>
      <c r="W2" s="38" t="s">
        <v>36</v>
      </c>
      <c r="X2" s="39" t="s">
        <v>37</v>
      </c>
      <c r="Y2" s="37" t="s">
        <v>38</v>
      </c>
      <c r="Z2" s="37" t="s">
        <v>39</v>
      </c>
      <c r="AA2" s="39"/>
      <c r="AB2" s="39" t="s">
        <v>40</v>
      </c>
      <c r="AC2" s="41" t="s">
        <v>41</v>
      </c>
      <c r="AD2" s="39" t="s">
        <v>41</v>
      </c>
      <c r="AE2" s="41" t="s">
        <v>42</v>
      </c>
      <c r="AF2" s="41" t="s">
        <v>43</v>
      </c>
      <c r="AG2" s="41" t="s">
        <v>44</v>
      </c>
      <c r="AH2" s="41" t="s">
        <v>45</v>
      </c>
      <c r="AI2" s="42" t="s">
        <v>46</v>
      </c>
      <c r="AJ2" s="41" t="s">
        <v>47</v>
      </c>
      <c r="AK2" s="41" t="s">
        <v>48</v>
      </c>
      <c r="AL2" s="41" t="s">
        <v>49</v>
      </c>
      <c r="AM2" s="43"/>
      <c r="AN2" s="44" t="s">
        <v>50</v>
      </c>
      <c r="AP2" s="44"/>
      <c r="AQ2" s="44"/>
      <c r="AR2" s="44"/>
      <c r="AS2" s="44"/>
      <c r="AV2" s="44"/>
      <c r="AX2" s="44"/>
      <c r="AY2" s="44"/>
      <c r="BB2" s="44"/>
      <c r="BC2" s="44"/>
      <c r="BG2" s="44"/>
      <c r="BV2" s="44"/>
    </row>
    <row r="3" s="1" customFormat="1" ht="56.4" customHeight="1" spans="2:74">
      <c r="B3" s="1" t="s">
        <v>51</v>
      </c>
      <c r="C3" s="1" t="s">
        <v>52</v>
      </c>
      <c r="D3" s="1" t="s">
        <v>53</v>
      </c>
      <c r="E3" s="1" t="s">
        <v>54</v>
      </c>
      <c r="F3" s="2" t="s">
        <v>55</v>
      </c>
      <c r="G3" s="2" t="s">
        <v>56</v>
      </c>
      <c r="H3" s="1" t="s">
        <v>57</v>
      </c>
      <c r="I3" s="2" t="s">
        <v>58</v>
      </c>
      <c r="J3" s="1" t="s">
        <v>59</v>
      </c>
      <c r="K3" s="2" t="s">
        <v>60</v>
      </c>
      <c r="L3" s="1" t="s">
        <v>61</v>
      </c>
      <c r="M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68</v>
      </c>
      <c r="X3" s="1" t="s">
        <v>69</v>
      </c>
      <c r="Y3" s="1" t="s">
        <v>68</v>
      </c>
      <c r="Z3" s="1" t="s">
        <v>69</v>
      </c>
      <c r="AB3" s="1" t="s">
        <v>71</v>
      </c>
      <c r="AC3" s="1" t="s">
        <v>72</v>
      </c>
      <c r="AD3" s="1" t="s">
        <v>73</v>
      </c>
      <c r="AE3" s="1" t="s">
        <v>74</v>
      </c>
      <c r="AF3" s="1" t="s">
        <v>75</v>
      </c>
      <c r="AG3" s="1" t="s">
        <v>76</v>
      </c>
      <c r="AH3" s="1" t="s">
        <v>77</v>
      </c>
      <c r="AI3" s="1" t="s">
        <v>78</v>
      </c>
      <c r="AJ3" s="1" t="s">
        <v>79</v>
      </c>
      <c r="AK3" s="1" t="s">
        <v>80</v>
      </c>
      <c r="AL3" s="1" t="s">
        <v>81</v>
      </c>
      <c r="AN3" s="45" t="s">
        <v>82</v>
      </c>
      <c r="AO3" s="46" t="s">
        <v>83</v>
      </c>
      <c r="AP3" s="45" t="s">
        <v>84</v>
      </c>
      <c r="AQ3" s="45" t="s">
        <v>85</v>
      </c>
      <c r="AR3" s="45" t="s">
        <v>86</v>
      </c>
      <c r="AS3" s="45" t="s">
        <v>87</v>
      </c>
      <c r="AT3" s="46" t="s">
        <v>88</v>
      </c>
      <c r="AU3" s="46" t="s">
        <v>89</v>
      </c>
      <c r="AV3" s="45" t="s">
        <v>90</v>
      </c>
      <c r="AW3" s="46" t="s">
        <v>91</v>
      </c>
      <c r="AX3" s="45" t="s">
        <v>92</v>
      </c>
      <c r="AY3" s="45" t="s">
        <v>93</v>
      </c>
      <c r="AZ3" s="46" t="s">
        <v>94</v>
      </c>
      <c r="BA3" s="46" t="s">
        <v>95</v>
      </c>
      <c r="BB3" s="45" t="s">
        <v>96</v>
      </c>
      <c r="BC3" s="45" t="s">
        <v>97</v>
      </c>
      <c r="BD3" s="46" t="s">
        <v>98</v>
      </c>
      <c r="BE3" s="46" t="s">
        <v>99</v>
      </c>
      <c r="BF3" s="46" t="s">
        <v>100</v>
      </c>
      <c r="BG3" s="45" t="s">
        <v>101</v>
      </c>
      <c r="BH3" s="46" t="s">
        <v>102</v>
      </c>
      <c r="BI3" s="46" t="s">
        <v>103</v>
      </c>
      <c r="BJ3" s="1" t="s">
        <v>104</v>
      </c>
      <c r="BK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P3" s="1" t="s">
        <v>110</v>
      </c>
      <c r="BQ3" s="1" t="s">
        <v>111</v>
      </c>
      <c r="BR3" s="168" t="s">
        <v>112</v>
      </c>
      <c r="BS3" s="168" t="s">
        <v>113</v>
      </c>
      <c r="BT3" s="168" t="s">
        <v>114</v>
      </c>
      <c r="BU3" s="168" t="s">
        <v>115</v>
      </c>
      <c r="BV3" s="47" t="s">
        <v>116</v>
      </c>
    </row>
    <row r="4" spans="1:74">
      <c r="A4" s="22">
        <v>1</v>
      </c>
      <c r="B4" s="22">
        <v>1</v>
      </c>
      <c r="C4" s="22" t="s">
        <v>117</v>
      </c>
      <c r="D4" s="28">
        <v>44097</v>
      </c>
      <c r="F4" s="15">
        <v>28.07737058</v>
      </c>
      <c r="G4" s="15">
        <v>59.5287445829</v>
      </c>
      <c r="H4" s="22">
        <f>FLOOR(F4,1)</f>
        <v>28</v>
      </c>
      <c r="I4" s="31">
        <v>34.642</v>
      </c>
      <c r="J4" s="22">
        <f>FLOOR(G4,1)</f>
        <v>59</v>
      </c>
      <c r="K4" s="31">
        <v>31.73</v>
      </c>
      <c r="L4" s="22">
        <v>1.5</v>
      </c>
      <c r="M4" s="22">
        <v>0.6</v>
      </c>
      <c r="O4" s="22">
        <v>14.3</v>
      </c>
      <c r="R4" s="22">
        <v>1.79</v>
      </c>
      <c r="T4" s="22">
        <v>9</v>
      </c>
      <c r="AB4" s="22" t="s">
        <v>118</v>
      </c>
      <c r="AC4" s="22" t="s">
        <v>119</v>
      </c>
      <c r="AD4" s="22" t="s">
        <v>120</v>
      </c>
      <c r="AG4" s="22" t="s">
        <v>121</v>
      </c>
      <c r="AK4" s="22" t="s">
        <v>122</v>
      </c>
      <c r="AN4" s="23">
        <v>0</v>
      </c>
      <c r="AO4" s="22">
        <v>0</v>
      </c>
      <c r="AP4" s="23">
        <v>0</v>
      </c>
      <c r="AQ4" s="23">
        <v>0</v>
      </c>
      <c r="AR4" s="23">
        <v>0</v>
      </c>
      <c r="AS4" s="23">
        <v>0</v>
      </c>
      <c r="AT4" s="22">
        <v>0</v>
      </c>
      <c r="AU4" s="22">
        <v>1</v>
      </c>
      <c r="AV4" s="23">
        <v>0</v>
      </c>
      <c r="AW4" s="22">
        <v>0</v>
      </c>
      <c r="AX4" s="23">
        <v>0</v>
      </c>
      <c r="AY4" s="23">
        <v>0</v>
      </c>
      <c r="AZ4" s="22">
        <v>0</v>
      </c>
      <c r="BA4" s="22">
        <v>0</v>
      </c>
      <c r="BB4" s="23">
        <v>0</v>
      </c>
      <c r="BC4" s="23">
        <v>2</v>
      </c>
      <c r="BD4" s="22">
        <v>0</v>
      </c>
      <c r="BE4" s="22">
        <v>0</v>
      </c>
      <c r="BF4" s="22">
        <v>0</v>
      </c>
      <c r="BG4" s="23">
        <v>0</v>
      </c>
      <c r="BH4" s="22">
        <v>0</v>
      </c>
      <c r="BI4" s="22">
        <v>0</v>
      </c>
      <c r="BJ4" s="22">
        <v>2</v>
      </c>
      <c r="BK4" s="22">
        <v>1</v>
      </c>
      <c r="BL4" s="22">
        <v>2</v>
      </c>
      <c r="BM4" s="22">
        <v>1</v>
      </c>
      <c r="BN4" s="22">
        <v>1</v>
      </c>
      <c r="BO4" s="22">
        <v>1</v>
      </c>
      <c r="BP4" s="22">
        <v>0</v>
      </c>
      <c r="BQ4" s="22">
        <v>0</v>
      </c>
      <c r="BR4" s="22">
        <v>2</v>
      </c>
      <c r="BS4" s="22">
        <v>2</v>
      </c>
      <c r="BT4" s="22">
        <v>1</v>
      </c>
      <c r="BU4" s="22">
        <v>0</v>
      </c>
      <c r="BV4" s="23">
        <f>(BJ4+BK4+BL4+BM4+BN4+BO4+BP4+BQ4)-(BR4+BS4+BT4+BU4)</f>
        <v>3</v>
      </c>
    </row>
    <row r="5" spans="1:74">
      <c r="A5" s="22">
        <f>A4+1</f>
        <v>2</v>
      </c>
      <c r="B5" s="22">
        <v>1</v>
      </c>
      <c r="C5" s="22" t="s">
        <v>123</v>
      </c>
      <c r="D5" s="28">
        <v>44097</v>
      </c>
      <c r="E5" s="22" t="s">
        <v>124</v>
      </c>
      <c r="F5" s="15">
        <v>28.0704699154999</v>
      </c>
      <c r="G5" s="15">
        <v>59.5139503225</v>
      </c>
      <c r="H5" s="22">
        <f t="shared" ref="H5:H69" si="0">FLOOR(F5,1)</f>
        <v>28</v>
      </c>
      <c r="I5" s="31">
        <v>4.225</v>
      </c>
      <c r="J5" s="22">
        <f t="shared" ref="J5:J69" si="1">FLOOR(G5,1)</f>
        <v>59</v>
      </c>
      <c r="K5" s="31">
        <v>30.832</v>
      </c>
      <c r="L5" s="22">
        <v>7.2</v>
      </c>
      <c r="M5" s="22">
        <v>0.6</v>
      </c>
      <c r="O5" s="22">
        <v>14.7</v>
      </c>
      <c r="R5" s="22">
        <v>1.83</v>
      </c>
      <c r="T5" s="22">
        <v>8.92</v>
      </c>
      <c r="AC5" s="22" t="s">
        <v>125</v>
      </c>
      <c r="AG5" s="22" t="s">
        <v>121</v>
      </c>
      <c r="AK5" s="22" t="s">
        <v>122</v>
      </c>
      <c r="AL5" s="22" t="s">
        <v>122</v>
      </c>
      <c r="AN5" s="23">
        <v>0</v>
      </c>
      <c r="AO5" s="22">
        <v>0</v>
      </c>
      <c r="AP5" s="23">
        <v>0</v>
      </c>
      <c r="AQ5" s="23">
        <v>0</v>
      </c>
      <c r="AR5" s="23">
        <v>0</v>
      </c>
      <c r="AS5" s="23">
        <v>0</v>
      </c>
      <c r="AT5" s="22">
        <v>0</v>
      </c>
      <c r="AU5" s="22">
        <v>0</v>
      </c>
      <c r="AV5" s="23">
        <v>0</v>
      </c>
      <c r="AW5" s="22">
        <v>0</v>
      </c>
      <c r="AX5" s="23">
        <v>0</v>
      </c>
      <c r="AY5" s="23">
        <v>0</v>
      </c>
      <c r="AZ5" s="22">
        <v>0</v>
      </c>
      <c r="BA5" s="22">
        <v>0</v>
      </c>
      <c r="BB5" s="23">
        <v>0</v>
      </c>
      <c r="BC5" s="23">
        <v>1</v>
      </c>
      <c r="BD5" s="22">
        <v>0</v>
      </c>
      <c r="BE5" s="22">
        <v>0</v>
      </c>
      <c r="BF5" s="22">
        <v>0</v>
      </c>
      <c r="BG5" s="23">
        <v>0</v>
      </c>
      <c r="BH5" s="22">
        <v>0</v>
      </c>
      <c r="BI5" s="22">
        <v>0</v>
      </c>
      <c r="BJ5" s="22">
        <v>2</v>
      </c>
      <c r="BK5" s="22">
        <v>1</v>
      </c>
      <c r="BL5" s="22">
        <v>2</v>
      </c>
      <c r="BM5" s="22">
        <v>1</v>
      </c>
      <c r="BN5" s="22">
        <v>1</v>
      </c>
      <c r="BO5" s="22">
        <v>0</v>
      </c>
      <c r="BP5" s="22">
        <v>1</v>
      </c>
      <c r="BQ5" s="22">
        <v>1</v>
      </c>
      <c r="BR5" s="22">
        <v>2</v>
      </c>
      <c r="BS5" s="22">
        <v>2</v>
      </c>
      <c r="BT5" s="22">
        <v>1</v>
      </c>
      <c r="BU5" s="22">
        <v>0</v>
      </c>
      <c r="BV5" s="23">
        <f t="shared" ref="BV5:BV63" si="2">(BJ5+BK5+BL5+BM5+BN5+BO5+BP5+BQ5)-(BR5+BS5+BT5+BU5)</f>
        <v>4</v>
      </c>
    </row>
    <row r="6" spans="1:74">
      <c r="A6" s="22">
        <f t="shared" ref="A6:A69" si="3">A5+1</f>
        <v>3</v>
      </c>
      <c r="B6" s="22">
        <v>1</v>
      </c>
      <c r="C6" s="22" t="s">
        <v>126</v>
      </c>
      <c r="D6" s="28">
        <v>44097</v>
      </c>
      <c r="F6" s="15">
        <v>28.052247584</v>
      </c>
      <c r="G6" s="15">
        <v>59.4918218294999</v>
      </c>
      <c r="H6" s="22">
        <f t="shared" si="0"/>
        <v>28</v>
      </c>
      <c r="I6" s="31">
        <v>3.136</v>
      </c>
      <c r="J6" s="22">
        <f t="shared" si="1"/>
        <v>59</v>
      </c>
      <c r="K6" s="31">
        <v>29.514</v>
      </c>
      <c r="L6" s="22">
        <v>3</v>
      </c>
      <c r="M6" s="22">
        <v>0.8</v>
      </c>
      <c r="O6" s="22">
        <v>14.7</v>
      </c>
      <c r="R6" s="22">
        <v>1.99</v>
      </c>
      <c r="T6" s="22">
        <v>8.26</v>
      </c>
      <c r="AC6" s="22" t="s">
        <v>127</v>
      </c>
      <c r="AE6" s="22" t="s">
        <v>122</v>
      </c>
      <c r="AF6" s="22" t="s">
        <v>128</v>
      </c>
      <c r="AG6" s="22" t="s">
        <v>121</v>
      </c>
      <c r="AK6" s="22" t="s">
        <v>122</v>
      </c>
      <c r="AN6" s="23">
        <v>0</v>
      </c>
      <c r="AO6" s="22">
        <v>0</v>
      </c>
      <c r="AP6" s="23">
        <v>0</v>
      </c>
      <c r="AQ6" s="23">
        <v>0</v>
      </c>
      <c r="AR6" s="23">
        <v>0</v>
      </c>
      <c r="AS6" s="23">
        <v>0</v>
      </c>
      <c r="AT6" s="22">
        <v>0</v>
      </c>
      <c r="AU6" s="22">
        <v>0</v>
      </c>
      <c r="AV6" s="23">
        <v>0</v>
      </c>
      <c r="AW6" s="22">
        <v>0</v>
      </c>
      <c r="AX6" s="23">
        <v>0</v>
      </c>
      <c r="AY6" s="23">
        <v>0</v>
      </c>
      <c r="AZ6" s="22">
        <v>0</v>
      </c>
      <c r="BA6" s="22">
        <v>0</v>
      </c>
      <c r="BB6" s="23">
        <v>0</v>
      </c>
      <c r="BC6" s="23">
        <v>1</v>
      </c>
      <c r="BD6" s="22">
        <v>0</v>
      </c>
      <c r="BE6" s="22">
        <v>0</v>
      </c>
      <c r="BF6" s="22">
        <v>0</v>
      </c>
      <c r="BG6" s="23">
        <v>0</v>
      </c>
      <c r="BH6" s="22">
        <v>0</v>
      </c>
      <c r="BI6" s="22">
        <v>0</v>
      </c>
      <c r="BJ6" s="22">
        <v>2</v>
      </c>
      <c r="BK6" s="22">
        <v>1</v>
      </c>
      <c r="BL6" s="22">
        <v>2</v>
      </c>
      <c r="BM6" s="22">
        <v>1</v>
      </c>
      <c r="BN6" s="22">
        <v>1</v>
      </c>
      <c r="BO6" s="22">
        <v>1</v>
      </c>
      <c r="BP6" s="22">
        <v>1</v>
      </c>
      <c r="BQ6" s="22">
        <v>1</v>
      </c>
      <c r="BR6" s="22">
        <v>2</v>
      </c>
      <c r="BS6" s="22">
        <v>2</v>
      </c>
      <c r="BT6" s="22">
        <v>1</v>
      </c>
      <c r="BU6" s="22">
        <v>0</v>
      </c>
      <c r="BV6" s="23">
        <f t="shared" si="2"/>
        <v>5</v>
      </c>
    </row>
    <row r="7" spans="1:74">
      <c r="A7" s="22">
        <f t="shared" si="3"/>
        <v>4</v>
      </c>
      <c r="B7" s="22">
        <v>1</v>
      </c>
      <c r="C7" s="22" t="s">
        <v>129</v>
      </c>
      <c r="D7" s="28">
        <v>44097</v>
      </c>
      <c r="F7" s="15">
        <v>28.0336803325999</v>
      </c>
      <c r="G7" s="15">
        <v>59.4958311556</v>
      </c>
      <c r="H7" s="22">
        <f t="shared" si="0"/>
        <v>28</v>
      </c>
      <c r="I7" s="31">
        <v>2.209</v>
      </c>
      <c r="J7" s="22">
        <f t="shared" si="1"/>
        <v>59</v>
      </c>
      <c r="K7" s="31">
        <v>29.746</v>
      </c>
      <c r="L7" s="22">
        <v>9</v>
      </c>
      <c r="M7" s="22">
        <v>1</v>
      </c>
      <c r="O7" s="22">
        <v>14.1</v>
      </c>
      <c r="R7" s="22">
        <v>2</v>
      </c>
      <c r="T7" s="22">
        <v>8.44</v>
      </c>
      <c r="AC7" s="22" t="s">
        <v>130</v>
      </c>
      <c r="AG7" s="22" t="s">
        <v>121</v>
      </c>
      <c r="AK7" s="22" t="s">
        <v>122</v>
      </c>
      <c r="AL7" s="22" t="s">
        <v>122</v>
      </c>
      <c r="AN7" s="23">
        <v>0</v>
      </c>
      <c r="AO7" s="22">
        <v>0</v>
      </c>
      <c r="AP7" s="23">
        <v>0</v>
      </c>
      <c r="AQ7" s="23">
        <v>0</v>
      </c>
      <c r="AR7" s="23">
        <v>0</v>
      </c>
      <c r="AS7" s="23">
        <v>0</v>
      </c>
      <c r="AT7" s="22">
        <v>0</v>
      </c>
      <c r="AU7" s="22">
        <v>0</v>
      </c>
      <c r="AV7" s="23">
        <v>0</v>
      </c>
      <c r="AW7" s="22">
        <v>0</v>
      </c>
      <c r="AX7" s="23">
        <v>0</v>
      </c>
      <c r="AY7" s="23">
        <v>0</v>
      </c>
      <c r="AZ7" s="22">
        <v>0</v>
      </c>
      <c r="BA7" s="22">
        <v>0</v>
      </c>
      <c r="BB7" s="23">
        <v>0</v>
      </c>
      <c r="BC7" s="23">
        <v>2</v>
      </c>
      <c r="BD7" s="22">
        <v>0</v>
      </c>
      <c r="BE7" s="22">
        <v>0</v>
      </c>
      <c r="BF7" s="22">
        <v>0</v>
      </c>
      <c r="BG7" s="23">
        <v>0</v>
      </c>
      <c r="BH7" s="22">
        <v>0</v>
      </c>
      <c r="BI7" s="22">
        <v>0</v>
      </c>
      <c r="BJ7" s="22">
        <v>1</v>
      </c>
      <c r="BK7" s="22">
        <v>1</v>
      </c>
      <c r="BL7" s="22">
        <v>2</v>
      </c>
      <c r="BM7" s="22">
        <v>1</v>
      </c>
      <c r="BN7" s="22">
        <v>1</v>
      </c>
      <c r="BO7" s="22">
        <v>0</v>
      </c>
      <c r="BP7" s="22">
        <v>1</v>
      </c>
      <c r="BQ7" s="22">
        <v>1</v>
      </c>
      <c r="BR7" s="22">
        <v>2</v>
      </c>
      <c r="BS7" s="22">
        <v>2</v>
      </c>
      <c r="BT7" s="22">
        <v>1</v>
      </c>
      <c r="BU7" s="22">
        <v>0</v>
      </c>
      <c r="BV7" s="23">
        <f t="shared" si="2"/>
        <v>3</v>
      </c>
    </row>
    <row r="8" spans="1:74">
      <c r="A8" s="22">
        <f t="shared" si="3"/>
        <v>5</v>
      </c>
      <c r="B8" s="22">
        <v>1</v>
      </c>
      <c r="C8" s="22" t="s">
        <v>131</v>
      </c>
      <c r="D8" s="28">
        <v>44097</v>
      </c>
      <c r="F8" s="15">
        <v>28.0556817977</v>
      </c>
      <c r="G8" s="15">
        <v>59.5176347112</v>
      </c>
      <c r="H8" s="22">
        <f t="shared" si="0"/>
        <v>28</v>
      </c>
      <c r="I8" s="31">
        <v>3.34</v>
      </c>
      <c r="J8" s="22">
        <f t="shared" si="1"/>
        <v>59</v>
      </c>
      <c r="K8" s="31">
        <v>31.056</v>
      </c>
      <c r="L8" s="22">
        <v>8</v>
      </c>
      <c r="M8" s="22">
        <v>1</v>
      </c>
      <c r="O8" s="22">
        <v>14</v>
      </c>
      <c r="R8" s="22">
        <v>2.67</v>
      </c>
      <c r="T8" s="22">
        <v>8.99</v>
      </c>
      <c r="AC8" s="22" t="s">
        <v>119</v>
      </c>
      <c r="AG8" s="22" t="s">
        <v>121</v>
      </c>
      <c r="AK8" s="22" t="s">
        <v>122</v>
      </c>
      <c r="AL8" s="22" t="s">
        <v>122</v>
      </c>
      <c r="AN8" s="23">
        <v>0</v>
      </c>
      <c r="AO8" s="22">
        <v>0</v>
      </c>
      <c r="AP8" s="23">
        <v>0</v>
      </c>
      <c r="AQ8" s="23">
        <v>0</v>
      </c>
      <c r="AR8" s="23">
        <v>0</v>
      </c>
      <c r="AS8" s="23">
        <v>0</v>
      </c>
      <c r="AT8" s="22">
        <v>0</v>
      </c>
      <c r="AU8" s="22">
        <v>0</v>
      </c>
      <c r="AV8" s="23">
        <v>0</v>
      </c>
      <c r="AW8" s="22">
        <v>0</v>
      </c>
      <c r="AX8" s="23">
        <v>0</v>
      </c>
      <c r="AY8" s="23">
        <v>0</v>
      </c>
      <c r="AZ8" s="22">
        <v>0</v>
      </c>
      <c r="BA8" s="22">
        <v>0</v>
      </c>
      <c r="BB8" s="23">
        <v>0</v>
      </c>
      <c r="BC8" s="23">
        <v>2</v>
      </c>
      <c r="BD8" s="22">
        <v>0</v>
      </c>
      <c r="BE8" s="22">
        <v>0</v>
      </c>
      <c r="BF8" s="22">
        <v>0</v>
      </c>
      <c r="BG8" s="23">
        <v>0</v>
      </c>
      <c r="BH8" s="22">
        <v>0</v>
      </c>
      <c r="BI8" s="22">
        <v>0</v>
      </c>
      <c r="BJ8" s="22">
        <v>1</v>
      </c>
      <c r="BK8" s="22">
        <v>1</v>
      </c>
      <c r="BL8" s="22">
        <v>2</v>
      </c>
      <c r="BM8" s="22">
        <v>1</v>
      </c>
      <c r="BN8" s="22">
        <v>1</v>
      </c>
      <c r="BO8" s="22">
        <v>0</v>
      </c>
      <c r="BP8" s="22">
        <v>1</v>
      </c>
      <c r="BQ8" s="22">
        <v>1</v>
      </c>
      <c r="BR8" s="22">
        <v>2</v>
      </c>
      <c r="BS8" s="22">
        <v>2</v>
      </c>
      <c r="BT8" s="22">
        <v>1</v>
      </c>
      <c r="BU8" s="22">
        <v>0</v>
      </c>
      <c r="BV8" s="23">
        <f t="shared" si="2"/>
        <v>3</v>
      </c>
    </row>
    <row r="9" spans="1:75">
      <c r="A9" s="22">
        <f t="shared" si="3"/>
        <v>6</v>
      </c>
      <c r="B9" s="22">
        <v>1</v>
      </c>
      <c r="C9" s="22" t="s">
        <v>132</v>
      </c>
      <c r="D9" s="28">
        <v>44097</v>
      </c>
      <c r="F9" s="15">
        <v>28.0368359365</v>
      </c>
      <c r="G9" s="15">
        <v>59.5225376949</v>
      </c>
      <c r="H9" s="22">
        <f t="shared" si="0"/>
        <v>28</v>
      </c>
      <c r="I9" s="31">
        <v>2.218</v>
      </c>
      <c r="J9" s="22">
        <f t="shared" si="1"/>
        <v>59</v>
      </c>
      <c r="K9" s="31">
        <v>31.349</v>
      </c>
      <c r="L9" s="22">
        <v>11</v>
      </c>
      <c r="M9" s="22">
        <v>1</v>
      </c>
      <c r="O9" s="22">
        <v>14</v>
      </c>
      <c r="R9" s="22">
        <v>2.68</v>
      </c>
      <c r="T9" s="22">
        <v>8.3</v>
      </c>
      <c r="AC9" s="22" t="s">
        <v>133</v>
      </c>
      <c r="AD9" s="22" t="s">
        <v>134</v>
      </c>
      <c r="AG9" s="22" t="s">
        <v>121</v>
      </c>
      <c r="AK9" s="22" t="s">
        <v>122</v>
      </c>
      <c r="AL9" s="22" t="s">
        <v>122</v>
      </c>
      <c r="AN9" s="23">
        <v>1</v>
      </c>
      <c r="AO9" s="22">
        <v>0</v>
      </c>
      <c r="AP9" s="23">
        <v>0</v>
      </c>
      <c r="AQ9" s="23">
        <v>0</v>
      </c>
      <c r="AR9" s="23">
        <v>0</v>
      </c>
      <c r="AS9" s="23">
        <v>0</v>
      </c>
      <c r="AT9" s="22">
        <v>0</v>
      </c>
      <c r="AU9" s="22">
        <v>0</v>
      </c>
      <c r="AV9" s="23">
        <v>0</v>
      </c>
      <c r="AW9" s="22">
        <v>0</v>
      </c>
      <c r="AX9" s="23">
        <v>3</v>
      </c>
      <c r="AY9" s="23">
        <v>0</v>
      </c>
      <c r="AZ9" s="22">
        <v>0</v>
      </c>
      <c r="BA9" s="22">
        <v>0</v>
      </c>
      <c r="BB9" s="23">
        <v>0</v>
      </c>
      <c r="BC9" s="23">
        <v>2</v>
      </c>
      <c r="BD9" s="22">
        <v>0</v>
      </c>
      <c r="BE9" s="22">
        <v>0</v>
      </c>
      <c r="BF9" s="22">
        <v>0</v>
      </c>
      <c r="BG9" s="23">
        <v>0</v>
      </c>
      <c r="BH9" s="22">
        <v>0</v>
      </c>
      <c r="BI9" s="22">
        <v>0</v>
      </c>
      <c r="BJ9" s="22">
        <v>4</v>
      </c>
      <c r="BK9" s="22">
        <v>3</v>
      </c>
      <c r="BL9" s="22">
        <v>2</v>
      </c>
      <c r="BM9" s="22">
        <v>1</v>
      </c>
      <c r="BN9" s="22">
        <v>1</v>
      </c>
      <c r="BO9" s="22">
        <v>0</v>
      </c>
      <c r="BP9" s="22">
        <v>1</v>
      </c>
      <c r="BQ9" s="22">
        <v>2</v>
      </c>
      <c r="BR9" s="22">
        <v>2</v>
      </c>
      <c r="BS9" s="22">
        <v>2</v>
      </c>
      <c r="BT9" s="22">
        <v>0</v>
      </c>
      <c r="BU9" s="22">
        <v>0</v>
      </c>
      <c r="BV9" s="23">
        <f t="shared" si="2"/>
        <v>10</v>
      </c>
      <c r="BW9" s="22" t="s">
        <v>135</v>
      </c>
    </row>
    <row r="10" spans="1:75">
      <c r="A10" s="22">
        <f t="shared" si="3"/>
        <v>7</v>
      </c>
      <c r="B10" s="22">
        <v>1</v>
      </c>
      <c r="C10" s="22" t="s">
        <v>136</v>
      </c>
      <c r="D10" s="28">
        <v>44097</v>
      </c>
      <c r="E10" s="22" t="s">
        <v>124</v>
      </c>
      <c r="F10" s="15">
        <v>28.0087903613</v>
      </c>
      <c r="G10" s="15">
        <v>59.5034509369</v>
      </c>
      <c r="H10" s="22">
        <f t="shared" si="0"/>
        <v>28</v>
      </c>
      <c r="I10" s="31">
        <v>0.528</v>
      </c>
      <c r="J10" s="22">
        <f t="shared" si="1"/>
        <v>59</v>
      </c>
      <c r="K10" s="31">
        <v>30.204</v>
      </c>
      <c r="L10" s="22">
        <v>14.5</v>
      </c>
      <c r="M10" s="22">
        <v>0.8</v>
      </c>
      <c r="O10" s="22">
        <v>14</v>
      </c>
      <c r="R10" s="22">
        <v>2.2</v>
      </c>
      <c r="T10" s="22">
        <v>8.89</v>
      </c>
      <c r="AC10" s="22" t="s">
        <v>137</v>
      </c>
      <c r="AD10" s="22" t="s">
        <v>138</v>
      </c>
      <c r="AG10" s="22" t="s">
        <v>121</v>
      </c>
      <c r="AK10" s="22" t="s">
        <v>122</v>
      </c>
      <c r="AL10" s="22" t="s">
        <v>122</v>
      </c>
      <c r="AN10" s="23">
        <v>0</v>
      </c>
      <c r="AO10" s="22">
        <v>1</v>
      </c>
      <c r="AP10" s="23">
        <v>0</v>
      </c>
      <c r="AQ10" s="23">
        <v>0</v>
      </c>
      <c r="AR10" s="23">
        <v>0</v>
      </c>
      <c r="AS10" s="23">
        <v>1</v>
      </c>
      <c r="AT10" s="22">
        <v>0</v>
      </c>
      <c r="AU10" s="22">
        <v>0</v>
      </c>
      <c r="AV10" s="23">
        <v>0</v>
      </c>
      <c r="AW10" s="22">
        <v>0</v>
      </c>
      <c r="AX10" s="23">
        <v>8</v>
      </c>
      <c r="AY10" s="23">
        <v>0</v>
      </c>
      <c r="AZ10" s="22">
        <v>0</v>
      </c>
      <c r="BA10" s="22">
        <v>0</v>
      </c>
      <c r="BB10" s="23">
        <v>0</v>
      </c>
      <c r="BC10" s="23">
        <v>3</v>
      </c>
      <c r="BD10" s="22">
        <v>0</v>
      </c>
      <c r="BE10" s="22">
        <v>0</v>
      </c>
      <c r="BF10" s="22">
        <v>0</v>
      </c>
      <c r="BG10" s="23">
        <v>0</v>
      </c>
      <c r="BH10" s="22">
        <v>0</v>
      </c>
      <c r="BI10" s="22">
        <v>0</v>
      </c>
      <c r="BJ10" s="22">
        <v>5</v>
      </c>
      <c r="BK10" s="22">
        <v>5</v>
      </c>
      <c r="BL10" s="22">
        <v>2</v>
      </c>
      <c r="BM10" s="22">
        <v>2</v>
      </c>
      <c r="BN10" s="22">
        <v>1</v>
      </c>
      <c r="BO10" s="22">
        <v>0</v>
      </c>
      <c r="BP10" s="22">
        <v>1</v>
      </c>
      <c r="BQ10" s="22">
        <v>2</v>
      </c>
      <c r="BR10" s="22">
        <v>2</v>
      </c>
      <c r="BS10" s="22">
        <v>2</v>
      </c>
      <c r="BT10" s="22">
        <v>0</v>
      </c>
      <c r="BU10" s="22">
        <v>0</v>
      </c>
      <c r="BV10" s="23">
        <f t="shared" si="2"/>
        <v>14</v>
      </c>
      <c r="BW10" s="22" t="s">
        <v>135</v>
      </c>
    </row>
    <row r="11" spans="1:74">
      <c r="A11" s="22">
        <f t="shared" si="3"/>
        <v>8</v>
      </c>
      <c r="B11" s="22">
        <v>1</v>
      </c>
      <c r="C11" s="22" t="s">
        <v>139</v>
      </c>
      <c r="D11" s="28">
        <v>44097</v>
      </c>
      <c r="F11" s="15">
        <v>27.9596454140999</v>
      </c>
      <c r="G11" s="15">
        <v>59.521641569</v>
      </c>
      <c r="H11" s="22">
        <f t="shared" si="0"/>
        <v>27</v>
      </c>
      <c r="I11" s="31">
        <v>57.582</v>
      </c>
      <c r="J11" s="22">
        <f t="shared" si="1"/>
        <v>59</v>
      </c>
      <c r="K11" s="31">
        <v>31.294</v>
      </c>
      <c r="L11" s="22">
        <v>17</v>
      </c>
      <c r="M11" s="22">
        <v>1.5</v>
      </c>
      <c r="O11" s="22">
        <v>14</v>
      </c>
      <c r="R11" s="22">
        <v>3.21</v>
      </c>
      <c r="T11" s="22">
        <v>8.63</v>
      </c>
      <c r="AC11" s="22" t="s">
        <v>140</v>
      </c>
      <c r="AG11" s="22" t="s">
        <v>121</v>
      </c>
      <c r="AK11" s="22" t="s">
        <v>122</v>
      </c>
      <c r="AL11" s="22" t="s">
        <v>122</v>
      </c>
      <c r="AN11" s="23">
        <v>0</v>
      </c>
      <c r="AO11" s="22">
        <v>0</v>
      </c>
      <c r="AP11" s="23">
        <v>0</v>
      </c>
      <c r="AQ11" s="23">
        <v>0</v>
      </c>
      <c r="AR11" s="23">
        <v>0</v>
      </c>
      <c r="AS11" s="23">
        <v>0</v>
      </c>
      <c r="AT11" s="22">
        <v>0</v>
      </c>
      <c r="AU11" s="22">
        <v>0</v>
      </c>
      <c r="AV11" s="23">
        <v>0</v>
      </c>
      <c r="AW11" s="22">
        <v>0</v>
      </c>
      <c r="AX11" s="23">
        <v>1</v>
      </c>
      <c r="AY11" s="23">
        <v>0</v>
      </c>
      <c r="AZ11" s="22">
        <v>0</v>
      </c>
      <c r="BA11" s="22">
        <v>0</v>
      </c>
      <c r="BB11" s="23">
        <v>0</v>
      </c>
      <c r="BC11" s="23">
        <v>0</v>
      </c>
      <c r="BD11" s="22">
        <v>0</v>
      </c>
      <c r="BE11" s="22">
        <v>0</v>
      </c>
      <c r="BF11" s="22">
        <v>0</v>
      </c>
      <c r="BG11" s="23">
        <v>0</v>
      </c>
      <c r="BH11" s="22">
        <v>0</v>
      </c>
      <c r="BI11" s="22">
        <v>0</v>
      </c>
      <c r="BJ11" s="22">
        <v>1</v>
      </c>
      <c r="BK11" s="22">
        <v>1</v>
      </c>
      <c r="BL11" s="22">
        <v>3</v>
      </c>
      <c r="BM11" s="22">
        <v>1</v>
      </c>
      <c r="BN11" s="22">
        <v>0</v>
      </c>
      <c r="BO11" s="22">
        <v>0</v>
      </c>
      <c r="BP11" s="22">
        <v>1</v>
      </c>
      <c r="BQ11" s="22">
        <v>1</v>
      </c>
      <c r="BR11" s="22">
        <v>2</v>
      </c>
      <c r="BS11" s="22">
        <v>0</v>
      </c>
      <c r="BT11" s="22">
        <v>0</v>
      </c>
      <c r="BU11" s="22">
        <v>0</v>
      </c>
      <c r="BV11" s="23">
        <f t="shared" si="2"/>
        <v>6</v>
      </c>
    </row>
    <row r="12" spans="1:74">
      <c r="A12" s="22">
        <f t="shared" si="3"/>
        <v>9</v>
      </c>
      <c r="B12" s="22">
        <v>1</v>
      </c>
      <c r="C12" s="22" t="s">
        <v>141</v>
      </c>
      <c r="D12" s="28">
        <v>44097</v>
      </c>
      <c r="E12" s="22" t="s">
        <v>124</v>
      </c>
      <c r="F12" s="15">
        <v>28.0306883898</v>
      </c>
      <c r="G12" s="15">
        <v>59.5701086656</v>
      </c>
      <c r="H12" s="22">
        <f t="shared" si="0"/>
        <v>28</v>
      </c>
      <c r="I12" s="31">
        <v>1.845</v>
      </c>
      <c r="J12" s="22">
        <f t="shared" si="1"/>
        <v>59</v>
      </c>
      <c r="K12" s="31">
        <v>34.21</v>
      </c>
      <c r="L12" s="22">
        <v>9.5</v>
      </c>
      <c r="M12" s="22">
        <v>1</v>
      </c>
      <c r="O12" s="22">
        <v>14.2</v>
      </c>
      <c r="R12" s="22">
        <v>2.68</v>
      </c>
      <c r="T12" s="22">
        <v>8.98</v>
      </c>
      <c r="AC12" s="22" t="s">
        <v>142</v>
      </c>
      <c r="AD12" s="22" t="s">
        <v>143</v>
      </c>
      <c r="AG12" s="22" t="s">
        <v>121</v>
      </c>
      <c r="AK12" s="22" t="s">
        <v>122</v>
      </c>
      <c r="AL12" s="22" t="s">
        <v>122</v>
      </c>
      <c r="AN12" s="23">
        <v>0</v>
      </c>
      <c r="AO12" s="22">
        <v>0</v>
      </c>
      <c r="AP12" s="23">
        <v>0</v>
      </c>
      <c r="AQ12" s="23">
        <v>0</v>
      </c>
      <c r="AR12" s="23">
        <v>0</v>
      </c>
      <c r="AS12" s="23">
        <v>0</v>
      </c>
      <c r="AT12" s="22">
        <v>0</v>
      </c>
      <c r="AU12" s="22">
        <v>0</v>
      </c>
      <c r="AV12" s="23">
        <v>0</v>
      </c>
      <c r="AW12" s="22">
        <v>0</v>
      </c>
      <c r="AX12" s="23">
        <v>3</v>
      </c>
      <c r="AY12" s="23">
        <v>0</v>
      </c>
      <c r="AZ12" s="22">
        <v>0</v>
      </c>
      <c r="BA12" s="22">
        <v>0</v>
      </c>
      <c r="BB12" s="23">
        <v>0</v>
      </c>
      <c r="BC12" s="23">
        <v>1</v>
      </c>
      <c r="BD12" s="22">
        <v>0</v>
      </c>
      <c r="BE12" s="22">
        <v>0</v>
      </c>
      <c r="BF12" s="22">
        <v>0</v>
      </c>
      <c r="BG12" s="23">
        <v>0</v>
      </c>
      <c r="BH12" s="22">
        <v>0</v>
      </c>
      <c r="BI12" s="22">
        <v>0</v>
      </c>
      <c r="BJ12" s="22">
        <v>2</v>
      </c>
      <c r="BK12" s="22">
        <v>2</v>
      </c>
      <c r="BL12" s="22">
        <v>2</v>
      </c>
      <c r="BM12" s="22">
        <v>1</v>
      </c>
      <c r="BN12" s="22">
        <v>1</v>
      </c>
      <c r="BO12" s="22">
        <v>0</v>
      </c>
      <c r="BP12" s="22">
        <v>1</v>
      </c>
      <c r="BQ12" s="22">
        <v>1</v>
      </c>
      <c r="BR12" s="22">
        <v>2</v>
      </c>
      <c r="BS12" s="22">
        <v>0</v>
      </c>
      <c r="BT12" s="22">
        <v>0</v>
      </c>
      <c r="BU12" s="22">
        <v>0</v>
      </c>
      <c r="BV12" s="23">
        <f t="shared" si="2"/>
        <v>8</v>
      </c>
    </row>
    <row r="13" spans="1:74">
      <c r="A13" s="22">
        <f t="shared" si="3"/>
        <v>10</v>
      </c>
      <c r="B13" s="22">
        <v>1</v>
      </c>
      <c r="C13" s="22" t="s">
        <v>144</v>
      </c>
      <c r="D13" s="28">
        <v>44097</v>
      </c>
      <c r="F13" s="15">
        <v>27.9883917133</v>
      </c>
      <c r="G13" s="15">
        <v>59.5650885081999</v>
      </c>
      <c r="H13" s="22">
        <f t="shared" si="0"/>
        <v>27</v>
      </c>
      <c r="I13" s="31">
        <v>59.308</v>
      </c>
      <c r="J13" s="22">
        <f t="shared" si="1"/>
        <v>59</v>
      </c>
      <c r="K13" s="31">
        <v>33.91</v>
      </c>
      <c r="L13" s="22">
        <v>11</v>
      </c>
      <c r="M13" s="22">
        <v>1.5</v>
      </c>
      <c r="O13" s="22">
        <v>14.7</v>
      </c>
      <c r="R13" s="22">
        <v>3.24</v>
      </c>
      <c r="T13" s="22">
        <v>8.98</v>
      </c>
      <c r="AC13" s="22" t="s">
        <v>145</v>
      </c>
      <c r="AG13" s="22" t="s">
        <v>121</v>
      </c>
      <c r="AK13" s="22" t="s">
        <v>122</v>
      </c>
      <c r="AL13" s="22" t="s">
        <v>122</v>
      </c>
      <c r="AN13" s="23">
        <v>0</v>
      </c>
      <c r="AO13" s="22">
        <v>0</v>
      </c>
      <c r="AP13" s="23">
        <v>0</v>
      </c>
      <c r="AQ13" s="23">
        <v>0</v>
      </c>
      <c r="AR13" s="23">
        <v>0</v>
      </c>
      <c r="AS13" s="23">
        <v>0</v>
      </c>
      <c r="AT13" s="22">
        <v>0</v>
      </c>
      <c r="AU13" s="22">
        <v>0</v>
      </c>
      <c r="AV13" s="23">
        <v>0</v>
      </c>
      <c r="AW13" s="22">
        <v>0</v>
      </c>
      <c r="AX13" s="23">
        <v>1</v>
      </c>
      <c r="AY13" s="23">
        <v>0</v>
      </c>
      <c r="AZ13" s="22">
        <v>0</v>
      </c>
      <c r="BA13" s="22">
        <v>0</v>
      </c>
      <c r="BB13" s="23">
        <v>0</v>
      </c>
      <c r="BC13" s="23">
        <v>1</v>
      </c>
      <c r="BD13" s="22">
        <v>0</v>
      </c>
      <c r="BE13" s="22">
        <v>0</v>
      </c>
      <c r="BF13" s="22">
        <v>0</v>
      </c>
      <c r="BG13" s="23">
        <v>0</v>
      </c>
      <c r="BH13" s="22">
        <v>0</v>
      </c>
      <c r="BI13" s="22">
        <v>0</v>
      </c>
      <c r="BJ13" s="22">
        <v>2</v>
      </c>
      <c r="BK13" s="22">
        <v>1</v>
      </c>
      <c r="BL13" s="22">
        <v>3</v>
      </c>
      <c r="BM13" s="22">
        <v>1</v>
      </c>
      <c r="BN13" s="22">
        <v>1</v>
      </c>
      <c r="BO13" s="22">
        <v>0</v>
      </c>
      <c r="BP13" s="22">
        <v>1</v>
      </c>
      <c r="BQ13" s="22">
        <v>1</v>
      </c>
      <c r="BR13" s="22">
        <v>2</v>
      </c>
      <c r="BS13" s="22">
        <v>2</v>
      </c>
      <c r="BT13" s="22">
        <v>0</v>
      </c>
      <c r="BU13" s="22">
        <v>0</v>
      </c>
      <c r="BV13" s="23">
        <f t="shared" si="2"/>
        <v>6</v>
      </c>
    </row>
    <row r="14" spans="1:74">
      <c r="A14" s="22">
        <f t="shared" si="3"/>
        <v>11</v>
      </c>
      <c r="B14" s="22">
        <v>1</v>
      </c>
      <c r="C14" s="22" t="s">
        <v>146</v>
      </c>
      <c r="D14" s="28">
        <v>44097</v>
      </c>
      <c r="E14" s="22" t="s">
        <v>124</v>
      </c>
      <c r="F14" s="15">
        <v>27.9549262042</v>
      </c>
      <c r="G14" s="15">
        <v>59.5614756912999</v>
      </c>
      <c r="H14" s="22">
        <f t="shared" si="0"/>
        <v>27</v>
      </c>
      <c r="I14" s="31">
        <v>57.304</v>
      </c>
      <c r="J14" s="22">
        <f t="shared" si="1"/>
        <v>59</v>
      </c>
      <c r="K14" s="31">
        <v>33.691</v>
      </c>
      <c r="L14" s="22">
        <v>14.5</v>
      </c>
      <c r="M14" s="22">
        <v>1.4</v>
      </c>
      <c r="O14" s="22">
        <v>14.3</v>
      </c>
      <c r="R14" s="22">
        <v>3.36</v>
      </c>
      <c r="T14" s="22">
        <v>8.85</v>
      </c>
      <c r="AC14" s="22" t="s">
        <v>147</v>
      </c>
      <c r="AD14" s="22" t="s">
        <v>148</v>
      </c>
      <c r="AG14" s="22" t="s">
        <v>121</v>
      </c>
      <c r="AK14" s="22" t="s">
        <v>122</v>
      </c>
      <c r="AL14" s="22" t="s">
        <v>122</v>
      </c>
      <c r="AN14" s="23">
        <v>0</v>
      </c>
      <c r="AO14" s="22">
        <v>0</v>
      </c>
      <c r="AP14" s="23">
        <v>0</v>
      </c>
      <c r="AQ14" s="23">
        <v>0</v>
      </c>
      <c r="AR14" s="23">
        <v>0</v>
      </c>
      <c r="AS14" s="23">
        <v>0</v>
      </c>
      <c r="AT14" s="22">
        <v>0</v>
      </c>
      <c r="AU14" s="22">
        <v>0</v>
      </c>
      <c r="AV14" s="23">
        <v>0</v>
      </c>
      <c r="AW14" s="22">
        <v>0</v>
      </c>
      <c r="AX14" s="23">
        <v>1</v>
      </c>
      <c r="AY14" s="23">
        <v>0</v>
      </c>
      <c r="AZ14" s="22">
        <v>0</v>
      </c>
      <c r="BA14" s="22">
        <v>0</v>
      </c>
      <c r="BB14" s="23">
        <v>0</v>
      </c>
      <c r="BC14" s="23">
        <v>0</v>
      </c>
      <c r="BD14" s="22">
        <v>0</v>
      </c>
      <c r="BE14" s="22">
        <v>0</v>
      </c>
      <c r="BF14" s="22">
        <v>0</v>
      </c>
      <c r="BG14" s="23">
        <v>0</v>
      </c>
      <c r="BH14" s="22">
        <v>0</v>
      </c>
      <c r="BI14" s="22">
        <v>0</v>
      </c>
      <c r="BJ14" s="22">
        <v>1</v>
      </c>
      <c r="BK14" s="22">
        <v>1</v>
      </c>
      <c r="BL14" s="22">
        <v>3</v>
      </c>
      <c r="BM14" s="22">
        <v>1</v>
      </c>
      <c r="BN14" s="22">
        <v>0</v>
      </c>
      <c r="BO14" s="22">
        <v>1</v>
      </c>
      <c r="BP14" s="22">
        <v>0</v>
      </c>
      <c r="BQ14" s="22">
        <v>0</v>
      </c>
      <c r="BR14" s="22">
        <v>2</v>
      </c>
      <c r="BS14" s="22">
        <v>0</v>
      </c>
      <c r="BT14" s="22">
        <v>1</v>
      </c>
      <c r="BU14" s="22">
        <v>0</v>
      </c>
      <c r="BV14" s="23">
        <f t="shared" si="2"/>
        <v>4</v>
      </c>
    </row>
    <row r="15" spans="1:74">
      <c r="A15" s="22">
        <f t="shared" si="3"/>
        <v>12</v>
      </c>
      <c r="B15" s="22">
        <v>1</v>
      </c>
      <c r="C15" s="22" t="s">
        <v>149</v>
      </c>
      <c r="D15" s="28">
        <v>44097</v>
      </c>
      <c r="F15" s="15">
        <v>27.8966409247</v>
      </c>
      <c r="G15" s="15">
        <v>59.5705010366</v>
      </c>
      <c r="H15" s="22">
        <f t="shared" si="0"/>
        <v>27</v>
      </c>
      <c r="I15" s="31">
        <v>53.84</v>
      </c>
      <c r="J15" s="22">
        <f t="shared" si="1"/>
        <v>59</v>
      </c>
      <c r="K15" s="31">
        <v>34.232</v>
      </c>
      <c r="L15" s="22">
        <v>22.5</v>
      </c>
      <c r="M15" s="22">
        <v>1.7</v>
      </c>
      <c r="O15" s="22">
        <v>14.7</v>
      </c>
      <c r="Q15" s="22">
        <v>10</v>
      </c>
      <c r="R15" s="22">
        <v>3.36</v>
      </c>
      <c r="T15" s="22">
        <v>8.89</v>
      </c>
      <c r="AC15" s="22" t="s">
        <v>127</v>
      </c>
      <c r="AG15" s="22" t="s">
        <v>121</v>
      </c>
      <c r="AK15" s="22" t="s">
        <v>122</v>
      </c>
      <c r="AL15" s="22" t="s">
        <v>122</v>
      </c>
      <c r="AN15" s="23">
        <v>0</v>
      </c>
      <c r="AO15" s="22">
        <v>0</v>
      </c>
      <c r="AP15" s="23">
        <v>0</v>
      </c>
      <c r="AQ15" s="23">
        <v>0</v>
      </c>
      <c r="AR15" s="23">
        <v>0</v>
      </c>
      <c r="AS15" s="23">
        <v>0</v>
      </c>
      <c r="AT15" s="22">
        <v>0</v>
      </c>
      <c r="AU15" s="22">
        <v>0</v>
      </c>
      <c r="AV15" s="23">
        <v>0</v>
      </c>
      <c r="AW15" s="22">
        <v>0</v>
      </c>
      <c r="AX15" s="23">
        <v>2</v>
      </c>
      <c r="AY15" s="23">
        <v>0</v>
      </c>
      <c r="AZ15" s="22">
        <v>0</v>
      </c>
      <c r="BA15" s="22">
        <v>0</v>
      </c>
      <c r="BB15" s="23">
        <v>0</v>
      </c>
      <c r="BC15" s="23">
        <v>0</v>
      </c>
      <c r="BD15" s="22">
        <v>0</v>
      </c>
      <c r="BE15" s="22">
        <v>0</v>
      </c>
      <c r="BF15" s="22">
        <v>0</v>
      </c>
      <c r="BG15" s="23">
        <v>0</v>
      </c>
      <c r="BH15" s="22">
        <v>0</v>
      </c>
      <c r="BI15" s="22">
        <v>0</v>
      </c>
      <c r="BJ15" s="22">
        <v>1</v>
      </c>
      <c r="BK15" s="22">
        <v>1</v>
      </c>
      <c r="BL15" s="22">
        <v>3</v>
      </c>
      <c r="BM15" s="22">
        <v>1</v>
      </c>
      <c r="BN15" s="22">
        <v>0</v>
      </c>
      <c r="BO15" s="22">
        <v>0</v>
      </c>
      <c r="BP15" s="22">
        <v>0</v>
      </c>
      <c r="BQ15" s="22">
        <v>0</v>
      </c>
      <c r="BR15" s="22">
        <v>2</v>
      </c>
      <c r="BS15" s="22">
        <v>0</v>
      </c>
      <c r="BT15" s="22">
        <v>0</v>
      </c>
      <c r="BU15" s="22">
        <v>0</v>
      </c>
      <c r="BV15" s="23">
        <f t="shared" si="2"/>
        <v>4</v>
      </c>
    </row>
    <row r="16" spans="1:74">
      <c r="A16" s="22">
        <f t="shared" si="3"/>
        <v>13</v>
      </c>
      <c r="B16" s="22">
        <v>1</v>
      </c>
      <c r="C16" s="22" t="s">
        <v>150</v>
      </c>
      <c r="D16" s="28">
        <v>44097</v>
      </c>
      <c r="E16" s="22" t="s">
        <v>124</v>
      </c>
      <c r="F16" s="15">
        <v>27.8490272193</v>
      </c>
      <c r="G16" s="15">
        <v>59.5859656802999</v>
      </c>
      <c r="H16" s="22">
        <f t="shared" si="0"/>
        <v>27</v>
      </c>
      <c r="I16" s="31">
        <v>50.927</v>
      </c>
      <c r="J16" s="22">
        <f t="shared" si="1"/>
        <v>59</v>
      </c>
      <c r="K16" s="31">
        <v>35.161</v>
      </c>
      <c r="L16" s="22">
        <v>27</v>
      </c>
      <c r="M16" s="22">
        <v>2.1</v>
      </c>
      <c r="O16" s="22">
        <v>14.5</v>
      </c>
      <c r="R16" s="22">
        <v>3.4</v>
      </c>
      <c r="T16" s="22">
        <v>8.8</v>
      </c>
      <c r="AC16" s="22" t="s">
        <v>151</v>
      </c>
      <c r="AG16" s="22" t="s">
        <v>152</v>
      </c>
      <c r="AK16" s="22" t="s">
        <v>122</v>
      </c>
      <c r="AL16" s="22" t="s">
        <v>122</v>
      </c>
      <c r="AN16" s="23">
        <v>0</v>
      </c>
      <c r="AO16" s="22">
        <v>0</v>
      </c>
      <c r="AP16" s="23">
        <v>0</v>
      </c>
      <c r="AQ16" s="23">
        <v>0</v>
      </c>
      <c r="AR16" s="23">
        <v>0</v>
      </c>
      <c r="AS16" s="23">
        <v>0</v>
      </c>
      <c r="AT16" s="22">
        <v>0</v>
      </c>
      <c r="AU16" s="22">
        <v>0</v>
      </c>
      <c r="AV16" s="23">
        <v>0</v>
      </c>
      <c r="AW16" s="22">
        <v>0</v>
      </c>
      <c r="AX16" s="23">
        <v>3</v>
      </c>
      <c r="AY16" s="23">
        <v>0</v>
      </c>
      <c r="AZ16" s="22">
        <v>0</v>
      </c>
      <c r="BA16" s="22">
        <v>0</v>
      </c>
      <c r="BB16" s="23">
        <v>0</v>
      </c>
      <c r="BC16" s="23">
        <v>0</v>
      </c>
      <c r="BD16" s="22">
        <v>0</v>
      </c>
      <c r="BE16" s="22">
        <v>0</v>
      </c>
      <c r="BF16" s="22">
        <v>0</v>
      </c>
      <c r="BG16" s="23">
        <v>0</v>
      </c>
      <c r="BH16" s="22">
        <v>0</v>
      </c>
      <c r="BI16" s="22">
        <v>0</v>
      </c>
      <c r="BJ16" s="22">
        <v>1</v>
      </c>
      <c r="BK16" s="22">
        <v>3</v>
      </c>
      <c r="BL16" s="22">
        <v>3</v>
      </c>
      <c r="BM16" s="22">
        <v>1</v>
      </c>
      <c r="BN16" s="22">
        <v>0</v>
      </c>
      <c r="BO16" s="22">
        <v>0</v>
      </c>
      <c r="BP16" s="22">
        <v>0</v>
      </c>
      <c r="BQ16" s="22">
        <v>0</v>
      </c>
      <c r="BR16" s="22">
        <v>2</v>
      </c>
      <c r="BS16" s="22">
        <v>0</v>
      </c>
      <c r="BT16" s="22">
        <v>0</v>
      </c>
      <c r="BU16" s="22">
        <v>0</v>
      </c>
      <c r="BV16" s="23">
        <f t="shared" si="2"/>
        <v>6</v>
      </c>
    </row>
    <row r="17" spans="1:74">
      <c r="A17" s="22">
        <f t="shared" si="3"/>
        <v>14</v>
      </c>
      <c r="B17" s="22">
        <v>1</v>
      </c>
      <c r="C17" s="22" t="s">
        <v>153</v>
      </c>
      <c r="D17" s="28">
        <v>44097</v>
      </c>
      <c r="F17" s="15">
        <v>27.9029075456</v>
      </c>
      <c r="G17" s="15">
        <v>59.5859024043</v>
      </c>
      <c r="H17" s="22">
        <f t="shared" si="0"/>
        <v>27</v>
      </c>
      <c r="I17" s="31">
        <v>54.162</v>
      </c>
      <c r="J17" s="22">
        <f t="shared" si="1"/>
        <v>59</v>
      </c>
      <c r="K17" s="31">
        <v>35.151</v>
      </c>
      <c r="L17" s="22">
        <v>20</v>
      </c>
      <c r="M17" s="22">
        <v>2</v>
      </c>
      <c r="O17" s="22">
        <v>14.4</v>
      </c>
      <c r="R17" s="22">
        <v>3.46</v>
      </c>
      <c r="T17" s="22">
        <v>7.89</v>
      </c>
      <c r="AC17" s="22" t="s">
        <v>154</v>
      </c>
      <c r="AG17" s="22" t="s">
        <v>121</v>
      </c>
      <c r="AK17" s="22" t="s">
        <v>122</v>
      </c>
      <c r="AL17" s="22" t="s">
        <v>122</v>
      </c>
      <c r="AN17" s="23">
        <v>0</v>
      </c>
      <c r="AO17" s="22">
        <v>0</v>
      </c>
      <c r="AP17" s="23">
        <v>0</v>
      </c>
      <c r="AQ17" s="23">
        <v>0</v>
      </c>
      <c r="AR17" s="23">
        <v>0</v>
      </c>
      <c r="AS17" s="23">
        <v>0</v>
      </c>
      <c r="AT17" s="22">
        <v>0</v>
      </c>
      <c r="AU17" s="22">
        <v>0</v>
      </c>
      <c r="AV17" s="23">
        <v>0</v>
      </c>
      <c r="AW17" s="22">
        <v>0</v>
      </c>
      <c r="AX17" s="23">
        <v>2</v>
      </c>
      <c r="AY17" s="23">
        <v>0</v>
      </c>
      <c r="AZ17" s="22">
        <v>0</v>
      </c>
      <c r="BA17" s="22">
        <v>0</v>
      </c>
      <c r="BB17" s="23">
        <v>0</v>
      </c>
      <c r="BC17" s="23">
        <v>0</v>
      </c>
      <c r="BD17" s="22">
        <v>0</v>
      </c>
      <c r="BE17" s="22">
        <v>0</v>
      </c>
      <c r="BF17" s="22">
        <v>0</v>
      </c>
      <c r="BG17" s="23">
        <v>0</v>
      </c>
      <c r="BH17" s="22">
        <v>0</v>
      </c>
      <c r="BI17" s="22">
        <v>0</v>
      </c>
      <c r="BJ17" s="22">
        <v>1</v>
      </c>
      <c r="BK17" s="22">
        <v>2</v>
      </c>
      <c r="BL17" s="22">
        <v>3</v>
      </c>
      <c r="BM17" s="22">
        <v>1</v>
      </c>
      <c r="BN17" s="22">
        <v>0</v>
      </c>
      <c r="BO17" s="22">
        <v>0</v>
      </c>
      <c r="BP17" s="22">
        <v>0</v>
      </c>
      <c r="BQ17" s="22">
        <v>0</v>
      </c>
      <c r="BR17" s="22">
        <v>2</v>
      </c>
      <c r="BS17" s="22">
        <v>0</v>
      </c>
      <c r="BT17" s="22">
        <v>0</v>
      </c>
      <c r="BU17" s="22">
        <v>0</v>
      </c>
      <c r="BV17" s="23">
        <f t="shared" si="2"/>
        <v>5</v>
      </c>
    </row>
    <row r="18" spans="1:74">
      <c r="A18" s="22">
        <f t="shared" si="3"/>
        <v>15</v>
      </c>
      <c r="B18" s="22">
        <v>1</v>
      </c>
      <c r="C18" s="22" t="s">
        <v>155</v>
      </c>
      <c r="D18" s="28">
        <v>44097</v>
      </c>
      <c r="E18" s="22" t="s">
        <v>124</v>
      </c>
      <c r="F18" s="15">
        <v>27.9477192463</v>
      </c>
      <c r="G18" s="15">
        <v>59.5965752242999</v>
      </c>
      <c r="H18" s="22">
        <f t="shared" si="0"/>
        <v>27</v>
      </c>
      <c r="I18" s="31">
        <v>56.868</v>
      </c>
      <c r="J18" s="22">
        <f t="shared" si="1"/>
        <v>59</v>
      </c>
      <c r="K18" s="31">
        <v>35.795</v>
      </c>
      <c r="L18" s="22">
        <v>15</v>
      </c>
      <c r="M18" s="22">
        <v>2.2</v>
      </c>
      <c r="O18" s="22">
        <v>14</v>
      </c>
      <c r="R18" s="22">
        <v>3.4</v>
      </c>
      <c r="T18" s="22">
        <v>8</v>
      </c>
      <c r="AC18" s="22" t="s">
        <v>156</v>
      </c>
      <c r="AG18" s="22" t="s">
        <v>121</v>
      </c>
      <c r="AK18" s="22" t="s">
        <v>122</v>
      </c>
      <c r="AL18" s="22" t="s">
        <v>122</v>
      </c>
      <c r="AN18" s="23">
        <v>2</v>
      </c>
      <c r="AO18" s="22">
        <v>0</v>
      </c>
      <c r="AP18" s="23">
        <v>1</v>
      </c>
      <c r="AQ18" s="23">
        <v>0</v>
      </c>
      <c r="AR18" s="23">
        <v>0</v>
      </c>
      <c r="AS18" s="23">
        <v>0</v>
      </c>
      <c r="AT18" s="22">
        <v>0</v>
      </c>
      <c r="AU18" s="22">
        <v>1</v>
      </c>
      <c r="AV18" s="23">
        <v>0</v>
      </c>
      <c r="AW18" s="22">
        <v>0</v>
      </c>
      <c r="AX18" s="23">
        <v>0</v>
      </c>
      <c r="AY18" s="23">
        <v>0</v>
      </c>
      <c r="AZ18" s="22">
        <v>0</v>
      </c>
      <c r="BA18" s="22">
        <v>0</v>
      </c>
      <c r="BB18" s="23">
        <v>0</v>
      </c>
      <c r="BC18" s="23">
        <v>0</v>
      </c>
      <c r="BD18" s="22">
        <v>0</v>
      </c>
      <c r="BE18" s="22">
        <v>0</v>
      </c>
      <c r="BF18" s="22">
        <v>0</v>
      </c>
      <c r="BG18" s="23">
        <v>0</v>
      </c>
      <c r="BH18" s="22">
        <v>0</v>
      </c>
      <c r="BI18" s="22">
        <v>0</v>
      </c>
      <c r="BJ18" s="22">
        <v>2</v>
      </c>
      <c r="BK18" s="22">
        <v>1</v>
      </c>
      <c r="BL18" s="22">
        <v>3</v>
      </c>
      <c r="BM18" s="22">
        <v>1</v>
      </c>
      <c r="BN18" s="22">
        <v>1</v>
      </c>
      <c r="BO18" s="22">
        <v>0</v>
      </c>
      <c r="BP18" s="22">
        <v>1</v>
      </c>
      <c r="BQ18" s="22">
        <v>1</v>
      </c>
      <c r="BR18" s="22">
        <v>2</v>
      </c>
      <c r="BS18" s="22">
        <v>2</v>
      </c>
      <c r="BT18" s="22">
        <v>0</v>
      </c>
      <c r="BU18" s="22">
        <v>0</v>
      </c>
      <c r="BV18" s="23">
        <f t="shared" si="2"/>
        <v>6</v>
      </c>
    </row>
    <row r="19" spans="1:75">
      <c r="A19" s="22">
        <f t="shared" si="3"/>
        <v>16</v>
      </c>
      <c r="B19" s="22">
        <v>1</v>
      </c>
      <c r="C19" s="22" t="s">
        <v>157</v>
      </c>
      <c r="D19" s="28">
        <v>44098</v>
      </c>
      <c r="E19" s="22" t="s">
        <v>124</v>
      </c>
      <c r="F19" s="15">
        <v>27.9852413268999</v>
      </c>
      <c r="G19" s="15">
        <v>59.5974864944999</v>
      </c>
      <c r="H19" s="22">
        <f t="shared" si="0"/>
        <v>27</v>
      </c>
      <c r="I19" s="31">
        <v>59.114</v>
      </c>
      <c r="J19" s="22">
        <f t="shared" si="1"/>
        <v>59</v>
      </c>
      <c r="K19" s="31">
        <v>35.851</v>
      </c>
      <c r="L19" s="22">
        <v>11</v>
      </c>
      <c r="M19" s="22">
        <v>2.1</v>
      </c>
      <c r="O19" s="22">
        <v>13.9</v>
      </c>
      <c r="R19" s="22">
        <v>3.39</v>
      </c>
      <c r="T19" s="22">
        <v>8</v>
      </c>
      <c r="AC19" s="22" t="s">
        <v>158</v>
      </c>
      <c r="AG19" s="22" t="s">
        <v>121</v>
      </c>
      <c r="AK19" s="22" t="s">
        <v>122</v>
      </c>
      <c r="AL19" s="22" t="s">
        <v>122</v>
      </c>
      <c r="AN19" s="23">
        <v>1</v>
      </c>
      <c r="AO19" s="22">
        <v>1</v>
      </c>
      <c r="AP19" s="23">
        <v>1</v>
      </c>
      <c r="AQ19" s="23">
        <v>1</v>
      </c>
      <c r="AR19" s="23">
        <v>0</v>
      </c>
      <c r="AS19" s="23">
        <v>0</v>
      </c>
      <c r="AT19" s="22">
        <v>0</v>
      </c>
      <c r="AU19" s="22">
        <v>1</v>
      </c>
      <c r="AV19" s="23">
        <v>0</v>
      </c>
      <c r="AW19" s="22">
        <v>0</v>
      </c>
      <c r="AX19" s="23">
        <v>0</v>
      </c>
      <c r="AY19" s="23">
        <v>0</v>
      </c>
      <c r="AZ19" s="22">
        <v>0</v>
      </c>
      <c r="BA19" s="22">
        <v>0</v>
      </c>
      <c r="BB19" s="23">
        <v>0</v>
      </c>
      <c r="BC19" s="23">
        <v>1</v>
      </c>
      <c r="BD19" s="22">
        <v>0</v>
      </c>
      <c r="BE19" s="22">
        <v>0</v>
      </c>
      <c r="BF19" s="22">
        <v>0</v>
      </c>
      <c r="BG19" s="23">
        <v>0</v>
      </c>
      <c r="BH19" s="22">
        <v>0</v>
      </c>
      <c r="BI19" s="22">
        <v>0</v>
      </c>
      <c r="BJ19" s="22">
        <v>4</v>
      </c>
      <c r="BK19" s="22">
        <v>1</v>
      </c>
      <c r="BL19" s="22">
        <v>3</v>
      </c>
      <c r="BM19" s="22">
        <v>2</v>
      </c>
      <c r="BN19" s="22">
        <v>1</v>
      </c>
      <c r="BO19" s="22">
        <v>0</v>
      </c>
      <c r="BP19" s="22">
        <v>1</v>
      </c>
      <c r="BQ19" s="22">
        <v>1</v>
      </c>
      <c r="BR19" s="22">
        <v>2</v>
      </c>
      <c r="BS19" s="22">
        <v>2</v>
      </c>
      <c r="BT19" s="22">
        <v>0</v>
      </c>
      <c r="BU19" s="22">
        <v>0</v>
      </c>
      <c r="BV19" s="23">
        <f t="shared" si="2"/>
        <v>9</v>
      </c>
      <c r="BW19" s="22" t="s">
        <v>159</v>
      </c>
    </row>
    <row r="20" spans="1:74">
      <c r="A20" s="22">
        <f t="shared" si="3"/>
        <v>17</v>
      </c>
      <c r="B20" s="22">
        <v>1</v>
      </c>
      <c r="C20" s="22" t="s">
        <v>160</v>
      </c>
      <c r="D20" s="28">
        <v>44098</v>
      </c>
      <c r="E20" s="22" t="s">
        <v>124</v>
      </c>
      <c r="F20" s="15">
        <v>27.954886672</v>
      </c>
      <c r="G20" s="15">
        <v>59.6220659494</v>
      </c>
      <c r="H20" s="22">
        <f t="shared" si="0"/>
        <v>27</v>
      </c>
      <c r="I20" s="31">
        <v>57.288</v>
      </c>
      <c r="J20" s="22">
        <f t="shared" si="1"/>
        <v>59</v>
      </c>
      <c r="K20" s="31">
        <v>37.317</v>
      </c>
      <c r="L20" s="22">
        <v>10</v>
      </c>
      <c r="M20" s="22">
        <v>1.7</v>
      </c>
      <c r="O20" s="22">
        <v>13.6</v>
      </c>
      <c r="R20" s="22">
        <v>3.14</v>
      </c>
      <c r="T20" s="22">
        <v>8</v>
      </c>
      <c r="AC20" s="22" t="s">
        <v>161</v>
      </c>
      <c r="AD20" s="22" t="s">
        <v>162</v>
      </c>
      <c r="AG20" s="22" t="s">
        <v>121</v>
      </c>
      <c r="AK20" s="22" t="s">
        <v>122</v>
      </c>
      <c r="AL20" s="22" t="s">
        <v>122</v>
      </c>
      <c r="AN20" s="23">
        <v>3</v>
      </c>
      <c r="AO20" s="22">
        <v>0</v>
      </c>
      <c r="AP20" s="23">
        <v>0</v>
      </c>
      <c r="AQ20" s="23">
        <v>0</v>
      </c>
      <c r="AR20" s="23">
        <v>0</v>
      </c>
      <c r="AS20" s="23">
        <v>1</v>
      </c>
      <c r="AT20" s="22">
        <v>0</v>
      </c>
      <c r="AU20" s="22">
        <v>1</v>
      </c>
      <c r="AV20" s="23">
        <v>0</v>
      </c>
      <c r="AW20" s="22">
        <v>0</v>
      </c>
      <c r="AX20" s="23">
        <v>0</v>
      </c>
      <c r="AY20" s="23">
        <v>0</v>
      </c>
      <c r="AZ20" s="22">
        <v>0</v>
      </c>
      <c r="BA20" s="22">
        <v>0</v>
      </c>
      <c r="BB20" s="23">
        <v>0</v>
      </c>
      <c r="BC20" s="23">
        <v>1</v>
      </c>
      <c r="BD20" s="22">
        <v>0</v>
      </c>
      <c r="BE20" s="22">
        <v>0</v>
      </c>
      <c r="BF20" s="22">
        <v>0</v>
      </c>
      <c r="BG20" s="23">
        <v>0</v>
      </c>
      <c r="BH20" s="22">
        <v>0</v>
      </c>
      <c r="BI20" s="22">
        <v>0</v>
      </c>
      <c r="BJ20" s="22">
        <v>4</v>
      </c>
      <c r="BK20" s="22">
        <v>2</v>
      </c>
      <c r="BL20" s="22">
        <v>3</v>
      </c>
      <c r="BM20" s="22">
        <v>2</v>
      </c>
      <c r="BN20" s="22">
        <v>1</v>
      </c>
      <c r="BO20" s="22">
        <v>0</v>
      </c>
      <c r="BP20" s="22">
        <v>1</v>
      </c>
      <c r="BQ20" s="22">
        <v>1</v>
      </c>
      <c r="BR20" s="22">
        <v>2</v>
      </c>
      <c r="BS20" s="22">
        <v>2</v>
      </c>
      <c r="BT20" s="22">
        <v>0</v>
      </c>
      <c r="BU20" s="22">
        <v>0</v>
      </c>
      <c r="BV20" s="23">
        <f t="shared" si="2"/>
        <v>10</v>
      </c>
    </row>
    <row r="21" spans="1:74">
      <c r="A21" s="22">
        <f t="shared" si="3"/>
        <v>18</v>
      </c>
      <c r="B21" s="22">
        <v>1</v>
      </c>
      <c r="C21" s="22" t="s">
        <v>163</v>
      </c>
      <c r="D21" s="28">
        <v>44097</v>
      </c>
      <c r="E21" s="22" t="s">
        <v>124</v>
      </c>
      <c r="F21" s="15">
        <v>27.7566324296</v>
      </c>
      <c r="G21" s="15">
        <v>59.6183110859999</v>
      </c>
      <c r="H21" s="22">
        <f t="shared" si="0"/>
        <v>27</v>
      </c>
      <c r="I21" s="31">
        <v>45.408</v>
      </c>
      <c r="J21" s="22">
        <f t="shared" si="1"/>
        <v>59</v>
      </c>
      <c r="K21" s="31">
        <v>37.099</v>
      </c>
      <c r="L21" s="22">
        <v>31</v>
      </c>
      <c r="M21" s="22">
        <v>2.9</v>
      </c>
      <c r="O21" s="22">
        <v>14.6</v>
      </c>
      <c r="R21" s="22">
        <v>3.36</v>
      </c>
      <c r="T21" s="22">
        <v>8.89</v>
      </c>
      <c r="AC21" s="22" t="s">
        <v>164</v>
      </c>
      <c r="AD21" s="22" t="s">
        <v>165</v>
      </c>
      <c r="AE21" s="22" t="s">
        <v>122</v>
      </c>
      <c r="AF21" s="22" t="s">
        <v>166</v>
      </c>
      <c r="AG21" s="22" t="s">
        <v>121</v>
      </c>
      <c r="AK21" s="22" t="s">
        <v>122</v>
      </c>
      <c r="AL21" s="22" t="s">
        <v>122</v>
      </c>
      <c r="AN21" s="23">
        <v>0</v>
      </c>
      <c r="AO21" s="22">
        <v>0</v>
      </c>
      <c r="AP21" s="23">
        <v>0</v>
      </c>
      <c r="AQ21" s="23">
        <v>0</v>
      </c>
      <c r="AR21" s="23">
        <v>0</v>
      </c>
      <c r="AS21" s="23">
        <v>0</v>
      </c>
      <c r="AT21" s="22">
        <v>0</v>
      </c>
      <c r="AU21" s="22">
        <v>0</v>
      </c>
      <c r="AV21" s="23">
        <v>0</v>
      </c>
      <c r="AW21" s="22">
        <v>0</v>
      </c>
      <c r="AX21" s="23">
        <v>7</v>
      </c>
      <c r="AY21" s="23">
        <v>0</v>
      </c>
      <c r="AZ21" s="22">
        <v>0</v>
      </c>
      <c r="BA21" s="22">
        <v>0</v>
      </c>
      <c r="BB21" s="23">
        <v>0</v>
      </c>
      <c r="BC21" s="23">
        <v>0</v>
      </c>
      <c r="BD21" s="22">
        <v>0</v>
      </c>
      <c r="BE21" s="22">
        <v>0</v>
      </c>
      <c r="BF21" s="22">
        <v>0</v>
      </c>
      <c r="BG21" s="23">
        <v>0</v>
      </c>
      <c r="BH21" s="22">
        <v>0</v>
      </c>
      <c r="BI21" s="22">
        <v>0</v>
      </c>
      <c r="BJ21" s="22">
        <v>1</v>
      </c>
      <c r="BK21" s="22">
        <v>5</v>
      </c>
      <c r="BL21" s="22">
        <v>3</v>
      </c>
      <c r="BM21" s="22">
        <v>1</v>
      </c>
      <c r="BN21" s="22">
        <v>0</v>
      </c>
      <c r="BO21" s="22">
        <v>0</v>
      </c>
      <c r="BP21" s="22">
        <v>0</v>
      </c>
      <c r="BQ21" s="22">
        <v>0</v>
      </c>
      <c r="BR21" s="22">
        <v>2</v>
      </c>
      <c r="BS21" s="22">
        <v>0</v>
      </c>
      <c r="BT21" s="22">
        <v>0</v>
      </c>
      <c r="BU21" s="22">
        <v>0</v>
      </c>
      <c r="BV21" s="23">
        <f t="shared" si="2"/>
        <v>8</v>
      </c>
    </row>
    <row r="22" spans="1:75">
      <c r="A22" s="22">
        <f t="shared" si="3"/>
        <v>19</v>
      </c>
      <c r="B22" s="22">
        <v>1</v>
      </c>
      <c r="C22" s="22" t="s">
        <v>167</v>
      </c>
      <c r="D22" s="28">
        <v>44098</v>
      </c>
      <c r="E22" s="22" t="s">
        <v>124</v>
      </c>
      <c r="F22" s="15">
        <v>27.8406956405</v>
      </c>
      <c r="G22" s="15">
        <v>59.6276000375</v>
      </c>
      <c r="H22" s="22">
        <f t="shared" si="0"/>
        <v>27</v>
      </c>
      <c r="I22" s="31">
        <v>50.45</v>
      </c>
      <c r="J22" s="22">
        <f t="shared" si="1"/>
        <v>59</v>
      </c>
      <c r="K22" s="31">
        <v>37.848</v>
      </c>
      <c r="L22" s="22">
        <v>20</v>
      </c>
      <c r="M22" s="22">
        <v>3.1</v>
      </c>
      <c r="O22" s="22">
        <v>13.9</v>
      </c>
      <c r="R22" s="22">
        <v>3.41</v>
      </c>
      <c r="T22" s="22">
        <v>8.07</v>
      </c>
      <c r="AC22" s="22" t="s">
        <v>168</v>
      </c>
      <c r="AD22" s="22" t="s">
        <v>169</v>
      </c>
      <c r="AG22" s="22" t="s">
        <v>121</v>
      </c>
      <c r="AK22" s="22" t="s">
        <v>122</v>
      </c>
      <c r="AL22" s="22" t="s">
        <v>122</v>
      </c>
      <c r="AN22" s="23">
        <v>0</v>
      </c>
      <c r="AO22" s="22">
        <v>0</v>
      </c>
      <c r="AP22" s="23">
        <v>0</v>
      </c>
      <c r="AQ22" s="23">
        <v>0</v>
      </c>
      <c r="AR22" s="23">
        <v>0</v>
      </c>
      <c r="AS22" s="23">
        <v>1</v>
      </c>
      <c r="AT22" s="22">
        <v>0</v>
      </c>
      <c r="AU22" s="22">
        <v>1</v>
      </c>
      <c r="AV22" s="23">
        <v>0</v>
      </c>
      <c r="AW22" s="22">
        <v>0</v>
      </c>
      <c r="AX22" s="23">
        <v>4</v>
      </c>
      <c r="AY22" s="23">
        <v>0</v>
      </c>
      <c r="AZ22" s="22">
        <v>0</v>
      </c>
      <c r="BA22" s="22">
        <v>0</v>
      </c>
      <c r="BB22" s="23">
        <v>0</v>
      </c>
      <c r="BC22" s="23">
        <v>0</v>
      </c>
      <c r="BD22" s="22">
        <v>0</v>
      </c>
      <c r="BE22" s="22">
        <v>0</v>
      </c>
      <c r="BF22" s="22">
        <v>0</v>
      </c>
      <c r="BG22" s="23">
        <v>0</v>
      </c>
      <c r="BH22" s="22">
        <v>0</v>
      </c>
      <c r="BI22" s="22">
        <v>0</v>
      </c>
      <c r="BJ22" s="22">
        <v>3</v>
      </c>
      <c r="BK22" s="22">
        <v>3</v>
      </c>
      <c r="BL22" s="22">
        <v>3</v>
      </c>
      <c r="BM22" s="22">
        <v>1</v>
      </c>
      <c r="BN22" s="22">
        <v>0</v>
      </c>
      <c r="BO22" s="22">
        <v>0</v>
      </c>
      <c r="BP22" s="22">
        <v>1</v>
      </c>
      <c r="BQ22" s="22">
        <v>1</v>
      </c>
      <c r="BR22" s="22">
        <v>2</v>
      </c>
      <c r="BS22" s="22">
        <v>1</v>
      </c>
      <c r="BT22" s="22">
        <v>0</v>
      </c>
      <c r="BU22" s="22">
        <v>0</v>
      </c>
      <c r="BV22" s="23">
        <f t="shared" si="2"/>
        <v>9</v>
      </c>
      <c r="BW22" s="22" t="s">
        <v>170</v>
      </c>
    </row>
    <row r="23" spans="1:74">
      <c r="A23" s="22">
        <f t="shared" si="3"/>
        <v>20</v>
      </c>
      <c r="B23" s="22">
        <v>1</v>
      </c>
      <c r="C23" s="22" t="s">
        <v>171</v>
      </c>
      <c r="D23" s="28">
        <v>44098</v>
      </c>
      <c r="E23" s="22" t="s">
        <v>124</v>
      </c>
      <c r="F23" s="15">
        <v>27.9017657813</v>
      </c>
      <c r="G23" s="15">
        <v>59.6307582871</v>
      </c>
      <c r="H23" s="22">
        <f t="shared" si="0"/>
        <v>27</v>
      </c>
      <c r="I23" s="31">
        <v>54.102</v>
      </c>
      <c r="J23" s="22">
        <f t="shared" si="1"/>
        <v>59</v>
      </c>
      <c r="K23" s="31">
        <v>37.843</v>
      </c>
      <c r="L23" s="22">
        <v>15</v>
      </c>
      <c r="M23" s="22">
        <v>2.2</v>
      </c>
      <c r="O23" s="22">
        <v>13.8</v>
      </c>
      <c r="R23" s="22">
        <v>3.42</v>
      </c>
      <c r="T23" s="22">
        <v>8</v>
      </c>
      <c r="AC23" s="22" t="s">
        <v>172</v>
      </c>
      <c r="AG23" s="22" t="s">
        <v>121</v>
      </c>
      <c r="AK23" s="22" t="s">
        <v>122</v>
      </c>
      <c r="AL23" s="22" t="s">
        <v>122</v>
      </c>
      <c r="AN23" s="23">
        <v>0</v>
      </c>
      <c r="AO23" s="22">
        <v>0</v>
      </c>
      <c r="AP23" s="23">
        <v>0</v>
      </c>
      <c r="AQ23" s="23">
        <v>0</v>
      </c>
      <c r="AR23" s="23">
        <v>0</v>
      </c>
      <c r="AS23" s="23">
        <v>0</v>
      </c>
      <c r="AT23" s="22">
        <v>0</v>
      </c>
      <c r="AU23" s="22">
        <v>0</v>
      </c>
      <c r="AV23" s="23">
        <v>0</v>
      </c>
      <c r="AW23" s="22">
        <v>0</v>
      </c>
      <c r="AX23" s="23">
        <v>1</v>
      </c>
      <c r="AY23" s="23">
        <v>0</v>
      </c>
      <c r="AZ23" s="22">
        <v>0</v>
      </c>
      <c r="BA23" s="22">
        <v>0</v>
      </c>
      <c r="BB23" s="23">
        <v>0</v>
      </c>
      <c r="BC23" s="23">
        <v>0</v>
      </c>
      <c r="BD23" s="22">
        <v>0</v>
      </c>
      <c r="BE23" s="22">
        <v>0</v>
      </c>
      <c r="BF23" s="22">
        <v>0</v>
      </c>
      <c r="BG23" s="23">
        <v>0</v>
      </c>
      <c r="BH23" s="22">
        <v>0</v>
      </c>
      <c r="BI23" s="22">
        <v>0</v>
      </c>
      <c r="BJ23" s="22">
        <v>1</v>
      </c>
      <c r="BK23" s="22">
        <v>1</v>
      </c>
      <c r="BL23" s="22">
        <v>3</v>
      </c>
      <c r="BM23" s="22">
        <v>1</v>
      </c>
      <c r="BN23" s="22">
        <v>1</v>
      </c>
      <c r="BO23" s="22">
        <v>0</v>
      </c>
      <c r="BP23" s="22">
        <v>1</v>
      </c>
      <c r="BQ23" s="22">
        <v>1</v>
      </c>
      <c r="BR23" s="22">
        <v>2</v>
      </c>
      <c r="BS23" s="22">
        <v>1</v>
      </c>
      <c r="BT23" s="22">
        <v>0</v>
      </c>
      <c r="BU23" s="22">
        <v>0</v>
      </c>
      <c r="BV23" s="23">
        <f t="shared" si="2"/>
        <v>6</v>
      </c>
    </row>
    <row r="24" spans="1:74">
      <c r="A24" s="22">
        <f t="shared" si="3"/>
        <v>21</v>
      </c>
      <c r="B24" s="22">
        <v>1</v>
      </c>
      <c r="C24" s="22" t="s">
        <v>173</v>
      </c>
      <c r="D24" s="28">
        <v>44098</v>
      </c>
      <c r="E24" s="22" t="s">
        <v>124</v>
      </c>
      <c r="F24" s="15">
        <v>27.9489412287</v>
      </c>
      <c r="G24" s="15">
        <v>59.6399295814999</v>
      </c>
      <c r="H24" s="22">
        <f t="shared" si="0"/>
        <v>27</v>
      </c>
      <c r="I24" s="31">
        <v>56.93</v>
      </c>
      <c r="J24" s="22">
        <f t="shared" si="1"/>
        <v>59</v>
      </c>
      <c r="K24" s="31">
        <v>38.399</v>
      </c>
      <c r="L24" s="22">
        <v>10</v>
      </c>
      <c r="M24" s="22">
        <v>1.9</v>
      </c>
      <c r="O24" s="22">
        <v>14</v>
      </c>
      <c r="R24" s="22">
        <v>3.03</v>
      </c>
      <c r="T24" s="22">
        <v>8.67</v>
      </c>
      <c r="AC24" s="22" t="s">
        <v>174</v>
      </c>
      <c r="AG24" s="22" t="s">
        <v>175</v>
      </c>
      <c r="AH24" s="22" t="s">
        <v>176</v>
      </c>
      <c r="AK24" s="22" t="s">
        <v>122</v>
      </c>
      <c r="AL24" s="22" t="s">
        <v>122</v>
      </c>
      <c r="AN24" s="23">
        <v>6</v>
      </c>
      <c r="AO24" s="22">
        <v>1</v>
      </c>
      <c r="AP24" s="23">
        <v>1</v>
      </c>
      <c r="AQ24" s="23">
        <v>0</v>
      </c>
      <c r="AR24" s="23">
        <v>0</v>
      </c>
      <c r="AS24" s="23">
        <v>1</v>
      </c>
      <c r="AT24" s="22">
        <v>0</v>
      </c>
      <c r="AU24" s="22">
        <v>0</v>
      </c>
      <c r="AV24" s="23">
        <v>0</v>
      </c>
      <c r="AW24" s="22">
        <v>0</v>
      </c>
      <c r="AX24" s="23">
        <v>0</v>
      </c>
      <c r="AY24" s="23">
        <v>0</v>
      </c>
      <c r="AZ24" s="22">
        <v>0</v>
      </c>
      <c r="BA24" s="22">
        <v>0</v>
      </c>
      <c r="BB24" s="23">
        <v>0</v>
      </c>
      <c r="BC24" s="23">
        <v>0</v>
      </c>
      <c r="BD24" s="22">
        <v>0</v>
      </c>
      <c r="BE24" s="22">
        <v>0</v>
      </c>
      <c r="BF24" s="22">
        <v>0</v>
      </c>
      <c r="BG24" s="23">
        <v>0</v>
      </c>
      <c r="BH24" s="22">
        <v>0</v>
      </c>
      <c r="BI24" s="22">
        <v>0</v>
      </c>
      <c r="BJ24" s="22">
        <v>3</v>
      </c>
      <c r="BK24" s="22">
        <v>4</v>
      </c>
      <c r="BL24" s="22">
        <v>3</v>
      </c>
      <c r="BM24" s="22">
        <v>2</v>
      </c>
      <c r="BN24" s="22">
        <v>1</v>
      </c>
      <c r="BO24" s="22">
        <v>0</v>
      </c>
      <c r="BP24" s="22">
        <v>1</v>
      </c>
      <c r="BQ24" s="22">
        <v>1</v>
      </c>
      <c r="BR24" s="22">
        <v>2</v>
      </c>
      <c r="BS24" s="22">
        <v>1</v>
      </c>
      <c r="BT24" s="22">
        <v>0</v>
      </c>
      <c r="BU24" s="22">
        <v>0</v>
      </c>
      <c r="BV24" s="23">
        <f t="shared" si="2"/>
        <v>12</v>
      </c>
    </row>
    <row r="25" spans="1:74">
      <c r="A25" s="22">
        <f t="shared" si="3"/>
        <v>22</v>
      </c>
      <c r="B25" s="22">
        <v>1</v>
      </c>
      <c r="C25" s="22" t="s">
        <v>177</v>
      </c>
      <c r="D25" s="28">
        <v>44098</v>
      </c>
      <c r="E25" s="22" t="s">
        <v>124</v>
      </c>
      <c r="F25" s="15">
        <v>27.8771870628999</v>
      </c>
      <c r="G25" s="15">
        <v>59.6666354991999</v>
      </c>
      <c r="H25" s="22">
        <f t="shared" si="0"/>
        <v>27</v>
      </c>
      <c r="I25" s="31">
        <v>52.621</v>
      </c>
      <c r="J25" s="22">
        <f t="shared" si="1"/>
        <v>59</v>
      </c>
      <c r="K25" s="31">
        <v>39.998</v>
      </c>
      <c r="L25" s="22">
        <v>11.5</v>
      </c>
      <c r="M25" s="22">
        <v>3.5</v>
      </c>
      <c r="O25" s="22">
        <v>14.1</v>
      </c>
      <c r="R25" s="22">
        <v>3.41</v>
      </c>
      <c r="T25" s="22">
        <v>8.34</v>
      </c>
      <c r="AC25" s="22" t="s">
        <v>178</v>
      </c>
      <c r="AG25" s="22" t="s">
        <v>121</v>
      </c>
      <c r="AK25" s="22" t="s">
        <v>122</v>
      </c>
      <c r="AL25" s="22" t="s">
        <v>122</v>
      </c>
      <c r="AN25" s="23">
        <v>3</v>
      </c>
      <c r="AO25" s="22">
        <v>0</v>
      </c>
      <c r="AP25" s="23">
        <v>0</v>
      </c>
      <c r="AQ25" s="23">
        <v>0</v>
      </c>
      <c r="AR25" s="23">
        <v>0</v>
      </c>
      <c r="AS25" s="23">
        <v>1</v>
      </c>
      <c r="AT25" s="22">
        <v>0</v>
      </c>
      <c r="AU25" s="22">
        <v>1</v>
      </c>
      <c r="AV25" s="23">
        <v>0</v>
      </c>
      <c r="AW25" s="22">
        <v>0</v>
      </c>
      <c r="AX25" s="23">
        <v>0</v>
      </c>
      <c r="AY25" s="23">
        <v>0</v>
      </c>
      <c r="AZ25" s="22">
        <v>0</v>
      </c>
      <c r="BA25" s="22">
        <v>0</v>
      </c>
      <c r="BB25" s="23">
        <v>0</v>
      </c>
      <c r="BC25" s="23">
        <v>1</v>
      </c>
      <c r="BD25" s="22">
        <v>0</v>
      </c>
      <c r="BE25" s="22">
        <v>0</v>
      </c>
      <c r="BF25" s="22">
        <v>0</v>
      </c>
      <c r="BG25" s="23">
        <v>0</v>
      </c>
      <c r="BH25" s="22">
        <v>0</v>
      </c>
      <c r="BI25" s="22">
        <v>0</v>
      </c>
      <c r="BJ25" s="22">
        <v>4</v>
      </c>
      <c r="BK25" s="22">
        <v>2</v>
      </c>
      <c r="BL25" s="22">
        <v>3</v>
      </c>
      <c r="BM25" s="22">
        <v>2</v>
      </c>
      <c r="BN25" s="22">
        <v>1</v>
      </c>
      <c r="BO25" s="22">
        <v>0</v>
      </c>
      <c r="BP25" s="22">
        <v>1</v>
      </c>
      <c r="BQ25" s="22">
        <v>1</v>
      </c>
      <c r="BR25" s="22">
        <v>2</v>
      </c>
      <c r="BS25" s="22">
        <v>2</v>
      </c>
      <c r="BT25" s="22">
        <v>0</v>
      </c>
      <c r="BU25" s="22">
        <v>0</v>
      </c>
      <c r="BV25" s="23">
        <f t="shared" si="2"/>
        <v>10</v>
      </c>
    </row>
    <row r="26" spans="1:74">
      <c r="A26" s="22">
        <f t="shared" si="3"/>
        <v>23</v>
      </c>
      <c r="B26" s="22">
        <v>1</v>
      </c>
      <c r="C26" s="22" t="s">
        <v>179</v>
      </c>
      <c r="D26" s="28">
        <v>44098</v>
      </c>
      <c r="E26" s="22" t="s">
        <v>124</v>
      </c>
      <c r="F26" s="15">
        <v>27.9273475086999</v>
      </c>
      <c r="G26" s="15">
        <v>59.6765987037</v>
      </c>
      <c r="H26" s="22">
        <f t="shared" si="0"/>
        <v>27</v>
      </c>
      <c r="I26" s="31">
        <v>55.643</v>
      </c>
      <c r="J26" s="22">
        <f t="shared" si="1"/>
        <v>59</v>
      </c>
      <c r="K26" s="31">
        <v>40.598</v>
      </c>
      <c r="L26" s="22">
        <v>10</v>
      </c>
      <c r="M26" s="22">
        <v>1.7</v>
      </c>
      <c r="O26" s="22">
        <v>14.6</v>
      </c>
      <c r="R26" s="22">
        <v>3.44</v>
      </c>
      <c r="T26" s="22">
        <v>9.35</v>
      </c>
      <c r="AC26" s="22" t="s">
        <v>180</v>
      </c>
      <c r="AG26" s="22" t="s">
        <v>121</v>
      </c>
      <c r="AK26" s="22" t="s">
        <v>122</v>
      </c>
      <c r="AL26" s="22" t="s">
        <v>122</v>
      </c>
      <c r="AN26" s="23">
        <v>2</v>
      </c>
      <c r="AO26" s="22">
        <v>0</v>
      </c>
      <c r="AP26" s="23">
        <v>0</v>
      </c>
      <c r="AQ26" s="23">
        <v>1</v>
      </c>
      <c r="AR26" s="23">
        <v>0</v>
      </c>
      <c r="AS26" s="23">
        <v>0</v>
      </c>
      <c r="AT26" s="22">
        <v>0</v>
      </c>
      <c r="AU26" s="22">
        <v>0</v>
      </c>
      <c r="AV26" s="23">
        <v>0</v>
      </c>
      <c r="AW26" s="22">
        <v>0</v>
      </c>
      <c r="AX26" s="23">
        <v>0</v>
      </c>
      <c r="AY26" s="23">
        <v>0</v>
      </c>
      <c r="AZ26" s="22">
        <v>0</v>
      </c>
      <c r="BA26" s="22">
        <v>0</v>
      </c>
      <c r="BB26" s="23">
        <v>0</v>
      </c>
      <c r="BC26" s="23">
        <v>1</v>
      </c>
      <c r="BD26" s="22">
        <v>0</v>
      </c>
      <c r="BE26" s="22">
        <v>0</v>
      </c>
      <c r="BF26" s="22">
        <v>0</v>
      </c>
      <c r="BG26" s="23">
        <v>0</v>
      </c>
      <c r="BH26" s="22">
        <v>0</v>
      </c>
      <c r="BI26" s="22">
        <v>0</v>
      </c>
      <c r="BJ26" s="22">
        <v>3</v>
      </c>
      <c r="BK26" s="22">
        <v>1</v>
      </c>
      <c r="BL26" s="22">
        <v>3</v>
      </c>
      <c r="BM26" s="22">
        <v>2</v>
      </c>
      <c r="BN26" s="22">
        <v>1</v>
      </c>
      <c r="BO26" s="22">
        <v>0</v>
      </c>
      <c r="BP26" s="22">
        <v>1</v>
      </c>
      <c r="BQ26" s="22">
        <v>1</v>
      </c>
      <c r="BR26" s="22">
        <v>2</v>
      </c>
      <c r="BS26" s="22">
        <v>1</v>
      </c>
      <c r="BT26" s="22">
        <v>0</v>
      </c>
      <c r="BU26" s="22">
        <v>0</v>
      </c>
      <c r="BV26" s="23">
        <f t="shared" si="2"/>
        <v>9</v>
      </c>
    </row>
    <row r="27" spans="1:74">
      <c r="A27" s="22">
        <f t="shared" si="3"/>
        <v>24</v>
      </c>
      <c r="B27" s="22">
        <v>1</v>
      </c>
      <c r="C27" s="22" t="s">
        <v>181</v>
      </c>
      <c r="D27" s="28">
        <v>44098</v>
      </c>
      <c r="E27" s="22" t="s">
        <v>124</v>
      </c>
      <c r="F27" s="15">
        <v>27.9775355035</v>
      </c>
      <c r="G27" s="15">
        <v>59.6873832735999</v>
      </c>
      <c r="H27" s="22">
        <f t="shared" si="0"/>
        <v>27</v>
      </c>
      <c r="I27" s="31">
        <v>58.66</v>
      </c>
      <c r="J27" s="22">
        <f t="shared" si="1"/>
        <v>59</v>
      </c>
      <c r="K27" s="31">
        <v>41.247</v>
      </c>
      <c r="L27" s="22">
        <v>6.9</v>
      </c>
      <c r="M27" s="22">
        <v>1.7</v>
      </c>
      <c r="O27" s="22">
        <v>13.8</v>
      </c>
      <c r="R27" s="22">
        <v>2.9</v>
      </c>
      <c r="T27" s="22">
        <v>8.87</v>
      </c>
      <c r="AC27" s="22" t="s">
        <v>182</v>
      </c>
      <c r="AE27" s="22" t="s">
        <v>122</v>
      </c>
      <c r="AF27" s="22" t="s">
        <v>183</v>
      </c>
      <c r="AG27" s="22" t="s">
        <v>175</v>
      </c>
      <c r="AH27" s="22" t="s">
        <v>184</v>
      </c>
      <c r="AK27" s="22" t="s">
        <v>122</v>
      </c>
      <c r="AL27" s="22" t="s">
        <v>122</v>
      </c>
      <c r="AN27" s="23">
        <v>3</v>
      </c>
      <c r="AO27" s="22">
        <v>1</v>
      </c>
      <c r="AP27" s="23">
        <v>1</v>
      </c>
      <c r="AQ27" s="23">
        <v>1</v>
      </c>
      <c r="AR27" s="23">
        <v>0</v>
      </c>
      <c r="AS27" s="23">
        <v>1</v>
      </c>
      <c r="AT27" s="22">
        <v>0</v>
      </c>
      <c r="AU27" s="22">
        <v>0</v>
      </c>
      <c r="AV27" s="23">
        <v>0</v>
      </c>
      <c r="AW27" s="22">
        <v>0</v>
      </c>
      <c r="AX27" s="23">
        <v>0</v>
      </c>
      <c r="AY27" s="23">
        <v>0</v>
      </c>
      <c r="AZ27" s="22">
        <v>0</v>
      </c>
      <c r="BA27" s="22">
        <v>0</v>
      </c>
      <c r="BB27" s="23">
        <v>0</v>
      </c>
      <c r="BC27" s="23">
        <v>1</v>
      </c>
      <c r="BD27" s="22">
        <v>0</v>
      </c>
      <c r="BE27" s="22">
        <v>0</v>
      </c>
      <c r="BF27" s="22">
        <v>0</v>
      </c>
      <c r="BG27" s="23">
        <v>0</v>
      </c>
      <c r="BH27" s="22">
        <v>0</v>
      </c>
      <c r="BI27" s="22">
        <v>0</v>
      </c>
      <c r="BJ27" s="22">
        <v>4</v>
      </c>
      <c r="BK27" s="22">
        <v>3</v>
      </c>
      <c r="BL27" s="22">
        <v>2</v>
      </c>
      <c r="BM27" s="22">
        <v>2</v>
      </c>
      <c r="BN27" s="22">
        <v>1</v>
      </c>
      <c r="BO27" s="22">
        <v>1</v>
      </c>
      <c r="BP27" s="22">
        <v>1</v>
      </c>
      <c r="BQ27" s="22">
        <v>1</v>
      </c>
      <c r="BR27" s="22">
        <v>2</v>
      </c>
      <c r="BS27" s="22">
        <v>2</v>
      </c>
      <c r="BT27" s="22">
        <v>0</v>
      </c>
      <c r="BU27" s="22">
        <v>0</v>
      </c>
      <c r="BV27" s="23">
        <f t="shared" si="2"/>
        <v>11</v>
      </c>
    </row>
    <row r="28" spans="1:74">
      <c r="A28" s="22">
        <f t="shared" si="3"/>
        <v>25</v>
      </c>
      <c r="B28" s="22">
        <v>1</v>
      </c>
      <c r="C28" s="22" t="s">
        <v>185</v>
      </c>
      <c r="D28" s="28">
        <v>44098</v>
      </c>
      <c r="E28" s="22" t="s">
        <v>124</v>
      </c>
      <c r="F28" s="15">
        <v>27.9753711301999</v>
      </c>
      <c r="G28" s="15">
        <v>59.7020080675</v>
      </c>
      <c r="H28" s="22">
        <f t="shared" si="0"/>
        <v>27</v>
      </c>
      <c r="I28" s="31">
        <v>58.517</v>
      </c>
      <c r="J28" s="22">
        <f t="shared" si="1"/>
        <v>59</v>
      </c>
      <c r="K28" s="31">
        <v>42.122</v>
      </c>
      <c r="L28" s="22">
        <v>3.5</v>
      </c>
      <c r="M28" s="22">
        <v>1.7</v>
      </c>
      <c r="O28" s="22">
        <v>14</v>
      </c>
      <c r="R28" s="22">
        <v>3.24</v>
      </c>
      <c r="T28" s="22">
        <v>8.2</v>
      </c>
      <c r="AC28" s="22" t="s">
        <v>186</v>
      </c>
      <c r="AD28" s="22" t="s">
        <v>187</v>
      </c>
      <c r="AG28" s="22" t="s">
        <v>175</v>
      </c>
      <c r="AH28" s="22" t="s">
        <v>188</v>
      </c>
      <c r="AK28" s="22" t="s">
        <v>122</v>
      </c>
      <c r="AL28" s="22" t="s">
        <v>122</v>
      </c>
      <c r="AN28" s="23">
        <v>5</v>
      </c>
      <c r="AO28" s="22">
        <v>2</v>
      </c>
      <c r="AP28" s="23">
        <v>0</v>
      </c>
      <c r="AQ28" s="23">
        <v>1</v>
      </c>
      <c r="AR28" s="23">
        <v>0</v>
      </c>
      <c r="AS28" s="23">
        <v>1</v>
      </c>
      <c r="AT28" s="22">
        <v>0</v>
      </c>
      <c r="AU28" s="22">
        <v>0</v>
      </c>
      <c r="AV28" s="23">
        <v>0</v>
      </c>
      <c r="AW28" s="22">
        <v>0</v>
      </c>
      <c r="AX28" s="23">
        <v>0</v>
      </c>
      <c r="AY28" s="23">
        <v>0</v>
      </c>
      <c r="AZ28" s="22">
        <v>0</v>
      </c>
      <c r="BA28" s="22">
        <v>0</v>
      </c>
      <c r="BB28" s="23">
        <v>0</v>
      </c>
      <c r="BC28" s="23">
        <v>1</v>
      </c>
      <c r="BD28" s="22">
        <v>0</v>
      </c>
      <c r="BE28" s="22">
        <v>0</v>
      </c>
      <c r="BF28" s="22">
        <v>0</v>
      </c>
      <c r="BG28" s="23">
        <v>0</v>
      </c>
      <c r="BH28" s="22">
        <v>0</v>
      </c>
      <c r="BI28" s="22">
        <v>0</v>
      </c>
      <c r="BJ28" s="22">
        <v>5</v>
      </c>
      <c r="BK28" s="22">
        <v>5</v>
      </c>
      <c r="BL28" s="22">
        <v>3</v>
      </c>
      <c r="BM28" s="22">
        <v>2</v>
      </c>
      <c r="BN28" s="22">
        <v>1</v>
      </c>
      <c r="BO28" s="22">
        <v>1</v>
      </c>
      <c r="BP28" s="22">
        <v>1</v>
      </c>
      <c r="BQ28" s="22">
        <v>1</v>
      </c>
      <c r="BR28" s="22">
        <v>2</v>
      </c>
      <c r="BS28" s="22">
        <v>2</v>
      </c>
      <c r="BT28" s="22">
        <v>0</v>
      </c>
      <c r="BU28" s="22">
        <v>1</v>
      </c>
      <c r="BV28" s="23">
        <f t="shared" si="2"/>
        <v>14</v>
      </c>
    </row>
    <row r="29" spans="1:75">
      <c r="A29" s="22">
        <f t="shared" si="3"/>
        <v>26</v>
      </c>
      <c r="B29" s="22">
        <v>1</v>
      </c>
      <c r="C29" s="22" t="s">
        <v>189</v>
      </c>
      <c r="D29" s="28">
        <v>44098</v>
      </c>
      <c r="E29" s="169" t="s">
        <v>190</v>
      </c>
      <c r="F29" s="15">
        <v>27.9323010646999</v>
      </c>
      <c r="G29" s="15">
        <v>59.6975335106999</v>
      </c>
      <c r="H29" s="22">
        <f t="shared" si="0"/>
        <v>27</v>
      </c>
      <c r="I29" s="31">
        <v>55.932</v>
      </c>
      <c r="J29" s="22">
        <f t="shared" si="1"/>
        <v>59</v>
      </c>
      <c r="K29" s="31">
        <v>41.855</v>
      </c>
      <c r="L29" s="22">
        <v>7.3</v>
      </c>
      <c r="M29" s="22">
        <v>2.4</v>
      </c>
      <c r="O29" s="22">
        <v>14</v>
      </c>
      <c r="R29" s="22">
        <v>3.11</v>
      </c>
      <c r="T29" s="22">
        <v>8.65</v>
      </c>
      <c r="AC29" s="22" t="s">
        <v>191</v>
      </c>
      <c r="AD29" s="22" t="s">
        <v>192</v>
      </c>
      <c r="AG29" s="22" t="s">
        <v>193</v>
      </c>
      <c r="AH29" s="22" t="s">
        <v>194</v>
      </c>
      <c r="AK29" s="22" t="s">
        <v>195</v>
      </c>
      <c r="AL29" s="22" t="s">
        <v>122</v>
      </c>
      <c r="AN29" s="23">
        <v>6</v>
      </c>
      <c r="AO29" s="22">
        <v>1</v>
      </c>
      <c r="AP29" s="23">
        <v>3</v>
      </c>
      <c r="AQ29" s="23">
        <v>0</v>
      </c>
      <c r="AR29" s="23">
        <v>0</v>
      </c>
      <c r="AS29" s="23">
        <v>1</v>
      </c>
      <c r="AT29" s="22">
        <v>0</v>
      </c>
      <c r="AU29" s="22">
        <v>0</v>
      </c>
      <c r="AV29" s="23">
        <v>0</v>
      </c>
      <c r="AW29" s="22">
        <v>0</v>
      </c>
      <c r="AX29" s="23">
        <v>0</v>
      </c>
      <c r="AY29" s="23">
        <v>0</v>
      </c>
      <c r="AZ29" s="22">
        <v>0</v>
      </c>
      <c r="BA29" s="22">
        <v>0</v>
      </c>
      <c r="BB29" s="23">
        <v>0</v>
      </c>
      <c r="BC29" s="23">
        <v>1</v>
      </c>
      <c r="BD29" s="22">
        <v>0</v>
      </c>
      <c r="BE29" s="22">
        <v>0</v>
      </c>
      <c r="BF29" s="22">
        <v>0</v>
      </c>
      <c r="BG29" s="23">
        <v>0</v>
      </c>
      <c r="BH29" s="22">
        <v>1</v>
      </c>
      <c r="BI29" s="22">
        <v>0</v>
      </c>
      <c r="BJ29" s="22">
        <v>6</v>
      </c>
      <c r="BK29" s="22">
        <v>5</v>
      </c>
      <c r="BL29" s="22">
        <v>3</v>
      </c>
      <c r="BM29" s="22">
        <v>2</v>
      </c>
      <c r="BN29" s="22">
        <v>1</v>
      </c>
      <c r="BO29" s="22">
        <v>1</v>
      </c>
      <c r="BP29" s="22">
        <v>1</v>
      </c>
      <c r="BQ29" s="22">
        <v>1</v>
      </c>
      <c r="BR29" s="22">
        <v>2</v>
      </c>
      <c r="BS29" s="22">
        <v>2</v>
      </c>
      <c r="BT29" s="22">
        <v>0</v>
      </c>
      <c r="BU29" s="22">
        <v>0</v>
      </c>
      <c r="BV29" s="23">
        <f t="shared" si="2"/>
        <v>16</v>
      </c>
      <c r="BW29" s="22" t="s">
        <v>196</v>
      </c>
    </row>
    <row r="30" spans="1:11">
      <c r="A30" s="22">
        <f t="shared" si="3"/>
        <v>27</v>
      </c>
      <c r="B30" s="22">
        <v>1</v>
      </c>
      <c r="C30" s="22" t="s">
        <v>197</v>
      </c>
      <c r="D30" s="22" t="s">
        <v>198</v>
      </c>
      <c r="F30" s="15">
        <v>27.8797398917</v>
      </c>
      <c r="G30" s="15">
        <v>59.6918321770999</v>
      </c>
      <c r="H30" s="22">
        <f t="shared" si="0"/>
        <v>27</v>
      </c>
      <c r="I30" s="15">
        <f t="shared" ref="I30:I69" si="4">(F30-H30)*60</f>
        <v>52.7843935020001</v>
      </c>
      <c r="J30" s="22">
        <f t="shared" si="1"/>
        <v>59</v>
      </c>
      <c r="K30" s="15">
        <f t="shared" ref="K30:K69" si="5">(G30-J30)*60</f>
        <v>41.5099306259938</v>
      </c>
    </row>
    <row r="31" spans="1:74">
      <c r="A31" s="22">
        <f t="shared" si="3"/>
        <v>28</v>
      </c>
      <c r="B31" s="22">
        <v>1</v>
      </c>
      <c r="C31" s="22" t="s">
        <v>199</v>
      </c>
      <c r="D31" s="28">
        <v>44098</v>
      </c>
      <c r="E31" s="22" t="s">
        <v>124</v>
      </c>
      <c r="F31" s="15">
        <v>27.8960310088</v>
      </c>
      <c r="G31" s="15">
        <v>59.7178026134</v>
      </c>
      <c r="H31" s="22">
        <f t="shared" si="0"/>
        <v>27</v>
      </c>
      <c r="I31" s="31">
        <v>53.759</v>
      </c>
      <c r="J31" s="22">
        <f t="shared" si="1"/>
        <v>59</v>
      </c>
      <c r="K31" s="31">
        <v>43.067</v>
      </c>
      <c r="L31" s="22">
        <v>8.7</v>
      </c>
      <c r="M31" s="22">
        <v>3.4</v>
      </c>
      <c r="O31" s="22">
        <v>14.5</v>
      </c>
      <c r="R31" s="22">
        <v>3.42</v>
      </c>
      <c r="T31" s="22">
        <v>8.36</v>
      </c>
      <c r="AC31" s="22" t="s">
        <v>200</v>
      </c>
      <c r="AG31" s="22" t="s">
        <v>175</v>
      </c>
      <c r="AH31" s="22" t="s">
        <v>201</v>
      </c>
      <c r="AK31" s="22" t="s">
        <v>122</v>
      </c>
      <c r="AL31" s="22" t="s">
        <v>122</v>
      </c>
      <c r="AN31" s="23">
        <v>3</v>
      </c>
      <c r="AO31" s="22">
        <v>1</v>
      </c>
      <c r="AP31" s="23">
        <v>1</v>
      </c>
      <c r="AQ31" s="23">
        <v>0</v>
      </c>
      <c r="AR31" s="23">
        <v>0</v>
      </c>
      <c r="AS31" s="23">
        <v>1</v>
      </c>
      <c r="AT31" s="22">
        <v>0</v>
      </c>
      <c r="AU31" s="22">
        <v>0</v>
      </c>
      <c r="AV31" s="23">
        <v>0</v>
      </c>
      <c r="AW31" s="22">
        <v>0</v>
      </c>
      <c r="AX31" s="23">
        <v>0</v>
      </c>
      <c r="AY31" s="23">
        <v>0</v>
      </c>
      <c r="AZ31" s="22">
        <v>0</v>
      </c>
      <c r="BA31" s="22">
        <v>0</v>
      </c>
      <c r="BB31" s="23">
        <v>0</v>
      </c>
      <c r="BC31" s="23">
        <v>1</v>
      </c>
      <c r="BD31" s="22">
        <v>0</v>
      </c>
      <c r="BE31" s="22">
        <v>0</v>
      </c>
      <c r="BF31" s="22">
        <v>0</v>
      </c>
      <c r="BG31" s="23">
        <v>0</v>
      </c>
      <c r="BH31" s="22">
        <v>0</v>
      </c>
      <c r="BI31" s="22">
        <v>0</v>
      </c>
      <c r="BJ31" s="22">
        <v>5</v>
      </c>
      <c r="BK31" s="22">
        <v>2</v>
      </c>
      <c r="BL31" s="22">
        <v>3</v>
      </c>
      <c r="BM31" s="22">
        <v>2</v>
      </c>
      <c r="BN31" s="22">
        <v>1</v>
      </c>
      <c r="BO31" s="22">
        <v>1</v>
      </c>
      <c r="BP31" s="22">
        <v>1</v>
      </c>
      <c r="BQ31" s="22">
        <v>1</v>
      </c>
      <c r="BR31" s="22">
        <v>2</v>
      </c>
      <c r="BS31" s="22">
        <v>2</v>
      </c>
      <c r="BT31" s="22">
        <v>0</v>
      </c>
      <c r="BU31" s="22">
        <v>0</v>
      </c>
      <c r="BV31" s="23">
        <f t="shared" si="2"/>
        <v>12</v>
      </c>
    </row>
    <row r="32" spans="1:74">
      <c r="A32" s="22">
        <f t="shared" si="3"/>
        <v>29</v>
      </c>
      <c r="B32" s="22">
        <v>1</v>
      </c>
      <c r="C32" s="22" t="s">
        <v>202</v>
      </c>
      <c r="D32" s="28">
        <v>44098</v>
      </c>
      <c r="E32" s="22" t="s">
        <v>124</v>
      </c>
      <c r="F32" s="15">
        <v>27.9385636439999</v>
      </c>
      <c r="G32" s="15">
        <v>59.7182344726999</v>
      </c>
      <c r="H32" s="22">
        <f t="shared" si="0"/>
        <v>27</v>
      </c>
      <c r="I32" s="31">
        <v>56.317</v>
      </c>
      <c r="J32" s="22">
        <f t="shared" si="1"/>
        <v>59</v>
      </c>
      <c r="K32" s="31">
        <v>43.095</v>
      </c>
      <c r="L32" s="22">
        <v>4.3</v>
      </c>
      <c r="M32" s="22">
        <v>2.5</v>
      </c>
      <c r="O32" s="22">
        <v>14.1</v>
      </c>
      <c r="R32" s="22">
        <v>3.14</v>
      </c>
      <c r="T32" s="22">
        <v>8.3</v>
      </c>
      <c r="AC32" s="22" t="s">
        <v>203</v>
      </c>
      <c r="AD32" s="22" t="s">
        <v>204</v>
      </c>
      <c r="AG32" s="22" t="s">
        <v>175</v>
      </c>
      <c r="AH32" s="22" t="s">
        <v>201</v>
      </c>
      <c r="AK32" s="22" t="s">
        <v>205</v>
      </c>
      <c r="AL32" s="22" t="s">
        <v>122</v>
      </c>
      <c r="AN32" s="23">
        <v>5</v>
      </c>
      <c r="AO32" s="22">
        <v>1</v>
      </c>
      <c r="AP32" s="23">
        <v>3</v>
      </c>
      <c r="AQ32" s="23">
        <v>0</v>
      </c>
      <c r="AR32" s="23">
        <v>1</v>
      </c>
      <c r="AS32" s="23">
        <v>1</v>
      </c>
      <c r="AT32" s="22">
        <v>0</v>
      </c>
      <c r="AU32" s="22">
        <v>0</v>
      </c>
      <c r="AV32" s="23">
        <v>0</v>
      </c>
      <c r="AW32" s="22">
        <v>0</v>
      </c>
      <c r="AX32" s="23">
        <v>0</v>
      </c>
      <c r="AY32" s="23">
        <v>0</v>
      </c>
      <c r="AZ32" s="22">
        <v>0</v>
      </c>
      <c r="BA32" s="22">
        <v>0</v>
      </c>
      <c r="BB32" s="23">
        <v>0</v>
      </c>
      <c r="BC32" s="23">
        <v>1</v>
      </c>
      <c r="BD32" s="22">
        <v>0</v>
      </c>
      <c r="BE32" s="22">
        <v>0</v>
      </c>
      <c r="BF32" s="22">
        <v>0</v>
      </c>
      <c r="BG32" s="23">
        <v>0</v>
      </c>
      <c r="BH32" s="22">
        <v>0</v>
      </c>
      <c r="BI32" s="22">
        <v>0</v>
      </c>
      <c r="BJ32" s="22">
        <v>5</v>
      </c>
      <c r="BK32" s="22">
        <v>4</v>
      </c>
      <c r="BL32" s="22">
        <v>3</v>
      </c>
      <c r="BM32" s="22">
        <v>2</v>
      </c>
      <c r="BN32" s="22">
        <v>1</v>
      </c>
      <c r="BO32" s="22">
        <v>1</v>
      </c>
      <c r="BP32" s="22">
        <v>1</v>
      </c>
      <c r="BQ32" s="22">
        <v>1</v>
      </c>
      <c r="BR32" s="22">
        <v>1</v>
      </c>
      <c r="BS32" s="22">
        <v>1</v>
      </c>
      <c r="BT32" s="22">
        <v>1</v>
      </c>
      <c r="BU32" s="22">
        <v>1</v>
      </c>
      <c r="BV32" s="23">
        <f t="shared" si="2"/>
        <v>14</v>
      </c>
    </row>
    <row r="33" spans="1:74">
      <c r="A33" s="22">
        <f t="shared" si="3"/>
        <v>30</v>
      </c>
      <c r="B33" s="22">
        <v>1</v>
      </c>
      <c r="C33" s="22" t="s">
        <v>206</v>
      </c>
      <c r="D33" s="28">
        <v>44098</v>
      </c>
      <c r="E33" s="22" t="s">
        <v>124</v>
      </c>
      <c r="F33" s="15">
        <v>27.9833213671999</v>
      </c>
      <c r="G33" s="15">
        <v>59.7177281106</v>
      </c>
      <c r="H33" s="22">
        <f t="shared" si="0"/>
        <v>27</v>
      </c>
      <c r="I33" s="31">
        <v>59.002</v>
      </c>
      <c r="J33" s="22">
        <f t="shared" si="1"/>
        <v>59</v>
      </c>
      <c r="K33" s="31">
        <v>43.067</v>
      </c>
      <c r="L33" s="22">
        <v>2.1</v>
      </c>
      <c r="M33" s="22">
        <v>2.1</v>
      </c>
      <c r="O33" s="22">
        <v>14.5</v>
      </c>
      <c r="R33" s="22">
        <v>3.4</v>
      </c>
      <c r="T33" s="22">
        <v>8.16</v>
      </c>
      <c r="AC33" s="22" t="s">
        <v>207</v>
      </c>
      <c r="AD33" s="22" t="s">
        <v>208</v>
      </c>
      <c r="AG33" s="22" t="s">
        <v>209</v>
      </c>
      <c r="AK33" s="22" t="s">
        <v>122</v>
      </c>
      <c r="AL33" s="22" t="s">
        <v>122</v>
      </c>
      <c r="AN33" s="23">
        <v>0</v>
      </c>
      <c r="AO33" s="22">
        <v>0</v>
      </c>
      <c r="AP33" s="23">
        <v>0</v>
      </c>
      <c r="AQ33" s="23">
        <v>0</v>
      </c>
      <c r="AR33" s="23">
        <v>0</v>
      </c>
      <c r="AS33" s="23">
        <v>1</v>
      </c>
      <c r="AT33" s="22">
        <v>0</v>
      </c>
      <c r="AU33" s="22">
        <v>0</v>
      </c>
      <c r="AV33" s="23">
        <v>0</v>
      </c>
      <c r="AW33" s="22">
        <v>0</v>
      </c>
      <c r="AX33" s="23">
        <v>0</v>
      </c>
      <c r="AY33" s="23">
        <v>0</v>
      </c>
      <c r="AZ33" s="22">
        <v>0</v>
      </c>
      <c r="BA33" s="22">
        <v>0</v>
      </c>
      <c r="BB33" s="23">
        <v>0</v>
      </c>
      <c r="BC33" s="23">
        <v>1</v>
      </c>
      <c r="BD33" s="22">
        <v>0</v>
      </c>
      <c r="BE33" s="22">
        <v>0</v>
      </c>
      <c r="BF33" s="22">
        <v>0</v>
      </c>
      <c r="BG33" s="23">
        <v>0</v>
      </c>
      <c r="BH33" s="22">
        <v>0</v>
      </c>
      <c r="BI33" s="22">
        <v>0</v>
      </c>
      <c r="BJ33" s="22">
        <v>2</v>
      </c>
      <c r="BK33" s="22">
        <v>1</v>
      </c>
      <c r="BL33" s="22">
        <v>3</v>
      </c>
      <c r="BM33" s="22">
        <v>1</v>
      </c>
      <c r="BN33" s="22">
        <v>1</v>
      </c>
      <c r="BO33" s="22">
        <v>1</v>
      </c>
      <c r="BP33" s="22">
        <v>0</v>
      </c>
      <c r="BQ33" s="22">
        <v>0</v>
      </c>
      <c r="BR33" s="22">
        <v>2</v>
      </c>
      <c r="BS33" s="22">
        <v>2</v>
      </c>
      <c r="BT33" s="22">
        <v>1</v>
      </c>
      <c r="BU33" s="22">
        <v>0</v>
      </c>
      <c r="BV33" s="23">
        <f t="shared" si="2"/>
        <v>4</v>
      </c>
    </row>
    <row r="34" spans="1:74">
      <c r="A34" s="22">
        <f t="shared" si="3"/>
        <v>31</v>
      </c>
      <c r="B34" s="22">
        <v>1</v>
      </c>
      <c r="C34" s="22" t="s">
        <v>210</v>
      </c>
      <c r="D34" s="28">
        <v>44098</v>
      </c>
      <c r="E34" s="22" t="s">
        <v>124</v>
      </c>
      <c r="F34" s="15">
        <v>27.9116695782</v>
      </c>
      <c r="G34" s="15">
        <v>59.7386991652999</v>
      </c>
      <c r="H34" s="22">
        <f t="shared" si="0"/>
        <v>27</v>
      </c>
      <c r="I34" s="31">
        <v>54.697</v>
      </c>
      <c r="J34" s="22">
        <f t="shared" si="1"/>
        <v>59</v>
      </c>
      <c r="K34" s="31">
        <v>44.32</v>
      </c>
      <c r="L34" s="22">
        <v>6.5</v>
      </c>
      <c r="M34" s="22">
        <v>4</v>
      </c>
      <c r="O34" s="22">
        <v>14.1</v>
      </c>
      <c r="P34" s="22">
        <v>14.3</v>
      </c>
      <c r="R34" s="22">
        <v>3.48</v>
      </c>
      <c r="S34" s="22">
        <v>3.55</v>
      </c>
      <c r="T34" s="22">
        <v>8.43</v>
      </c>
      <c r="U34" s="22">
        <v>8.22</v>
      </c>
      <c r="AC34" s="22" t="s">
        <v>211</v>
      </c>
      <c r="AD34" s="22" t="s">
        <v>212</v>
      </c>
      <c r="AE34" s="22" t="s">
        <v>122</v>
      </c>
      <c r="AF34" s="22" t="s">
        <v>213</v>
      </c>
      <c r="AG34" s="22" t="s">
        <v>214</v>
      </c>
      <c r="AK34" s="22" t="s">
        <v>122</v>
      </c>
      <c r="AL34" s="22" t="s">
        <v>122</v>
      </c>
      <c r="AN34" s="23">
        <v>0</v>
      </c>
      <c r="AO34" s="22">
        <v>0</v>
      </c>
      <c r="AP34" s="23">
        <v>0</v>
      </c>
      <c r="AQ34" s="23">
        <v>0</v>
      </c>
      <c r="AR34" s="23">
        <v>0</v>
      </c>
      <c r="AS34" s="23">
        <v>1</v>
      </c>
      <c r="AT34" s="22">
        <v>0</v>
      </c>
      <c r="AU34" s="22">
        <v>0</v>
      </c>
      <c r="AV34" s="23">
        <v>0</v>
      </c>
      <c r="AW34" s="22">
        <v>0</v>
      </c>
      <c r="AX34" s="23">
        <v>0</v>
      </c>
      <c r="AY34" s="23">
        <v>0</v>
      </c>
      <c r="AZ34" s="22">
        <v>0</v>
      </c>
      <c r="BA34" s="22">
        <v>0</v>
      </c>
      <c r="BB34" s="23">
        <v>0</v>
      </c>
      <c r="BC34" s="23">
        <v>0</v>
      </c>
      <c r="BD34" s="22">
        <v>0</v>
      </c>
      <c r="BE34" s="22">
        <v>0</v>
      </c>
      <c r="BF34" s="22">
        <v>0</v>
      </c>
      <c r="BG34" s="23">
        <v>0</v>
      </c>
      <c r="BH34" s="22">
        <v>0</v>
      </c>
      <c r="BI34" s="22">
        <v>0</v>
      </c>
      <c r="BJ34" s="22">
        <v>1</v>
      </c>
      <c r="BK34" s="22">
        <v>1</v>
      </c>
      <c r="BL34" s="22">
        <v>3</v>
      </c>
      <c r="BM34" s="22">
        <v>1</v>
      </c>
      <c r="BN34" s="22">
        <v>1</v>
      </c>
      <c r="BO34" s="22">
        <v>1</v>
      </c>
      <c r="BP34" s="22">
        <v>0</v>
      </c>
      <c r="BQ34" s="22">
        <v>0</v>
      </c>
      <c r="BR34" s="22">
        <v>2</v>
      </c>
      <c r="BS34" s="22">
        <v>1</v>
      </c>
      <c r="BT34" s="22">
        <v>0</v>
      </c>
      <c r="BU34" s="22">
        <v>0</v>
      </c>
      <c r="BV34" s="23">
        <f t="shared" si="2"/>
        <v>5</v>
      </c>
    </row>
    <row r="35" spans="1:75">
      <c r="A35" s="22">
        <f t="shared" si="3"/>
        <v>32</v>
      </c>
      <c r="B35" s="22">
        <v>1</v>
      </c>
      <c r="C35" s="22" t="s">
        <v>215</v>
      </c>
      <c r="D35" s="28">
        <v>44098</v>
      </c>
      <c r="E35" s="22" t="s">
        <v>124</v>
      </c>
      <c r="F35" s="15">
        <v>27.9625609191</v>
      </c>
      <c r="G35" s="15">
        <v>59.7397638731</v>
      </c>
      <c r="H35" s="22">
        <f t="shared" si="0"/>
        <v>27</v>
      </c>
      <c r="I35" s="31">
        <v>57.762</v>
      </c>
      <c r="J35" s="22">
        <f t="shared" si="1"/>
        <v>59</v>
      </c>
      <c r="K35" s="31">
        <v>44.386</v>
      </c>
      <c r="L35" s="22">
        <v>3.5</v>
      </c>
      <c r="M35" s="22">
        <v>3.4</v>
      </c>
      <c r="O35" s="22">
        <v>14.4</v>
      </c>
      <c r="R35" s="22">
        <v>3.4</v>
      </c>
      <c r="T35" s="22">
        <v>8.87</v>
      </c>
      <c r="AB35" s="22" t="s">
        <v>216</v>
      </c>
      <c r="AC35" s="22" t="s">
        <v>217</v>
      </c>
      <c r="AD35" s="22" t="s">
        <v>218</v>
      </c>
      <c r="AG35" s="22" t="s">
        <v>214</v>
      </c>
      <c r="AH35" s="22" t="s">
        <v>219</v>
      </c>
      <c r="AK35" s="22" t="s">
        <v>122</v>
      </c>
      <c r="AL35" s="22" t="s">
        <v>122</v>
      </c>
      <c r="AN35" s="23">
        <v>5</v>
      </c>
      <c r="AO35" s="22">
        <v>1</v>
      </c>
      <c r="AP35" s="23">
        <v>3</v>
      </c>
      <c r="AQ35" s="23">
        <v>2</v>
      </c>
      <c r="AR35" s="23">
        <v>0</v>
      </c>
      <c r="AS35" s="23">
        <v>0</v>
      </c>
      <c r="AT35" s="22">
        <v>0</v>
      </c>
      <c r="AU35" s="22">
        <v>0</v>
      </c>
      <c r="AV35" s="23">
        <v>0</v>
      </c>
      <c r="AW35" s="22">
        <v>0</v>
      </c>
      <c r="AX35" s="23">
        <v>0</v>
      </c>
      <c r="AY35" s="23">
        <v>0</v>
      </c>
      <c r="AZ35" s="22">
        <v>0</v>
      </c>
      <c r="BA35" s="22">
        <v>0</v>
      </c>
      <c r="BB35" s="23">
        <v>0</v>
      </c>
      <c r="BC35" s="23">
        <v>1</v>
      </c>
      <c r="BD35" s="22">
        <v>0</v>
      </c>
      <c r="BE35" s="22">
        <v>0</v>
      </c>
      <c r="BF35" s="22">
        <v>0</v>
      </c>
      <c r="BG35" s="23">
        <v>0</v>
      </c>
      <c r="BH35" s="22">
        <v>1</v>
      </c>
      <c r="BI35" s="22">
        <v>0</v>
      </c>
      <c r="BJ35" s="22">
        <v>7</v>
      </c>
      <c r="BK35" s="22">
        <v>3</v>
      </c>
      <c r="BL35" s="22">
        <v>3</v>
      </c>
      <c r="BM35" s="22">
        <v>2</v>
      </c>
      <c r="BN35" s="22">
        <v>1</v>
      </c>
      <c r="BO35" s="22">
        <v>1</v>
      </c>
      <c r="BP35" s="22">
        <v>1</v>
      </c>
      <c r="BQ35" s="22">
        <v>1</v>
      </c>
      <c r="BR35" s="22">
        <v>2</v>
      </c>
      <c r="BS35" s="22">
        <v>2</v>
      </c>
      <c r="BT35" s="22">
        <v>0</v>
      </c>
      <c r="BU35" s="22">
        <v>1</v>
      </c>
      <c r="BV35" s="23">
        <f t="shared" si="2"/>
        <v>14</v>
      </c>
      <c r="BW35" s="22" t="s">
        <v>220</v>
      </c>
    </row>
    <row r="36" spans="1:74">
      <c r="A36" s="22">
        <f t="shared" si="3"/>
        <v>33</v>
      </c>
      <c r="B36" s="22">
        <v>1</v>
      </c>
      <c r="C36" s="22" t="s">
        <v>221</v>
      </c>
      <c r="D36" s="28">
        <v>44090</v>
      </c>
      <c r="F36" s="15">
        <v>28.0158893553999</v>
      </c>
      <c r="G36" s="15">
        <v>59.7429791456999</v>
      </c>
      <c r="H36" s="22">
        <f t="shared" si="0"/>
        <v>28</v>
      </c>
      <c r="I36" s="31">
        <v>0.959</v>
      </c>
      <c r="J36" s="22">
        <f t="shared" si="1"/>
        <v>59</v>
      </c>
      <c r="K36" s="31">
        <v>44.578</v>
      </c>
      <c r="L36" s="22">
        <v>3</v>
      </c>
      <c r="M36" s="22">
        <v>1.8</v>
      </c>
      <c r="O36" s="22">
        <v>15.2</v>
      </c>
      <c r="R36" s="22">
        <v>3.28</v>
      </c>
      <c r="T36" s="22">
        <v>8.25</v>
      </c>
      <c r="AG36" s="22" t="s">
        <v>209</v>
      </c>
      <c r="AN36" s="23">
        <v>2</v>
      </c>
      <c r="AO36" s="22">
        <v>1</v>
      </c>
      <c r="AP36" s="23">
        <v>2</v>
      </c>
      <c r="AQ36" s="23">
        <v>0</v>
      </c>
      <c r="AR36" s="23">
        <v>1</v>
      </c>
      <c r="AS36" s="23">
        <v>0</v>
      </c>
      <c r="AT36" s="22">
        <v>0</v>
      </c>
      <c r="AU36" s="22">
        <v>0</v>
      </c>
      <c r="AV36" s="23">
        <v>0</v>
      </c>
      <c r="AW36" s="22">
        <v>0</v>
      </c>
      <c r="AX36" s="23">
        <v>0</v>
      </c>
      <c r="AY36" s="23">
        <v>0</v>
      </c>
      <c r="AZ36" s="22">
        <v>0</v>
      </c>
      <c r="BA36" s="22">
        <v>0</v>
      </c>
      <c r="BB36" s="23">
        <v>0</v>
      </c>
      <c r="BC36" s="23">
        <v>1</v>
      </c>
      <c r="BD36" s="22">
        <v>0</v>
      </c>
      <c r="BE36" s="22">
        <v>0</v>
      </c>
      <c r="BF36" s="22">
        <v>0</v>
      </c>
      <c r="BG36" s="23">
        <v>0</v>
      </c>
      <c r="BH36" s="22">
        <v>0</v>
      </c>
      <c r="BI36" s="22">
        <v>0</v>
      </c>
      <c r="BJ36" s="22">
        <v>5</v>
      </c>
      <c r="BK36" s="22">
        <v>2</v>
      </c>
      <c r="BL36" s="22">
        <v>3</v>
      </c>
      <c r="BM36" s="22">
        <v>2</v>
      </c>
      <c r="BN36" s="22">
        <v>1</v>
      </c>
      <c r="BO36" s="22">
        <v>1</v>
      </c>
      <c r="BP36" s="22">
        <v>1</v>
      </c>
      <c r="BQ36" s="22">
        <v>1</v>
      </c>
      <c r="BR36" s="22">
        <v>2</v>
      </c>
      <c r="BS36" s="22">
        <v>2</v>
      </c>
      <c r="BT36" s="22">
        <v>0</v>
      </c>
      <c r="BU36" s="22">
        <v>1</v>
      </c>
      <c r="BV36" s="23">
        <f t="shared" si="2"/>
        <v>11</v>
      </c>
    </row>
    <row r="37" spans="1:74">
      <c r="A37" s="22">
        <f t="shared" si="3"/>
        <v>34</v>
      </c>
      <c r="B37" s="22">
        <v>1</v>
      </c>
      <c r="C37" s="22" t="s">
        <v>222</v>
      </c>
      <c r="D37" s="28">
        <v>44090</v>
      </c>
      <c r="E37" s="22" t="s">
        <v>124</v>
      </c>
      <c r="F37" s="15">
        <v>27.9936673119</v>
      </c>
      <c r="G37" s="15">
        <v>59.7594461256</v>
      </c>
      <c r="H37" s="22">
        <f t="shared" si="0"/>
        <v>27</v>
      </c>
      <c r="I37" s="31">
        <v>59.617</v>
      </c>
      <c r="J37" s="22">
        <f t="shared" si="1"/>
        <v>59</v>
      </c>
      <c r="K37" s="31">
        <v>45.571</v>
      </c>
      <c r="L37" s="22">
        <v>8.5</v>
      </c>
      <c r="M37" s="22">
        <v>2.1</v>
      </c>
      <c r="O37" s="22">
        <v>15.1</v>
      </c>
      <c r="R37" s="22">
        <v>3.31</v>
      </c>
      <c r="T37" s="22">
        <v>8.14</v>
      </c>
      <c r="AC37" s="22" t="s">
        <v>223</v>
      </c>
      <c r="AD37" s="22" t="s">
        <v>224</v>
      </c>
      <c r="AE37" s="22" t="s">
        <v>122</v>
      </c>
      <c r="AF37" s="22" t="s">
        <v>225</v>
      </c>
      <c r="AG37" s="22" t="s">
        <v>214</v>
      </c>
      <c r="AH37" s="22" t="s">
        <v>201</v>
      </c>
      <c r="AK37" s="22" t="s">
        <v>122</v>
      </c>
      <c r="AL37" s="22" t="s">
        <v>122</v>
      </c>
      <c r="AN37" s="23">
        <v>3</v>
      </c>
      <c r="AO37" s="22">
        <v>1</v>
      </c>
      <c r="AP37" s="23">
        <v>1</v>
      </c>
      <c r="AQ37" s="23">
        <v>0</v>
      </c>
      <c r="AR37" s="23">
        <v>0</v>
      </c>
      <c r="AS37" s="23">
        <v>1</v>
      </c>
      <c r="AT37" s="22">
        <v>0</v>
      </c>
      <c r="AU37" s="22">
        <v>0</v>
      </c>
      <c r="AV37" s="23">
        <v>0</v>
      </c>
      <c r="AW37" s="22">
        <v>0</v>
      </c>
      <c r="AX37" s="23">
        <v>0</v>
      </c>
      <c r="AY37" s="23">
        <v>0</v>
      </c>
      <c r="AZ37" s="22">
        <v>0</v>
      </c>
      <c r="BA37" s="22">
        <v>0</v>
      </c>
      <c r="BB37" s="23">
        <v>0</v>
      </c>
      <c r="BC37" s="23">
        <v>0</v>
      </c>
      <c r="BD37" s="22">
        <v>0</v>
      </c>
      <c r="BE37" s="22">
        <v>0</v>
      </c>
      <c r="BF37" s="22">
        <v>0</v>
      </c>
      <c r="BG37" s="23">
        <v>0</v>
      </c>
      <c r="BH37" s="22">
        <v>0</v>
      </c>
      <c r="BI37" s="22">
        <v>0</v>
      </c>
      <c r="BJ37" s="22">
        <v>3</v>
      </c>
      <c r="BK37" s="22">
        <v>1</v>
      </c>
      <c r="BL37" s="22">
        <v>3</v>
      </c>
      <c r="BM37" s="22">
        <v>2</v>
      </c>
      <c r="BN37" s="22">
        <v>1</v>
      </c>
      <c r="BO37" s="22">
        <v>0</v>
      </c>
      <c r="BP37" s="22">
        <v>1</v>
      </c>
      <c r="BQ37" s="22">
        <v>1</v>
      </c>
      <c r="BR37" s="22">
        <v>2</v>
      </c>
      <c r="BS37" s="22">
        <v>1</v>
      </c>
      <c r="BT37" s="22">
        <v>0</v>
      </c>
      <c r="BU37" s="22">
        <v>0</v>
      </c>
      <c r="BV37" s="23">
        <f t="shared" si="2"/>
        <v>9</v>
      </c>
    </row>
    <row r="38" spans="1:74">
      <c r="A38" s="22">
        <f t="shared" si="3"/>
        <v>35</v>
      </c>
      <c r="B38" s="22">
        <v>1</v>
      </c>
      <c r="C38" s="22" t="s">
        <v>226</v>
      </c>
      <c r="D38" s="28">
        <v>44090</v>
      </c>
      <c r="E38" s="22" t="s">
        <v>227</v>
      </c>
      <c r="F38" s="15">
        <v>27.9802658933</v>
      </c>
      <c r="G38" s="15">
        <v>59.7752948917</v>
      </c>
      <c r="H38" s="22">
        <f t="shared" si="0"/>
        <v>27</v>
      </c>
      <c r="I38" s="31">
        <v>58.812</v>
      </c>
      <c r="J38" s="22">
        <f t="shared" si="1"/>
        <v>59</v>
      </c>
      <c r="K38" s="31">
        <v>46.533</v>
      </c>
      <c r="L38" s="22">
        <v>11</v>
      </c>
      <c r="M38" s="22">
        <v>2.2</v>
      </c>
      <c r="O38" s="22">
        <v>15.3</v>
      </c>
      <c r="R38" s="22">
        <v>3.3</v>
      </c>
      <c r="T38" s="22">
        <v>7.72</v>
      </c>
      <c r="AB38" s="22" t="s">
        <v>228</v>
      </c>
      <c r="AC38" s="22" t="s">
        <v>229</v>
      </c>
      <c r="AD38" s="22" t="s">
        <v>230</v>
      </c>
      <c r="AG38" s="22" t="s">
        <v>209</v>
      </c>
      <c r="AH38" s="22" t="s">
        <v>231</v>
      </c>
      <c r="AK38" s="22" t="s">
        <v>122</v>
      </c>
      <c r="AL38" s="22" t="s">
        <v>122</v>
      </c>
      <c r="AN38" s="23">
        <v>3</v>
      </c>
      <c r="AO38" s="22">
        <v>1</v>
      </c>
      <c r="AP38" s="23">
        <v>0</v>
      </c>
      <c r="AQ38" s="23">
        <v>1</v>
      </c>
      <c r="AR38" s="23">
        <v>0</v>
      </c>
      <c r="AS38" s="23">
        <v>1</v>
      </c>
      <c r="AT38" s="22">
        <v>0</v>
      </c>
      <c r="AU38" s="22">
        <v>0</v>
      </c>
      <c r="AV38" s="23">
        <v>0</v>
      </c>
      <c r="AW38" s="22">
        <v>0</v>
      </c>
      <c r="AX38" s="23">
        <v>0</v>
      </c>
      <c r="AY38" s="23">
        <v>0</v>
      </c>
      <c r="AZ38" s="22">
        <v>0</v>
      </c>
      <c r="BA38" s="22">
        <v>0</v>
      </c>
      <c r="BB38" s="23">
        <v>0</v>
      </c>
      <c r="BC38" s="23">
        <v>0</v>
      </c>
      <c r="BD38" s="22">
        <v>0</v>
      </c>
      <c r="BE38" s="22">
        <v>0</v>
      </c>
      <c r="BF38" s="22">
        <v>0</v>
      </c>
      <c r="BG38" s="23">
        <v>0</v>
      </c>
      <c r="BH38" s="22">
        <v>0</v>
      </c>
      <c r="BI38" s="22">
        <v>0</v>
      </c>
      <c r="BJ38" s="22">
        <v>3</v>
      </c>
      <c r="BK38" s="22">
        <v>1</v>
      </c>
      <c r="BL38" s="22">
        <v>3</v>
      </c>
      <c r="BM38" s="22">
        <v>2</v>
      </c>
      <c r="BN38" s="22">
        <v>1</v>
      </c>
      <c r="BO38" s="22">
        <v>0</v>
      </c>
      <c r="BP38" s="22">
        <v>0</v>
      </c>
      <c r="BQ38" s="22">
        <v>0</v>
      </c>
      <c r="BR38" s="22">
        <v>2</v>
      </c>
      <c r="BS38" s="22">
        <v>2</v>
      </c>
      <c r="BT38" s="22">
        <v>0</v>
      </c>
      <c r="BU38" s="22">
        <v>0</v>
      </c>
      <c r="BV38" s="23">
        <f t="shared" si="2"/>
        <v>6</v>
      </c>
    </row>
    <row r="39" spans="1:11">
      <c r="A39" s="22">
        <f t="shared" si="3"/>
        <v>36</v>
      </c>
      <c r="B39" s="22">
        <v>1</v>
      </c>
      <c r="C39" s="22" t="s">
        <v>226</v>
      </c>
      <c r="D39" s="23" t="s">
        <v>232</v>
      </c>
      <c r="F39" s="15">
        <v>27.9346717994999</v>
      </c>
      <c r="G39" s="15">
        <v>59.7624400515</v>
      </c>
      <c r="H39" s="22">
        <f t="shared" si="0"/>
        <v>27</v>
      </c>
      <c r="I39" s="15">
        <f t="shared" si="4"/>
        <v>56.0803079699939</v>
      </c>
      <c r="J39" s="22">
        <f t="shared" si="1"/>
        <v>59</v>
      </c>
      <c r="K39" s="15">
        <f t="shared" si="5"/>
        <v>45.74640309</v>
      </c>
    </row>
    <row r="40" spans="1:74">
      <c r="A40" s="22">
        <f t="shared" si="3"/>
        <v>37</v>
      </c>
      <c r="B40" s="22">
        <v>1</v>
      </c>
      <c r="C40" s="22" t="s">
        <v>233</v>
      </c>
      <c r="D40" s="28">
        <v>44090</v>
      </c>
      <c r="E40" s="22" t="s">
        <v>124</v>
      </c>
      <c r="F40" s="15">
        <v>27.9912620459999</v>
      </c>
      <c r="G40" s="15">
        <v>59.7929558594</v>
      </c>
      <c r="H40" s="22">
        <f t="shared" si="0"/>
        <v>27</v>
      </c>
      <c r="I40" s="31">
        <v>59.486</v>
      </c>
      <c r="J40" s="22">
        <f t="shared" si="1"/>
        <v>59</v>
      </c>
      <c r="K40" s="31">
        <v>47.582</v>
      </c>
      <c r="L40" s="22">
        <v>11.7</v>
      </c>
      <c r="M40" s="22">
        <v>2.3</v>
      </c>
      <c r="O40" s="22">
        <v>14.3</v>
      </c>
      <c r="R40" s="22">
        <v>3.28</v>
      </c>
      <c r="T40" s="22">
        <v>8.17</v>
      </c>
      <c r="AC40" s="22" t="s">
        <v>234</v>
      </c>
      <c r="AD40" s="22" t="s">
        <v>235</v>
      </c>
      <c r="AG40" s="22" t="s">
        <v>236</v>
      </c>
      <c r="AK40" s="22" t="s">
        <v>122</v>
      </c>
      <c r="AL40" s="22" t="s">
        <v>122</v>
      </c>
      <c r="AN40" s="23">
        <v>1</v>
      </c>
      <c r="AO40" s="22">
        <v>0</v>
      </c>
      <c r="AP40" s="23">
        <v>0</v>
      </c>
      <c r="AQ40" s="23">
        <v>0</v>
      </c>
      <c r="AR40" s="23">
        <v>0</v>
      </c>
      <c r="AS40" s="23">
        <v>0</v>
      </c>
      <c r="AT40" s="22">
        <v>0</v>
      </c>
      <c r="AU40" s="22">
        <v>0</v>
      </c>
      <c r="AV40" s="23">
        <v>0</v>
      </c>
      <c r="AW40" s="22">
        <v>0</v>
      </c>
      <c r="AX40" s="23">
        <v>0</v>
      </c>
      <c r="AY40" s="23">
        <v>0</v>
      </c>
      <c r="AZ40" s="22">
        <v>0</v>
      </c>
      <c r="BA40" s="22">
        <v>0</v>
      </c>
      <c r="BB40" s="23">
        <v>0</v>
      </c>
      <c r="BC40" s="23">
        <v>0</v>
      </c>
      <c r="BD40" s="22">
        <v>0</v>
      </c>
      <c r="BE40" s="22">
        <v>0</v>
      </c>
      <c r="BF40" s="22">
        <v>0</v>
      </c>
      <c r="BG40" s="23">
        <v>0</v>
      </c>
      <c r="BH40" s="22">
        <v>0</v>
      </c>
      <c r="BI40" s="22">
        <v>0</v>
      </c>
      <c r="BJ40" s="22">
        <v>1</v>
      </c>
      <c r="BK40" s="22">
        <v>1</v>
      </c>
      <c r="BL40" s="22">
        <v>3</v>
      </c>
      <c r="BM40" s="22">
        <v>2</v>
      </c>
      <c r="BN40" s="22">
        <v>1</v>
      </c>
      <c r="BO40" s="22">
        <v>0</v>
      </c>
      <c r="BP40" s="22">
        <v>0</v>
      </c>
      <c r="BQ40" s="22">
        <v>0</v>
      </c>
      <c r="BR40" s="22">
        <v>2</v>
      </c>
      <c r="BS40" s="22">
        <v>1</v>
      </c>
      <c r="BT40" s="22">
        <v>0</v>
      </c>
      <c r="BU40" s="22">
        <v>0</v>
      </c>
      <c r="BV40" s="23">
        <f t="shared" si="2"/>
        <v>5</v>
      </c>
    </row>
    <row r="41" spans="1:74">
      <c r="A41" s="22">
        <f t="shared" si="3"/>
        <v>38</v>
      </c>
      <c r="B41" s="22">
        <v>1</v>
      </c>
      <c r="C41" s="22" t="s">
        <v>237</v>
      </c>
      <c r="D41" s="28">
        <v>44090</v>
      </c>
      <c r="E41" s="22" t="s">
        <v>124</v>
      </c>
      <c r="F41" s="15">
        <v>28.0371366341</v>
      </c>
      <c r="G41" s="15">
        <v>59.7723039062</v>
      </c>
      <c r="H41" s="22">
        <f t="shared" si="0"/>
        <v>28</v>
      </c>
      <c r="I41" s="31">
        <v>2.244</v>
      </c>
      <c r="J41" s="22">
        <f t="shared" si="1"/>
        <v>59</v>
      </c>
      <c r="K41" s="31">
        <v>46.336</v>
      </c>
      <c r="L41" s="22">
        <v>3.5</v>
      </c>
      <c r="M41" s="22">
        <v>2.3</v>
      </c>
      <c r="O41" s="22">
        <v>15.3</v>
      </c>
      <c r="R41" s="22">
        <v>3.36</v>
      </c>
      <c r="T41" s="22">
        <v>8.28</v>
      </c>
      <c r="AC41" s="22" t="s">
        <v>238</v>
      </c>
      <c r="AH41" s="22" t="s">
        <v>209</v>
      </c>
      <c r="AL41" s="22" t="s">
        <v>122</v>
      </c>
      <c r="AN41" s="23">
        <v>2</v>
      </c>
      <c r="AO41" s="22">
        <v>1</v>
      </c>
      <c r="AP41" s="23">
        <v>1</v>
      </c>
      <c r="AQ41" s="23">
        <v>0</v>
      </c>
      <c r="AR41" s="23">
        <v>0</v>
      </c>
      <c r="AS41" s="23">
        <v>1</v>
      </c>
      <c r="AT41" s="22">
        <v>0</v>
      </c>
      <c r="AU41" s="22">
        <v>0</v>
      </c>
      <c r="AV41" s="23">
        <v>0</v>
      </c>
      <c r="AW41" s="22">
        <v>0</v>
      </c>
      <c r="AX41" s="23">
        <v>0</v>
      </c>
      <c r="AY41" s="23">
        <v>0</v>
      </c>
      <c r="AZ41" s="22">
        <v>0</v>
      </c>
      <c r="BA41" s="22">
        <v>0</v>
      </c>
      <c r="BB41" s="23">
        <v>0</v>
      </c>
      <c r="BC41" s="23">
        <v>1</v>
      </c>
      <c r="BD41" s="22">
        <v>0</v>
      </c>
      <c r="BE41" s="22">
        <v>0</v>
      </c>
      <c r="BF41" s="22">
        <v>0</v>
      </c>
      <c r="BG41" s="23">
        <v>0</v>
      </c>
      <c r="BH41" s="22">
        <v>0</v>
      </c>
      <c r="BI41" s="22">
        <v>0</v>
      </c>
      <c r="BJ41" s="22">
        <v>5</v>
      </c>
      <c r="BK41" s="22">
        <v>1</v>
      </c>
      <c r="BL41" s="22">
        <v>3</v>
      </c>
      <c r="BM41" s="22">
        <v>2</v>
      </c>
      <c r="BN41" s="22">
        <v>1</v>
      </c>
      <c r="BO41" s="22">
        <v>1</v>
      </c>
      <c r="BP41" s="22">
        <v>1</v>
      </c>
      <c r="BQ41" s="22">
        <v>1</v>
      </c>
      <c r="BR41" s="22">
        <v>2</v>
      </c>
      <c r="BS41" s="22">
        <v>2</v>
      </c>
      <c r="BT41" s="22">
        <v>0</v>
      </c>
      <c r="BU41" s="22">
        <v>0</v>
      </c>
      <c r="BV41" s="23">
        <f t="shared" si="2"/>
        <v>11</v>
      </c>
    </row>
    <row r="42" spans="1:74">
      <c r="A42" s="22">
        <f t="shared" si="3"/>
        <v>39</v>
      </c>
      <c r="B42" s="22">
        <v>1</v>
      </c>
      <c r="C42" s="22" t="s">
        <v>239</v>
      </c>
      <c r="D42" s="28">
        <v>44090</v>
      </c>
      <c r="E42" s="22" t="s">
        <v>124</v>
      </c>
      <c r="F42" s="15">
        <v>28.0252861829</v>
      </c>
      <c r="G42" s="15">
        <v>59.7904152513999</v>
      </c>
      <c r="H42" s="22">
        <f t="shared" si="0"/>
        <v>28</v>
      </c>
      <c r="I42" s="31">
        <v>1.512</v>
      </c>
      <c r="J42" s="22">
        <f t="shared" si="1"/>
        <v>59</v>
      </c>
      <c r="K42" s="31">
        <v>47.438</v>
      </c>
      <c r="L42" s="22">
        <v>8.1</v>
      </c>
      <c r="M42" s="22">
        <v>2.3</v>
      </c>
      <c r="O42" s="22">
        <v>15.3</v>
      </c>
      <c r="R42" s="22">
        <v>3.27</v>
      </c>
      <c r="T42" s="22">
        <v>8.58</v>
      </c>
      <c r="AC42" s="22" t="s">
        <v>240</v>
      </c>
      <c r="AD42" s="22" t="s">
        <v>241</v>
      </c>
      <c r="AG42" s="22" t="s">
        <v>214</v>
      </c>
      <c r="AH42" s="22" t="s">
        <v>242</v>
      </c>
      <c r="AJ42" s="22" t="s">
        <v>243</v>
      </c>
      <c r="AK42" s="22" t="s">
        <v>122</v>
      </c>
      <c r="AL42" s="22" t="s">
        <v>122</v>
      </c>
      <c r="AN42" s="23">
        <v>1</v>
      </c>
      <c r="AO42" s="22">
        <v>1</v>
      </c>
      <c r="AP42" s="23">
        <v>1</v>
      </c>
      <c r="AQ42" s="23">
        <v>0</v>
      </c>
      <c r="AR42" s="23">
        <v>0</v>
      </c>
      <c r="AS42" s="23">
        <v>1</v>
      </c>
      <c r="AT42" s="22">
        <v>0</v>
      </c>
      <c r="AU42" s="22">
        <v>0</v>
      </c>
      <c r="AV42" s="23">
        <v>0</v>
      </c>
      <c r="AW42" s="22">
        <v>0</v>
      </c>
      <c r="AX42" s="23">
        <v>0</v>
      </c>
      <c r="AY42" s="23">
        <v>0</v>
      </c>
      <c r="AZ42" s="22">
        <v>0</v>
      </c>
      <c r="BA42" s="22">
        <v>0</v>
      </c>
      <c r="BB42" s="23">
        <v>0</v>
      </c>
      <c r="BC42" s="23">
        <v>1</v>
      </c>
      <c r="BD42" s="22">
        <v>0</v>
      </c>
      <c r="BE42" s="22">
        <v>0</v>
      </c>
      <c r="BF42" s="22">
        <v>0</v>
      </c>
      <c r="BG42" s="23">
        <v>0</v>
      </c>
      <c r="BH42" s="22">
        <v>0</v>
      </c>
      <c r="BI42" s="22">
        <v>0</v>
      </c>
      <c r="BJ42" s="22">
        <v>4</v>
      </c>
      <c r="BK42" s="22">
        <v>1</v>
      </c>
      <c r="BL42" s="22">
        <v>3</v>
      </c>
      <c r="BM42" s="22">
        <v>2</v>
      </c>
      <c r="BN42" s="22">
        <v>1</v>
      </c>
      <c r="BO42" s="22">
        <v>0</v>
      </c>
      <c r="BP42" s="22">
        <v>1</v>
      </c>
      <c r="BQ42" s="22">
        <v>1</v>
      </c>
      <c r="BR42" s="22">
        <v>2</v>
      </c>
      <c r="BS42" s="22">
        <v>2</v>
      </c>
      <c r="BT42" s="22">
        <v>1</v>
      </c>
      <c r="BU42" s="22">
        <v>0</v>
      </c>
      <c r="BV42" s="23">
        <f t="shared" si="2"/>
        <v>8</v>
      </c>
    </row>
    <row r="43" spans="1:74">
      <c r="A43" s="22">
        <f t="shared" si="3"/>
        <v>40</v>
      </c>
      <c r="B43" s="22">
        <v>1</v>
      </c>
      <c r="C43" s="22" t="s">
        <v>244</v>
      </c>
      <c r="D43" s="28">
        <v>44090</v>
      </c>
      <c r="E43" s="22" t="s">
        <v>124</v>
      </c>
      <c r="F43" s="15">
        <v>28.0187491093</v>
      </c>
      <c r="G43" s="15">
        <v>59.8088607713999</v>
      </c>
      <c r="H43" s="22">
        <f t="shared" si="0"/>
        <v>28</v>
      </c>
      <c r="I43" s="31">
        <v>1.094</v>
      </c>
      <c r="J43" s="22">
        <f t="shared" si="1"/>
        <v>59</v>
      </c>
      <c r="K43" s="31">
        <v>48.555</v>
      </c>
      <c r="L43" s="22">
        <v>11</v>
      </c>
      <c r="M43" s="22">
        <v>2.5</v>
      </c>
      <c r="O43" s="22">
        <v>14.5</v>
      </c>
      <c r="R43" s="22">
        <v>3.31</v>
      </c>
      <c r="T43" s="22">
        <v>8.33</v>
      </c>
      <c r="AC43" s="22" t="s">
        <v>245</v>
      </c>
      <c r="AD43" s="22" t="s">
        <v>246</v>
      </c>
      <c r="AG43" s="22" t="s">
        <v>247</v>
      </c>
      <c r="AH43" s="22" t="s">
        <v>248</v>
      </c>
      <c r="AK43" s="22" t="s">
        <v>122</v>
      </c>
      <c r="AL43" s="22" t="s">
        <v>122</v>
      </c>
      <c r="AN43" s="23">
        <v>2</v>
      </c>
      <c r="AO43" s="22">
        <v>1</v>
      </c>
      <c r="AP43" s="23">
        <v>1</v>
      </c>
      <c r="AQ43" s="23">
        <v>0</v>
      </c>
      <c r="AR43" s="23">
        <v>3</v>
      </c>
      <c r="AS43" s="23">
        <v>1</v>
      </c>
      <c r="AT43" s="22">
        <v>0</v>
      </c>
      <c r="AU43" s="22">
        <v>0</v>
      </c>
      <c r="AV43" s="23">
        <v>0</v>
      </c>
      <c r="AW43" s="22">
        <v>0</v>
      </c>
      <c r="AX43" s="23">
        <v>0</v>
      </c>
      <c r="AY43" s="23">
        <v>0</v>
      </c>
      <c r="AZ43" s="22">
        <v>0</v>
      </c>
      <c r="BA43" s="22">
        <v>0</v>
      </c>
      <c r="BB43" s="23">
        <v>0</v>
      </c>
      <c r="BC43" s="23">
        <v>0</v>
      </c>
      <c r="BD43" s="22">
        <v>0</v>
      </c>
      <c r="BE43" s="22">
        <v>0</v>
      </c>
      <c r="BF43" s="22">
        <v>0</v>
      </c>
      <c r="BG43" s="23">
        <v>0</v>
      </c>
      <c r="BH43" s="22">
        <v>0</v>
      </c>
      <c r="BI43" s="22">
        <v>0</v>
      </c>
      <c r="BJ43" s="22">
        <v>4</v>
      </c>
      <c r="BK43" s="22">
        <v>1</v>
      </c>
      <c r="BL43" s="22">
        <v>3</v>
      </c>
      <c r="BM43" s="22">
        <v>2</v>
      </c>
      <c r="BN43" s="22">
        <v>1</v>
      </c>
      <c r="BO43" s="22">
        <v>0</v>
      </c>
      <c r="BP43" s="22">
        <v>1</v>
      </c>
      <c r="BQ43" s="22">
        <v>2</v>
      </c>
      <c r="BR43" s="22">
        <v>2</v>
      </c>
      <c r="BS43" s="22">
        <v>2</v>
      </c>
      <c r="BT43" s="22">
        <v>1</v>
      </c>
      <c r="BU43" s="22">
        <v>0</v>
      </c>
      <c r="BV43" s="23">
        <f t="shared" si="2"/>
        <v>9</v>
      </c>
    </row>
    <row r="44" spans="1:74">
      <c r="A44" s="22">
        <f t="shared" si="3"/>
        <v>41</v>
      </c>
      <c r="B44" s="22">
        <v>1</v>
      </c>
      <c r="C44" s="22" t="s">
        <v>249</v>
      </c>
      <c r="D44" s="28">
        <v>44090</v>
      </c>
      <c r="E44" s="22" t="s">
        <v>124</v>
      </c>
      <c r="F44" s="15">
        <v>28.0452434317</v>
      </c>
      <c r="G44" s="15">
        <v>59.8203964766</v>
      </c>
      <c r="H44" s="22">
        <f t="shared" si="0"/>
        <v>28</v>
      </c>
      <c r="I44" s="31">
        <v>2.71</v>
      </c>
      <c r="J44" s="22">
        <f t="shared" si="1"/>
        <v>59</v>
      </c>
      <c r="K44" s="31">
        <v>49.236</v>
      </c>
      <c r="L44" s="22">
        <v>10</v>
      </c>
      <c r="M44" s="22">
        <v>2.5</v>
      </c>
      <c r="O44" s="22">
        <v>14.7</v>
      </c>
      <c r="R44" s="22">
        <v>3.31</v>
      </c>
      <c r="T44" s="22">
        <v>8.34</v>
      </c>
      <c r="AC44" s="22" t="s">
        <v>250</v>
      </c>
      <c r="AD44" s="22" t="s">
        <v>246</v>
      </c>
      <c r="AG44" s="22" t="s">
        <v>214</v>
      </c>
      <c r="AH44" s="22" t="s">
        <v>251</v>
      </c>
      <c r="AK44" s="22" t="s">
        <v>122</v>
      </c>
      <c r="AL44" s="22" t="s">
        <v>122</v>
      </c>
      <c r="AN44" s="23">
        <v>2</v>
      </c>
      <c r="AO44" s="22">
        <v>1</v>
      </c>
      <c r="AP44" s="23">
        <v>1</v>
      </c>
      <c r="AQ44" s="23">
        <v>0</v>
      </c>
      <c r="AR44" s="23">
        <v>2</v>
      </c>
      <c r="AS44" s="23">
        <v>1</v>
      </c>
      <c r="AT44" s="22">
        <v>0</v>
      </c>
      <c r="AU44" s="22">
        <v>0</v>
      </c>
      <c r="AV44" s="23">
        <v>0</v>
      </c>
      <c r="AW44" s="22">
        <v>0</v>
      </c>
      <c r="AX44" s="23">
        <v>0</v>
      </c>
      <c r="AY44" s="23">
        <v>0</v>
      </c>
      <c r="AZ44" s="22">
        <v>0</v>
      </c>
      <c r="BA44" s="22">
        <v>0</v>
      </c>
      <c r="BB44" s="23">
        <v>0</v>
      </c>
      <c r="BC44" s="23">
        <v>0</v>
      </c>
      <c r="BD44" s="22">
        <v>0</v>
      </c>
      <c r="BE44" s="22">
        <v>0</v>
      </c>
      <c r="BF44" s="22">
        <v>0</v>
      </c>
      <c r="BG44" s="23">
        <v>0</v>
      </c>
      <c r="BH44" s="22">
        <v>0</v>
      </c>
      <c r="BI44" s="22">
        <v>0</v>
      </c>
      <c r="BJ44" s="22">
        <v>4</v>
      </c>
      <c r="BK44" s="22">
        <v>1</v>
      </c>
      <c r="BL44" s="22">
        <v>3</v>
      </c>
      <c r="BM44" s="22">
        <v>2</v>
      </c>
      <c r="BN44" s="22">
        <v>1</v>
      </c>
      <c r="BO44" s="22">
        <v>0</v>
      </c>
      <c r="BP44" s="22">
        <v>1</v>
      </c>
      <c r="BQ44" s="22">
        <v>1</v>
      </c>
      <c r="BR44" s="22">
        <v>2</v>
      </c>
      <c r="BS44" s="22">
        <v>2</v>
      </c>
      <c r="BT44" s="22">
        <v>1</v>
      </c>
      <c r="BU44" s="22">
        <v>0</v>
      </c>
      <c r="BV44" s="23">
        <f t="shared" si="2"/>
        <v>8</v>
      </c>
    </row>
    <row r="45" spans="1:74">
      <c r="A45" s="22">
        <f t="shared" si="3"/>
        <v>42</v>
      </c>
      <c r="B45" s="22">
        <v>1</v>
      </c>
      <c r="C45" s="22" t="s">
        <v>252</v>
      </c>
      <c r="D45" s="28">
        <v>44090</v>
      </c>
      <c r="E45" s="22" t="s">
        <v>124</v>
      </c>
      <c r="F45" s="15">
        <v>28.0681335740999</v>
      </c>
      <c r="G45" s="15">
        <v>59.7934311658</v>
      </c>
      <c r="H45" s="22">
        <f t="shared" si="0"/>
        <v>28</v>
      </c>
      <c r="I45" s="31">
        <v>4.077</v>
      </c>
      <c r="J45" s="22">
        <f t="shared" si="1"/>
        <v>59</v>
      </c>
      <c r="K45" s="31">
        <v>47.608</v>
      </c>
      <c r="L45" s="22">
        <v>2.4</v>
      </c>
      <c r="M45" s="22">
        <v>1.5</v>
      </c>
      <c r="O45" s="22">
        <v>14.1</v>
      </c>
      <c r="R45" s="22">
        <v>3.09</v>
      </c>
      <c r="T45" s="22">
        <v>8.37</v>
      </c>
      <c r="AB45" s="22" t="s">
        <v>253</v>
      </c>
      <c r="AC45" s="22" t="s">
        <v>254</v>
      </c>
      <c r="AD45" s="22" t="s">
        <v>255</v>
      </c>
      <c r="AE45" s="22" t="s">
        <v>122</v>
      </c>
      <c r="AF45" s="22" t="s">
        <v>256</v>
      </c>
      <c r="AG45" s="22" t="s">
        <v>214</v>
      </c>
      <c r="AH45" s="22" t="s">
        <v>257</v>
      </c>
      <c r="AK45" s="22" t="s">
        <v>122</v>
      </c>
      <c r="AL45" s="22" t="s">
        <v>122</v>
      </c>
      <c r="AN45" s="23">
        <v>6</v>
      </c>
      <c r="AO45" s="22">
        <v>3</v>
      </c>
      <c r="AP45" s="23">
        <v>1</v>
      </c>
      <c r="AQ45" s="23">
        <v>0</v>
      </c>
      <c r="AR45" s="23">
        <v>5</v>
      </c>
      <c r="AS45" s="23">
        <v>2</v>
      </c>
      <c r="AT45" s="22">
        <v>0</v>
      </c>
      <c r="AU45" s="22">
        <v>0</v>
      </c>
      <c r="AV45" s="23">
        <v>0</v>
      </c>
      <c r="AW45" s="22">
        <v>0</v>
      </c>
      <c r="AX45" s="23">
        <v>0</v>
      </c>
      <c r="AY45" s="23">
        <v>0</v>
      </c>
      <c r="AZ45" s="22">
        <v>0</v>
      </c>
      <c r="BA45" s="22">
        <v>0</v>
      </c>
      <c r="BB45" s="23">
        <v>0</v>
      </c>
      <c r="BC45" s="23">
        <v>0</v>
      </c>
      <c r="BD45" s="22">
        <v>0</v>
      </c>
      <c r="BE45" s="22">
        <v>0</v>
      </c>
      <c r="BF45" s="22">
        <v>0</v>
      </c>
      <c r="BG45" s="23">
        <v>0</v>
      </c>
      <c r="BH45" s="22">
        <v>0</v>
      </c>
      <c r="BI45" s="22">
        <v>0</v>
      </c>
      <c r="BJ45" s="22">
        <v>5</v>
      </c>
      <c r="BK45" s="22">
        <v>5</v>
      </c>
      <c r="BL45" s="22">
        <v>3</v>
      </c>
      <c r="BM45" s="22">
        <v>2</v>
      </c>
      <c r="BN45" s="22">
        <v>1</v>
      </c>
      <c r="BO45" s="22">
        <v>1</v>
      </c>
      <c r="BP45" s="22">
        <v>1</v>
      </c>
      <c r="BQ45" s="22">
        <v>1</v>
      </c>
      <c r="BR45" s="22">
        <v>2</v>
      </c>
      <c r="BS45" s="22">
        <v>2</v>
      </c>
      <c r="BT45" s="22">
        <v>0</v>
      </c>
      <c r="BU45" s="22">
        <v>0</v>
      </c>
      <c r="BV45" s="23">
        <f t="shared" si="2"/>
        <v>15</v>
      </c>
    </row>
    <row r="46" spans="1:74">
      <c r="A46" s="22">
        <f t="shared" si="3"/>
        <v>43</v>
      </c>
      <c r="B46" s="22">
        <v>1</v>
      </c>
      <c r="C46" s="22" t="s">
        <v>258</v>
      </c>
      <c r="D46" s="28">
        <v>44090</v>
      </c>
      <c r="E46" s="22" t="s">
        <v>124</v>
      </c>
      <c r="F46" s="15">
        <v>28.0725272600999</v>
      </c>
      <c r="G46" s="15">
        <v>59.8111133218</v>
      </c>
      <c r="H46" s="22">
        <f t="shared" si="0"/>
        <v>28</v>
      </c>
      <c r="I46" s="31">
        <v>4.334</v>
      </c>
      <c r="J46" s="22">
        <f t="shared" si="1"/>
        <v>59</v>
      </c>
      <c r="K46" s="31">
        <v>48.678</v>
      </c>
      <c r="L46" s="22">
        <v>4.7</v>
      </c>
      <c r="M46" s="22">
        <v>2</v>
      </c>
      <c r="O46" s="22">
        <v>14.4</v>
      </c>
      <c r="R46" s="22">
        <v>3.13</v>
      </c>
      <c r="T46" s="22">
        <v>8.52</v>
      </c>
      <c r="AB46" s="22" t="s">
        <v>259</v>
      </c>
      <c r="AD46" s="22" t="s">
        <v>260</v>
      </c>
      <c r="AG46" s="22" t="s">
        <v>214</v>
      </c>
      <c r="AH46" s="22" t="s">
        <v>159</v>
      </c>
      <c r="AK46" s="22" t="s">
        <v>261</v>
      </c>
      <c r="AL46" s="22" t="s">
        <v>122</v>
      </c>
      <c r="AN46" s="23">
        <v>6</v>
      </c>
      <c r="AO46" s="22">
        <v>3</v>
      </c>
      <c r="AP46" s="23">
        <v>2</v>
      </c>
      <c r="AQ46" s="23">
        <v>0</v>
      </c>
      <c r="AR46" s="23">
        <v>5</v>
      </c>
      <c r="AS46" s="23">
        <v>2</v>
      </c>
      <c r="AT46" s="22">
        <v>0</v>
      </c>
      <c r="AU46" s="22">
        <v>0</v>
      </c>
      <c r="AV46" s="23">
        <v>0</v>
      </c>
      <c r="AW46" s="22">
        <v>0</v>
      </c>
      <c r="AX46" s="23">
        <v>0</v>
      </c>
      <c r="AY46" s="23">
        <v>0</v>
      </c>
      <c r="AZ46" s="22">
        <v>0</v>
      </c>
      <c r="BA46" s="22">
        <v>0</v>
      </c>
      <c r="BB46" s="23">
        <v>0</v>
      </c>
      <c r="BC46" s="23">
        <v>0</v>
      </c>
      <c r="BD46" s="22">
        <v>0</v>
      </c>
      <c r="BE46" s="22">
        <v>0</v>
      </c>
      <c r="BF46" s="22">
        <v>0</v>
      </c>
      <c r="BG46" s="23">
        <v>0</v>
      </c>
      <c r="BH46" s="22">
        <v>0</v>
      </c>
      <c r="BI46" s="22">
        <v>0</v>
      </c>
      <c r="BJ46" s="22">
        <v>5</v>
      </c>
      <c r="BK46" s="22">
        <v>5</v>
      </c>
      <c r="BL46" s="22">
        <v>3</v>
      </c>
      <c r="BM46" s="22">
        <v>2</v>
      </c>
      <c r="BN46" s="22">
        <v>1</v>
      </c>
      <c r="BO46" s="22">
        <v>1</v>
      </c>
      <c r="BP46" s="22">
        <v>1</v>
      </c>
      <c r="BQ46" s="22">
        <v>1</v>
      </c>
      <c r="BR46" s="22">
        <v>2</v>
      </c>
      <c r="BS46" s="22">
        <v>2</v>
      </c>
      <c r="BT46" s="22">
        <v>0</v>
      </c>
      <c r="BU46" s="22">
        <v>0</v>
      </c>
      <c r="BV46" s="23">
        <f t="shared" si="2"/>
        <v>15</v>
      </c>
    </row>
    <row r="47" spans="1:74">
      <c r="A47" s="22">
        <f t="shared" si="3"/>
        <v>44</v>
      </c>
      <c r="B47" s="22">
        <v>1</v>
      </c>
      <c r="C47" s="22" t="s">
        <v>262</v>
      </c>
      <c r="D47" s="28">
        <v>44090</v>
      </c>
      <c r="E47" s="22" t="s">
        <v>124</v>
      </c>
      <c r="F47" s="15">
        <v>28.0788818079</v>
      </c>
      <c r="G47" s="15">
        <v>59.8271581746</v>
      </c>
      <c r="H47" s="22">
        <f t="shared" si="0"/>
        <v>28</v>
      </c>
      <c r="I47" s="31">
        <v>4.718</v>
      </c>
      <c r="J47" s="22">
        <f t="shared" si="1"/>
        <v>59</v>
      </c>
      <c r="K47" s="31">
        <v>49.623</v>
      </c>
      <c r="L47" s="22">
        <v>5.4</v>
      </c>
      <c r="M47" s="22">
        <v>2.3</v>
      </c>
      <c r="O47" s="22">
        <v>14.3</v>
      </c>
      <c r="R47" s="22">
        <v>3.27</v>
      </c>
      <c r="T47" s="22">
        <v>8.34</v>
      </c>
      <c r="AC47" s="22" t="s">
        <v>263</v>
      </c>
      <c r="AD47" s="22" t="s">
        <v>264</v>
      </c>
      <c r="AG47" s="22" t="s">
        <v>214</v>
      </c>
      <c r="AH47" s="22" t="s">
        <v>265</v>
      </c>
      <c r="AK47" s="22" t="s">
        <v>122</v>
      </c>
      <c r="AL47" s="22" t="s">
        <v>122</v>
      </c>
      <c r="AN47" s="23">
        <v>2</v>
      </c>
      <c r="AO47" s="22">
        <v>1</v>
      </c>
      <c r="AP47" s="23">
        <v>1</v>
      </c>
      <c r="AQ47" s="23">
        <v>0</v>
      </c>
      <c r="AR47" s="23">
        <v>0</v>
      </c>
      <c r="AS47" s="23">
        <v>0</v>
      </c>
      <c r="AT47" s="22">
        <v>0</v>
      </c>
      <c r="AU47" s="22">
        <v>0</v>
      </c>
      <c r="AV47" s="23">
        <v>0</v>
      </c>
      <c r="AW47" s="22">
        <v>0</v>
      </c>
      <c r="AX47" s="23">
        <v>0</v>
      </c>
      <c r="AY47" s="23">
        <v>0</v>
      </c>
      <c r="AZ47" s="22">
        <v>0</v>
      </c>
      <c r="BA47" s="22">
        <v>0</v>
      </c>
      <c r="BB47" s="23">
        <v>0</v>
      </c>
      <c r="BC47" s="23">
        <v>0</v>
      </c>
      <c r="BD47" s="22">
        <v>0</v>
      </c>
      <c r="BE47" s="22">
        <v>0</v>
      </c>
      <c r="BF47" s="22">
        <v>0</v>
      </c>
      <c r="BG47" s="23">
        <v>0</v>
      </c>
      <c r="BH47" s="22">
        <v>0</v>
      </c>
      <c r="BI47" s="22">
        <v>0</v>
      </c>
      <c r="BJ47" s="22">
        <v>3</v>
      </c>
      <c r="BK47" s="22">
        <v>1</v>
      </c>
      <c r="BL47" s="22">
        <v>3</v>
      </c>
      <c r="BM47" s="22">
        <v>2</v>
      </c>
      <c r="BN47" s="22">
        <v>1</v>
      </c>
      <c r="BO47" s="22">
        <v>1</v>
      </c>
      <c r="BP47" s="22">
        <v>1</v>
      </c>
      <c r="BQ47" s="22">
        <v>1</v>
      </c>
      <c r="BR47" s="22">
        <v>2</v>
      </c>
      <c r="BS47" s="22">
        <v>2</v>
      </c>
      <c r="BT47" s="22">
        <v>1</v>
      </c>
      <c r="BU47" s="22">
        <v>0</v>
      </c>
      <c r="BV47" s="23">
        <f t="shared" si="2"/>
        <v>8</v>
      </c>
    </row>
    <row r="48" spans="1:74">
      <c r="A48" s="22">
        <f t="shared" si="3"/>
        <v>45</v>
      </c>
      <c r="B48" s="22">
        <v>1</v>
      </c>
      <c r="C48" s="22" t="s">
        <v>266</v>
      </c>
      <c r="D48" s="28">
        <v>44089</v>
      </c>
      <c r="E48" s="22" t="s">
        <v>124</v>
      </c>
      <c r="F48" s="15">
        <v>28.1105223367</v>
      </c>
      <c r="G48" s="15">
        <v>59.817329205</v>
      </c>
      <c r="H48" s="22">
        <f t="shared" si="0"/>
        <v>28</v>
      </c>
      <c r="I48" s="31">
        <v>6.625</v>
      </c>
      <c r="J48" s="22">
        <f t="shared" si="1"/>
        <v>59</v>
      </c>
      <c r="K48" s="31">
        <v>49.045</v>
      </c>
      <c r="L48" s="22">
        <v>9</v>
      </c>
      <c r="M48" s="22">
        <v>1.7</v>
      </c>
      <c r="O48" s="22">
        <v>15.1</v>
      </c>
      <c r="R48" s="22">
        <v>3.29</v>
      </c>
      <c r="T48" s="22">
        <v>8.27</v>
      </c>
      <c r="AB48" s="22" t="s">
        <v>267</v>
      </c>
      <c r="AC48" s="22" t="s">
        <v>268</v>
      </c>
      <c r="AD48" s="22" t="s">
        <v>269</v>
      </c>
      <c r="AG48" s="22" t="s">
        <v>214</v>
      </c>
      <c r="AK48" s="22" t="s">
        <v>122</v>
      </c>
      <c r="AL48" s="22" t="s">
        <v>122</v>
      </c>
      <c r="AN48" s="23">
        <v>0</v>
      </c>
      <c r="AO48" s="22">
        <v>0</v>
      </c>
      <c r="AP48" s="23">
        <v>0</v>
      </c>
      <c r="AQ48" s="23">
        <v>0</v>
      </c>
      <c r="AR48" s="23">
        <v>0</v>
      </c>
      <c r="AS48" s="23">
        <v>1</v>
      </c>
      <c r="AT48" s="22">
        <v>0</v>
      </c>
      <c r="AU48" s="22">
        <v>0</v>
      </c>
      <c r="AV48" s="23">
        <v>0</v>
      </c>
      <c r="AW48" s="22">
        <v>0</v>
      </c>
      <c r="AX48" s="23">
        <v>1</v>
      </c>
      <c r="AY48" s="23">
        <v>0</v>
      </c>
      <c r="AZ48" s="22">
        <v>0</v>
      </c>
      <c r="BA48" s="22">
        <v>0</v>
      </c>
      <c r="BB48" s="23">
        <v>0</v>
      </c>
      <c r="BC48" s="23">
        <v>0</v>
      </c>
      <c r="BD48" s="22">
        <v>0</v>
      </c>
      <c r="BE48" s="22">
        <v>0</v>
      </c>
      <c r="BF48" s="22">
        <v>0</v>
      </c>
      <c r="BG48" s="23">
        <v>0</v>
      </c>
      <c r="BH48" s="22">
        <v>0</v>
      </c>
      <c r="BI48" s="22">
        <v>0</v>
      </c>
      <c r="BJ48" s="22">
        <v>1</v>
      </c>
      <c r="BK48" s="22">
        <v>1</v>
      </c>
      <c r="BL48" s="22">
        <v>3</v>
      </c>
      <c r="BM48" s="22">
        <v>1</v>
      </c>
      <c r="BN48" s="22">
        <v>1</v>
      </c>
      <c r="BO48" s="22">
        <v>0</v>
      </c>
      <c r="BP48" s="22">
        <v>1</v>
      </c>
      <c r="BQ48" s="22">
        <v>1</v>
      </c>
      <c r="BR48" s="22">
        <v>2</v>
      </c>
      <c r="BS48" s="22">
        <v>2</v>
      </c>
      <c r="BT48" s="22">
        <v>1</v>
      </c>
      <c r="BU48" s="22">
        <v>0</v>
      </c>
      <c r="BV48" s="23">
        <f t="shared" si="2"/>
        <v>4</v>
      </c>
    </row>
    <row r="49" spans="1:74">
      <c r="A49" s="22">
        <f t="shared" si="3"/>
        <v>46</v>
      </c>
      <c r="B49" s="22">
        <v>1</v>
      </c>
      <c r="C49" s="22" t="s">
        <v>270</v>
      </c>
      <c r="D49" s="28">
        <v>44089</v>
      </c>
      <c r="E49" s="22" t="s">
        <v>124</v>
      </c>
      <c r="F49" s="15">
        <v>28.1404132706</v>
      </c>
      <c r="G49" s="15">
        <v>59.7902068595</v>
      </c>
      <c r="H49" s="22">
        <f t="shared" si="0"/>
        <v>28</v>
      </c>
      <c r="I49" s="31">
        <v>8.396</v>
      </c>
      <c r="J49" s="22">
        <f t="shared" si="1"/>
        <v>59</v>
      </c>
      <c r="K49" s="31">
        <v>47.445</v>
      </c>
      <c r="L49" s="22">
        <v>1.7</v>
      </c>
      <c r="M49" s="22">
        <v>1.3</v>
      </c>
      <c r="O49" s="22">
        <v>14.3</v>
      </c>
      <c r="R49" s="22">
        <v>3.13</v>
      </c>
      <c r="T49" s="22">
        <v>8.36</v>
      </c>
      <c r="AC49" s="22" t="s">
        <v>271</v>
      </c>
      <c r="AD49" s="22" t="s">
        <v>272</v>
      </c>
      <c r="AG49" s="22" t="s">
        <v>273</v>
      </c>
      <c r="AH49" s="22" t="s">
        <v>248</v>
      </c>
      <c r="AJ49" s="22" t="s">
        <v>209</v>
      </c>
      <c r="AK49" s="22" t="s">
        <v>122</v>
      </c>
      <c r="AL49" s="22" t="s">
        <v>122</v>
      </c>
      <c r="AN49" s="23">
        <v>3</v>
      </c>
      <c r="AO49" s="22">
        <v>2</v>
      </c>
      <c r="AP49" s="23">
        <v>1</v>
      </c>
      <c r="AQ49" s="23">
        <v>0</v>
      </c>
      <c r="AR49" s="23">
        <v>2</v>
      </c>
      <c r="AS49" s="23">
        <v>0</v>
      </c>
      <c r="AT49" s="22">
        <v>0</v>
      </c>
      <c r="AU49" s="22">
        <v>0</v>
      </c>
      <c r="AV49" s="23">
        <v>0</v>
      </c>
      <c r="AW49" s="22">
        <v>0</v>
      </c>
      <c r="AX49" s="23">
        <v>0</v>
      </c>
      <c r="AY49" s="23">
        <v>0</v>
      </c>
      <c r="AZ49" s="22">
        <v>0</v>
      </c>
      <c r="BA49" s="22">
        <v>0</v>
      </c>
      <c r="BB49" s="23">
        <v>0</v>
      </c>
      <c r="BC49" s="23">
        <v>0</v>
      </c>
      <c r="BD49" s="22">
        <v>0</v>
      </c>
      <c r="BE49" s="22">
        <v>0</v>
      </c>
      <c r="BF49" s="22">
        <v>0</v>
      </c>
      <c r="BG49" s="23">
        <v>0</v>
      </c>
      <c r="BH49" s="22">
        <v>0</v>
      </c>
      <c r="BI49" s="22">
        <v>0</v>
      </c>
      <c r="BJ49" s="22">
        <v>3</v>
      </c>
      <c r="BK49" s="22">
        <v>2</v>
      </c>
      <c r="BL49" s="22">
        <v>3</v>
      </c>
      <c r="BM49" s="22">
        <v>2</v>
      </c>
      <c r="BN49" s="22">
        <v>1</v>
      </c>
      <c r="BO49" s="22">
        <v>1</v>
      </c>
      <c r="BP49" s="22">
        <v>1</v>
      </c>
      <c r="BQ49" s="22">
        <v>1</v>
      </c>
      <c r="BR49" s="22">
        <v>2</v>
      </c>
      <c r="BS49" s="22">
        <v>2</v>
      </c>
      <c r="BT49" s="22">
        <v>1</v>
      </c>
      <c r="BU49" s="22">
        <v>0</v>
      </c>
      <c r="BV49" s="23">
        <f t="shared" si="2"/>
        <v>9</v>
      </c>
    </row>
    <row r="50" spans="1:74">
      <c r="A50" s="22">
        <f t="shared" si="3"/>
        <v>47</v>
      </c>
      <c r="B50" s="22">
        <v>1</v>
      </c>
      <c r="C50" s="22" t="s">
        <v>274</v>
      </c>
      <c r="D50" s="28">
        <v>44089</v>
      </c>
      <c r="E50" s="22" t="s">
        <v>124</v>
      </c>
      <c r="F50" s="15">
        <v>28.1407416063</v>
      </c>
      <c r="G50" s="15">
        <v>59.8085708679999</v>
      </c>
      <c r="H50" s="22">
        <f t="shared" si="0"/>
        <v>28</v>
      </c>
      <c r="I50" s="31">
        <v>8.434</v>
      </c>
      <c r="J50" s="22">
        <f t="shared" si="1"/>
        <v>59</v>
      </c>
      <c r="K50" s="31">
        <v>48.514</v>
      </c>
      <c r="L50" s="22">
        <v>9.7</v>
      </c>
      <c r="M50" s="22">
        <v>2</v>
      </c>
      <c r="O50" s="22">
        <v>14.7</v>
      </c>
      <c r="R50" s="22">
        <v>3.29</v>
      </c>
      <c r="T50" s="22">
        <v>8.63</v>
      </c>
      <c r="AC50" s="22" t="s">
        <v>275</v>
      </c>
      <c r="AG50" s="22" t="s">
        <v>214</v>
      </c>
      <c r="AH50" s="22" t="s">
        <v>251</v>
      </c>
      <c r="AK50" s="22" t="s">
        <v>122</v>
      </c>
      <c r="AL50" s="22" t="s">
        <v>122</v>
      </c>
      <c r="AN50" s="23">
        <v>6</v>
      </c>
      <c r="AO50" s="22">
        <v>1</v>
      </c>
      <c r="AP50" s="23">
        <v>1</v>
      </c>
      <c r="AQ50" s="23">
        <v>1</v>
      </c>
      <c r="AR50" s="23">
        <v>0</v>
      </c>
      <c r="AS50" s="23">
        <v>1</v>
      </c>
      <c r="AT50" s="22">
        <v>0</v>
      </c>
      <c r="AU50" s="22">
        <v>0</v>
      </c>
      <c r="AV50" s="23">
        <v>0</v>
      </c>
      <c r="AW50" s="22">
        <v>0</v>
      </c>
      <c r="AX50" s="23">
        <v>0</v>
      </c>
      <c r="AY50" s="23">
        <v>0</v>
      </c>
      <c r="AZ50" s="22">
        <v>0</v>
      </c>
      <c r="BA50" s="22">
        <v>0</v>
      </c>
      <c r="BB50" s="23">
        <v>0</v>
      </c>
      <c r="BC50" s="23">
        <v>0</v>
      </c>
      <c r="BD50" s="22">
        <v>0</v>
      </c>
      <c r="BE50" s="22">
        <v>0</v>
      </c>
      <c r="BF50" s="22">
        <v>0</v>
      </c>
      <c r="BG50" s="23">
        <v>0</v>
      </c>
      <c r="BH50" s="22">
        <v>0</v>
      </c>
      <c r="BI50" s="22">
        <v>0</v>
      </c>
      <c r="BJ50" s="22">
        <v>5</v>
      </c>
      <c r="BK50" s="22">
        <v>3</v>
      </c>
      <c r="BL50" s="22">
        <v>3</v>
      </c>
      <c r="BM50" s="22">
        <v>2</v>
      </c>
      <c r="BN50" s="22">
        <v>1</v>
      </c>
      <c r="BO50" s="22">
        <v>0</v>
      </c>
      <c r="BP50" s="22">
        <v>1</v>
      </c>
      <c r="BQ50" s="22">
        <v>1</v>
      </c>
      <c r="BR50" s="22">
        <v>2</v>
      </c>
      <c r="BS50" s="22">
        <v>2</v>
      </c>
      <c r="BT50" s="22">
        <v>0</v>
      </c>
      <c r="BU50" s="22">
        <v>0</v>
      </c>
      <c r="BV50" s="23">
        <f t="shared" si="2"/>
        <v>12</v>
      </c>
    </row>
    <row r="51" spans="1:74">
      <c r="A51" s="22">
        <f t="shared" si="3"/>
        <v>48</v>
      </c>
      <c r="B51" s="22">
        <v>1</v>
      </c>
      <c r="C51" s="22" t="s">
        <v>276</v>
      </c>
      <c r="D51" s="28">
        <v>44089</v>
      </c>
      <c r="F51" s="15">
        <v>28.141451739</v>
      </c>
      <c r="G51" s="15">
        <v>59.8293402756999</v>
      </c>
      <c r="H51" s="22">
        <f t="shared" si="0"/>
        <v>28</v>
      </c>
      <c r="I51" s="31">
        <v>8.481</v>
      </c>
      <c r="J51" s="22">
        <f t="shared" si="1"/>
        <v>59</v>
      </c>
      <c r="K51" s="31">
        <v>49.756</v>
      </c>
      <c r="L51" s="22">
        <v>27</v>
      </c>
      <c r="M51" s="22">
        <v>2.5</v>
      </c>
      <c r="O51" s="22">
        <v>14.7</v>
      </c>
      <c r="R51" s="22">
        <v>3.3</v>
      </c>
      <c r="T51" s="22">
        <v>8.4</v>
      </c>
      <c r="AC51" s="22" t="s">
        <v>277</v>
      </c>
      <c r="AD51" s="22" t="s">
        <v>278</v>
      </c>
      <c r="AG51" s="22" t="s">
        <v>209</v>
      </c>
      <c r="AK51" s="22" t="s">
        <v>122</v>
      </c>
      <c r="AN51" s="23">
        <v>0</v>
      </c>
      <c r="AO51" s="22">
        <v>0</v>
      </c>
      <c r="AP51" s="23">
        <v>0</v>
      </c>
      <c r="AQ51" s="23">
        <v>0</v>
      </c>
      <c r="AR51" s="23">
        <v>0</v>
      </c>
      <c r="AS51" s="23">
        <v>0</v>
      </c>
      <c r="AT51" s="22">
        <v>0</v>
      </c>
      <c r="AU51" s="22">
        <v>0</v>
      </c>
      <c r="AV51" s="23">
        <v>0</v>
      </c>
      <c r="AW51" s="22">
        <v>0</v>
      </c>
      <c r="AX51" s="23">
        <v>10</v>
      </c>
      <c r="AY51" s="23">
        <v>0</v>
      </c>
      <c r="AZ51" s="22">
        <v>0</v>
      </c>
      <c r="BA51" s="22">
        <v>0</v>
      </c>
      <c r="BB51" s="23">
        <v>0</v>
      </c>
      <c r="BC51" s="23">
        <v>0</v>
      </c>
      <c r="BD51" s="22">
        <v>0</v>
      </c>
      <c r="BE51" s="22">
        <v>0</v>
      </c>
      <c r="BF51" s="22">
        <v>0</v>
      </c>
      <c r="BG51" s="23">
        <v>0</v>
      </c>
      <c r="BH51" s="22">
        <v>0</v>
      </c>
      <c r="BI51" s="22">
        <v>0</v>
      </c>
      <c r="BJ51" s="22">
        <v>1</v>
      </c>
      <c r="BK51" s="22">
        <v>5</v>
      </c>
      <c r="BL51" s="22">
        <v>3</v>
      </c>
      <c r="BM51" s="22">
        <v>1</v>
      </c>
      <c r="BN51" s="22">
        <v>0</v>
      </c>
      <c r="BO51" s="22">
        <v>0</v>
      </c>
      <c r="BP51" s="22">
        <v>2</v>
      </c>
      <c r="BQ51" s="22">
        <v>2</v>
      </c>
      <c r="BR51" s="22">
        <v>2</v>
      </c>
      <c r="BS51" s="22">
        <v>1</v>
      </c>
      <c r="BT51" s="22">
        <v>0</v>
      </c>
      <c r="BU51" s="22">
        <v>0</v>
      </c>
      <c r="BV51" s="23">
        <f t="shared" si="2"/>
        <v>11</v>
      </c>
    </row>
    <row r="52" spans="1:74">
      <c r="A52" s="22">
        <f t="shared" si="3"/>
        <v>49</v>
      </c>
      <c r="B52" s="22">
        <v>1</v>
      </c>
      <c r="C52" s="22" t="s">
        <v>279</v>
      </c>
      <c r="D52" s="28">
        <v>44089</v>
      </c>
      <c r="F52" s="15">
        <v>28.1842787860999</v>
      </c>
      <c r="G52" s="15">
        <v>59.8291934672</v>
      </c>
      <c r="H52" s="22">
        <f t="shared" si="0"/>
        <v>28</v>
      </c>
      <c r="I52" s="31">
        <v>11.048</v>
      </c>
      <c r="J52" s="22">
        <f t="shared" si="1"/>
        <v>59</v>
      </c>
      <c r="K52" s="31">
        <v>49.765</v>
      </c>
      <c r="L52" s="22">
        <v>25.5</v>
      </c>
      <c r="M52" s="22">
        <v>2.1</v>
      </c>
      <c r="O52" s="22">
        <v>14.3</v>
      </c>
      <c r="R52" s="22">
        <v>3.14</v>
      </c>
      <c r="T52" s="22">
        <v>8.22</v>
      </c>
      <c r="AC52" s="22" t="s">
        <v>280</v>
      </c>
      <c r="AG52" s="22" t="s">
        <v>209</v>
      </c>
      <c r="AK52" s="22" t="s">
        <v>122</v>
      </c>
      <c r="AN52" s="23">
        <v>0</v>
      </c>
      <c r="AO52" s="22">
        <v>0</v>
      </c>
      <c r="AP52" s="23">
        <v>0</v>
      </c>
      <c r="AQ52" s="23">
        <v>0</v>
      </c>
      <c r="AR52" s="23">
        <v>0</v>
      </c>
      <c r="AS52" s="23">
        <v>0</v>
      </c>
      <c r="AT52" s="22">
        <v>0</v>
      </c>
      <c r="AU52" s="22">
        <v>0</v>
      </c>
      <c r="AV52" s="23">
        <v>0</v>
      </c>
      <c r="AW52" s="22">
        <v>0</v>
      </c>
      <c r="AX52" s="23">
        <v>3</v>
      </c>
      <c r="AY52" s="23">
        <v>0</v>
      </c>
      <c r="AZ52" s="22">
        <v>0</v>
      </c>
      <c r="BA52" s="22">
        <v>0</v>
      </c>
      <c r="BB52" s="23">
        <v>0</v>
      </c>
      <c r="BC52" s="23">
        <v>0</v>
      </c>
      <c r="BD52" s="22">
        <v>0</v>
      </c>
      <c r="BE52" s="22">
        <v>0</v>
      </c>
      <c r="BF52" s="22">
        <v>0</v>
      </c>
      <c r="BG52" s="23">
        <v>0</v>
      </c>
      <c r="BH52" s="22">
        <v>0</v>
      </c>
      <c r="BI52" s="22">
        <v>0</v>
      </c>
      <c r="BJ52" s="22">
        <v>1</v>
      </c>
      <c r="BK52" s="22">
        <v>2</v>
      </c>
      <c r="BL52" s="22">
        <v>3</v>
      </c>
      <c r="BM52" s="22">
        <v>1</v>
      </c>
      <c r="BN52" s="22">
        <v>0</v>
      </c>
      <c r="BO52" s="22">
        <v>0</v>
      </c>
      <c r="BP52" s="22">
        <v>2</v>
      </c>
      <c r="BQ52" s="22">
        <v>2</v>
      </c>
      <c r="BR52" s="22">
        <v>2</v>
      </c>
      <c r="BS52" s="22">
        <v>1</v>
      </c>
      <c r="BT52" s="22">
        <v>0</v>
      </c>
      <c r="BU52" s="22">
        <v>0</v>
      </c>
      <c r="BV52" s="23">
        <f t="shared" si="2"/>
        <v>8</v>
      </c>
    </row>
    <row r="53" spans="1:74">
      <c r="A53" s="22">
        <f t="shared" si="3"/>
        <v>50</v>
      </c>
      <c r="B53" s="22">
        <v>1</v>
      </c>
      <c r="C53" s="22" t="s">
        <v>281</v>
      </c>
      <c r="D53" s="28">
        <v>44089</v>
      </c>
      <c r="F53" s="15">
        <v>28.1853191577999</v>
      </c>
      <c r="G53" s="15">
        <v>59.8066648304999</v>
      </c>
      <c r="H53" s="22">
        <f t="shared" si="0"/>
        <v>28</v>
      </c>
      <c r="I53" s="31">
        <v>11.122</v>
      </c>
      <c r="J53" s="22">
        <f t="shared" si="1"/>
        <v>59</v>
      </c>
      <c r="K53" s="31">
        <v>48.404</v>
      </c>
      <c r="L53" s="22">
        <v>26</v>
      </c>
      <c r="M53" s="22">
        <v>2.7</v>
      </c>
      <c r="O53" s="22">
        <v>14.4</v>
      </c>
      <c r="R53" s="22">
        <v>3.06</v>
      </c>
      <c r="T53" s="22">
        <v>8.42</v>
      </c>
      <c r="AC53" s="22" t="s">
        <v>282</v>
      </c>
      <c r="AG53" s="22" t="s">
        <v>209</v>
      </c>
      <c r="AK53" s="22" t="s">
        <v>122</v>
      </c>
      <c r="AN53" s="23">
        <v>0</v>
      </c>
      <c r="AO53" s="22">
        <v>0</v>
      </c>
      <c r="AP53" s="23">
        <v>0</v>
      </c>
      <c r="AQ53" s="23">
        <v>0</v>
      </c>
      <c r="AR53" s="23">
        <v>0</v>
      </c>
      <c r="AS53" s="23">
        <v>0</v>
      </c>
      <c r="AT53" s="22">
        <v>0</v>
      </c>
      <c r="AU53" s="22">
        <v>0</v>
      </c>
      <c r="AV53" s="23">
        <v>0</v>
      </c>
      <c r="AW53" s="22">
        <v>0</v>
      </c>
      <c r="AX53" s="23">
        <v>10</v>
      </c>
      <c r="AY53" s="23">
        <v>0</v>
      </c>
      <c r="AZ53" s="22">
        <v>0</v>
      </c>
      <c r="BA53" s="22">
        <v>0</v>
      </c>
      <c r="BB53" s="23">
        <v>0</v>
      </c>
      <c r="BC53" s="23">
        <v>0</v>
      </c>
      <c r="BD53" s="22">
        <v>0</v>
      </c>
      <c r="BE53" s="22">
        <v>0</v>
      </c>
      <c r="BF53" s="22">
        <v>0</v>
      </c>
      <c r="BG53" s="23">
        <v>0</v>
      </c>
      <c r="BH53" s="22">
        <v>0</v>
      </c>
      <c r="BI53" s="22">
        <v>0</v>
      </c>
      <c r="BJ53" s="22">
        <v>1</v>
      </c>
      <c r="BK53" s="22">
        <v>5</v>
      </c>
      <c r="BL53" s="22">
        <v>3</v>
      </c>
      <c r="BM53" s="22">
        <v>1</v>
      </c>
      <c r="BN53" s="22">
        <v>0</v>
      </c>
      <c r="BO53" s="22">
        <v>0</v>
      </c>
      <c r="BP53" s="22">
        <v>1</v>
      </c>
      <c r="BQ53" s="22">
        <v>1</v>
      </c>
      <c r="BR53" s="22">
        <v>2</v>
      </c>
      <c r="BS53" s="22">
        <v>1</v>
      </c>
      <c r="BT53" s="22">
        <v>0</v>
      </c>
      <c r="BU53" s="22">
        <v>0</v>
      </c>
      <c r="BV53" s="23">
        <f t="shared" si="2"/>
        <v>9</v>
      </c>
    </row>
    <row r="54" spans="1:74">
      <c r="A54" s="22">
        <f t="shared" si="3"/>
        <v>51</v>
      </c>
      <c r="B54" s="22">
        <v>1</v>
      </c>
      <c r="C54" s="22" t="s">
        <v>283</v>
      </c>
      <c r="D54" s="28">
        <v>44089</v>
      </c>
      <c r="F54" s="15">
        <v>28.1898507324</v>
      </c>
      <c r="G54" s="15">
        <v>59.7861757599999</v>
      </c>
      <c r="H54" s="22">
        <f t="shared" si="0"/>
        <v>28</v>
      </c>
      <c r="I54" s="31">
        <v>11.378</v>
      </c>
      <c r="J54" s="22">
        <f t="shared" si="1"/>
        <v>59</v>
      </c>
      <c r="K54" s="31">
        <v>47.172</v>
      </c>
      <c r="L54" s="22">
        <v>10</v>
      </c>
      <c r="M54" s="22">
        <v>1.9</v>
      </c>
      <c r="O54" s="22">
        <v>14</v>
      </c>
      <c r="R54" s="22">
        <v>3.08</v>
      </c>
      <c r="T54" s="22">
        <v>8.21</v>
      </c>
      <c r="AC54" s="22" t="s">
        <v>284</v>
      </c>
      <c r="AG54" s="22" t="s">
        <v>209</v>
      </c>
      <c r="AK54" s="22" t="s">
        <v>122</v>
      </c>
      <c r="AN54" s="23">
        <v>0</v>
      </c>
      <c r="AO54" s="22">
        <v>0</v>
      </c>
      <c r="AP54" s="23">
        <v>0</v>
      </c>
      <c r="AQ54" s="23">
        <v>0</v>
      </c>
      <c r="AR54" s="23">
        <v>0</v>
      </c>
      <c r="AS54" s="23">
        <v>0</v>
      </c>
      <c r="AT54" s="22">
        <v>0</v>
      </c>
      <c r="AU54" s="22">
        <v>0</v>
      </c>
      <c r="AV54" s="23">
        <v>0</v>
      </c>
      <c r="AW54" s="22">
        <v>0</v>
      </c>
      <c r="AX54" s="23">
        <v>4</v>
      </c>
      <c r="AY54" s="23">
        <v>0</v>
      </c>
      <c r="AZ54" s="22">
        <v>0</v>
      </c>
      <c r="BA54" s="22">
        <v>0</v>
      </c>
      <c r="BB54" s="23">
        <v>0</v>
      </c>
      <c r="BC54" s="23">
        <v>0</v>
      </c>
      <c r="BD54" s="22">
        <v>0</v>
      </c>
      <c r="BE54" s="22">
        <v>0</v>
      </c>
      <c r="BF54" s="22">
        <v>0</v>
      </c>
      <c r="BG54" s="23">
        <v>0</v>
      </c>
      <c r="BH54" s="22">
        <v>0</v>
      </c>
      <c r="BI54" s="22">
        <v>0</v>
      </c>
      <c r="BJ54" s="22">
        <v>1</v>
      </c>
      <c r="BK54" s="22">
        <v>2</v>
      </c>
      <c r="BL54" s="22">
        <v>3</v>
      </c>
      <c r="BM54" s="22">
        <v>1</v>
      </c>
      <c r="BN54" s="22">
        <v>1</v>
      </c>
      <c r="BO54" s="22">
        <v>0</v>
      </c>
      <c r="BP54" s="22">
        <v>1</v>
      </c>
      <c r="BQ54" s="22">
        <v>1</v>
      </c>
      <c r="BR54" s="22">
        <v>2</v>
      </c>
      <c r="BS54" s="22">
        <v>2</v>
      </c>
      <c r="BT54" s="22">
        <v>0</v>
      </c>
      <c r="BU54" s="22">
        <v>0</v>
      </c>
      <c r="BV54" s="23">
        <f t="shared" si="2"/>
        <v>6</v>
      </c>
    </row>
    <row r="55" spans="1:74">
      <c r="A55" s="22">
        <f t="shared" si="3"/>
        <v>52</v>
      </c>
      <c r="B55" s="22">
        <v>1</v>
      </c>
      <c r="C55" s="22" t="s">
        <v>285</v>
      </c>
      <c r="D55" s="28">
        <v>44089</v>
      </c>
      <c r="F55" s="15">
        <v>28.2297175009</v>
      </c>
      <c r="G55" s="15">
        <v>59.7263570888</v>
      </c>
      <c r="H55" s="22">
        <f t="shared" si="0"/>
        <v>28</v>
      </c>
      <c r="I55" s="31">
        <v>13.78</v>
      </c>
      <c r="J55" s="22">
        <f t="shared" si="1"/>
        <v>59</v>
      </c>
      <c r="K55" s="31">
        <v>43.594</v>
      </c>
      <c r="L55" s="22">
        <v>7.5</v>
      </c>
      <c r="M55" s="22">
        <v>2.3</v>
      </c>
      <c r="O55" s="22">
        <v>14.4</v>
      </c>
      <c r="R55" s="22">
        <v>3.07</v>
      </c>
      <c r="T55" s="22">
        <v>7.95</v>
      </c>
      <c r="AC55" s="22" t="s">
        <v>286</v>
      </c>
      <c r="AG55" s="22" t="s">
        <v>209</v>
      </c>
      <c r="AK55" s="22" t="s">
        <v>122</v>
      </c>
      <c r="AN55" s="23">
        <v>0</v>
      </c>
      <c r="AO55" s="22">
        <v>0</v>
      </c>
      <c r="AP55" s="23">
        <v>0</v>
      </c>
      <c r="AQ55" s="23">
        <v>0</v>
      </c>
      <c r="AR55" s="23">
        <v>0</v>
      </c>
      <c r="AS55" s="23">
        <v>0</v>
      </c>
      <c r="AT55" s="22">
        <v>0</v>
      </c>
      <c r="AU55" s="22">
        <v>0</v>
      </c>
      <c r="AV55" s="23">
        <v>0</v>
      </c>
      <c r="AW55" s="22">
        <v>0</v>
      </c>
      <c r="AX55" s="23">
        <v>4</v>
      </c>
      <c r="AY55" s="23">
        <v>0</v>
      </c>
      <c r="AZ55" s="22">
        <v>0</v>
      </c>
      <c r="BA55" s="22">
        <v>0</v>
      </c>
      <c r="BB55" s="23">
        <v>0</v>
      </c>
      <c r="BC55" s="23">
        <v>0</v>
      </c>
      <c r="BD55" s="22">
        <v>0</v>
      </c>
      <c r="BE55" s="22">
        <v>0</v>
      </c>
      <c r="BF55" s="22">
        <v>0</v>
      </c>
      <c r="BG55" s="23">
        <v>0</v>
      </c>
      <c r="BH55" s="22">
        <v>0</v>
      </c>
      <c r="BI55" s="22">
        <v>0</v>
      </c>
      <c r="BJ55" s="22">
        <v>1</v>
      </c>
      <c r="BK55" s="22">
        <v>2</v>
      </c>
      <c r="BL55" s="22">
        <v>3</v>
      </c>
      <c r="BM55" s="22">
        <v>1</v>
      </c>
      <c r="BN55" s="22">
        <v>1</v>
      </c>
      <c r="BO55" s="22">
        <v>1</v>
      </c>
      <c r="BP55" s="22">
        <v>1</v>
      </c>
      <c r="BQ55" s="22">
        <v>2</v>
      </c>
      <c r="BR55" s="22">
        <v>2</v>
      </c>
      <c r="BS55" s="22">
        <v>2</v>
      </c>
      <c r="BT55" s="22">
        <v>0</v>
      </c>
      <c r="BU55" s="22">
        <v>0</v>
      </c>
      <c r="BV55" s="23">
        <f t="shared" si="2"/>
        <v>8</v>
      </c>
    </row>
    <row r="56" spans="1:74">
      <c r="A56" s="22">
        <f t="shared" si="3"/>
        <v>53</v>
      </c>
      <c r="B56" s="22">
        <v>1</v>
      </c>
      <c r="C56" s="22" t="s">
        <v>287</v>
      </c>
      <c r="D56" s="28">
        <v>44089</v>
      </c>
      <c r="F56" s="15">
        <v>28.2428084790999</v>
      </c>
      <c r="G56" s="15">
        <v>59.6951822722</v>
      </c>
      <c r="H56" s="22">
        <f t="shared" si="0"/>
        <v>28</v>
      </c>
      <c r="I56" s="31">
        <v>14.583</v>
      </c>
      <c r="J56" s="22">
        <f t="shared" si="1"/>
        <v>59</v>
      </c>
      <c r="K56" s="31">
        <v>41.71</v>
      </c>
      <c r="L56" s="22">
        <v>7.5</v>
      </c>
      <c r="M56" s="22">
        <v>2.2</v>
      </c>
      <c r="O56" s="22">
        <v>14.4</v>
      </c>
      <c r="R56" s="22">
        <v>3.02</v>
      </c>
      <c r="T56" s="22">
        <v>7.24</v>
      </c>
      <c r="AC56" s="22" t="s">
        <v>288</v>
      </c>
      <c r="AD56" s="22" t="s">
        <v>289</v>
      </c>
      <c r="AE56" s="22" t="s">
        <v>122</v>
      </c>
      <c r="AF56" s="22" t="s">
        <v>290</v>
      </c>
      <c r="AG56" s="22" t="s">
        <v>209</v>
      </c>
      <c r="AK56" s="22" t="s">
        <v>122</v>
      </c>
      <c r="AN56" s="23">
        <v>0</v>
      </c>
      <c r="AO56" s="22">
        <v>0</v>
      </c>
      <c r="AP56" s="23">
        <v>0</v>
      </c>
      <c r="AQ56" s="23">
        <v>0</v>
      </c>
      <c r="AR56" s="23">
        <v>0</v>
      </c>
      <c r="AS56" s="23">
        <v>0</v>
      </c>
      <c r="AT56" s="22">
        <v>0</v>
      </c>
      <c r="AU56" s="22">
        <v>0</v>
      </c>
      <c r="AV56" s="23">
        <v>0</v>
      </c>
      <c r="AW56" s="22">
        <v>0</v>
      </c>
      <c r="AX56" s="23">
        <v>4</v>
      </c>
      <c r="AY56" s="23">
        <v>0</v>
      </c>
      <c r="AZ56" s="22">
        <v>0</v>
      </c>
      <c r="BA56" s="22">
        <v>0</v>
      </c>
      <c r="BB56" s="23">
        <v>0</v>
      </c>
      <c r="BC56" s="23">
        <v>0</v>
      </c>
      <c r="BD56" s="22">
        <v>0</v>
      </c>
      <c r="BE56" s="22">
        <v>0</v>
      </c>
      <c r="BF56" s="22">
        <v>0</v>
      </c>
      <c r="BG56" s="23">
        <v>0</v>
      </c>
      <c r="BH56" s="22">
        <v>0</v>
      </c>
      <c r="BI56" s="22">
        <v>0</v>
      </c>
      <c r="BJ56" s="22">
        <v>1</v>
      </c>
      <c r="BK56" s="22">
        <v>2</v>
      </c>
      <c r="BL56" s="22">
        <v>2</v>
      </c>
      <c r="BM56" s="22">
        <v>1</v>
      </c>
      <c r="BN56" s="22">
        <v>1</v>
      </c>
      <c r="BO56" s="22">
        <v>1</v>
      </c>
      <c r="BP56" s="22">
        <v>1</v>
      </c>
      <c r="BQ56" s="22">
        <v>2</v>
      </c>
      <c r="BR56" s="22">
        <v>1</v>
      </c>
      <c r="BS56" s="22">
        <v>2</v>
      </c>
      <c r="BT56" s="22">
        <v>0</v>
      </c>
      <c r="BU56" s="22">
        <v>0</v>
      </c>
      <c r="BV56" s="23">
        <f t="shared" si="2"/>
        <v>8</v>
      </c>
    </row>
    <row r="57" spans="1:74">
      <c r="A57" s="22">
        <f t="shared" si="3"/>
        <v>54</v>
      </c>
      <c r="B57" s="22">
        <v>2</v>
      </c>
      <c r="C57" s="22" t="s">
        <v>291</v>
      </c>
      <c r="D57" s="28">
        <v>44071</v>
      </c>
      <c r="E57" s="22" t="s">
        <v>292</v>
      </c>
      <c r="H57" s="22">
        <v>28</v>
      </c>
      <c r="I57" s="31">
        <v>15.195</v>
      </c>
      <c r="J57" s="22">
        <v>59</v>
      </c>
      <c r="K57" s="31">
        <v>39.053</v>
      </c>
      <c r="L57" s="22">
        <v>5.5</v>
      </c>
      <c r="M57" s="22">
        <v>1</v>
      </c>
      <c r="O57" s="22">
        <v>17</v>
      </c>
      <c r="R57" s="22">
        <v>1.48</v>
      </c>
      <c r="T57" s="22">
        <v>8.41</v>
      </c>
      <c r="Y57" s="22">
        <v>222</v>
      </c>
      <c r="AC57" s="22" t="s">
        <v>293</v>
      </c>
      <c r="AD57" s="22" t="s">
        <v>294</v>
      </c>
      <c r="AE57" s="22" t="s">
        <v>122</v>
      </c>
      <c r="AF57" s="22" t="s">
        <v>295</v>
      </c>
      <c r="AG57" s="22" t="s">
        <v>209</v>
      </c>
      <c r="AK57" s="22" t="s">
        <v>122</v>
      </c>
      <c r="AL57" s="22" t="s">
        <v>122</v>
      </c>
      <c r="AN57" s="23">
        <v>0</v>
      </c>
      <c r="AO57" s="22">
        <v>0</v>
      </c>
      <c r="AP57" s="23">
        <v>1</v>
      </c>
      <c r="AQ57" s="23">
        <v>0</v>
      </c>
      <c r="AR57" s="23">
        <v>0</v>
      </c>
      <c r="AS57" s="23">
        <v>1</v>
      </c>
      <c r="AT57" s="22">
        <v>0</v>
      </c>
      <c r="AU57" s="22">
        <v>0</v>
      </c>
      <c r="AV57" s="23">
        <v>0</v>
      </c>
      <c r="AW57" s="22">
        <v>0</v>
      </c>
      <c r="AX57" s="23">
        <v>1</v>
      </c>
      <c r="AY57" s="23">
        <v>0</v>
      </c>
      <c r="AZ57" s="22">
        <v>0</v>
      </c>
      <c r="BA57" s="22">
        <v>0</v>
      </c>
      <c r="BB57" s="23">
        <v>0</v>
      </c>
      <c r="BC57" s="23">
        <v>0</v>
      </c>
      <c r="BD57" s="22">
        <v>0</v>
      </c>
      <c r="BE57" s="22">
        <v>0</v>
      </c>
      <c r="BF57" s="22">
        <v>0</v>
      </c>
      <c r="BG57" s="23">
        <v>0</v>
      </c>
      <c r="BH57" s="22">
        <v>0</v>
      </c>
      <c r="BI57" s="22">
        <v>0</v>
      </c>
      <c r="BJ57" s="22">
        <v>3</v>
      </c>
      <c r="BK57" s="22">
        <v>1</v>
      </c>
      <c r="BL57" s="22">
        <v>2</v>
      </c>
      <c r="BM57" s="22">
        <v>1</v>
      </c>
      <c r="BN57" s="22">
        <v>1</v>
      </c>
      <c r="BO57" s="22">
        <v>1</v>
      </c>
      <c r="BP57" s="22">
        <v>3</v>
      </c>
      <c r="BQ57" s="22">
        <v>2</v>
      </c>
      <c r="BR57" s="22">
        <v>1</v>
      </c>
      <c r="BS57" s="22">
        <v>0</v>
      </c>
      <c r="BT57" s="22">
        <v>0</v>
      </c>
      <c r="BU57" s="22">
        <v>0</v>
      </c>
      <c r="BV57" s="23">
        <f t="shared" si="2"/>
        <v>13</v>
      </c>
    </row>
    <row r="58" spans="1:74">
      <c r="A58" s="22">
        <f t="shared" si="3"/>
        <v>55</v>
      </c>
      <c r="B58" s="22">
        <v>2</v>
      </c>
      <c r="C58" s="22" t="s">
        <v>296</v>
      </c>
      <c r="D58" s="28">
        <v>44071</v>
      </c>
      <c r="E58" s="22" t="s">
        <v>124</v>
      </c>
      <c r="F58" s="9">
        <v>28.2748384016</v>
      </c>
      <c r="G58" s="9">
        <v>59.6903309454</v>
      </c>
      <c r="H58" s="29">
        <f t="shared" si="0"/>
        <v>28</v>
      </c>
      <c r="I58" s="9">
        <f t="shared" si="4"/>
        <v>16.490304096</v>
      </c>
      <c r="J58" s="29">
        <f t="shared" si="1"/>
        <v>59</v>
      </c>
      <c r="K58" s="9">
        <f t="shared" si="5"/>
        <v>41.419856724</v>
      </c>
      <c r="L58" s="22">
        <v>8</v>
      </c>
      <c r="M58" s="22">
        <v>1.5</v>
      </c>
      <c r="O58" s="22">
        <v>17</v>
      </c>
      <c r="R58" s="22">
        <v>2.57</v>
      </c>
      <c r="T58" s="22">
        <v>8.45</v>
      </c>
      <c r="Y58" s="22">
        <v>195</v>
      </c>
      <c r="AC58" s="23" t="s">
        <v>297</v>
      </c>
      <c r="AG58" s="22" t="s">
        <v>209</v>
      </c>
      <c r="AK58" s="22" t="s">
        <v>122</v>
      </c>
      <c r="AL58" s="22" t="s">
        <v>122</v>
      </c>
      <c r="AN58" s="23">
        <v>0</v>
      </c>
      <c r="AO58" s="22">
        <v>0</v>
      </c>
      <c r="AP58" s="23">
        <v>0</v>
      </c>
      <c r="AQ58" s="23">
        <v>0</v>
      </c>
      <c r="AR58" s="23">
        <v>0</v>
      </c>
      <c r="AS58" s="23">
        <v>0</v>
      </c>
      <c r="AT58" s="22">
        <v>0</v>
      </c>
      <c r="AU58" s="22">
        <v>0</v>
      </c>
      <c r="AV58" s="23">
        <v>0</v>
      </c>
      <c r="AW58" s="22">
        <v>0</v>
      </c>
      <c r="AX58" s="23">
        <v>1</v>
      </c>
      <c r="AY58" s="23">
        <v>0</v>
      </c>
      <c r="AZ58" s="22">
        <v>0</v>
      </c>
      <c r="BA58" s="22">
        <v>0</v>
      </c>
      <c r="BB58" s="23">
        <v>0</v>
      </c>
      <c r="BC58" s="23">
        <v>0</v>
      </c>
      <c r="BD58" s="22">
        <v>0</v>
      </c>
      <c r="BE58" s="22">
        <v>0</v>
      </c>
      <c r="BF58" s="22">
        <v>0</v>
      </c>
      <c r="BG58" s="23">
        <v>0</v>
      </c>
      <c r="BH58" s="22">
        <v>0</v>
      </c>
      <c r="BI58" s="22">
        <v>0</v>
      </c>
      <c r="BJ58" s="22">
        <v>1</v>
      </c>
      <c r="BK58" s="22">
        <v>1</v>
      </c>
      <c r="BL58" s="22">
        <v>2</v>
      </c>
      <c r="BM58" s="22">
        <v>1</v>
      </c>
      <c r="BN58" s="22">
        <v>1</v>
      </c>
      <c r="BO58" s="22">
        <v>1</v>
      </c>
      <c r="BP58" s="22">
        <v>2</v>
      </c>
      <c r="BQ58" s="22">
        <v>2</v>
      </c>
      <c r="BR58" s="22">
        <v>1</v>
      </c>
      <c r="BS58" s="22">
        <v>0</v>
      </c>
      <c r="BT58" s="22">
        <v>0</v>
      </c>
      <c r="BU58" s="22">
        <v>0</v>
      </c>
      <c r="BV58" s="23">
        <f t="shared" si="2"/>
        <v>10</v>
      </c>
    </row>
    <row r="59" spans="1:74">
      <c r="A59" s="22">
        <f t="shared" si="3"/>
        <v>56</v>
      </c>
      <c r="B59" s="22">
        <v>2</v>
      </c>
      <c r="C59" s="22" t="s">
        <v>298</v>
      </c>
      <c r="D59" s="28">
        <v>44089</v>
      </c>
      <c r="F59" s="15">
        <v>28.2142996384999</v>
      </c>
      <c r="G59" s="15">
        <v>59.8181393278999</v>
      </c>
      <c r="H59" s="22">
        <f t="shared" si="0"/>
        <v>28</v>
      </c>
      <c r="I59" s="31">
        <v>12.884</v>
      </c>
      <c r="J59" s="22">
        <f t="shared" si="1"/>
        <v>59</v>
      </c>
      <c r="K59" s="31">
        <v>49.198</v>
      </c>
      <c r="L59" s="22">
        <v>24</v>
      </c>
      <c r="M59" s="22">
        <v>2.7</v>
      </c>
      <c r="O59" s="22">
        <v>14</v>
      </c>
      <c r="R59" s="22">
        <v>3.07</v>
      </c>
      <c r="T59" s="22">
        <v>8.22</v>
      </c>
      <c r="AC59" s="22" t="s">
        <v>299</v>
      </c>
      <c r="AG59" s="22" t="s">
        <v>209</v>
      </c>
      <c r="AK59" s="22" t="s">
        <v>122</v>
      </c>
      <c r="AL59" s="22" t="s">
        <v>122</v>
      </c>
      <c r="AN59" s="23">
        <v>0</v>
      </c>
      <c r="AO59" s="22">
        <v>0</v>
      </c>
      <c r="AP59" s="23">
        <v>0</v>
      </c>
      <c r="AQ59" s="23">
        <v>0</v>
      </c>
      <c r="AR59" s="23">
        <v>0</v>
      </c>
      <c r="AS59" s="23">
        <v>0</v>
      </c>
      <c r="AT59" s="22">
        <v>0</v>
      </c>
      <c r="AU59" s="22">
        <v>0</v>
      </c>
      <c r="AV59" s="23">
        <v>0</v>
      </c>
      <c r="AW59" s="22">
        <v>0</v>
      </c>
      <c r="AX59" s="23">
        <v>5</v>
      </c>
      <c r="AY59" s="23">
        <v>0</v>
      </c>
      <c r="AZ59" s="22">
        <v>0</v>
      </c>
      <c r="BA59" s="22">
        <v>0</v>
      </c>
      <c r="BB59" s="23">
        <v>0</v>
      </c>
      <c r="BC59" s="23">
        <v>0</v>
      </c>
      <c r="BD59" s="22">
        <v>0</v>
      </c>
      <c r="BE59" s="22">
        <v>0</v>
      </c>
      <c r="BF59" s="22">
        <v>0</v>
      </c>
      <c r="BG59" s="23">
        <v>0</v>
      </c>
      <c r="BH59" s="22">
        <v>0</v>
      </c>
      <c r="BI59" s="22">
        <v>0</v>
      </c>
      <c r="BJ59" s="22">
        <v>1</v>
      </c>
      <c r="BK59" s="22">
        <v>4</v>
      </c>
      <c r="BL59" s="22">
        <v>2</v>
      </c>
      <c r="BM59" s="22">
        <v>1</v>
      </c>
      <c r="BN59" s="22">
        <v>0</v>
      </c>
      <c r="BO59" s="22">
        <v>0</v>
      </c>
      <c r="BP59" s="22">
        <v>2</v>
      </c>
      <c r="BQ59" s="22">
        <v>2</v>
      </c>
      <c r="BR59" s="22">
        <v>1</v>
      </c>
      <c r="BS59" s="22">
        <v>0</v>
      </c>
      <c r="BT59" s="22">
        <v>0</v>
      </c>
      <c r="BU59" s="22">
        <v>0</v>
      </c>
      <c r="BV59" s="23">
        <f t="shared" si="2"/>
        <v>11</v>
      </c>
    </row>
    <row r="60" spans="1:74">
      <c r="A60" s="22">
        <f t="shared" si="3"/>
        <v>57</v>
      </c>
      <c r="B60" s="22">
        <v>2</v>
      </c>
      <c r="C60" s="22" t="s">
        <v>300</v>
      </c>
      <c r="D60" s="28">
        <v>44070</v>
      </c>
      <c r="E60" s="170" t="s">
        <v>301</v>
      </c>
      <c r="F60" s="31">
        <v>28.4567</v>
      </c>
      <c r="G60" s="31">
        <v>59.82039</v>
      </c>
      <c r="H60" s="22">
        <f t="shared" si="0"/>
        <v>28</v>
      </c>
      <c r="I60" s="15">
        <f t="shared" si="4"/>
        <v>27.4020000000001</v>
      </c>
      <c r="J60" s="22">
        <f t="shared" si="1"/>
        <v>59</v>
      </c>
      <c r="K60" s="15">
        <f t="shared" si="5"/>
        <v>49.2234000000002</v>
      </c>
      <c r="L60" s="22">
        <v>3.5</v>
      </c>
      <c r="M60" s="22">
        <v>2.5</v>
      </c>
      <c r="O60" s="22">
        <v>17.7</v>
      </c>
      <c r="R60" s="22">
        <v>2.18</v>
      </c>
      <c r="T60" s="22">
        <v>8.35</v>
      </c>
      <c r="Y60" s="22">
        <v>181</v>
      </c>
      <c r="AC60" s="22" t="s">
        <v>302</v>
      </c>
      <c r="AD60" s="22" t="s">
        <v>303</v>
      </c>
      <c r="AG60" s="22" t="s">
        <v>304</v>
      </c>
      <c r="AH60" s="22" t="s">
        <v>305</v>
      </c>
      <c r="AK60" s="22" t="s">
        <v>205</v>
      </c>
      <c r="AL60" s="22" t="s">
        <v>306</v>
      </c>
      <c r="AN60" s="23">
        <v>6</v>
      </c>
      <c r="AO60" s="22">
        <v>1</v>
      </c>
      <c r="AP60" s="23">
        <v>1</v>
      </c>
      <c r="AQ60" s="23">
        <v>0</v>
      </c>
      <c r="AR60" s="23">
        <v>0</v>
      </c>
      <c r="AS60" s="23">
        <v>1</v>
      </c>
      <c r="AT60" s="22">
        <v>0</v>
      </c>
      <c r="AU60" s="22">
        <v>0</v>
      </c>
      <c r="AV60" s="23">
        <v>0</v>
      </c>
      <c r="AW60" s="22">
        <v>0</v>
      </c>
      <c r="AX60" s="23">
        <v>1</v>
      </c>
      <c r="AY60" s="23">
        <v>0</v>
      </c>
      <c r="AZ60" s="22">
        <v>0</v>
      </c>
      <c r="BA60" s="22">
        <v>0</v>
      </c>
      <c r="BB60" s="23">
        <v>0</v>
      </c>
      <c r="BC60" s="23">
        <v>0</v>
      </c>
      <c r="BD60" s="22">
        <v>0</v>
      </c>
      <c r="BE60" s="22">
        <v>0</v>
      </c>
      <c r="BF60" s="22">
        <v>0</v>
      </c>
      <c r="BG60" s="23">
        <v>0</v>
      </c>
      <c r="BH60" s="22">
        <v>0</v>
      </c>
      <c r="BI60" s="22">
        <v>0</v>
      </c>
      <c r="BJ60" s="22">
        <v>5</v>
      </c>
      <c r="BK60" s="22">
        <v>4</v>
      </c>
      <c r="BL60" s="22">
        <v>2</v>
      </c>
      <c r="BM60" s="22">
        <v>2</v>
      </c>
      <c r="BN60" s="22">
        <v>1</v>
      </c>
      <c r="BO60" s="22">
        <v>1</v>
      </c>
      <c r="BP60" s="22">
        <v>1</v>
      </c>
      <c r="BQ60" s="22">
        <v>1</v>
      </c>
      <c r="BR60" s="22">
        <v>0</v>
      </c>
      <c r="BS60" s="22">
        <v>0</v>
      </c>
      <c r="BT60" s="22">
        <v>0</v>
      </c>
      <c r="BU60" s="22">
        <v>0</v>
      </c>
      <c r="BV60" s="23">
        <f t="shared" si="2"/>
        <v>17</v>
      </c>
    </row>
    <row r="61" spans="1:74">
      <c r="A61" s="22">
        <f t="shared" si="3"/>
        <v>58</v>
      </c>
      <c r="B61" s="22">
        <v>2</v>
      </c>
      <c r="C61" s="22" t="s">
        <v>307</v>
      </c>
      <c r="D61" s="28">
        <v>44070</v>
      </c>
      <c r="E61" s="169" t="s">
        <v>308</v>
      </c>
      <c r="F61" s="31">
        <v>28.44891</v>
      </c>
      <c r="G61" s="31">
        <v>59.82063</v>
      </c>
      <c r="H61" s="22">
        <f t="shared" si="0"/>
        <v>28</v>
      </c>
      <c r="I61" s="15">
        <f t="shared" si="4"/>
        <v>26.9346000000001</v>
      </c>
      <c r="J61" s="22">
        <f t="shared" si="1"/>
        <v>59</v>
      </c>
      <c r="K61" s="15">
        <f t="shared" si="5"/>
        <v>49.2378000000001</v>
      </c>
      <c r="L61" s="22">
        <v>8.3</v>
      </c>
      <c r="M61" s="22">
        <v>2.1</v>
      </c>
      <c r="O61" s="22">
        <v>17.4</v>
      </c>
      <c r="P61" s="22">
        <v>17.2</v>
      </c>
      <c r="R61" s="22">
        <v>2.25</v>
      </c>
      <c r="S61" s="22">
        <v>2.33</v>
      </c>
      <c r="T61" s="22">
        <v>8.44</v>
      </c>
      <c r="U61" s="22">
        <v>8.38</v>
      </c>
      <c r="Y61" s="22">
        <v>175</v>
      </c>
      <c r="Z61" s="22">
        <v>176</v>
      </c>
      <c r="AC61" s="22" t="s">
        <v>309</v>
      </c>
      <c r="AD61" s="22" t="s">
        <v>310</v>
      </c>
      <c r="AG61" s="22" t="s">
        <v>311</v>
      </c>
      <c r="AH61" s="22" t="s">
        <v>305</v>
      </c>
      <c r="AK61" s="22" t="s">
        <v>122</v>
      </c>
      <c r="AL61" s="22" t="s">
        <v>306</v>
      </c>
      <c r="AN61" s="23">
        <v>4</v>
      </c>
      <c r="AO61" s="22">
        <v>2</v>
      </c>
      <c r="AP61" s="23">
        <v>1</v>
      </c>
      <c r="AQ61" s="23">
        <v>0</v>
      </c>
      <c r="AR61" s="23">
        <v>0</v>
      </c>
      <c r="AS61" s="23">
        <v>1</v>
      </c>
      <c r="AT61" s="22">
        <v>0</v>
      </c>
      <c r="AU61" s="22">
        <v>0</v>
      </c>
      <c r="AV61" s="23">
        <v>0</v>
      </c>
      <c r="AW61" s="22">
        <v>0</v>
      </c>
      <c r="AX61" s="23">
        <v>1</v>
      </c>
      <c r="AY61" s="23">
        <v>0</v>
      </c>
      <c r="AZ61" s="22">
        <v>0</v>
      </c>
      <c r="BA61" s="22">
        <v>0</v>
      </c>
      <c r="BB61" s="23">
        <v>0</v>
      </c>
      <c r="BC61" s="23">
        <v>0</v>
      </c>
      <c r="BD61" s="22">
        <v>0</v>
      </c>
      <c r="BE61" s="22">
        <v>0</v>
      </c>
      <c r="BF61" s="22">
        <v>0</v>
      </c>
      <c r="BG61" s="23">
        <v>0</v>
      </c>
      <c r="BH61" s="22">
        <v>0</v>
      </c>
      <c r="BI61" s="22">
        <v>0</v>
      </c>
      <c r="BJ61" s="22">
        <v>6</v>
      </c>
      <c r="BK61" s="22">
        <v>2</v>
      </c>
      <c r="BL61" s="22">
        <v>2</v>
      </c>
      <c r="BM61" s="22">
        <v>2</v>
      </c>
      <c r="BN61" s="22">
        <v>1</v>
      </c>
      <c r="BO61" s="22">
        <v>0</v>
      </c>
      <c r="BP61" s="22">
        <v>2</v>
      </c>
      <c r="BQ61" s="22">
        <v>1</v>
      </c>
      <c r="BR61" s="22">
        <v>0</v>
      </c>
      <c r="BS61" s="22">
        <v>0</v>
      </c>
      <c r="BT61" s="22">
        <v>0</v>
      </c>
      <c r="BU61" s="22">
        <v>0</v>
      </c>
      <c r="BV61" s="23">
        <f t="shared" si="2"/>
        <v>16</v>
      </c>
    </row>
    <row r="62" spans="1:74">
      <c r="A62" s="22">
        <f t="shared" si="3"/>
        <v>59</v>
      </c>
      <c r="B62" s="22">
        <v>2</v>
      </c>
      <c r="C62" s="22" t="s">
        <v>312</v>
      </c>
      <c r="D62" s="28">
        <v>44070</v>
      </c>
      <c r="E62" s="22" t="s">
        <v>313</v>
      </c>
      <c r="F62" s="31">
        <v>28.44162</v>
      </c>
      <c r="G62" s="31">
        <v>59.82079</v>
      </c>
      <c r="H62" s="22">
        <f t="shared" si="0"/>
        <v>28</v>
      </c>
      <c r="I62" s="15">
        <f t="shared" si="4"/>
        <v>26.4972</v>
      </c>
      <c r="J62" s="22">
        <f t="shared" si="1"/>
        <v>59</v>
      </c>
      <c r="K62" s="15">
        <f t="shared" si="5"/>
        <v>49.2474000000001</v>
      </c>
      <c r="L62" s="22">
        <v>13.7</v>
      </c>
      <c r="M62" s="22">
        <v>2.4</v>
      </c>
      <c r="O62" s="22">
        <v>17</v>
      </c>
      <c r="P62" s="22">
        <v>17.3</v>
      </c>
      <c r="Q62" s="22">
        <v>15.4</v>
      </c>
      <c r="R62" s="22">
        <v>2.19</v>
      </c>
      <c r="S62" s="22">
        <v>2.41</v>
      </c>
      <c r="T62" s="22">
        <v>8.4</v>
      </c>
      <c r="U62" s="22">
        <v>8.38</v>
      </c>
      <c r="V62" s="22">
        <v>7.57</v>
      </c>
      <c r="Y62" s="22">
        <v>166</v>
      </c>
      <c r="Z62" s="22">
        <v>167</v>
      </c>
      <c r="AC62" s="22" t="s">
        <v>314</v>
      </c>
      <c r="AG62" s="22" t="s">
        <v>209</v>
      </c>
      <c r="AK62" s="22" t="s">
        <v>122</v>
      </c>
      <c r="AL62" s="22" t="s">
        <v>122</v>
      </c>
      <c r="AN62" s="23">
        <v>0</v>
      </c>
      <c r="AO62" s="22">
        <v>0</v>
      </c>
      <c r="AP62" s="23">
        <v>0</v>
      </c>
      <c r="AQ62" s="23">
        <v>0</v>
      </c>
      <c r="AR62" s="23">
        <v>0</v>
      </c>
      <c r="AS62" s="23">
        <v>0</v>
      </c>
      <c r="AT62" s="22">
        <v>0</v>
      </c>
      <c r="AU62" s="22">
        <v>0</v>
      </c>
      <c r="AV62" s="23">
        <v>0</v>
      </c>
      <c r="AW62" s="22">
        <v>0</v>
      </c>
      <c r="AX62" s="23">
        <v>3</v>
      </c>
      <c r="AY62" s="23">
        <v>0</v>
      </c>
      <c r="AZ62" s="22">
        <v>0</v>
      </c>
      <c r="BA62" s="22">
        <v>0</v>
      </c>
      <c r="BB62" s="23">
        <v>0</v>
      </c>
      <c r="BC62" s="23">
        <v>0</v>
      </c>
      <c r="BD62" s="22">
        <v>0</v>
      </c>
      <c r="BE62" s="22">
        <v>0</v>
      </c>
      <c r="BF62" s="22">
        <v>0</v>
      </c>
      <c r="BG62" s="23">
        <v>0</v>
      </c>
      <c r="BH62" s="22">
        <v>0</v>
      </c>
      <c r="BI62" s="22">
        <v>0</v>
      </c>
      <c r="BJ62" s="22">
        <v>1</v>
      </c>
      <c r="BK62" s="22">
        <v>3</v>
      </c>
      <c r="BL62" s="22">
        <v>2</v>
      </c>
      <c r="BM62" s="22">
        <v>1</v>
      </c>
      <c r="BN62" s="22">
        <v>1</v>
      </c>
      <c r="BO62" s="22">
        <v>0</v>
      </c>
      <c r="BP62" s="22">
        <v>2</v>
      </c>
      <c r="BQ62" s="22">
        <v>2</v>
      </c>
      <c r="BR62" s="22">
        <v>0</v>
      </c>
      <c r="BS62" s="22">
        <v>0</v>
      </c>
      <c r="BT62" s="22">
        <v>0</v>
      </c>
      <c r="BU62" s="22">
        <v>0</v>
      </c>
      <c r="BV62" s="23">
        <f t="shared" si="2"/>
        <v>12</v>
      </c>
    </row>
    <row r="63" spans="1:74">
      <c r="A63" s="22">
        <f t="shared" si="3"/>
        <v>60</v>
      </c>
      <c r="B63" s="22">
        <v>2</v>
      </c>
      <c r="C63" s="22" t="s">
        <v>315</v>
      </c>
      <c r="D63" s="28">
        <v>44070</v>
      </c>
      <c r="E63" s="22" t="s">
        <v>316</v>
      </c>
      <c r="F63" s="9">
        <v>28.4126842840999</v>
      </c>
      <c r="G63" s="9">
        <v>59.8217722329999</v>
      </c>
      <c r="H63" s="29">
        <f t="shared" si="0"/>
        <v>28</v>
      </c>
      <c r="I63" s="35">
        <v>24.735</v>
      </c>
      <c r="J63" s="29">
        <f t="shared" si="1"/>
        <v>59</v>
      </c>
      <c r="K63" s="35">
        <v>49.312</v>
      </c>
      <c r="L63" s="22">
        <v>34</v>
      </c>
      <c r="M63" s="22">
        <v>1.9</v>
      </c>
      <c r="O63" s="22">
        <v>17.7</v>
      </c>
      <c r="P63" s="22">
        <v>16</v>
      </c>
      <c r="Q63" s="22">
        <v>6.9</v>
      </c>
      <c r="R63" s="22">
        <v>2.25</v>
      </c>
      <c r="S63" s="22">
        <v>2.29</v>
      </c>
      <c r="T63" s="22">
        <v>8.48</v>
      </c>
      <c r="U63" s="22">
        <v>8.49</v>
      </c>
      <c r="V63" s="22">
        <v>7.93</v>
      </c>
      <c r="Y63" s="22">
        <v>176</v>
      </c>
      <c r="Z63" s="22">
        <v>178</v>
      </c>
      <c r="AC63" s="22" t="s">
        <v>317</v>
      </c>
      <c r="AG63" s="22" t="s">
        <v>209</v>
      </c>
      <c r="AK63" s="22" t="s">
        <v>122</v>
      </c>
      <c r="AL63" s="22" t="s">
        <v>122</v>
      </c>
      <c r="AN63" s="23">
        <v>0</v>
      </c>
      <c r="AO63" s="22">
        <v>0</v>
      </c>
      <c r="AP63" s="23">
        <v>0</v>
      </c>
      <c r="AQ63" s="23">
        <v>0</v>
      </c>
      <c r="AR63" s="23">
        <v>0</v>
      </c>
      <c r="AS63" s="23">
        <v>0</v>
      </c>
      <c r="AT63" s="22">
        <v>0</v>
      </c>
      <c r="AU63" s="22">
        <v>0</v>
      </c>
      <c r="AV63" s="23">
        <v>0</v>
      </c>
      <c r="AW63" s="22">
        <v>0</v>
      </c>
      <c r="AX63" s="23">
        <v>5</v>
      </c>
      <c r="AY63" s="23">
        <v>0</v>
      </c>
      <c r="AZ63" s="22">
        <v>0</v>
      </c>
      <c r="BA63" s="22">
        <v>0</v>
      </c>
      <c r="BB63" s="23">
        <v>0</v>
      </c>
      <c r="BC63" s="23">
        <v>0</v>
      </c>
      <c r="BD63" s="22">
        <v>0</v>
      </c>
      <c r="BE63" s="22">
        <v>0</v>
      </c>
      <c r="BF63" s="22">
        <v>0</v>
      </c>
      <c r="BG63" s="23">
        <v>0</v>
      </c>
      <c r="BH63" s="22">
        <v>0</v>
      </c>
      <c r="BI63" s="22">
        <v>0</v>
      </c>
      <c r="BJ63" s="22">
        <v>1</v>
      </c>
      <c r="BK63" s="22">
        <v>3</v>
      </c>
      <c r="BL63" s="22">
        <v>2</v>
      </c>
      <c r="BM63" s="22">
        <v>1</v>
      </c>
      <c r="BN63" s="22">
        <v>0</v>
      </c>
      <c r="BO63" s="22">
        <v>0</v>
      </c>
      <c r="BP63" s="22">
        <v>2</v>
      </c>
      <c r="BQ63" s="22">
        <v>1</v>
      </c>
      <c r="BR63" s="22">
        <v>1</v>
      </c>
      <c r="BS63" s="22">
        <v>0</v>
      </c>
      <c r="BT63" s="22">
        <v>0</v>
      </c>
      <c r="BU63" s="22">
        <v>0</v>
      </c>
      <c r="BV63" s="23">
        <f t="shared" si="2"/>
        <v>9</v>
      </c>
    </row>
    <row r="64" spans="1:74">
      <c r="A64" s="22">
        <f t="shared" si="3"/>
        <v>61</v>
      </c>
      <c r="B64" s="22">
        <v>2</v>
      </c>
      <c r="C64" s="22" t="s">
        <v>318</v>
      </c>
      <c r="D64" s="28">
        <v>44070</v>
      </c>
      <c r="F64" s="9">
        <v>28.3981654466</v>
      </c>
      <c r="G64" s="9">
        <v>59.8219272902</v>
      </c>
      <c r="H64" s="29">
        <f t="shared" si="0"/>
        <v>28</v>
      </c>
      <c r="I64" s="35">
        <v>23.87</v>
      </c>
      <c r="J64" s="29">
        <f t="shared" si="1"/>
        <v>59</v>
      </c>
      <c r="K64" s="35">
        <v>49.323</v>
      </c>
      <c r="L64" s="22">
        <v>26.5</v>
      </c>
      <c r="M64" s="22">
        <v>2</v>
      </c>
      <c r="O64" s="22">
        <v>19.9</v>
      </c>
      <c r="P64" s="22">
        <v>17.7</v>
      </c>
      <c r="Q64" s="22">
        <v>8.1</v>
      </c>
      <c r="R64" s="22">
        <v>2.27</v>
      </c>
      <c r="S64" s="22">
        <v>2.27</v>
      </c>
      <c r="T64" s="22">
        <v>8.49</v>
      </c>
      <c r="U64" s="22">
        <v>8.46</v>
      </c>
      <c r="V64" s="22">
        <v>7.52</v>
      </c>
      <c r="Y64" s="22">
        <v>174</v>
      </c>
      <c r="Z64" s="22">
        <v>175</v>
      </c>
      <c r="AC64" s="22" t="s">
        <v>317</v>
      </c>
      <c r="AG64" s="22" t="s">
        <v>209</v>
      </c>
      <c r="AK64" s="22" t="s">
        <v>122</v>
      </c>
      <c r="AL64" s="22" t="s">
        <v>122</v>
      </c>
      <c r="AN64" s="23">
        <v>0</v>
      </c>
      <c r="AO64" s="22">
        <v>0</v>
      </c>
      <c r="AP64" s="23">
        <v>0</v>
      </c>
      <c r="AQ64" s="23">
        <v>0</v>
      </c>
      <c r="AR64" s="23">
        <v>0</v>
      </c>
      <c r="AS64" s="23">
        <v>0</v>
      </c>
      <c r="AT64" s="22">
        <v>0</v>
      </c>
      <c r="AU64" s="22">
        <v>0</v>
      </c>
      <c r="AV64" s="23">
        <v>0</v>
      </c>
      <c r="AW64" s="22">
        <v>0</v>
      </c>
      <c r="AX64" s="23">
        <v>5</v>
      </c>
      <c r="AY64" s="23">
        <v>0</v>
      </c>
      <c r="AZ64" s="22">
        <v>0</v>
      </c>
      <c r="BA64" s="22">
        <v>0</v>
      </c>
      <c r="BB64" s="23">
        <v>0</v>
      </c>
      <c r="BC64" s="23">
        <v>0</v>
      </c>
      <c r="BD64" s="22">
        <v>0</v>
      </c>
      <c r="BE64" s="22">
        <v>0</v>
      </c>
      <c r="BF64" s="22">
        <v>0</v>
      </c>
      <c r="BG64" s="23">
        <v>0</v>
      </c>
      <c r="BH64" s="22">
        <v>0</v>
      </c>
      <c r="BI64" s="22">
        <v>0</v>
      </c>
      <c r="BJ64" s="22">
        <v>1</v>
      </c>
      <c r="BK64" s="22">
        <v>3</v>
      </c>
      <c r="BL64" s="22">
        <v>2</v>
      </c>
      <c r="BM64" s="22">
        <v>1</v>
      </c>
      <c r="BN64" s="22">
        <v>0</v>
      </c>
      <c r="BO64" s="22">
        <v>0</v>
      </c>
      <c r="BP64" s="22">
        <v>2</v>
      </c>
      <c r="BQ64" s="22">
        <v>1</v>
      </c>
      <c r="BR64" s="22">
        <v>1</v>
      </c>
      <c r="BS64" s="22">
        <v>0</v>
      </c>
      <c r="BT64" s="22">
        <v>0</v>
      </c>
      <c r="BU64" s="22">
        <v>0</v>
      </c>
      <c r="BV64" s="23">
        <f t="shared" ref="BV64:BV130" si="6">(BJ64+BK64+BL64+BM64+BN64+BO64+BP64+BQ64)-(BR64+BS64+BT64+BU64)</f>
        <v>9</v>
      </c>
    </row>
    <row r="65" spans="1:74">
      <c r="A65" s="22">
        <f t="shared" si="3"/>
        <v>62</v>
      </c>
      <c r="B65" s="22">
        <v>2</v>
      </c>
      <c r="C65" s="22" t="s">
        <v>319</v>
      </c>
      <c r="D65" s="28">
        <v>44070</v>
      </c>
      <c r="E65" s="170" t="s">
        <v>320</v>
      </c>
      <c r="F65" s="9">
        <v>28.3914649126</v>
      </c>
      <c r="G65" s="9">
        <v>59.8221468205999</v>
      </c>
      <c r="H65" s="29">
        <f t="shared" si="0"/>
        <v>28</v>
      </c>
      <c r="I65" s="35">
        <v>23.375</v>
      </c>
      <c r="J65" s="29">
        <f t="shared" si="1"/>
        <v>59</v>
      </c>
      <c r="K65" s="35">
        <v>49.301</v>
      </c>
      <c r="L65" s="22">
        <v>16</v>
      </c>
      <c r="M65" s="22">
        <v>2</v>
      </c>
      <c r="O65" s="22">
        <v>17.6</v>
      </c>
      <c r="P65" s="22">
        <v>17.6</v>
      </c>
      <c r="R65" s="22">
        <v>2.25</v>
      </c>
      <c r="S65" s="22">
        <v>2.26</v>
      </c>
      <c r="T65" s="22">
        <v>8.42</v>
      </c>
      <c r="U65" s="22">
        <v>8.53</v>
      </c>
      <c r="Y65" s="22">
        <v>182</v>
      </c>
      <c r="Z65" s="22">
        <v>173</v>
      </c>
      <c r="AC65" s="23" t="s">
        <v>321</v>
      </c>
      <c r="AG65" s="23" t="s">
        <v>322</v>
      </c>
      <c r="AN65" s="23">
        <v>0</v>
      </c>
      <c r="AO65" s="22">
        <v>0</v>
      </c>
      <c r="AP65" s="23">
        <v>0</v>
      </c>
      <c r="AQ65" s="23">
        <v>0</v>
      </c>
      <c r="AR65" s="23">
        <v>0</v>
      </c>
      <c r="AS65" s="23">
        <v>0</v>
      </c>
      <c r="AT65" s="22">
        <v>0</v>
      </c>
      <c r="AU65" s="22">
        <v>0</v>
      </c>
      <c r="AV65" s="23">
        <v>0</v>
      </c>
      <c r="AW65" s="22">
        <v>0</v>
      </c>
      <c r="AX65" s="23">
        <v>3</v>
      </c>
      <c r="AY65" s="23">
        <v>0</v>
      </c>
      <c r="AZ65" s="22">
        <v>0</v>
      </c>
      <c r="BA65" s="22">
        <v>0</v>
      </c>
      <c r="BB65" s="23">
        <v>0</v>
      </c>
      <c r="BC65" s="23">
        <v>0</v>
      </c>
      <c r="BD65" s="22">
        <v>0</v>
      </c>
      <c r="BE65" s="22">
        <v>0</v>
      </c>
      <c r="BF65" s="22">
        <v>0</v>
      </c>
      <c r="BG65" s="23">
        <v>0</v>
      </c>
      <c r="BH65" s="22">
        <v>0</v>
      </c>
      <c r="BI65" s="22">
        <v>0</v>
      </c>
      <c r="BJ65" s="22">
        <v>1</v>
      </c>
      <c r="BK65" s="22">
        <v>2</v>
      </c>
      <c r="BL65" s="22">
        <v>2</v>
      </c>
      <c r="BM65" s="22">
        <v>1</v>
      </c>
      <c r="BN65" s="22">
        <v>1</v>
      </c>
      <c r="BO65" s="22">
        <v>0</v>
      </c>
      <c r="BP65" s="22">
        <v>2</v>
      </c>
      <c r="BQ65" s="22">
        <v>2</v>
      </c>
      <c r="BR65" s="22">
        <v>1</v>
      </c>
      <c r="BS65" s="22">
        <v>0</v>
      </c>
      <c r="BT65" s="22">
        <v>0</v>
      </c>
      <c r="BU65" s="22">
        <v>0</v>
      </c>
      <c r="BV65" s="23">
        <f t="shared" si="6"/>
        <v>10</v>
      </c>
    </row>
    <row r="66" spans="1:74">
      <c r="A66" s="22">
        <f t="shared" si="3"/>
        <v>63</v>
      </c>
      <c r="B66" s="22">
        <v>2</v>
      </c>
      <c r="C66" s="22" t="s">
        <v>323</v>
      </c>
      <c r="D66" s="28">
        <v>44070</v>
      </c>
      <c r="E66" s="22" t="s">
        <v>324</v>
      </c>
      <c r="F66" s="9">
        <v>28.3767185521</v>
      </c>
      <c r="G66" s="9">
        <v>59.8221534043</v>
      </c>
      <c r="H66" s="29">
        <f t="shared" si="0"/>
        <v>28</v>
      </c>
      <c r="I66" s="35">
        <v>22.587</v>
      </c>
      <c r="J66" s="29">
        <f t="shared" si="1"/>
        <v>59</v>
      </c>
      <c r="K66" s="35">
        <v>49.314</v>
      </c>
      <c r="L66" s="22">
        <v>4.7</v>
      </c>
      <c r="M66" s="22">
        <v>2</v>
      </c>
      <c r="O66" s="22">
        <v>17.7</v>
      </c>
      <c r="R66" s="22">
        <v>2.33</v>
      </c>
      <c r="T66" s="22">
        <v>8.34</v>
      </c>
      <c r="Y66" s="22">
        <v>163</v>
      </c>
      <c r="AC66" s="22" t="s">
        <v>325</v>
      </c>
      <c r="AG66" s="22" t="s">
        <v>311</v>
      </c>
      <c r="AH66" s="22" t="s">
        <v>326</v>
      </c>
      <c r="AK66" s="22" t="s">
        <v>122</v>
      </c>
      <c r="AL66" s="22" t="s">
        <v>306</v>
      </c>
      <c r="AN66" s="23">
        <v>3</v>
      </c>
      <c r="AO66" s="22">
        <v>1</v>
      </c>
      <c r="AP66" s="23">
        <v>1</v>
      </c>
      <c r="AQ66" s="23">
        <v>1</v>
      </c>
      <c r="AR66" s="23">
        <v>0</v>
      </c>
      <c r="AS66" s="23">
        <v>0</v>
      </c>
      <c r="AT66" s="22">
        <v>0</v>
      </c>
      <c r="AU66" s="22">
        <v>0</v>
      </c>
      <c r="AV66" s="23">
        <v>0</v>
      </c>
      <c r="AW66" s="22">
        <v>0</v>
      </c>
      <c r="AX66" s="23">
        <v>0</v>
      </c>
      <c r="AY66" s="23">
        <v>0</v>
      </c>
      <c r="AZ66" s="22">
        <v>0</v>
      </c>
      <c r="BA66" s="22">
        <v>0</v>
      </c>
      <c r="BB66" s="23">
        <v>0</v>
      </c>
      <c r="BC66" s="23">
        <v>0</v>
      </c>
      <c r="BD66" s="22">
        <v>0</v>
      </c>
      <c r="BE66" s="22">
        <v>0</v>
      </c>
      <c r="BF66" s="22">
        <v>0</v>
      </c>
      <c r="BG66" s="23">
        <v>0</v>
      </c>
      <c r="BH66" s="22">
        <v>0</v>
      </c>
      <c r="BI66" s="22">
        <v>0</v>
      </c>
      <c r="BJ66" s="22">
        <v>4</v>
      </c>
      <c r="BK66" s="22">
        <v>3</v>
      </c>
      <c r="BL66" s="22">
        <v>2</v>
      </c>
      <c r="BM66" s="22">
        <v>2</v>
      </c>
      <c r="BN66" s="22">
        <v>1</v>
      </c>
      <c r="BO66" s="22">
        <v>1</v>
      </c>
      <c r="BP66" s="22">
        <v>1</v>
      </c>
      <c r="BQ66" s="22">
        <v>1</v>
      </c>
      <c r="BR66" s="22">
        <v>1</v>
      </c>
      <c r="BS66" s="22">
        <v>0</v>
      </c>
      <c r="BT66" s="22">
        <v>0</v>
      </c>
      <c r="BU66" s="22">
        <v>0</v>
      </c>
      <c r="BV66" s="23">
        <f t="shared" si="6"/>
        <v>14</v>
      </c>
    </row>
    <row r="67" spans="1:74">
      <c r="A67" s="22">
        <f t="shared" si="3"/>
        <v>64</v>
      </c>
      <c r="B67" s="22">
        <v>2</v>
      </c>
      <c r="C67" s="22" t="s">
        <v>327</v>
      </c>
      <c r="D67" s="28">
        <v>44089</v>
      </c>
      <c r="F67" s="15">
        <v>28.3354333511</v>
      </c>
      <c r="G67" s="15">
        <v>59.8222818077</v>
      </c>
      <c r="H67" s="22">
        <f t="shared" si="0"/>
        <v>28</v>
      </c>
      <c r="I67" s="31">
        <v>20.145</v>
      </c>
      <c r="J67" s="22">
        <f t="shared" si="1"/>
        <v>59</v>
      </c>
      <c r="K67" s="31">
        <v>49.325</v>
      </c>
      <c r="L67" s="22">
        <v>19</v>
      </c>
      <c r="M67" s="22">
        <v>2.8</v>
      </c>
      <c r="O67" s="22">
        <v>14.3</v>
      </c>
      <c r="R67" s="22">
        <v>3.05</v>
      </c>
      <c r="T67" s="22">
        <v>8.4</v>
      </c>
      <c r="AC67" s="22" t="s">
        <v>328</v>
      </c>
      <c r="AG67" s="22" t="s">
        <v>209</v>
      </c>
      <c r="AK67" s="22" t="s">
        <v>122</v>
      </c>
      <c r="AL67" s="22" t="s">
        <v>122</v>
      </c>
      <c r="AN67" s="23">
        <v>0</v>
      </c>
      <c r="AO67" s="22">
        <v>0</v>
      </c>
      <c r="AP67" s="23">
        <v>0</v>
      </c>
      <c r="AQ67" s="23">
        <v>0</v>
      </c>
      <c r="AR67" s="23">
        <v>0</v>
      </c>
      <c r="AS67" s="23">
        <v>0</v>
      </c>
      <c r="AT67" s="22">
        <v>0</v>
      </c>
      <c r="AU67" s="22">
        <v>0</v>
      </c>
      <c r="AV67" s="23">
        <v>0</v>
      </c>
      <c r="AW67" s="22">
        <v>0</v>
      </c>
      <c r="AX67" s="23">
        <v>3</v>
      </c>
      <c r="AY67" s="23">
        <v>0</v>
      </c>
      <c r="AZ67" s="22">
        <v>0</v>
      </c>
      <c r="BA67" s="22">
        <v>0</v>
      </c>
      <c r="BB67" s="23">
        <v>0</v>
      </c>
      <c r="BC67" s="23">
        <v>0</v>
      </c>
      <c r="BD67" s="22">
        <v>0</v>
      </c>
      <c r="BE67" s="22">
        <v>0</v>
      </c>
      <c r="BF67" s="22">
        <v>0</v>
      </c>
      <c r="BG67" s="23">
        <v>0</v>
      </c>
      <c r="BH67" s="22">
        <v>0</v>
      </c>
      <c r="BI67" s="22">
        <v>0</v>
      </c>
      <c r="BJ67" s="22">
        <v>1</v>
      </c>
      <c r="BK67" s="22">
        <v>3</v>
      </c>
      <c r="BL67" s="22">
        <v>3</v>
      </c>
      <c r="BM67" s="22">
        <v>1</v>
      </c>
      <c r="BN67" s="22">
        <v>0</v>
      </c>
      <c r="BO67" s="22">
        <v>0</v>
      </c>
      <c r="BP67" s="22">
        <v>4</v>
      </c>
      <c r="BQ67" s="22">
        <v>3</v>
      </c>
      <c r="BR67" s="22">
        <v>1</v>
      </c>
      <c r="BS67" s="22">
        <v>0</v>
      </c>
      <c r="BT67" s="22">
        <v>0</v>
      </c>
      <c r="BU67" s="22">
        <v>0</v>
      </c>
      <c r="BV67" s="23">
        <f t="shared" si="6"/>
        <v>14</v>
      </c>
    </row>
    <row r="68" spans="1:74">
      <c r="A68" s="22">
        <f t="shared" si="3"/>
        <v>65</v>
      </c>
      <c r="B68" s="22">
        <v>2</v>
      </c>
      <c r="C68" s="22" t="s">
        <v>329</v>
      </c>
      <c r="D68" s="28">
        <v>44089</v>
      </c>
      <c r="F68" s="15">
        <v>28.2806430004</v>
      </c>
      <c r="G68" s="15">
        <v>59.8240144470999</v>
      </c>
      <c r="H68" s="22">
        <f t="shared" si="0"/>
        <v>28</v>
      </c>
      <c r="I68" s="31">
        <v>16.85</v>
      </c>
      <c r="J68" s="22">
        <f t="shared" si="1"/>
        <v>59</v>
      </c>
      <c r="K68" s="31">
        <v>49.437</v>
      </c>
      <c r="L68" s="22">
        <v>24.5</v>
      </c>
      <c r="M68" s="22">
        <v>2.7</v>
      </c>
      <c r="O68" s="22">
        <v>14.2</v>
      </c>
      <c r="R68" s="22">
        <v>3.06</v>
      </c>
      <c r="T68" s="22">
        <v>8.43</v>
      </c>
      <c r="AC68" s="22" t="s">
        <v>330</v>
      </c>
      <c r="AD68" s="22" t="s">
        <v>331</v>
      </c>
      <c r="AG68" s="22" t="s">
        <v>209</v>
      </c>
      <c r="AK68" s="22" t="s">
        <v>122</v>
      </c>
      <c r="AL68" s="22" t="s">
        <v>122</v>
      </c>
      <c r="AN68" s="23">
        <v>0</v>
      </c>
      <c r="AO68" s="22">
        <v>0</v>
      </c>
      <c r="AP68" s="23">
        <v>0</v>
      </c>
      <c r="AQ68" s="23">
        <v>0</v>
      </c>
      <c r="AR68" s="23">
        <v>0</v>
      </c>
      <c r="AS68" s="23">
        <v>0</v>
      </c>
      <c r="AT68" s="22">
        <v>0</v>
      </c>
      <c r="AU68" s="22">
        <v>0</v>
      </c>
      <c r="AV68" s="23">
        <v>0</v>
      </c>
      <c r="AW68" s="22">
        <v>0</v>
      </c>
      <c r="AX68" s="23">
        <v>3</v>
      </c>
      <c r="AY68" s="23">
        <v>0</v>
      </c>
      <c r="AZ68" s="22">
        <v>0</v>
      </c>
      <c r="BA68" s="22">
        <v>0</v>
      </c>
      <c r="BB68" s="23">
        <v>0</v>
      </c>
      <c r="BC68" s="23">
        <v>0</v>
      </c>
      <c r="BD68" s="22">
        <v>0</v>
      </c>
      <c r="BE68" s="22">
        <v>0</v>
      </c>
      <c r="BF68" s="22">
        <v>0</v>
      </c>
      <c r="BG68" s="23">
        <v>0</v>
      </c>
      <c r="BH68" s="22">
        <v>0</v>
      </c>
      <c r="BI68" s="22">
        <v>0</v>
      </c>
      <c r="BJ68" s="22">
        <v>1</v>
      </c>
      <c r="BK68" s="22">
        <v>3</v>
      </c>
      <c r="BL68" s="22">
        <v>3</v>
      </c>
      <c r="BM68" s="22">
        <v>1</v>
      </c>
      <c r="BN68" s="22">
        <v>0</v>
      </c>
      <c r="BO68" s="22">
        <v>0</v>
      </c>
      <c r="BP68" s="22">
        <v>2</v>
      </c>
      <c r="BQ68" s="22">
        <v>3</v>
      </c>
      <c r="BR68" s="22">
        <v>1</v>
      </c>
      <c r="BS68" s="22">
        <v>0</v>
      </c>
      <c r="BT68" s="22">
        <v>0</v>
      </c>
      <c r="BU68" s="22">
        <v>0</v>
      </c>
      <c r="BV68" s="23">
        <f t="shared" si="6"/>
        <v>12</v>
      </c>
    </row>
    <row r="69" spans="1:74">
      <c r="A69" s="22">
        <f t="shared" si="3"/>
        <v>66</v>
      </c>
      <c r="B69" s="22">
        <v>2</v>
      </c>
      <c r="C69" s="22" t="s">
        <v>332</v>
      </c>
      <c r="D69" s="28">
        <v>44071</v>
      </c>
      <c r="E69" s="22" t="s">
        <v>124</v>
      </c>
      <c r="F69" s="9">
        <v>28.3303230713</v>
      </c>
      <c r="G69" s="9">
        <v>59.6955090047</v>
      </c>
      <c r="H69" s="29">
        <f t="shared" si="0"/>
        <v>28</v>
      </c>
      <c r="I69" s="9">
        <f t="shared" si="4"/>
        <v>19.819384278</v>
      </c>
      <c r="J69" s="29">
        <f t="shared" si="1"/>
        <v>59</v>
      </c>
      <c r="K69" s="9">
        <f t="shared" si="5"/>
        <v>41.730540282</v>
      </c>
      <c r="L69" s="22">
        <v>8.3</v>
      </c>
      <c r="M69" s="22">
        <v>1.8</v>
      </c>
      <c r="O69" s="22">
        <v>17</v>
      </c>
      <c r="R69" s="22">
        <v>2.61</v>
      </c>
      <c r="T69" s="22">
        <v>8.41</v>
      </c>
      <c r="Y69" s="22">
        <v>191</v>
      </c>
      <c r="AE69" s="22" t="s">
        <v>122</v>
      </c>
      <c r="AF69" s="22" t="s">
        <v>225</v>
      </c>
      <c r="AG69" s="22" t="s">
        <v>209</v>
      </c>
      <c r="AK69" s="22" t="s">
        <v>122</v>
      </c>
      <c r="AL69" s="22" t="s">
        <v>122</v>
      </c>
      <c r="AN69" s="23">
        <v>0</v>
      </c>
      <c r="AO69" s="22">
        <v>0</v>
      </c>
      <c r="AP69" s="23">
        <v>0</v>
      </c>
      <c r="AQ69" s="23">
        <v>0</v>
      </c>
      <c r="AR69" s="23">
        <v>0</v>
      </c>
      <c r="AS69" s="23">
        <v>0</v>
      </c>
      <c r="AT69" s="22">
        <v>0</v>
      </c>
      <c r="AU69" s="22">
        <v>0</v>
      </c>
      <c r="AV69" s="23">
        <v>0</v>
      </c>
      <c r="AW69" s="22">
        <v>0</v>
      </c>
      <c r="AX69" s="23">
        <v>7</v>
      </c>
      <c r="AY69" s="23">
        <v>0</v>
      </c>
      <c r="AZ69" s="22">
        <v>0</v>
      </c>
      <c r="BA69" s="22">
        <v>0</v>
      </c>
      <c r="BB69" s="23">
        <v>0</v>
      </c>
      <c r="BC69" s="23">
        <v>0</v>
      </c>
      <c r="BD69" s="22">
        <v>0</v>
      </c>
      <c r="BE69" s="22">
        <v>0</v>
      </c>
      <c r="BF69" s="22">
        <v>0</v>
      </c>
      <c r="BG69" s="23">
        <v>0</v>
      </c>
      <c r="BH69" s="22">
        <v>0</v>
      </c>
      <c r="BI69" s="22">
        <v>0</v>
      </c>
      <c r="BJ69" s="22">
        <v>1</v>
      </c>
      <c r="BK69" s="22">
        <v>5</v>
      </c>
      <c r="BL69" s="22">
        <v>2</v>
      </c>
      <c r="BM69" s="22">
        <v>1</v>
      </c>
      <c r="BN69" s="22">
        <v>1</v>
      </c>
      <c r="BO69" s="22">
        <v>0</v>
      </c>
      <c r="BP69" s="22">
        <v>4</v>
      </c>
      <c r="BQ69" s="22">
        <v>4</v>
      </c>
      <c r="BR69" s="22">
        <v>1</v>
      </c>
      <c r="BS69" s="22">
        <v>0</v>
      </c>
      <c r="BT69" s="22">
        <v>1</v>
      </c>
      <c r="BU69" s="22">
        <v>0</v>
      </c>
      <c r="BV69" s="23">
        <f t="shared" si="6"/>
        <v>16</v>
      </c>
    </row>
    <row r="70" spans="1:74">
      <c r="A70" s="22">
        <f t="shared" ref="A70:A137" si="7">A69+1</f>
        <v>67</v>
      </c>
      <c r="B70" s="22">
        <v>2</v>
      </c>
      <c r="C70" s="22" t="s">
        <v>333</v>
      </c>
      <c r="D70" s="28">
        <v>44089</v>
      </c>
      <c r="F70" s="15">
        <v>28.2511037501</v>
      </c>
      <c r="G70" s="15">
        <v>59.8228134996</v>
      </c>
      <c r="H70" s="22">
        <f t="shared" ref="H70:H140" si="8">FLOOR(F70,1)</f>
        <v>28</v>
      </c>
      <c r="I70" s="31">
        <v>15.082</v>
      </c>
      <c r="J70" s="22">
        <f t="shared" ref="J70:J140" si="9">FLOOR(G70,1)</f>
        <v>59</v>
      </c>
      <c r="K70" s="31">
        <v>49.37</v>
      </c>
      <c r="L70" s="22">
        <v>20.5</v>
      </c>
      <c r="M70" s="22">
        <v>2.7</v>
      </c>
      <c r="O70" s="22">
        <v>14.3</v>
      </c>
      <c r="R70" s="22">
        <v>3.04</v>
      </c>
      <c r="T70" s="22">
        <v>8</v>
      </c>
      <c r="AC70" s="22" t="s">
        <v>334</v>
      </c>
      <c r="AD70" s="22" t="s">
        <v>335</v>
      </c>
      <c r="AG70" s="22" t="s">
        <v>209</v>
      </c>
      <c r="AK70" s="22" t="s">
        <v>122</v>
      </c>
      <c r="AL70" s="22" t="s">
        <v>122</v>
      </c>
      <c r="AN70" s="23">
        <v>0</v>
      </c>
      <c r="AO70" s="22">
        <v>0</v>
      </c>
      <c r="AP70" s="23">
        <v>0</v>
      </c>
      <c r="AQ70" s="23">
        <v>0</v>
      </c>
      <c r="AR70" s="23">
        <v>0</v>
      </c>
      <c r="AS70" s="23">
        <v>0</v>
      </c>
      <c r="AT70" s="22">
        <v>0</v>
      </c>
      <c r="AU70" s="22">
        <v>0</v>
      </c>
      <c r="AV70" s="23">
        <v>0</v>
      </c>
      <c r="AW70" s="22">
        <v>0</v>
      </c>
      <c r="AX70" s="23">
        <v>8</v>
      </c>
      <c r="AY70" s="23">
        <v>0</v>
      </c>
      <c r="AZ70" s="22">
        <v>0</v>
      </c>
      <c r="BA70" s="22">
        <v>0</v>
      </c>
      <c r="BB70" s="23">
        <v>0</v>
      </c>
      <c r="BC70" s="23">
        <v>0</v>
      </c>
      <c r="BD70" s="22">
        <v>0</v>
      </c>
      <c r="BE70" s="22">
        <v>0</v>
      </c>
      <c r="BF70" s="22">
        <v>0</v>
      </c>
      <c r="BG70" s="23">
        <v>0</v>
      </c>
      <c r="BH70" s="22">
        <v>0</v>
      </c>
      <c r="BI70" s="22">
        <v>0</v>
      </c>
      <c r="BJ70" s="22">
        <v>1</v>
      </c>
      <c r="BK70" s="22">
        <v>5</v>
      </c>
      <c r="BL70" s="22">
        <v>3</v>
      </c>
      <c r="BM70" s="22">
        <v>2</v>
      </c>
      <c r="BN70" s="22">
        <v>0</v>
      </c>
      <c r="BO70" s="22">
        <v>0</v>
      </c>
      <c r="BP70" s="22">
        <v>1</v>
      </c>
      <c r="BQ70" s="22">
        <v>4</v>
      </c>
      <c r="BR70" s="22">
        <v>2</v>
      </c>
      <c r="BS70" s="22">
        <v>0</v>
      </c>
      <c r="BT70" s="22">
        <v>0</v>
      </c>
      <c r="BU70" s="22">
        <v>0</v>
      </c>
      <c r="BV70" s="23">
        <f t="shared" si="6"/>
        <v>14</v>
      </c>
    </row>
    <row r="71" spans="1:74">
      <c r="A71" s="22">
        <f t="shared" si="7"/>
        <v>68</v>
      </c>
      <c r="B71" s="22">
        <v>2</v>
      </c>
      <c r="C71" s="22" t="s">
        <v>336</v>
      </c>
      <c r="D71" s="28">
        <v>44089</v>
      </c>
      <c r="E71" s="22" t="s">
        <v>124</v>
      </c>
      <c r="F71" s="15">
        <v>28.2189491273999</v>
      </c>
      <c r="G71" s="15">
        <v>59.8620154182999</v>
      </c>
      <c r="H71" s="22">
        <f t="shared" si="8"/>
        <v>28</v>
      </c>
      <c r="I71" s="31">
        <v>13.129</v>
      </c>
      <c r="J71" s="22">
        <f t="shared" si="9"/>
        <v>59</v>
      </c>
      <c r="K71" s="31">
        <v>51.723</v>
      </c>
      <c r="L71" s="22">
        <v>24</v>
      </c>
      <c r="M71" s="22">
        <v>2.7</v>
      </c>
      <c r="O71" s="22">
        <v>14.3</v>
      </c>
      <c r="R71" s="22">
        <v>3.16</v>
      </c>
      <c r="T71" s="22">
        <v>8.56</v>
      </c>
      <c r="AC71" s="22" t="s">
        <v>337</v>
      </c>
      <c r="AD71" s="22" t="s">
        <v>338</v>
      </c>
      <c r="AG71" s="22" t="s">
        <v>209</v>
      </c>
      <c r="AK71" s="22" t="s">
        <v>122</v>
      </c>
      <c r="AL71" s="22" t="s">
        <v>122</v>
      </c>
      <c r="AN71" s="23">
        <v>0</v>
      </c>
      <c r="AO71" s="22">
        <v>0</v>
      </c>
      <c r="AP71" s="23">
        <v>0</v>
      </c>
      <c r="AQ71" s="23">
        <v>0</v>
      </c>
      <c r="AR71" s="23">
        <v>0</v>
      </c>
      <c r="AS71" s="23">
        <v>0</v>
      </c>
      <c r="AT71" s="22">
        <v>0</v>
      </c>
      <c r="AU71" s="22">
        <v>0</v>
      </c>
      <c r="AV71" s="23">
        <v>0</v>
      </c>
      <c r="AW71" s="22">
        <v>0</v>
      </c>
      <c r="AX71" s="23">
        <v>6</v>
      </c>
      <c r="AY71" s="23">
        <v>0</v>
      </c>
      <c r="AZ71" s="22">
        <v>0</v>
      </c>
      <c r="BA71" s="22">
        <v>0</v>
      </c>
      <c r="BB71" s="23">
        <v>0</v>
      </c>
      <c r="BC71" s="23">
        <v>0</v>
      </c>
      <c r="BD71" s="22">
        <v>0</v>
      </c>
      <c r="BE71" s="22">
        <v>0</v>
      </c>
      <c r="BF71" s="22">
        <v>0</v>
      </c>
      <c r="BG71" s="23">
        <v>0</v>
      </c>
      <c r="BH71" s="22">
        <v>0</v>
      </c>
      <c r="BI71" s="22">
        <v>0</v>
      </c>
      <c r="BJ71" s="22">
        <v>1</v>
      </c>
      <c r="BK71" s="22">
        <v>4</v>
      </c>
      <c r="BL71" s="22">
        <v>3</v>
      </c>
      <c r="BM71" s="22">
        <v>2</v>
      </c>
      <c r="BN71" s="22">
        <v>0</v>
      </c>
      <c r="BO71" s="22">
        <v>0</v>
      </c>
      <c r="BP71" s="22">
        <v>2</v>
      </c>
      <c r="BQ71" s="22">
        <v>2</v>
      </c>
      <c r="BR71" s="22">
        <v>2</v>
      </c>
      <c r="BS71" s="22">
        <v>0</v>
      </c>
      <c r="BT71" s="22">
        <v>0</v>
      </c>
      <c r="BU71" s="22">
        <v>0</v>
      </c>
      <c r="BV71" s="23">
        <f t="shared" si="6"/>
        <v>12</v>
      </c>
    </row>
    <row r="72" spans="1:74">
      <c r="A72" s="22">
        <f t="shared" si="7"/>
        <v>69</v>
      </c>
      <c r="B72" s="22">
        <v>2</v>
      </c>
      <c r="C72" s="22" t="s">
        <v>339</v>
      </c>
      <c r="D72" s="28">
        <v>44089</v>
      </c>
      <c r="F72" s="15">
        <v>28.264206373</v>
      </c>
      <c r="G72" s="15">
        <v>59.8594502969</v>
      </c>
      <c r="H72" s="22">
        <f t="shared" si="8"/>
        <v>28</v>
      </c>
      <c r="I72" s="31">
        <v>15.881</v>
      </c>
      <c r="J72" s="22">
        <f t="shared" si="9"/>
        <v>59</v>
      </c>
      <c r="K72" s="31">
        <v>51.564</v>
      </c>
      <c r="L72" s="22">
        <v>26</v>
      </c>
      <c r="M72" s="22">
        <v>2.8</v>
      </c>
      <c r="O72" s="22">
        <v>14.5</v>
      </c>
      <c r="R72" s="22">
        <v>3.13</v>
      </c>
      <c r="T72" s="22">
        <v>8.25</v>
      </c>
      <c r="AC72" s="22" t="s">
        <v>340</v>
      </c>
      <c r="AG72" s="22" t="s">
        <v>209</v>
      </c>
      <c r="AK72" s="22" t="s">
        <v>122</v>
      </c>
      <c r="AN72" s="23">
        <v>0</v>
      </c>
      <c r="AO72" s="22">
        <v>0</v>
      </c>
      <c r="AP72" s="23">
        <v>0</v>
      </c>
      <c r="AQ72" s="23">
        <v>0</v>
      </c>
      <c r="AR72" s="23">
        <v>0</v>
      </c>
      <c r="AS72" s="23">
        <v>0</v>
      </c>
      <c r="AT72" s="22">
        <v>0</v>
      </c>
      <c r="AU72" s="22">
        <v>0</v>
      </c>
      <c r="AV72" s="23">
        <v>0</v>
      </c>
      <c r="AW72" s="22">
        <v>0</v>
      </c>
      <c r="AX72" s="23">
        <v>3</v>
      </c>
      <c r="AY72" s="23">
        <v>0</v>
      </c>
      <c r="AZ72" s="22">
        <v>0</v>
      </c>
      <c r="BA72" s="22">
        <v>0</v>
      </c>
      <c r="BB72" s="23">
        <v>0</v>
      </c>
      <c r="BC72" s="23">
        <v>0</v>
      </c>
      <c r="BD72" s="22">
        <v>0</v>
      </c>
      <c r="BE72" s="22">
        <v>0</v>
      </c>
      <c r="BF72" s="22">
        <v>0</v>
      </c>
      <c r="BG72" s="23">
        <v>0</v>
      </c>
      <c r="BH72" s="22">
        <v>0</v>
      </c>
      <c r="BI72" s="22">
        <v>0</v>
      </c>
      <c r="BJ72" s="22">
        <v>1</v>
      </c>
      <c r="BK72" s="22">
        <v>2</v>
      </c>
      <c r="BL72" s="22">
        <v>3</v>
      </c>
      <c r="BM72" s="22">
        <v>1</v>
      </c>
      <c r="BN72" s="22">
        <v>0</v>
      </c>
      <c r="BO72" s="22">
        <v>0</v>
      </c>
      <c r="BP72" s="22">
        <v>2</v>
      </c>
      <c r="BQ72" s="22">
        <v>2</v>
      </c>
      <c r="BR72" s="22">
        <v>2</v>
      </c>
      <c r="BS72" s="22">
        <v>0</v>
      </c>
      <c r="BT72" s="22">
        <v>0</v>
      </c>
      <c r="BU72" s="22">
        <v>0</v>
      </c>
      <c r="BV72" s="23">
        <f t="shared" si="6"/>
        <v>9</v>
      </c>
    </row>
    <row r="73" spans="1:74">
      <c r="A73" s="22">
        <f t="shared" si="7"/>
        <v>70</v>
      </c>
      <c r="B73" s="22">
        <v>2</v>
      </c>
      <c r="C73" s="22" t="s">
        <v>341</v>
      </c>
      <c r="D73" s="28">
        <v>44089</v>
      </c>
      <c r="E73" s="22" t="s">
        <v>124</v>
      </c>
      <c r="F73" s="15">
        <v>28.3307618414</v>
      </c>
      <c r="G73" s="15">
        <v>59.8580817612999</v>
      </c>
      <c r="H73" s="22">
        <f t="shared" si="8"/>
        <v>28</v>
      </c>
      <c r="I73" s="31">
        <v>19.877</v>
      </c>
      <c r="J73" s="22">
        <f t="shared" si="9"/>
        <v>59</v>
      </c>
      <c r="K73" s="31">
        <v>51.488</v>
      </c>
      <c r="L73" s="22">
        <v>16</v>
      </c>
      <c r="M73" s="22">
        <v>2.8</v>
      </c>
      <c r="O73" s="22">
        <v>14.3</v>
      </c>
      <c r="R73" s="22">
        <v>3.12</v>
      </c>
      <c r="T73" s="22">
        <v>8.21</v>
      </c>
      <c r="AC73" s="22" t="s">
        <v>342</v>
      </c>
      <c r="AG73" s="22" t="s">
        <v>209</v>
      </c>
      <c r="AK73" s="22" t="s">
        <v>343</v>
      </c>
      <c r="AL73" s="22" t="s">
        <v>122</v>
      </c>
      <c r="AN73" s="23">
        <v>0</v>
      </c>
      <c r="AO73" s="22">
        <v>0</v>
      </c>
      <c r="AP73" s="23">
        <v>0</v>
      </c>
      <c r="AQ73" s="23">
        <v>0</v>
      </c>
      <c r="AR73" s="23">
        <v>0</v>
      </c>
      <c r="AS73" s="23">
        <v>0</v>
      </c>
      <c r="AT73" s="22">
        <v>0</v>
      </c>
      <c r="AU73" s="22">
        <v>0</v>
      </c>
      <c r="AV73" s="23">
        <v>0</v>
      </c>
      <c r="AW73" s="22">
        <v>0</v>
      </c>
      <c r="AX73" s="23">
        <v>4</v>
      </c>
      <c r="AY73" s="23">
        <v>0</v>
      </c>
      <c r="AZ73" s="22">
        <v>0</v>
      </c>
      <c r="BA73" s="22">
        <v>0</v>
      </c>
      <c r="BB73" s="23">
        <v>0</v>
      </c>
      <c r="BC73" s="23">
        <v>0</v>
      </c>
      <c r="BD73" s="22">
        <v>0</v>
      </c>
      <c r="BE73" s="22">
        <v>0</v>
      </c>
      <c r="BF73" s="22">
        <v>0</v>
      </c>
      <c r="BG73" s="23">
        <v>0</v>
      </c>
      <c r="BH73" s="22">
        <v>0</v>
      </c>
      <c r="BI73" s="22">
        <v>0</v>
      </c>
      <c r="BJ73" s="22">
        <v>1</v>
      </c>
      <c r="BK73" s="22">
        <v>2</v>
      </c>
      <c r="BL73" s="22">
        <v>3</v>
      </c>
      <c r="BM73" s="22">
        <v>2</v>
      </c>
      <c r="BN73" s="22">
        <v>0</v>
      </c>
      <c r="BO73" s="22">
        <v>0</v>
      </c>
      <c r="BP73" s="22">
        <v>2</v>
      </c>
      <c r="BQ73" s="22">
        <v>1</v>
      </c>
      <c r="BR73" s="22">
        <v>2</v>
      </c>
      <c r="BS73" s="22">
        <v>0</v>
      </c>
      <c r="BT73" s="22">
        <v>0</v>
      </c>
      <c r="BU73" s="22">
        <v>0</v>
      </c>
      <c r="BV73" s="23">
        <f t="shared" si="6"/>
        <v>9</v>
      </c>
    </row>
    <row r="74" spans="1:74">
      <c r="A74" s="22">
        <f t="shared" si="7"/>
        <v>71</v>
      </c>
      <c r="B74" s="22">
        <v>2</v>
      </c>
      <c r="C74" s="22" t="s">
        <v>344</v>
      </c>
      <c r="D74" s="28">
        <v>44070</v>
      </c>
      <c r="E74" s="22" t="s">
        <v>345</v>
      </c>
      <c r="F74" s="9">
        <v>28.3591132546999</v>
      </c>
      <c r="G74" s="9">
        <v>59.8582674514999</v>
      </c>
      <c r="H74" s="29">
        <f t="shared" si="8"/>
        <v>28</v>
      </c>
      <c r="I74" s="35">
        <v>21.503</v>
      </c>
      <c r="J74" s="29">
        <f t="shared" si="9"/>
        <v>59</v>
      </c>
      <c r="K74" s="35">
        <v>51.492</v>
      </c>
      <c r="L74" s="22">
        <v>5.2</v>
      </c>
      <c r="M74" s="22">
        <v>1.9</v>
      </c>
      <c r="O74" s="22">
        <v>17.4</v>
      </c>
      <c r="R74" s="22">
        <v>2.32</v>
      </c>
      <c r="T74" s="22">
        <v>8.42</v>
      </c>
      <c r="Y74" s="22">
        <v>170</v>
      </c>
      <c r="AC74" s="22" t="s">
        <v>346</v>
      </c>
      <c r="AD74" s="22" t="s">
        <v>347</v>
      </c>
      <c r="AG74" s="22" t="s">
        <v>311</v>
      </c>
      <c r="AK74" s="22" t="s">
        <v>122</v>
      </c>
      <c r="AL74" s="22" t="s">
        <v>122</v>
      </c>
      <c r="AN74" s="23">
        <v>0</v>
      </c>
      <c r="AO74" s="22">
        <v>0</v>
      </c>
      <c r="AP74" s="23">
        <v>0</v>
      </c>
      <c r="AQ74" s="23">
        <v>0</v>
      </c>
      <c r="AR74" s="23">
        <v>0</v>
      </c>
      <c r="AS74" s="23">
        <v>0</v>
      </c>
      <c r="AT74" s="22">
        <v>0</v>
      </c>
      <c r="AU74" s="22">
        <v>0</v>
      </c>
      <c r="AV74" s="23">
        <v>0</v>
      </c>
      <c r="AW74" s="22">
        <v>0</v>
      </c>
      <c r="AX74" s="23">
        <v>0</v>
      </c>
      <c r="AY74" s="23">
        <v>0</v>
      </c>
      <c r="AZ74" s="22">
        <v>0</v>
      </c>
      <c r="BA74" s="22">
        <v>0</v>
      </c>
      <c r="BB74" s="23">
        <v>0</v>
      </c>
      <c r="BC74" s="23">
        <v>0</v>
      </c>
      <c r="BD74" s="22">
        <v>0</v>
      </c>
      <c r="BE74" s="22">
        <v>0</v>
      </c>
      <c r="BF74" s="22">
        <v>0</v>
      </c>
      <c r="BG74" s="23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2</v>
      </c>
      <c r="BM74" s="22">
        <v>1</v>
      </c>
      <c r="BN74" s="22">
        <v>1</v>
      </c>
      <c r="BO74" s="22">
        <v>1</v>
      </c>
      <c r="BP74" s="22">
        <v>2</v>
      </c>
      <c r="BQ74" s="22">
        <v>2</v>
      </c>
      <c r="BR74" s="22">
        <v>2</v>
      </c>
      <c r="BS74" s="22">
        <v>0</v>
      </c>
      <c r="BT74" s="22">
        <v>0</v>
      </c>
      <c r="BU74" s="22">
        <v>0</v>
      </c>
      <c r="BV74" s="23">
        <f t="shared" si="6"/>
        <v>7</v>
      </c>
    </row>
    <row r="75" spans="1:31">
      <c r="A75" s="22">
        <f t="shared" si="7"/>
        <v>72</v>
      </c>
      <c r="B75" s="22">
        <v>2</v>
      </c>
      <c r="C75" s="22" t="s">
        <v>348</v>
      </c>
      <c r="D75" s="28">
        <v>44070</v>
      </c>
      <c r="F75" s="9">
        <v>28.3874352238999</v>
      </c>
      <c r="G75" s="9">
        <v>59.8577345006</v>
      </c>
      <c r="H75" s="29">
        <f t="shared" si="8"/>
        <v>28</v>
      </c>
      <c r="I75" s="35">
        <v>23.23</v>
      </c>
      <c r="J75" s="29">
        <f t="shared" si="9"/>
        <v>59</v>
      </c>
      <c r="K75" s="35">
        <v>51.471</v>
      </c>
      <c r="L75" s="22">
        <v>18</v>
      </c>
      <c r="M75" s="22">
        <v>2</v>
      </c>
      <c r="O75" s="22">
        <v>17.3</v>
      </c>
      <c r="P75" s="22">
        <v>17.9</v>
      </c>
      <c r="R75" s="22">
        <v>2.21</v>
      </c>
      <c r="S75" s="22">
        <v>2.26</v>
      </c>
      <c r="T75" s="22">
        <v>8.43</v>
      </c>
      <c r="U75" s="22">
        <v>8.46</v>
      </c>
      <c r="Y75" s="22">
        <v>163</v>
      </c>
      <c r="Z75" s="22">
        <v>161</v>
      </c>
      <c r="AC75" s="22" t="s">
        <v>349</v>
      </c>
      <c r="AE75" s="22" t="s">
        <v>350</v>
      </c>
    </row>
    <row r="76" spans="1:74">
      <c r="A76" s="22">
        <f t="shared" si="7"/>
        <v>73</v>
      </c>
      <c r="B76" s="22">
        <v>2</v>
      </c>
      <c r="C76" s="22" t="s">
        <v>351</v>
      </c>
      <c r="D76" s="28">
        <v>44070</v>
      </c>
      <c r="E76" s="22" t="s">
        <v>352</v>
      </c>
      <c r="F76" s="48"/>
      <c r="G76" s="48"/>
      <c r="H76" s="49">
        <v>28</v>
      </c>
      <c r="I76" s="53">
        <v>22.256</v>
      </c>
      <c r="J76" s="49">
        <v>59</v>
      </c>
      <c r="K76" s="53">
        <v>51407</v>
      </c>
      <c r="L76" s="22">
        <v>13.5</v>
      </c>
      <c r="M76" s="22">
        <v>2.5</v>
      </c>
      <c r="O76" s="22">
        <v>17.7</v>
      </c>
      <c r="R76" s="22">
        <v>2.25</v>
      </c>
      <c r="T76" s="22">
        <v>8.43</v>
      </c>
      <c r="Y76" s="22">
        <v>161</v>
      </c>
      <c r="AC76" s="22" t="s">
        <v>353</v>
      </c>
      <c r="AG76" s="22" t="s">
        <v>209</v>
      </c>
      <c r="AK76" s="22" t="s">
        <v>122</v>
      </c>
      <c r="AN76" s="23">
        <v>0</v>
      </c>
      <c r="AO76" s="22">
        <v>0</v>
      </c>
      <c r="AP76" s="23">
        <v>0</v>
      </c>
      <c r="AQ76" s="23">
        <v>0</v>
      </c>
      <c r="AR76" s="23">
        <v>0</v>
      </c>
      <c r="AS76" s="23">
        <v>0</v>
      </c>
      <c r="AT76" s="22">
        <v>0</v>
      </c>
      <c r="AU76" s="22">
        <v>0</v>
      </c>
      <c r="AV76" s="23">
        <v>0</v>
      </c>
      <c r="AW76" s="22">
        <v>0</v>
      </c>
      <c r="AX76" s="23">
        <v>0</v>
      </c>
      <c r="AY76" s="23">
        <v>0</v>
      </c>
      <c r="AZ76" s="22">
        <v>0</v>
      </c>
      <c r="BA76" s="22">
        <v>0</v>
      </c>
      <c r="BB76" s="23">
        <v>0</v>
      </c>
      <c r="BC76" s="23">
        <v>0</v>
      </c>
      <c r="BD76" s="22">
        <v>0</v>
      </c>
      <c r="BE76" s="22">
        <v>0</v>
      </c>
      <c r="BF76" s="22">
        <v>0</v>
      </c>
      <c r="BG76" s="23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2</v>
      </c>
      <c r="BM76" s="22">
        <v>1</v>
      </c>
      <c r="BN76" s="22">
        <v>1</v>
      </c>
      <c r="BO76" s="22">
        <v>0</v>
      </c>
      <c r="BP76" s="22">
        <v>2</v>
      </c>
      <c r="BQ76" s="22">
        <v>2</v>
      </c>
      <c r="BR76" s="22">
        <v>2</v>
      </c>
      <c r="BS76" s="22">
        <v>0</v>
      </c>
      <c r="BT76" s="22">
        <v>0</v>
      </c>
      <c r="BU76" s="22">
        <v>0</v>
      </c>
      <c r="BV76" s="23">
        <f t="shared" si="6"/>
        <v>6</v>
      </c>
    </row>
    <row r="77" spans="1:74">
      <c r="A77" s="22">
        <f t="shared" si="7"/>
        <v>74</v>
      </c>
      <c r="B77" s="22">
        <v>2</v>
      </c>
      <c r="C77" s="22" t="s">
        <v>354</v>
      </c>
      <c r="D77" s="28">
        <v>44070</v>
      </c>
      <c r="E77" s="22" t="s">
        <v>355</v>
      </c>
      <c r="F77" s="9">
        <v>28.4134154643</v>
      </c>
      <c r="G77" s="9">
        <v>59.8576958415999</v>
      </c>
      <c r="H77" s="29">
        <f t="shared" si="8"/>
        <v>28</v>
      </c>
      <c r="I77" s="35">
        <v>24.753</v>
      </c>
      <c r="J77" s="29">
        <f t="shared" si="9"/>
        <v>59</v>
      </c>
      <c r="K77" s="35">
        <v>51.431</v>
      </c>
      <c r="L77" s="22">
        <v>25.7</v>
      </c>
      <c r="M77" s="22">
        <v>2.4</v>
      </c>
      <c r="O77" s="22">
        <v>17.4</v>
      </c>
      <c r="P77" s="22">
        <v>14.5</v>
      </c>
      <c r="Q77" s="22">
        <v>9.5</v>
      </c>
      <c r="R77" s="22">
        <v>2.11</v>
      </c>
      <c r="S77" s="22">
        <v>2.33</v>
      </c>
      <c r="T77" s="22">
        <v>8.2</v>
      </c>
      <c r="U77" s="22">
        <v>8.29</v>
      </c>
      <c r="V77" s="22">
        <v>7.4</v>
      </c>
      <c r="Y77" s="22">
        <v>165</v>
      </c>
      <c r="Z77" s="22">
        <v>164</v>
      </c>
      <c r="AC77" s="22" t="s">
        <v>356</v>
      </c>
      <c r="AG77" s="22" t="s">
        <v>209</v>
      </c>
      <c r="AK77" s="22" t="s">
        <v>122</v>
      </c>
      <c r="AL77" s="22" t="s">
        <v>122</v>
      </c>
      <c r="AN77" s="23">
        <v>0</v>
      </c>
      <c r="AO77" s="22">
        <v>0</v>
      </c>
      <c r="AP77" s="23">
        <v>0</v>
      </c>
      <c r="AQ77" s="23">
        <v>0</v>
      </c>
      <c r="AR77" s="23">
        <v>0</v>
      </c>
      <c r="AS77" s="23">
        <v>0</v>
      </c>
      <c r="AT77" s="22">
        <v>0</v>
      </c>
      <c r="AU77" s="22">
        <v>0</v>
      </c>
      <c r="AV77" s="23">
        <v>0</v>
      </c>
      <c r="AW77" s="22">
        <v>0</v>
      </c>
      <c r="AX77" s="23">
        <v>3</v>
      </c>
      <c r="AY77" s="23">
        <v>0</v>
      </c>
      <c r="AZ77" s="22">
        <v>0</v>
      </c>
      <c r="BA77" s="22">
        <v>0</v>
      </c>
      <c r="BB77" s="23">
        <v>0</v>
      </c>
      <c r="BC77" s="23">
        <v>0</v>
      </c>
      <c r="BD77" s="22">
        <v>0</v>
      </c>
      <c r="BE77" s="22">
        <v>0</v>
      </c>
      <c r="BF77" s="22">
        <v>0</v>
      </c>
      <c r="BG77" s="23">
        <v>0</v>
      </c>
      <c r="BH77" s="22">
        <v>0</v>
      </c>
      <c r="BI77" s="22">
        <v>0</v>
      </c>
      <c r="BJ77" s="22">
        <v>1</v>
      </c>
      <c r="BK77" s="22">
        <v>2</v>
      </c>
      <c r="BL77" s="22">
        <v>2</v>
      </c>
      <c r="BM77" s="22">
        <v>1</v>
      </c>
      <c r="BN77" s="22">
        <v>0</v>
      </c>
      <c r="BO77" s="22">
        <v>0</v>
      </c>
      <c r="BP77" s="22">
        <v>1</v>
      </c>
      <c r="BQ77" s="22">
        <v>2</v>
      </c>
      <c r="BR77" s="22">
        <v>0</v>
      </c>
      <c r="BS77" s="22">
        <v>0</v>
      </c>
      <c r="BT77" s="22">
        <v>0</v>
      </c>
      <c r="BU77" s="22">
        <v>0</v>
      </c>
      <c r="BV77" s="23">
        <f t="shared" si="6"/>
        <v>9</v>
      </c>
    </row>
    <row r="78" spans="1:74">
      <c r="A78" s="22">
        <f t="shared" si="7"/>
        <v>75</v>
      </c>
      <c r="B78" s="22">
        <v>2</v>
      </c>
      <c r="C78" s="22" t="s">
        <v>357</v>
      </c>
      <c r="D78" s="28">
        <v>44070</v>
      </c>
      <c r="E78" s="171" t="s">
        <v>358</v>
      </c>
      <c r="F78" s="31">
        <v>28.47106</v>
      </c>
      <c r="G78" s="31">
        <v>59.8548</v>
      </c>
      <c r="H78" s="22">
        <f t="shared" si="8"/>
        <v>28</v>
      </c>
      <c r="I78" s="15">
        <f t="shared" ref="I78:I140" si="10">(F78-H78)*60</f>
        <v>28.2636000000001</v>
      </c>
      <c r="J78" s="22">
        <f t="shared" si="9"/>
        <v>59</v>
      </c>
      <c r="K78" s="15">
        <f t="shared" ref="K78:K140" si="11">(G78-J78)*60</f>
        <v>51.2879999999998</v>
      </c>
      <c r="L78" s="22">
        <v>31</v>
      </c>
      <c r="M78" s="22">
        <v>2.3</v>
      </c>
      <c r="O78" s="22">
        <v>17.7</v>
      </c>
      <c r="P78" s="22">
        <v>12</v>
      </c>
      <c r="Q78" s="22">
        <v>11.1</v>
      </c>
      <c r="R78" s="22">
        <v>2.08</v>
      </c>
      <c r="S78" s="22">
        <v>3.21</v>
      </c>
      <c r="T78" s="22">
        <v>8.36</v>
      </c>
      <c r="U78" s="22">
        <v>8.31</v>
      </c>
      <c r="V78" s="22">
        <v>7.65</v>
      </c>
      <c r="Y78" s="22">
        <v>183</v>
      </c>
      <c r="Z78" s="22">
        <v>189</v>
      </c>
      <c r="AC78" s="22" t="s">
        <v>359</v>
      </c>
      <c r="AG78" s="22" t="s">
        <v>209</v>
      </c>
      <c r="AK78" s="22" t="s">
        <v>122</v>
      </c>
      <c r="AL78" s="22" t="s">
        <v>122</v>
      </c>
      <c r="AN78" s="23">
        <v>0</v>
      </c>
      <c r="AO78" s="22">
        <v>0</v>
      </c>
      <c r="AP78" s="23">
        <v>0</v>
      </c>
      <c r="AQ78" s="23">
        <v>0</v>
      </c>
      <c r="AR78" s="23">
        <v>0</v>
      </c>
      <c r="AS78" s="23">
        <v>0</v>
      </c>
      <c r="AT78" s="22">
        <v>0</v>
      </c>
      <c r="AU78" s="22">
        <v>0</v>
      </c>
      <c r="AV78" s="23">
        <v>0</v>
      </c>
      <c r="AW78" s="22">
        <v>0</v>
      </c>
      <c r="AX78" s="23">
        <v>2</v>
      </c>
      <c r="AY78" s="23">
        <v>0</v>
      </c>
      <c r="AZ78" s="22">
        <v>0</v>
      </c>
      <c r="BA78" s="22">
        <v>0</v>
      </c>
      <c r="BB78" s="23">
        <v>0</v>
      </c>
      <c r="BC78" s="23">
        <v>0</v>
      </c>
      <c r="BD78" s="22">
        <v>0</v>
      </c>
      <c r="BE78" s="22">
        <v>0</v>
      </c>
      <c r="BF78" s="22">
        <v>0</v>
      </c>
      <c r="BG78" s="23">
        <v>0</v>
      </c>
      <c r="BH78" s="22">
        <v>0</v>
      </c>
      <c r="BI78" s="22">
        <v>0</v>
      </c>
      <c r="BJ78" s="22">
        <v>1</v>
      </c>
      <c r="BK78" s="22">
        <v>2</v>
      </c>
      <c r="BL78" s="22">
        <v>2</v>
      </c>
      <c r="BM78" s="22">
        <v>1</v>
      </c>
      <c r="BN78" s="22">
        <v>0</v>
      </c>
      <c r="BO78" s="22">
        <v>0</v>
      </c>
      <c r="BP78" s="22">
        <v>1</v>
      </c>
      <c r="BQ78" s="22">
        <v>2</v>
      </c>
      <c r="BR78" s="22">
        <v>0</v>
      </c>
      <c r="BS78" s="22">
        <v>0</v>
      </c>
      <c r="BT78" s="22">
        <v>0</v>
      </c>
      <c r="BU78" s="22">
        <v>0</v>
      </c>
      <c r="BV78" s="23">
        <f t="shared" si="6"/>
        <v>9</v>
      </c>
    </row>
    <row r="79" spans="1:74">
      <c r="A79" s="22">
        <f t="shared" si="7"/>
        <v>76</v>
      </c>
      <c r="B79" s="22">
        <v>2</v>
      </c>
      <c r="C79" s="22" t="s">
        <v>360</v>
      </c>
      <c r="D79" s="28">
        <v>44070</v>
      </c>
      <c r="F79" s="31">
        <v>28.48766</v>
      </c>
      <c r="G79" s="31">
        <v>59.86665</v>
      </c>
      <c r="H79" s="22">
        <f t="shared" si="8"/>
        <v>28</v>
      </c>
      <c r="I79" s="15">
        <f t="shared" si="10"/>
        <v>29.2596000000001</v>
      </c>
      <c r="J79" s="22">
        <f t="shared" si="9"/>
        <v>59</v>
      </c>
      <c r="K79" s="15">
        <f t="shared" si="11"/>
        <v>51.999</v>
      </c>
      <c r="L79" s="22">
        <v>31.3</v>
      </c>
      <c r="M79" s="22">
        <v>2.4</v>
      </c>
      <c r="O79" s="22">
        <v>17.1</v>
      </c>
      <c r="P79" s="22">
        <v>12.7</v>
      </c>
      <c r="Q79" s="22">
        <v>9.9</v>
      </c>
      <c r="R79" s="22">
        <v>2.08</v>
      </c>
      <c r="S79" s="22">
        <v>3.21</v>
      </c>
      <c r="T79" s="22">
        <v>8.35</v>
      </c>
      <c r="U79" s="22">
        <v>8.25</v>
      </c>
      <c r="V79" s="22">
        <v>7.32</v>
      </c>
      <c r="Y79" s="22">
        <v>187</v>
      </c>
      <c r="Z79" s="22">
        <v>198</v>
      </c>
      <c r="AC79" s="22" t="s">
        <v>361</v>
      </c>
      <c r="AG79" s="22" t="s">
        <v>209</v>
      </c>
      <c r="AK79" s="22" t="s">
        <v>122</v>
      </c>
      <c r="AL79" s="22" t="s">
        <v>122</v>
      </c>
      <c r="AN79" s="23">
        <v>0</v>
      </c>
      <c r="AO79" s="22">
        <v>0</v>
      </c>
      <c r="AP79" s="23">
        <v>0</v>
      </c>
      <c r="AQ79" s="23">
        <v>0</v>
      </c>
      <c r="AR79" s="23">
        <v>0</v>
      </c>
      <c r="AS79" s="23">
        <v>0</v>
      </c>
      <c r="AT79" s="22">
        <v>0</v>
      </c>
      <c r="AU79" s="22">
        <v>0</v>
      </c>
      <c r="AV79" s="23">
        <v>0</v>
      </c>
      <c r="AW79" s="22">
        <v>0</v>
      </c>
      <c r="AX79" s="23">
        <v>4</v>
      </c>
      <c r="AY79" s="23">
        <v>0</v>
      </c>
      <c r="AZ79" s="22">
        <v>0</v>
      </c>
      <c r="BA79" s="22">
        <v>0</v>
      </c>
      <c r="BB79" s="23">
        <v>0</v>
      </c>
      <c r="BC79" s="23">
        <v>0</v>
      </c>
      <c r="BD79" s="22">
        <v>0</v>
      </c>
      <c r="BE79" s="22">
        <v>0</v>
      </c>
      <c r="BF79" s="22">
        <v>0</v>
      </c>
      <c r="BG79" s="23">
        <v>0</v>
      </c>
      <c r="BH79" s="22">
        <v>0</v>
      </c>
      <c r="BI79" s="22">
        <v>0</v>
      </c>
      <c r="BJ79" s="22">
        <v>1</v>
      </c>
      <c r="BK79" s="22">
        <v>2</v>
      </c>
      <c r="BL79" s="22">
        <v>2</v>
      </c>
      <c r="BM79" s="22">
        <v>1</v>
      </c>
      <c r="BN79" s="22">
        <v>0</v>
      </c>
      <c r="BO79" s="22">
        <v>0</v>
      </c>
      <c r="BP79" s="22">
        <v>1</v>
      </c>
      <c r="BQ79" s="22">
        <v>2</v>
      </c>
      <c r="BR79" s="22">
        <v>0</v>
      </c>
      <c r="BS79" s="22">
        <v>0</v>
      </c>
      <c r="BT79" s="22">
        <v>0</v>
      </c>
      <c r="BU79" s="22">
        <v>0</v>
      </c>
      <c r="BV79" s="23">
        <f t="shared" si="6"/>
        <v>9</v>
      </c>
    </row>
    <row r="80" spans="1:74">
      <c r="A80" s="22">
        <f t="shared" si="7"/>
        <v>77</v>
      </c>
      <c r="B80" s="22">
        <v>2</v>
      </c>
      <c r="C80" s="22" t="s">
        <v>362</v>
      </c>
      <c r="D80" s="28">
        <v>44070</v>
      </c>
      <c r="E80" s="50">
        <v>19268</v>
      </c>
      <c r="F80" s="31">
        <v>28.49686</v>
      </c>
      <c r="G80" s="31">
        <v>59.85675</v>
      </c>
      <c r="H80" s="22">
        <f t="shared" si="8"/>
        <v>28</v>
      </c>
      <c r="I80" s="15">
        <f t="shared" si="10"/>
        <v>29.8116000000001</v>
      </c>
      <c r="J80" s="22">
        <f t="shared" si="9"/>
        <v>59</v>
      </c>
      <c r="K80" s="15">
        <f t="shared" si="11"/>
        <v>51.4049999999999</v>
      </c>
      <c r="L80" s="22">
        <v>10.5</v>
      </c>
      <c r="M80" s="22">
        <v>2.2</v>
      </c>
      <c r="O80" s="22">
        <v>17.6</v>
      </c>
      <c r="P80" s="22">
        <v>17.5</v>
      </c>
      <c r="R80" s="22">
        <v>1.98</v>
      </c>
      <c r="S80" s="22">
        <v>2.08</v>
      </c>
      <c r="T80" s="22">
        <v>8.46</v>
      </c>
      <c r="U80" s="22">
        <v>8.38</v>
      </c>
      <c r="Y80" s="22">
        <v>173</v>
      </c>
      <c r="Z80" s="22">
        <v>172</v>
      </c>
      <c r="AC80" s="22" t="s">
        <v>363</v>
      </c>
      <c r="AG80" s="22" t="s">
        <v>311</v>
      </c>
      <c r="AH80" s="22" t="s">
        <v>251</v>
      </c>
      <c r="AK80" s="22" t="s">
        <v>122</v>
      </c>
      <c r="AL80" s="22" t="s">
        <v>122</v>
      </c>
      <c r="AN80" s="23">
        <v>1</v>
      </c>
      <c r="AO80" s="22">
        <v>0</v>
      </c>
      <c r="AP80" s="23">
        <v>1</v>
      </c>
      <c r="AQ80" s="23">
        <v>1</v>
      </c>
      <c r="AR80" s="23">
        <v>0</v>
      </c>
      <c r="AS80" s="23">
        <v>0</v>
      </c>
      <c r="AT80" s="22">
        <v>0</v>
      </c>
      <c r="AU80" s="22">
        <v>0</v>
      </c>
      <c r="AV80" s="23">
        <v>0</v>
      </c>
      <c r="AW80" s="22">
        <v>0</v>
      </c>
      <c r="AX80" s="23">
        <v>0</v>
      </c>
      <c r="AY80" s="23">
        <v>0</v>
      </c>
      <c r="AZ80" s="22">
        <v>0</v>
      </c>
      <c r="BA80" s="22">
        <v>0</v>
      </c>
      <c r="BB80" s="23">
        <v>0</v>
      </c>
      <c r="BC80" s="23">
        <v>0</v>
      </c>
      <c r="BD80" s="22">
        <v>0</v>
      </c>
      <c r="BE80" s="22">
        <v>0</v>
      </c>
      <c r="BF80" s="22">
        <v>0</v>
      </c>
      <c r="BG80" s="23">
        <v>0</v>
      </c>
      <c r="BH80" s="22">
        <v>0</v>
      </c>
      <c r="BI80" s="22">
        <v>0</v>
      </c>
      <c r="BJ80" s="22">
        <v>4</v>
      </c>
      <c r="BK80" s="22">
        <v>1</v>
      </c>
      <c r="BL80" s="22">
        <v>2</v>
      </c>
      <c r="BM80" s="22">
        <v>2</v>
      </c>
      <c r="BN80" s="22">
        <v>1</v>
      </c>
      <c r="BO80" s="22">
        <v>0</v>
      </c>
      <c r="BP80" s="22">
        <v>1</v>
      </c>
      <c r="BQ80" s="22">
        <v>1</v>
      </c>
      <c r="BR80" s="22">
        <v>0</v>
      </c>
      <c r="BS80" s="22">
        <v>0</v>
      </c>
      <c r="BT80" s="22">
        <v>0</v>
      </c>
      <c r="BU80" s="22">
        <v>0</v>
      </c>
      <c r="BV80" s="23">
        <f t="shared" si="6"/>
        <v>12</v>
      </c>
    </row>
    <row r="81" spans="1:74">
      <c r="A81" s="22">
        <f t="shared" si="7"/>
        <v>78</v>
      </c>
      <c r="B81" s="22">
        <v>2</v>
      </c>
      <c r="C81" s="22" t="s">
        <v>364</v>
      </c>
      <c r="D81" s="28">
        <v>44099</v>
      </c>
      <c r="E81" s="22" t="s">
        <v>365</v>
      </c>
      <c r="F81" s="15">
        <v>28.4110399957</v>
      </c>
      <c r="G81" s="15">
        <v>59.6991180436</v>
      </c>
      <c r="H81" s="22">
        <f t="shared" si="8"/>
        <v>28</v>
      </c>
      <c r="I81" s="31">
        <v>34.65</v>
      </c>
      <c r="J81" s="22">
        <f t="shared" si="9"/>
        <v>59</v>
      </c>
      <c r="K81" s="31">
        <v>41.949</v>
      </c>
      <c r="L81" s="22">
        <v>5.5</v>
      </c>
      <c r="M81" s="22">
        <v>1.5</v>
      </c>
      <c r="O81" s="22">
        <v>14</v>
      </c>
      <c r="R81" s="22">
        <v>2.91</v>
      </c>
      <c r="U81" s="22">
        <v>7.8</v>
      </c>
      <c r="AC81" s="22" t="s">
        <v>366</v>
      </c>
      <c r="AE81" s="22" t="s">
        <v>122</v>
      </c>
      <c r="AF81" s="22" t="s">
        <v>295</v>
      </c>
      <c r="AG81" s="22" t="s">
        <v>209</v>
      </c>
      <c r="AK81" s="22" t="s">
        <v>122</v>
      </c>
      <c r="AL81" s="22" t="s">
        <v>122</v>
      </c>
      <c r="AN81" s="23">
        <v>0</v>
      </c>
      <c r="AO81" s="22">
        <v>0</v>
      </c>
      <c r="AP81" s="23">
        <v>0</v>
      </c>
      <c r="AQ81" s="23">
        <v>0</v>
      </c>
      <c r="AR81" s="23">
        <v>0</v>
      </c>
      <c r="AS81" s="23">
        <v>0</v>
      </c>
      <c r="AT81" s="22">
        <v>0</v>
      </c>
      <c r="AU81" s="22">
        <v>0</v>
      </c>
      <c r="AV81" s="23">
        <v>0</v>
      </c>
      <c r="AW81" s="22">
        <v>0</v>
      </c>
      <c r="AX81" s="23">
        <v>3</v>
      </c>
      <c r="AY81" s="23">
        <v>0</v>
      </c>
      <c r="AZ81" s="22">
        <v>0</v>
      </c>
      <c r="BA81" s="22">
        <v>0</v>
      </c>
      <c r="BB81" s="23">
        <v>0</v>
      </c>
      <c r="BC81" s="23">
        <v>0</v>
      </c>
      <c r="BD81" s="22">
        <v>0</v>
      </c>
      <c r="BE81" s="22">
        <v>0</v>
      </c>
      <c r="BF81" s="22">
        <v>0</v>
      </c>
      <c r="BG81" s="23">
        <v>0</v>
      </c>
      <c r="BH81" s="22">
        <v>0</v>
      </c>
      <c r="BI81" s="22">
        <v>0</v>
      </c>
      <c r="BJ81" s="22">
        <v>1</v>
      </c>
      <c r="BK81" s="22">
        <v>3</v>
      </c>
      <c r="BL81" s="22">
        <v>3</v>
      </c>
      <c r="BM81" s="22">
        <v>1</v>
      </c>
      <c r="BN81" s="22">
        <v>1</v>
      </c>
      <c r="BO81" s="22">
        <v>0</v>
      </c>
      <c r="BP81" s="22">
        <v>4</v>
      </c>
      <c r="BQ81" s="22">
        <v>4</v>
      </c>
      <c r="BR81" s="22">
        <v>1</v>
      </c>
      <c r="BS81" s="22">
        <v>0</v>
      </c>
      <c r="BT81" s="22">
        <v>0</v>
      </c>
      <c r="BU81" s="22">
        <v>0</v>
      </c>
      <c r="BV81" s="23">
        <f t="shared" si="6"/>
        <v>16</v>
      </c>
    </row>
    <row r="82" spans="1:74">
      <c r="A82" s="22">
        <f t="shared" si="7"/>
        <v>79</v>
      </c>
      <c r="B82" s="22">
        <v>2</v>
      </c>
      <c r="C82" s="22" t="s">
        <v>367</v>
      </c>
      <c r="D82" s="28">
        <v>44070</v>
      </c>
      <c r="F82" s="31">
        <v>28.50922</v>
      </c>
      <c r="G82" s="31">
        <v>59.84797</v>
      </c>
      <c r="H82" s="22">
        <f t="shared" si="8"/>
        <v>28</v>
      </c>
      <c r="I82" s="15">
        <f t="shared" si="10"/>
        <v>30.5531999999999</v>
      </c>
      <c r="J82" s="22">
        <f t="shared" si="9"/>
        <v>59</v>
      </c>
      <c r="K82" s="15">
        <f t="shared" si="11"/>
        <v>50.8781999999998</v>
      </c>
      <c r="L82" s="22">
        <v>5.7</v>
      </c>
      <c r="M82" s="22">
        <v>2</v>
      </c>
      <c r="O82" s="22">
        <v>17.9</v>
      </c>
      <c r="P82" s="22">
        <v>17.9</v>
      </c>
      <c r="R82" s="22">
        <v>2.04</v>
      </c>
      <c r="S82" s="22">
        <v>2.08</v>
      </c>
      <c r="T82" s="22">
        <v>8.72</v>
      </c>
      <c r="U82" s="22">
        <v>8.64</v>
      </c>
      <c r="Y82" s="22">
        <v>175</v>
      </c>
      <c r="Z82" s="22">
        <v>169</v>
      </c>
      <c r="AC82" s="22" t="s">
        <v>368</v>
      </c>
      <c r="AE82" s="22" t="s">
        <v>122</v>
      </c>
      <c r="AF82" s="22" t="s">
        <v>213</v>
      </c>
      <c r="AG82" s="22" t="s">
        <v>311</v>
      </c>
      <c r="AH82" s="22" t="s">
        <v>369</v>
      </c>
      <c r="AK82" s="22" t="s">
        <v>122</v>
      </c>
      <c r="AL82" s="22" t="s">
        <v>122</v>
      </c>
      <c r="AN82" s="23">
        <v>4</v>
      </c>
      <c r="AO82" s="22">
        <v>1</v>
      </c>
      <c r="AP82" s="23">
        <v>2</v>
      </c>
      <c r="AQ82" s="23">
        <v>2</v>
      </c>
      <c r="AR82" s="23">
        <v>0</v>
      </c>
      <c r="AS82" s="23">
        <v>1</v>
      </c>
      <c r="AT82" s="22">
        <v>0</v>
      </c>
      <c r="AU82" s="22">
        <v>0</v>
      </c>
      <c r="AV82" s="23">
        <v>0</v>
      </c>
      <c r="AW82" s="22">
        <v>0</v>
      </c>
      <c r="AX82" s="23">
        <v>0</v>
      </c>
      <c r="AY82" s="23">
        <v>0</v>
      </c>
      <c r="AZ82" s="22">
        <v>0</v>
      </c>
      <c r="BA82" s="22">
        <v>0</v>
      </c>
      <c r="BB82" s="23">
        <v>0</v>
      </c>
      <c r="BC82" s="23">
        <v>0</v>
      </c>
      <c r="BD82" s="22">
        <v>0</v>
      </c>
      <c r="BE82" s="22">
        <v>0</v>
      </c>
      <c r="BF82" s="22">
        <v>0</v>
      </c>
      <c r="BG82" s="23">
        <v>0</v>
      </c>
      <c r="BH82" s="22">
        <v>1</v>
      </c>
      <c r="BI82" s="22">
        <v>0</v>
      </c>
      <c r="BJ82" s="22">
        <v>6</v>
      </c>
      <c r="BK82" s="22">
        <v>3</v>
      </c>
      <c r="BL82" s="22">
        <v>2</v>
      </c>
      <c r="BM82" s="22">
        <v>2</v>
      </c>
      <c r="BN82" s="22">
        <v>1</v>
      </c>
      <c r="BO82" s="22">
        <v>1</v>
      </c>
      <c r="BP82" s="22">
        <v>1</v>
      </c>
      <c r="BQ82" s="22">
        <v>1</v>
      </c>
      <c r="BR82" s="22">
        <v>0</v>
      </c>
      <c r="BS82" s="22">
        <v>0</v>
      </c>
      <c r="BT82" s="22">
        <v>0</v>
      </c>
      <c r="BU82" s="22">
        <v>0</v>
      </c>
      <c r="BV82" s="23">
        <f t="shared" si="6"/>
        <v>17</v>
      </c>
    </row>
    <row r="83" spans="1:74">
      <c r="A83" s="22">
        <f t="shared" si="7"/>
        <v>80</v>
      </c>
      <c r="B83" s="22">
        <v>2</v>
      </c>
      <c r="C83" s="22" t="s">
        <v>370</v>
      </c>
      <c r="D83" s="28">
        <v>44068</v>
      </c>
      <c r="E83" s="22" t="s">
        <v>371</v>
      </c>
      <c r="F83" s="31">
        <v>28.53969</v>
      </c>
      <c r="G83" s="31">
        <v>59.85422</v>
      </c>
      <c r="H83" s="22">
        <f t="shared" si="8"/>
        <v>28</v>
      </c>
      <c r="I83" s="15">
        <f t="shared" si="10"/>
        <v>32.3814</v>
      </c>
      <c r="J83" s="22">
        <f t="shared" si="9"/>
        <v>59</v>
      </c>
      <c r="K83" s="15">
        <f t="shared" si="11"/>
        <v>51.2531999999999</v>
      </c>
      <c r="L83" s="22">
        <v>5</v>
      </c>
      <c r="M83" s="22">
        <v>1.7</v>
      </c>
      <c r="O83" s="22">
        <v>19.7</v>
      </c>
      <c r="R83" s="22">
        <v>2.2</v>
      </c>
      <c r="T83" s="22">
        <v>7.53</v>
      </c>
      <c r="AC83" s="22" t="s">
        <v>372</v>
      </c>
      <c r="AG83" s="22" t="s">
        <v>373</v>
      </c>
      <c r="AH83" s="22" t="s">
        <v>374</v>
      </c>
      <c r="AK83" s="22" t="s">
        <v>122</v>
      </c>
      <c r="AL83" s="22" t="s">
        <v>122</v>
      </c>
      <c r="AN83" s="23">
        <v>4</v>
      </c>
      <c r="AO83" s="22">
        <v>1</v>
      </c>
      <c r="AP83" s="23">
        <v>2</v>
      </c>
      <c r="AQ83" s="23">
        <v>1</v>
      </c>
      <c r="AR83" s="23">
        <v>0</v>
      </c>
      <c r="AS83" s="23">
        <v>2</v>
      </c>
      <c r="AT83" s="22">
        <v>0</v>
      </c>
      <c r="AU83" s="22">
        <v>0</v>
      </c>
      <c r="AV83" s="23">
        <v>0</v>
      </c>
      <c r="AW83" s="22">
        <v>0</v>
      </c>
      <c r="AX83" s="23">
        <v>0</v>
      </c>
      <c r="AY83" s="23">
        <v>0</v>
      </c>
      <c r="AZ83" s="22">
        <v>0</v>
      </c>
      <c r="BA83" s="22">
        <v>0</v>
      </c>
      <c r="BB83" s="23">
        <v>0</v>
      </c>
      <c r="BC83" s="23">
        <v>0</v>
      </c>
      <c r="BD83" s="22">
        <v>0</v>
      </c>
      <c r="BE83" s="22">
        <v>0</v>
      </c>
      <c r="BF83" s="22">
        <v>0</v>
      </c>
      <c r="BG83" s="23">
        <v>0</v>
      </c>
      <c r="BH83" s="22">
        <v>0</v>
      </c>
      <c r="BI83" s="22">
        <v>0</v>
      </c>
      <c r="BJ83" s="22">
        <v>5</v>
      </c>
      <c r="BK83" s="22">
        <v>3</v>
      </c>
      <c r="BL83" s="22">
        <v>2</v>
      </c>
      <c r="BM83" s="22">
        <v>2</v>
      </c>
      <c r="BN83" s="22">
        <v>1</v>
      </c>
      <c r="BO83" s="22">
        <v>0</v>
      </c>
      <c r="BP83" s="22">
        <v>1</v>
      </c>
      <c r="BQ83" s="22">
        <v>1</v>
      </c>
      <c r="BR83" s="22">
        <v>0</v>
      </c>
      <c r="BS83" s="22">
        <v>0</v>
      </c>
      <c r="BT83" s="22">
        <v>0</v>
      </c>
      <c r="BU83" s="22">
        <v>0</v>
      </c>
      <c r="BV83" s="23">
        <f t="shared" si="6"/>
        <v>15</v>
      </c>
    </row>
    <row r="84" spans="1:74">
      <c r="A84" s="22">
        <f t="shared" si="7"/>
        <v>81</v>
      </c>
      <c r="B84" s="22">
        <v>2</v>
      </c>
      <c r="C84" s="22" t="s">
        <v>375</v>
      </c>
      <c r="D84" s="28">
        <v>44068</v>
      </c>
      <c r="E84" s="22" t="s">
        <v>376</v>
      </c>
      <c r="F84" s="31">
        <v>28.54275</v>
      </c>
      <c r="G84" s="31">
        <v>59.86678</v>
      </c>
      <c r="H84" s="22">
        <f t="shared" si="8"/>
        <v>28</v>
      </c>
      <c r="I84" s="15">
        <f t="shared" si="10"/>
        <v>32.5650000000001</v>
      </c>
      <c r="J84" s="22">
        <f t="shared" si="9"/>
        <v>59</v>
      </c>
      <c r="K84" s="15">
        <f t="shared" si="11"/>
        <v>52.0067999999999</v>
      </c>
      <c r="L84" s="22">
        <v>22</v>
      </c>
      <c r="M84" s="22">
        <v>2.3</v>
      </c>
      <c r="O84" s="22">
        <v>19.8</v>
      </c>
      <c r="P84" s="22">
        <v>18.5</v>
      </c>
      <c r="R84" s="22">
        <v>2.01</v>
      </c>
      <c r="S84" s="22">
        <v>2.12</v>
      </c>
      <c r="T84" s="22">
        <v>8.07</v>
      </c>
      <c r="U84" s="22">
        <v>7.77</v>
      </c>
      <c r="AC84" s="22" t="s">
        <v>377</v>
      </c>
      <c r="AG84" s="50" t="s">
        <v>209</v>
      </c>
      <c r="AK84" s="22" t="s">
        <v>122</v>
      </c>
      <c r="AL84" s="22" t="s">
        <v>122</v>
      </c>
      <c r="AN84" s="23">
        <v>0</v>
      </c>
      <c r="AO84" s="22">
        <v>0</v>
      </c>
      <c r="AP84" s="23">
        <v>0</v>
      </c>
      <c r="AQ84" s="23">
        <v>0</v>
      </c>
      <c r="AR84" s="23">
        <v>0</v>
      </c>
      <c r="AS84" s="23">
        <v>0</v>
      </c>
      <c r="AT84" s="22">
        <v>0</v>
      </c>
      <c r="AU84" s="22">
        <v>0</v>
      </c>
      <c r="AV84" s="23">
        <v>0</v>
      </c>
      <c r="AW84" s="22">
        <v>0</v>
      </c>
      <c r="AX84" s="23">
        <v>4</v>
      </c>
      <c r="AY84" s="23">
        <v>0</v>
      </c>
      <c r="AZ84" s="22">
        <v>0</v>
      </c>
      <c r="BA84" s="22">
        <v>0</v>
      </c>
      <c r="BB84" s="23">
        <v>0</v>
      </c>
      <c r="BC84" s="23">
        <v>0</v>
      </c>
      <c r="BD84" s="22">
        <v>0</v>
      </c>
      <c r="BE84" s="22">
        <v>0</v>
      </c>
      <c r="BF84" s="22">
        <v>0</v>
      </c>
      <c r="BG84" s="23">
        <v>0</v>
      </c>
      <c r="BH84" s="22">
        <v>0</v>
      </c>
      <c r="BI84" s="22">
        <v>0</v>
      </c>
      <c r="BJ84" s="22">
        <v>1</v>
      </c>
      <c r="BK84" s="22">
        <v>3</v>
      </c>
      <c r="BL84" s="22">
        <v>2</v>
      </c>
      <c r="BM84" s="22">
        <v>1</v>
      </c>
      <c r="BN84" s="22">
        <v>0</v>
      </c>
      <c r="BO84" s="22">
        <v>0</v>
      </c>
      <c r="BP84" s="22">
        <v>1</v>
      </c>
      <c r="BQ84" s="22">
        <v>1</v>
      </c>
      <c r="BR84" s="22">
        <v>0</v>
      </c>
      <c r="BS84" s="22">
        <v>0</v>
      </c>
      <c r="BT84" s="22">
        <v>0</v>
      </c>
      <c r="BU84" s="22">
        <v>0</v>
      </c>
      <c r="BV84" s="23">
        <f t="shared" si="6"/>
        <v>9</v>
      </c>
    </row>
    <row r="85" spans="1:75">
      <c r="A85" s="22">
        <f t="shared" si="7"/>
        <v>82</v>
      </c>
      <c r="B85" s="22">
        <v>2</v>
      </c>
      <c r="C85" s="22" t="s">
        <v>378</v>
      </c>
      <c r="D85" s="28">
        <v>44068</v>
      </c>
      <c r="E85" s="22" t="s">
        <v>379</v>
      </c>
      <c r="F85" s="31">
        <v>28.57548</v>
      </c>
      <c r="G85" s="31">
        <v>59.85583</v>
      </c>
      <c r="H85" s="22">
        <f t="shared" si="8"/>
        <v>28</v>
      </c>
      <c r="I85" s="15">
        <f t="shared" si="10"/>
        <v>34.5287999999999</v>
      </c>
      <c r="J85" s="22">
        <f t="shared" si="9"/>
        <v>59</v>
      </c>
      <c r="K85" s="15">
        <f t="shared" si="11"/>
        <v>51.3497999999998</v>
      </c>
      <c r="L85" s="22">
        <v>21.9</v>
      </c>
      <c r="M85" s="22">
        <v>2.4</v>
      </c>
      <c r="O85" s="22">
        <v>18.3</v>
      </c>
      <c r="P85" s="22">
        <v>17</v>
      </c>
      <c r="R85" s="22">
        <v>1.98</v>
      </c>
      <c r="S85" s="22">
        <v>2.27</v>
      </c>
      <c r="T85" s="22">
        <v>7.96</v>
      </c>
      <c r="U85" s="22">
        <v>7.4</v>
      </c>
      <c r="AC85" s="22" t="s">
        <v>380</v>
      </c>
      <c r="AD85" s="22" t="s">
        <v>381</v>
      </c>
      <c r="AG85" s="22" t="s">
        <v>209</v>
      </c>
      <c r="AK85" s="22" t="s">
        <v>122</v>
      </c>
      <c r="AL85" s="22" t="s">
        <v>122</v>
      </c>
      <c r="AN85" s="23">
        <v>0</v>
      </c>
      <c r="AO85" s="22">
        <v>0</v>
      </c>
      <c r="AP85" s="23">
        <v>0</v>
      </c>
      <c r="AQ85" s="23">
        <v>0</v>
      </c>
      <c r="AR85" s="23">
        <v>0</v>
      </c>
      <c r="AS85" s="23">
        <v>0</v>
      </c>
      <c r="AT85" s="22">
        <v>0</v>
      </c>
      <c r="AU85" s="22">
        <v>0</v>
      </c>
      <c r="AV85" s="23">
        <v>0</v>
      </c>
      <c r="AW85" s="22">
        <v>0</v>
      </c>
      <c r="AX85" s="23">
        <v>4</v>
      </c>
      <c r="AY85" s="23">
        <v>0</v>
      </c>
      <c r="AZ85" s="22">
        <v>0</v>
      </c>
      <c r="BA85" s="22">
        <v>0</v>
      </c>
      <c r="BB85" s="23">
        <v>0</v>
      </c>
      <c r="BC85" s="23">
        <v>0</v>
      </c>
      <c r="BD85" s="22">
        <v>0</v>
      </c>
      <c r="BE85" s="22">
        <v>0</v>
      </c>
      <c r="BF85" s="22">
        <v>0</v>
      </c>
      <c r="BG85" s="23">
        <v>0</v>
      </c>
      <c r="BH85" s="22">
        <v>0</v>
      </c>
      <c r="BI85" s="22">
        <v>0</v>
      </c>
      <c r="BJ85" s="22">
        <v>1</v>
      </c>
      <c r="BK85" s="22">
        <v>3</v>
      </c>
      <c r="BL85" s="22">
        <v>2</v>
      </c>
      <c r="BM85" s="22">
        <v>1</v>
      </c>
      <c r="BN85" s="22">
        <v>0</v>
      </c>
      <c r="BO85" s="22">
        <v>0</v>
      </c>
      <c r="BP85" s="22">
        <v>1</v>
      </c>
      <c r="BQ85" s="22">
        <v>2</v>
      </c>
      <c r="BR85" s="22">
        <v>0</v>
      </c>
      <c r="BS85" s="22">
        <v>0</v>
      </c>
      <c r="BT85" s="22">
        <v>0</v>
      </c>
      <c r="BU85" s="22">
        <v>0</v>
      </c>
      <c r="BV85" s="23">
        <f t="shared" si="6"/>
        <v>10</v>
      </c>
      <c r="BW85" s="22" t="s">
        <v>382</v>
      </c>
    </row>
    <row r="86" spans="1:74">
      <c r="A86" s="22">
        <f t="shared" si="7"/>
        <v>83</v>
      </c>
      <c r="B86" s="22">
        <v>2</v>
      </c>
      <c r="C86" s="22" t="s">
        <v>383</v>
      </c>
      <c r="D86" s="28">
        <v>44069</v>
      </c>
      <c r="E86" s="169" t="s">
        <v>384</v>
      </c>
      <c r="F86" s="31">
        <v>28.56746</v>
      </c>
      <c r="G86" s="31">
        <v>59.83643</v>
      </c>
      <c r="H86" s="22">
        <f t="shared" si="8"/>
        <v>28</v>
      </c>
      <c r="I86" s="15">
        <f t="shared" si="10"/>
        <v>34.0476</v>
      </c>
      <c r="J86" s="22">
        <f t="shared" si="9"/>
        <v>59</v>
      </c>
      <c r="K86" s="15">
        <f t="shared" si="11"/>
        <v>50.1858</v>
      </c>
      <c r="L86" s="22">
        <v>2.5</v>
      </c>
      <c r="M86" s="22">
        <v>2.3</v>
      </c>
      <c r="O86" s="22">
        <v>18.8</v>
      </c>
      <c r="R86" s="22">
        <v>1.99</v>
      </c>
      <c r="T86" s="22">
        <v>8.25</v>
      </c>
      <c r="Y86" s="22">
        <v>162</v>
      </c>
      <c r="AC86" s="22" t="s">
        <v>385</v>
      </c>
      <c r="AE86" s="22" t="s">
        <v>122</v>
      </c>
      <c r="AF86" s="22" t="s">
        <v>386</v>
      </c>
      <c r="AG86" s="22" t="s">
        <v>311</v>
      </c>
      <c r="AH86" s="22" t="s">
        <v>251</v>
      </c>
      <c r="AK86" s="22" t="s">
        <v>122</v>
      </c>
      <c r="AL86" s="22" t="s">
        <v>122</v>
      </c>
      <c r="AN86" s="23">
        <v>2</v>
      </c>
      <c r="AO86" s="22">
        <v>1</v>
      </c>
      <c r="AP86" s="23">
        <v>0</v>
      </c>
      <c r="AQ86" s="23">
        <v>0</v>
      </c>
      <c r="AR86" s="23">
        <v>0</v>
      </c>
      <c r="AS86" s="23">
        <v>1</v>
      </c>
      <c r="AT86" s="22">
        <v>0</v>
      </c>
      <c r="AU86" s="22">
        <v>0</v>
      </c>
      <c r="AV86" s="23">
        <v>0</v>
      </c>
      <c r="AW86" s="22">
        <v>0</v>
      </c>
      <c r="AX86" s="23">
        <v>0</v>
      </c>
      <c r="AY86" s="23">
        <v>0</v>
      </c>
      <c r="AZ86" s="22">
        <v>0</v>
      </c>
      <c r="BA86" s="22">
        <v>0</v>
      </c>
      <c r="BB86" s="23">
        <v>0</v>
      </c>
      <c r="BC86" s="23">
        <v>0</v>
      </c>
      <c r="BD86" s="22">
        <v>0</v>
      </c>
      <c r="BE86" s="22">
        <v>0</v>
      </c>
      <c r="BF86" s="22">
        <v>0</v>
      </c>
      <c r="BG86" s="23">
        <v>0</v>
      </c>
      <c r="BH86" s="22">
        <v>0</v>
      </c>
      <c r="BI86" s="22">
        <v>0</v>
      </c>
      <c r="BJ86" s="22">
        <v>4</v>
      </c>
      <c r="BK86" s="22">
        <v>2</v>
      </c>
      <c r="BL86" s="22">
        <v>2</v>
      </c>
      <c r="BM86" s="22">
        <v>2</v>
      </c>
      <c r="BN86" s="22">
        <v>1</v>
      </c>
      <c r="BO86" s="22">
        <v>1</v>
      </c>
      <c r="BP86" s="22">
        <v>1</v>
      </c>
      <c r="BQ86" s="22">
        <v>0</v>
      </c>
      <c r="BR86" s="22">
        <v>0</v>
      </c>
      <c r="BS86" s="22">
        <v>0</v>
      </c>
      <c r="BT86" s="22">
        <v>1</v>
      </c>
      <c r="BU86" s="22">
        <v>0</v>
      </c>
      <c r="BV86" s="23">
        <f t="shared" si="6"/>
        <v>12</v>
      </c>
    </row>
    <row r="87" spans="1:74">
      <c r="A87" s="22">
        <f t="shared" si="7"/>
        <v>84</v>
      </c>
      <c r="B87" s="22">
        <v>2</v>
      </c>
      <c r="C87" s="22" t="s">
        <v>387</v>
      </c>
      <c r="D87" s="28">
        <v>44069</v>
      </c>
      <c r="E87" s="22" t="s">
        <v>388</v>
      </c>
      <c r="F87" s="31">
        <v>28.60214</v>
      </c>
      <c r="G87" s="31">
        <v>59.82928</v>
      </c>
      <c r="H87" s="22">
        <f t="shared" si="8"/>
        <v>28</v>
      </c>
      <c r="I87" s="15">
        <f t="shared" si="10"/>
        <v>36.1283999999999</v>
      </c>
      <c r="J87" s="22">
        <f t="shared" si="9"/>
        <v>59</v>
      </c>
      <c r="K87" s="15">
        <f t="shared" si="11"/>
        <v>49.7567999999998</v>
      </c>
      <c r="L87" s="22">
        <v>4.3</v>
      </c>
      <c r="M87" s="22">
        <v>2.4</v>
      </c>
      <c r="O87" s="22">
        <v>18.5</v>
      </c>
      <c r="R87" s="22">
        <v>1.98</v>
      </c>
      <c r="T87" s="22">
        <v>8.2</v>
      </c>
      <c r="Y87" s="22">
        <v>188</v>
      </c>
      <c r="AC87" s="22" t="s">
        <v>389</v>
      </c>
      <c r="AD87" s="22" t="s">
        <v>390</v>
      </c>
      <c r="AG87" s="22" t="s">
        <v>311</v>
      </c>
      <c r="AH87" s="22" t="s">
        <v>391</v>
      </c>
      <c r="AK87" s="22" t="s">
        <v>122</v>
      </c>
      <c r="AL87" s="22" t="s">
        <v>122</v>
      </c>
      <c r="AN87" s="23">
        <v>10</v>
      </c>
      <c r="AO87" s="22">
        <v>2</v>
      </c>
      <c r="AP87" s="23">
        <v>4</v>
      </c>
      <c r="AQ87" s="23">
        <v>1</v>
      </c>
      <c r="AR87" s="23">
        <v>0</v>
      </c>
      <c r="AS87" s="23">
        <v>1</v>
      </c>
      <c r="AT87" s="22">
        <v>0</v>
      </c>
      <c r="AU87" s="22">
        <v>2</v>
      </c>
      <c r="AV87" s="23">
        <v>0</v>
      </c>
      <c r="AW87" s="22">
        <v>0</v>
      </c>
      <c r="AX87" s="23">
        <v>0</v>
      </c>
      <c r="AY87" s="23">
        <v>0</v>
      </c>
      <c r="AZ87" s="22">
        <v>0</v>
      </c>
      <c r="BA87" s="22">
        <v>0</v>
      </c>
      <c r="BB87" s="23">
        <v>0</v>
      </c>
      <c r="BC87" s="23">
        <v>1</v>
      </c>
      <c r="BD87" s="22">
        <v>0</v>
      </c>
      <c r="BE87" s="22">
        <v>0</v>
      </c>
      <c r="BF87" s="22">
        <v>0</v>
      </c>
      <c r="BG87" s="23">
        <v>0</v>
      </c>
      <c r="BH87" s="22">
        <v>1</v>
      </c>
      <c r="BI87" s="22">
        <v>0</v>
      </c>
      <c r="BJ87" s="22">
        <v>8</v>
      </c>
      <c r="BK87" s="22">
        <v>5</v>
      </c>
      <c r="BL87" s="22">
        <v>1</v>
      </c>
      <c r="BM87" s="22">
        <v>1</v>
      </c>
      <c r="BN87" s="22">
        <v>1</v>
      </c>
      <c r="BO87" s="22">
        <v>1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3">
        <f t="shared" si="6"/>
        <v>17</v>
      </c>
    </row>
    <row r="88" spans="1:74">
      <c r="A88" s="22">
        <f t="shared" si="7"/>
        <v>85</v>
      </c>
      <c r="B88" s="22">
        <v>2</v>
      </c>
      <c r="C88" s="22" t="s">
        <v>392</v>
      </c>
      <c r="D88" s="28">
        <v>44068</v>
      </c>
      <c r="E88" s="22" t="s">
        <v>393</v>
      </c>
      <c r="F88" s="31">
        <v>28.60964</v>
      </c>
      <c r="G88" s="31">
        <v>59.84702</v>
      </c>
      <c r="H88" s="22">
        <f t="shared" si="8"/>
        <v>28</v>
      </c>
      <c r="I88" s="15">
        <f t="shared" si="10"/>
        <v>36.5783999999999</v>
      </c>
      <c r="J88" s="22">
        <f t="shared" si="9"/>
        <v>59</v>
      </c>
      <c r="K88" s="15">
        <f t="shared" si="11"/>
        <v>50.8212</v>
      </c>
      <c r="L88" s="22">
        <v>22.5</v>
      </c>
      <c r="M88" s="22">
        <v>2.1</v>
      </c>
      <c r="O88" s="22">
        <v>19.4</v>
      </c>
      <c r="P88" s="22">
        <v>18.2</v>
      </c>
      <c r="R88" s="22">
        <v>2.02</v>
      </c>
      <c r="S88" s="22">
        <v>2.02</v>
      </c>
      <c r="T88" s="22">
        <v>7.98</v>
      </c>
      <c r="U88" s="22">
        <v>8.78</v>
      </c>
      <c r="V88" s="22">
        <v>7.55</v>
      </c>
      <c r="AC88" s="22" t="s">
        <v>394</v>
      </c>
      <c r="AG88" s="22" t="s">
        <v>209</v>
      </c>
      <c r="AK88" s="22" t="s">
        <v>122</v>
      </c>
      <c r="AL88" s="22" t="s">
        <v>122</v>
      </c>
      <c r="AN88" s="23">
        <v>0</v>
      </c>
      <c r="AO88" s="22">
        <v>0</v>
      </c>
      <c r="AP88" s="23">
        <v>0</v>
      </c>
      <c r="AQ88" s="23">
        <v>0</v>
      </c>
      <c r="AR88" s="23">
        <v>0</v>
      </c>
      <c r="AS88" s="23">
        <v>0</v>
      </c>
      <c r="AT88" s="22">
        <v>0</v>
      </c>
      <c r="AU88" s="22">
        <v>0</v>
      </c>
      <c r="AV88" s="23">
        <v>0</v>
      </c>
      <c r="AW88" s="22">
        <v>0</v>
      </c>
      <c r="AX88" s="23">
        <v>1</v>
      </c>
      <c r="AY88" s="23">
        <v>0</v>
      </c>
      <c r="AZ88" s="22">
        <v>0</v>
      </c>
      <c r="BA88" s="22">
        <v>0</v>
      </c>
      <c r="BB88" s="23">
        <v>0</v>
      </c>
      <c r="BC88" s="23">
        <v>0</v>
      </c>
      <c r="BD88" s="22">
        <v>0</v>
      </c>
      <c r="BE88" s="22">
        <v>0</v>
      </c>
      <c r="BF88" s="22">
        <v>0</v>
      </c>
      <c r="BG88" s="23">
        <v>0</v>
      </c>
      <c r="BH88" s="22">
        <v>0</v>
      </c>
      <c r="BI88" s="22">
        <v>0</v>
      </c>
      <c r="BJ88" s="22">
        <v>1</v>
      </c>
      <c r="BK88" s="22">
        <v>1</v>
      </c>
      <c r="BL88" s="22">
        <v>2</v>
      </c>
      <c r="BM88" s="22">
        <v>1</v>
      </c>
      <c r="BN88" s="22">
        <v>0</v>
      </c>
      <c r="BO88" s="22">
        <v>0</v>
      </c>
      <c r="BP88" s="22">
        <v>1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3">
        <f t="shared" si="6"/>
        <v>6</v>
      </c>
    </row>
    <row r="89" spans="1:74">
      <c r="A89" s="22">
        <f t="shared" si="7"/>
        <v>86</v>
      </c>
      <c r="B89" s="22">
        <v>2</v>
      </c>
      <c r="C89" s="22" t="s">
        <v>395</v>
      </c>
      <c r="D89" s="28">
        <v>44068</v>
      </c>
      <c r="E89" s="22" t="s">
        <v>396</v>
      </c>
      <c r="F89" s="31">
        <v>28.64329</v>
      </c>
      <c r="G89" s="31">
        <v>59.84309</v>
      </c>
      <c r="H89" s="22">
        <f t="shared" si="8"/>
        <v>28</v>
      </c>
      <c r="I89" s="15">
        <f t="shared" si="10"/>
        <v>38.5974</v>
      </c>
      <c r="J89" s="22">
        <f t="shared" si="9"/>
        <v>59</v>
      </c>
      <c r="K89" s="15">
        <f t="shared" si="11"/>
        <v>50.5853999999998</v>
      </c>
      <c r="L89" s="22">
        <v>23.8</v>
      </c>
      <c r="M89" s="22">
        <v>2.2</v>
      </c>
      <c r="O89" s="22">
        <v>19.8</v>
      </c>
      <c r="P89" s="22">
        <v>19</v>
      </c>
      <c r="R89" s="22">
        <v>2.02</v>
      </c>
      <c r="S89" s="22">
        <v>2.04</v>
      </c>
      <c r="T89" s="22">
        <v>8.25</v>
      </c>
      <c r="U89" s="22">
        <v>8.3</v>
      </c>
      <c r="V89" s="22">
        <v>7.32</v>
      </c>
      <c r="AC89" s="22" t="s">
        <v>397</v>
      </c>
      <c r="AG89" s="22" t="s">
        <v>209</v>
      </c>
      <c r="AK89" s="22" t="s">
        <v>122</v>
      </c>
      <c r="AL89" s="22" t="s">
        <v>122</v>
      </c>
      <c r="AN89" s="23">
        <v>0</v>
      </c>
      <c r="AO89" s="22">
        <v>0</v>
      </c>
      <c r="AP89" s="23">
        <v>0</v>
      </c>
      <c r="AQ89" s="23">
        <v>0</v>
      </c>
      <c r="AR89" s="23">
        <v>0</v>
      </c>
      <c r="AS89" s="23">
        <v>0</v>
      </c>
      <c r="AT89" s="22">
        <v>0</v>
      </c>
      <c r="AU89" s="22">
        <v>0</v>
      </c>
      <c r="AV89" s="23">
        <v>0</v>
      </c>
      <c r="AW89" s="22">
        <v>0</v>
      </c>
      <c r="AX89" s="23">
        <v>2</v>
      </c>
      <c r="AY89" s="23">
        <v>0</v>
      </c>
      <c r="AZ89" s="22">
        <v>0</v>
      </c>
      <c r="BA89" s="22">
        <v>0</v>
      </c>
      <c r="BB89" s="23">
        <v>0</v>
      </c>
      <c r="BC89" s="23">
        <v>0</v>
      </c>
      <c r="BD89" s="22">
        <v>0</v>
      </c>
      <c r="BE89" s="22">
        <v>0</v>
      </c>
      <c r="BF89" s="22">
        <v>0</v>
      </c>
      <c r="BG89" s="23">
        <v>0</v>
      </c>
      <c r="BH89" s="22">
        <v>0</v>
      </c>
      <c r="BI89" s="22">
        <v>0</v>
      </c>
      <c r="BJ89" s="22">
        <v>1</v>
      </c>
      <c r="BK89" s="22">
        <v>2</v>
      </c>
      <c r="BL89" s="22">
        <v>2</v>
      </c>
      <c r="BM89" s="22">
        <v>1</v>
      </c>
      <c r="BN89" s="22">
        <v>0</v>
      </c>
      <c r="BO89" s="22">
        <v>0</v>
      </c>
      <c r="BP89" s="22">
        <v>1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3">
        <f t="shared" si="6"/>
        <v>7</v>
      </c>
    </row>
    <row r="90" spans="1:74">
      <c r="A90" s="22">
        <f t="shared" si="7"/>
        <v>87</v>
      </c>
      <c r="B90" s="22">
        <v>2</v>
      </c>
      <c r="C90" s="22" t="s">
        <v>398</v>
      </c>
      <c r="D90" s="28">
        <v>44068</v>
      </c>
      <c r="E90" s="22" t="s">
        <v>399</v>
      </c>
      <c r="F90" s="31">
        <v>28.67064</v>
      </c>
      <c r="G90" s="31">
        <v>59.83238</v>
      </c>
      <c r="H90" s="22">
        <f t="shared" si="8"/>
        <v>28</v>
      </c>
      <c r="I90" s="15">
        <f t="shared" si="10"/>
        <v>40.2383999999999</v>
      </c>
      <c r="J90" s="22">
        <f t="shared" si="9"/>
        <v>59</v>
      </c>
      <c r="K90" s="15">
        <f t="shared" si="11"/>
        <v>49.9428</v>
      </c>
      <c r="L90" s="22">
        <v>22.8</v>
      </c>
      <c r="M90" s="22">
        <v>2.1</v>
      </c>
      <c r="O90" s="22">
        <v>19.1</v>
      </c>
      <c r="P90" s="22">
        <v>18.7</v>
      </c>
      <c r="R90" s="22">
        <v>1.98</v>
      </c>
      <c r="S90" s="22">
        <v>2.06</v>
      </c>
      <c r="T90" s="22">
        <v>7.87</v>
      </c>
      <c r="U90" s="22">
        <v>8.57</v>
      </c>
      <c r="AC90" s="22" t="s">
        <v>400</v>
      </c>
      <c r="AG90" s="22" t="s">
        <v>209</v>
      </c>
      <c r="AK90" s="22" t="s">
        <v>122</v>
      </c>
      <c r="AL90" s="22" t="s">
        <v>122</v>
      </c>
      <c r="AN90" s="23">
        <v>0</v>
      </c>
      <c r="AO90" s="22">
        <v>0</v>
      </c>
      <c r="AP90" s="23">
        <v>0</v>
      </c>
      <c r="AQ90" s="23">
        <v>0</v>
      </c>
      <c r="AR90" s="23">
        <v>0</v>
      </c>
      <c r="AS90" s="23">
        <v>0</v>
      </c>
      <c r="AT90" s="22">
        <v>0</v>
      </c>
      <c r="AU90" s="22">
        <v>0</v>
      </c>
      <c r="AV90" s="23">
        <v>0</v>
      </c>
      <c r="AW90" s="22">
        <v>0</v>
      </c>
      <c r="AX90" s="23">
        <v>3</v>
      </c>
      <c r="AY90" s="23">
        <v>0</v>
      </c>
      <c r="AZ90" s="22">
        <v>0</v>
      </c>
      <c r="BA90" s="22">
        <v>0</v>
      </c>
      <c r="BB90" s="23">
        <v>0</v>
      </c>
      <c r="BC90" s="23">
        <v>0</v>
      </c>
      <c r="BD90" s="22">
        <v>0</v>
      </c>
      <c r="BE90" s="22">
        <v>0</v>
      </c>
      <c r="BF90" s="22">
        <v>0</v>
      </c>
      <c r="BG90" s="23">
        <v>0</v>
      </c>
      <c r="BH90" s="22">
        <v>0</v>
      </c>
      <c r="BI90" s="22">
        <v>0</v>
      </c>
      <c r="BJ90" s="22">
        <v>1</v>
      </c>
      <c r="BK90" s="22">
        <v>3</v>
      </c>
      <c r="BL90" s="22">
        <v>1</v>
      </c>
      <c r="BM90" s="22">
        <v>1</v>
      </c>
      <c r="BN90" s="22">
        <v>0</v>
      </c>
      <c r="BO90" s="22">
        <v>0</v>
      </c>
      <c r="BP90" s="22">
        <v>1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3">
        <f t="shared" si="6"/>
        <v>7</v>
      </c>
    </row>
    <row r="91" spans="1:74">
      <c r="A91" s="22">
        <f t="shared" si="7"/>
        <v>88</v>
      </c>
      <c r="B91" s="22">
        <v>2</v>
      </c>
      <c r="C91" s="22" t="s">
        <v>401</v>
      </c>
      <c r="D91" s="28">
        <v>44069</v>
      </c>
      <c r="E91" s="169" t="s">
        <v>402</v>
      </c>
      <c r="F91" s="31">
        <v>28.66875</v>
      </c>
      <c r="G91" s="31">
        <v>59.8142</v>
      </c>
      <c r="H91" s="22">
        <f t="shared" si="8"/>
        <v>28</v>
      </c>
      <c r="I91" s="15">
        <f t="shared" si="10"/>
        <v>40.125</v>
      </c>
      <c r="J91" s="22">
        <f t="shared" si="9"/>
        <v>59</v>
      </c>
      <c r="K91" s="15">
        <f t="shared" si="11"/>
        <v>48.852</v>
      </c>
      <c r="L91" s="22">
        <v>5.1</v>
      </c>
      <c r="M91" s="22">
        <v>2.2</v>
      </c>
      <c r="O91" s="22">
        <v>18.3</v>
      </c>
      <c r="P91" s="22">
        <v>18.1</v>
      </c>
      <c r="R91" s="22">
        <v>1.95</v>
      </c>
      <c r="S91" s="22">
        <v>2.01</v>
      </c>
      <c r="T91" s="22">
        <v>8.38</v>
      </c>
      <c r="U91" s="22">
        <v>8.94</v>
      </c>
      <c r="Y91" s="22">
        <v>173</v>
      </c>
      <c r="AC91" s="22" t="s">
        <v>403</v>
      </c>
      <c r="AG91" s="22" t="s">
        <v>404</v>
      </c>
      <c r="AH91" s="22" t="s">
        <v>251</v>
      </c>
      <c r="AK91" s="22" t="s">
        <v>122</v>
      </c>
      <c r="AL91" s="22" t="s">
        <v>122</v>
      </c>
      <c r="AN91" s="23">
        <v>10</v>
      </c>
      <c r="AO91" s="22">
        <v>3</v>
      </c>
      <c r="AP91" s="23">
        <v>3</v>
      </c>
      <c r="AQ91" s="23">
        <v>3</v>
      </c>
      <c r="AR91" s="23">
        <v>0</v>
      </c>
      <c r="AS91" s="23">
        <v>2</v>
      </c>
      <c r="AT91" s="22">
        <v>0</v>
      </c>
      <c r="AU91" s="22">
        <v>0</v>
      </c>
      <c r="AV91" s="23">
        <v>0</v>
      </c>
      <c r="AW91" s="22">
        <v>0</v>
      </c>
      <c r="AX91" s="23">
        <v>0</v>
      </c>
      <c r="AY91" s="23">
        <v>0</v>
      </c>
      <c r="AZ91" s="22">
        <v>0</v>
      </c>
      <c r="BA91" s="22">
        <v>0</v>
      </c>
      <c r="BB91" s="23">
        <v>0</v>
      </c>
      <c r="BC91" s="23">
        <v>1</v>
      </c>
      <c r="BD91" s="22">
        <v>0</v>
      </c>
      <c r="BE91" s="22">
        <v>0</v>
      </c>
      <c r="BF91" s="22">
        <v>0</v>
      </c>
      <c r="BG91" s="23">
        <v>0</v>
      </c>
      <c r="BH91" s="22">
        <v>1</v>
      </c>
      <c r="BI91" s="22">
        <v>0</v>
      </c>
      <c r="BJ91" s="22">
        <v>7</v>
      </c>
      <c r="BK91" s="22">
        <v>4</v>
      </c>
      <c r="BL91" s="22">
        <v>1</v>
      </c>
      <c r="BM91" s="22">
        <v>2</v>
      </c>
      <c r="BN91" s="22">
        <v>1</v>
      </c>
      <c r="BO91" s="22">
        <v>0</v>
      </c>
      <c r="BP91" s="22">
        <v>2</v>
      </c>
      <c r="BQ91" s="22">
        <v>1</v>
      </c>
      <c r="BR91" s="22">
        <v>0</v>
      </c>
      <c r="BS91" s="22">
        <v>0</v>
      </c>
      <c r="BT91" s="22">
        <v>0</v>
      </c>
      <c r="BU91" s="22">
        <v>0</v>
      </c>
      <c r="BV91" s="23">
        <f t="shared" si="6"/>
        <v>18</v>
      </c>
    </row>
    <row r="92" spans="1:74">
      <c r="A92" s="22">
        <f t="shared" si="7"/>
        <v>89</v>
      </c>
      <c r="B92" s="22">
        <v>2</v>
      </c>
      <c r="C92" s="22" t="s">
        <v>405</v>
      </c>
      <c r="D92" s="28">
        <v>44071</v>
      </c>
      <c r="F92" s="9">
        <v>28.2799955959</v>
      </c>
      <c r="G92" s="9">
        <v>59.7077001020999</v>
      </c>
      <c r="H92" s="29">
        <f t="shared" si="8"/>
        <v>28</v>
      </c>
      <c r="I92" s="9">
        <f t="shared" si="10"/>
        <v>16.7997357540001</v>
      </c>
      <c r="J92" s="29">
        <f t="shared" si="9"/>
        <v>59</v>
      </c>
      <c r="K92" s="9">
        <f t="shared" si="11"/>
        <v>42.462006125994</v>
      </c>
      <c r="L92" s="22">
        <v>11</v>
      </c>
      <c r="M92" s="22">
        <v>1.8</v>
      </c>
      <c r="O92" s="22">
        <v>17.1</v>
      </c>
      <c r="R92" s="22">
        <v>2.57</v>
      </c>
      <c r="U92" s="22">
        <v>8.49</v>
      </c>
      <c r="Y92" s="22">
        <v>198</v>
      </c>
      <c r="AC92" s="22" t="s">
        <v>406</v>
      </c>
      <c r="AG92" s="22" t="s">
        <v>209</v>
      </c>
      <c r="AK92" s="22" t="s">
        <v>122</v>
      </c>
      <c r="AL92" s="22" t="s">
        <v>122</v>
      </c>
      <c r="AN92" s="23">
        <v>0</v>
      </c>
      <c r="AO92" s="22">
        <v>0</v>
      </c>
      <c r="AP92" s="23">
        <v>0</v>
      </c>
      <c r="AQ92" s="23">
        <v>0</v>
      </c>
      <c r="AR92" s="23">
        <v>0</v>
      </c>
      <c r="AS92" s="23">
        <v>0</v>
      </c>
      <c r="AT92" s="22">
        <v>0</v>
      </c>
      <c r="AU92" s="22">
        <v>0</v>
      </c>
      <c r="AV92" s="23">
        <v>0</v>
      </c>
      <c r="AW92" s="22">
        <v>0</v>
      </c>
      <c r="AX92" s="23">
        <v>4</v>
      </c>
      <c r="AY92" s="23">
        <v>0</v>
      </c>
      <c r="AZ92" s="22">
        <v>0</v>
      </c>
      <c r="BA92" s="22">
        <v>0</v>
      </c>
      <c r="BB92" s="23">
        <v>0</v>
      </c>
      <c r="BC92" s="23">
        <v>0</v>
      </c>
      <c r="BD92" s="22">
        <v>0</v>
      </c>
      <c r="BE92" s="22">
        <v>0</v>
      </c>
      <c r="BF92" s="22">
        <v>0</v>
      </c>
      <c r="BG92" s="23">
        <v>0</v>
      </c>
      <c r="BH92" s="22">
        <v>0</v>
      </c>
      <c r="BI92" s="22">
        <v>0</v>
      </c>
      <c r="BJ92" s="22">
        <v>1</v>
      </c>
      <c r="BK92" s="22">
        <v>3</v>
      </c>
      <c r="BL92" s="22">
        <v>2</v>
      </c>
      <c r="BM92" s="22">
        <v>1</v>
      </c>
      <c r="BN92" s="22">
        <v>1</v>
      </c>
      <c r="BO92" s="22">
        <v>0</v>
      </c>
      <c r="BP92" s="22">
        <v>3</v>
      </c>
      <c r="BQ92" s="22">
        <v>3</v>
      </c>
      <c r="BR92" s="22">
        <v>1</v>
      </c>
      <c r="BS92" s="22">
        <v>0</v>
      </c>
      <c r="BT92" s="22">
        <v>0</v>
      </c>
      <c r="BU92" s="22">
        <v>0</v>
      </c>
      <c r="BV92" s="23">
        <f t="shared" si="6"/>
        <v>13</v>
      </c>
    </row>
    <row r="93" spans="1:74">
      <c r="A93" s="22">
        <f t="shared" si="7"/>
        <v>90</v>
      </c>
      <c r="B93" s="22">
        <v>2</v>
      </c>
      <c r="C93" s="22" t="s">
        <v>407</v>
      </c>
      <c r="D93" s="28">
        <v>44068</v>
      </c>
      <c r="E93" s="22" t="s">
        <v>408</v>
      </c>
      <c r="F93" s="31">
        <v>28.69798</v>
      </c>
      <c r="G93" s="31">
        <v>59.8231</v>
      </c>
      <c r="H93" s="22">
        <f t="shared" si="8"/>
        <v>28</v>
      </c>
      <c r="I93" s="15">
        <f t="shared" si="10"/>
        <v>41.8788000000001</v>
      </c>
      <c r="J93" s="22">
        <f t="shared" si="9"/>
        <v>59</v>
      </c>
      <c r="K93" s="15">
        <f t="shared" si="11"/>
        <v>49.3859999999998</v>
      </c>
      <c r="L93" s="22">
        <v>19.7</v>
      </c>
      <c r="M93" s="22">
        <v>2.1</v>
      </c>
      <c r="O93" s="22">
        <v>19.7</v>
      </c>
      <c r="P93" s="22">
        <v>19</v>
      </c>
      <c r="R93" s="22">
        <v>2.1</v>
      </c>
      <c r="S93" s="22">
        <v>2.06</v>
      </c>
      <c r="T93" s="22">
        <v>8.26</v>
      </c>
      <c r="U93" s="22">
        <v>8.14</v>
      </c>
      <c r="AC93" s="22" t="s">
        <v>409</v>
      </c>
      <c r="AD93" s="55" t="s">
        <v>410</v>
      </c>
      <c r="AG93" s="22" t="s">
        <v>209</v>
      </c>
      <c r="AK93" s="22" t="s">
        <v>122</v>
      </c>
      <c r="AL93" s="22" t="s">
        <v>122</v>
      </c>
      <c r="AN93" s="23">
        <v>0</v>
      </c>
      <c r="AO93" s="22">
        <v>0</v>
      </c>
      <c r="AP93" s="23">
        <v>0</v>
      </c>
      <c r="AQ93" s="23">
        <v>0</v>
      </c>
      <c r="AR93" s="23">
        <v>0</v>
      </c>
      <c r="AS93" s="23">
        <v>0</v>
      </c>
      <c r="AT93" s="22">
        <v>0</v>
      </c>
      <c r="AU93" s="22">
        <v>0</v>
      </c>
      <c r="AV93" s="23">
        <v>0</v>
      </c>
      <c r="AW93" s="22">
        <v>0</v>
      </c>
      <c r="AX93" s="23">
        <v>3</v>
      </c>
      <c r="AY93" s="23">
        <v>0</v>
      </c>
      <c r="AZ93" s="22">
        <v>0</v>
      </c>
      <c r="BA93" s="22">
        <v>0</v>
      </c>
      <c r="BB93" s="23">
        <v>0</v>
      </c>
      <c r="BC93" s="23">
        <v>0</v>
      </c>
      <c r="BD93" s="22">
        <v>0</v>
      </c>
      <c r="BE93" s="22">
        <v>0</v>
      </c>
      <c r="BF93" s="22">
        <v>0</v>
      </c>
      <c r="BG93" s="23">
        <v>0</v>
      </c>
      <c r="BH93" s="22">
        <v>0</v>
      </c>
      <c r="BI93" s="22">
        <v>0</v>
      </c>
      <c r="BJ93" s="22">
        <v>1</v>
      </c>
      <c r="BK93" s="22">
        <v>3</v>
      </c>
      <c r="BL93" s="22">
        <v>2</v>
      </c>
      <c r="BM93" s="22">
        <v>1</v>
      </c>
      <c r="BN93" s="22">
        <v>0</v>
      </c>
      <c r="BO93" s="22">
        <v>0</v>
      </c>
      <c r="BP93" s="22">
        <v>1</v>
      </c>
      <c r="BQ93" s="22">
        <v>1</v>
      </c>
      <c r="BR93" s="22">
        <v>0</v>
      </c>
      <c r="BS93" s="22">
        <v>0</v>
      </c>
      <c r="BT93" s="22">
        <v>0</v>
      </c>
      <c r="BU93" s="22">
        <v>0</v>
      </c>
      <c r="BV93" s="23">
        <f t="shared" si="6"/>
        <v>9</v>
      </c>
    </row>
    <row r="94" spans="1:74">
      <c r="A94" s="22">
        <f t="shared" si="7"/>
        <v>91</v>
      </c>
      <c r="B94" s="22">
        <v>2</v>
      </c>
      <c r="C94" s="22" t="s">
        <v>411</v>
      </c>
      <c r="D94" s="28">
        <v>44069</v>
      </c>
      <c r="E94" s="169" t="s">
        <v>412</v>
      </c>
      <c r="F94" s="15">
        <v>28.6953487088999</v>
      </c>
      <c r="G94" s="15">
        <v>59.8026887539</v>
      </c>
      <c r="H94" s="22">
        <f t="shared" si="8"/>
        <v>28</v>
      </c>
      <c r="I94" s="31">
        <v>41.752</v>
      </c>
      <c r="J94" s="22">
        <f t="shared" si="9"/>
        <v>59</v>
      </c>
      <c r="K94" s="31">
        <v>48.161</v>
      </c>
      <c r="L94" s="22">
        <v>5.5</v>
      </c>
      <c r="M94" s="22">
        <v>2.1</v>
      </c>
      <c r="O94" s="22">
        <v>18.3</v>
      </c>
      <c r="P94" s="22">
        <v>18.3</v>
      </c>
      <c r="R94" s="22">
        <v>1.95</v>
      </c>
      <c r="S94" s="22">
        <v>1.95</v>
      </c>
      <c r="T94" s="22">
        <v>8.39</v>
      </c>
      <c r="U94" s="22">
        <v>8.4</v>
      </c>
      <c r="Y94" s="22">
        <v>163</v>
      </c>
      <c r="Z94" s="22">
        <v>159</v>
      </c>
      <c r="AC94" s="22" t="s">
        <v>413</v>
      </c>
      <c r="AG94" s="22" t="s">
        <v>414</v>
      </c>
      <c r="AN94" s="23">
        <v>10</v>
      </c>
      <c r="AO94" s="22">
        <v>1</v>
      </c>
      <c r="AP94" s="23">
        <v>2</v>
      </c>
      <c r="AQ94" s="23">
        <v>2</v>
      </c>
      <c r="AR94" s="23">
        <v>0</v>
      </c>
      <c r="AS94" s="23">
        <v>1</v>
      </c>
      <c r="AT94" s="22">
        <v>0</v>
      </c>
      <c r="AU94" s="22">
        <v>0</v>
      </c>
      <c r="AV94" s="23">
        <v>0</v>
      </c>
      <c r="AW94" s="22">
        <v>0</v>
      </c>
      <c r="AX94" s="23">
        <v>0</v>
      </c>
      <c r="AY94" s="23">
        <v>0</v>
      </c>
      <c r="AZ94" s="22">
        <v>0</v>
      </c>
      <c r="BA94" s="22">
        <v>0</v>
      </c>
      <c r="BB94" s="23">
        <v>0</v>
      </c>
      <c r="BC94" s="23">
        <v>0</v>
      </c>
      <c r="BD94" s="22">
        <v>0</v>
      </c>
      <c r="BE94" s="22">
        <v>0</v>
      </c>
      <c r="BF94" s="22">
        <v>0</v>
      </c>
      <c r="BG94" s="23">
        <v>0</v>
      </c>
      <c r="BH94" s="22">
        <v>0</v>
      </c>
      <c r="BI94" s="22">
        <v>0</v>
      </c>
      <c r="BJ94" s="22">
        <v>5</v>
      </c>
      <c r="BK94" s="22">
        <v>4</v>
      </c>
      <c r="BL94" s="22">
        <v>1</v>
      </c>
      <c r="BM94" s="22">
        <v>2</v>
      </c>
      <c r="BN94" s="22">
        <v>1</v>
      </c>
      <c r="BO94" s="22">
        <v>1</v>
      </c>
      <c r="BP94" s="22">
        <v>1</v>
      </c>
      <c r="BQ94" s="22">
        <v>1</v>
      </c>
      <c r="BR94" s="22">
        <v>0</v>
      </c>
      <c r="BS94" s="22">
        <v>0</v>
      </c>
      <c r="BT94" s="22">
        <v>0</v>
      </c>
      <c r="BU94" s="22">
        <v>0</v>
      </c>
      <c r="BV94" s="23">
        <f t="shared" si="6"/>
        <v>16</v>
      </c>
    </row>
    <row r="95" spans="1:74">
      <c r="A95" s="22">
        <f t="shared" si="7"/>
        <v>92</v>
      </c>
      <c r="B95" s="22">
        <v>2</v>
      </c>
      <c r="C95" s="22" t="s">
        <v>415</v>
      </c>
      <c r="D95" s="28">
        <v>44069</v>
      </c>
      <c r="E95" s="50"/>
      <c r="F95" s="15">
        <v>28.7221207555</v>
      </c>
      <c r="G95" s="15">
        <v>59.8060328679</v>
      </c>
      <c r="H95" s="22">
        <f t="shared" si="8"/>
        <v>28</v>
      </c>
      <c r="I95" s="31">
        <v>43.333</v>
      </c>
      <c r="J95" s="22">
        <f t="shared" si="9"/>
        <v>59</v>
      </c>
      <c r="K95" s="31">
        <v>48.363</v>
      </c>
      <c r="AC95" s="22" t="s">
        <v>416</v>
      </c>
      <c r="AG95" s="22" t="s">
        <v>209</v>
      </c>
      <c r="AK95" s="22" t="s">
        <v>122</v>
      </c>
      <c r="AL95" s="22" t="s">
        <v>122</v>
      </c>
      <c r="AN95" s="23">
        <v>0</v>
      </c>
      <c r="AO95" s="22">
        <v>0</v>
      </c>
      <c r="AP95" s="23">
        <v>0</v>
      </c>
      <c r="AQ95" s="23">
        <v>0</v>
      </c>
      <c r="AR95" s="23">
        <v>0</v>
      </c>
      <c r="AS95" s="23">
        <v>0</v>
      </c>
      <c r="AT95" s="22">
        <v>0</v>
      </c>
      <c r="AU95" s="22">
        <v>0</v>
      </c>
      <c r="AV95" s="23">
        <v>0</v>
      </c>
      <c r="AW95" s="22">
        <v>0</v>
      </c>
      <c r="AX95" s="23">
        <v>0</v>
      </c>
      <c r="AY95" s="23">
        <v>0</v>
      </c>
      <c r="AZ95" s="22">
        <v>0</v>
      </c>
      <c r="BA95" s="22">
        <v>0</v>
      </c>
      <c r="BB95" s="23">
        <v>0</v>
      </c>
      <c r="BC95" s="23">
        <v>0</v>
      </c>
      <c r="BD95" s="22">
        <v>0</v>
      </c>
      <c r="BE95" s="22">
        <v>0</v>
      </c>
      <c r="BF95" s="22">
        <v>0</v>
      </c>
      <c r="BG95" s="23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2</v>
      </c>
      <c r="BM95" s="22">
        <v>1</v>
      </c>
      <c r="BN95" s="22">
        <v>1</v>
      </c>
      <c r="BO95" s="22">
        <v>1</v>
      </c>
      <c r="BP95" s="22">
        <v>1</v>
      </c>
      <c r="BQ95" s="22">
        <v>1</v>
      </c>
      <c r="BR95" s="22">
        <v>0</v>
      </c>
      <c r="BS95" s="22">
        <v>0</v>
      </c>
      <c r="BT95" s="22">
        <v>0</v>
      </c>
      <c r="BU95" s="22">
        <v>0</v>
      </c>
      <c r="BV95" s="23">
        <f t="shared" si="6"/>
        <v>7</v>
      </c>
    </row>
    <row r="96" spans="1:74">
      <c r="A96" s="22">
        <f t="shared" si="7"/>
        <v>93</v>
      </c>
      <c r="B96" s="22">
        <v>2</v>
      </c>
      <c r="C96" s="22" t="s">
        <v>417</v>
      </c>
      <c r="D96" s="28">
        <v>44069</v>
      </c>
      <c r="E96" s="171" t="s">
        <v>418</v>
      </c>
      <c r="F96" s="15">
        <v>28.7246783253</v>
      </c>
      <c r="G96" s="15">
        <v>59.7888636052</v>
      </c>
      <c r="H96" s="22">
        <f t="shared" si="8"/>
        <v>28</v>
      </c>
      <c r="I96" s="31">
        <v>43.505</v>
      </c>
      <c r="J96" s="22">
        <f t="shared" si="9"/>
        <v>59</v>
      </c>
      <c r="K96" s="31">
        <v>47.323</v>
      </c>
      <c r="L96" s="22">
        <v>6.1</v>
      </c>
      <c r="M96" s="22">
        <v>2.2</v>
      </c>
      <c r="O96" s="22">
        <v>18.6</v>
      </c>
      <c r="P96" s="22">
        <v>18.2</v>
      </c>
      <c r="R96" s="22">
        <v>1.99</v>
      </c>
      <c r="S96" s="22">
        <v>2.1</v>
      </c>
      <c r="T96" s="22">
        <v>8.2</v>
      </c>
      <c r="U96" s="22">
        <v>8.15</v>
      </c>
      <c r="Y96" s="22">
        <v>180</v>
      </c>
      <c r="Z96" s="22">
        <v>158</v>
      </c>
      <c r="AC96" s="22" t="s">
        <v>419</v>
      </c>
      <c r="AG96" s="22" t="s">
        <v>420</v>
      </c>
      <c r="AK96" s="22" t="s">
        <v>122</v>
      </c>
      <c r="AL96" s="22" t="s">
        <v>122</v>
      </c>
      <c r="AN96" s="23">
        <v>3</v>
      </c>
      <c r="AO96" s="22">
        <v>0</v>
      </c>
      <c r="AP96" s="23">
        <v>0</v>
      </c>
      <c r="AQ96" s="23">
        <v>1</v>
      </c>
      <c r="AR96" s="23">
        <v>0</v>
      </c>
      <c r="AS96" s="23">
        <v>0</v>
      </c>
      <c r="AT96" s="22">
        <v>0</v>
      </c>
      <c r="AU96" s="22">
        <v>0</v>
      </c>
      <c r="AV96" s="23">
        <v>0</v>
      </c>
      <c r="AW96" s="22">
        <v>0</v>
      </c>
      <c r="AX96" s="23">
        <v>0</v>
      </c>
      <c r="AY96" s="23">
        <v>0</v>
      </c>
      <c r="AZ96" s="22">
        <v>0</v>
      </c>
      <c r="BA96" s="22">
        <v>0</v>
      </c>
      <c r="BB96" s="23">
        <v>0</v>
      </c>
      <c r="BC96" s="23">
        <v>1</v>
      </c>
      <c r="BD96" s="22">
        <v>0</v>
      </c>
      <c r="BE96" s="22">
        <v>0</v>
      </c>
      <c r="BF96" s="22">
        <v>0</v>
      </c>
      <c r="BG96" s="23">
        <v>0</v>
      </c>
      <c r="BH96" s="22">
        <v>0</v>
      </c>
      <c r="BI96" s="22">
        <v>0</v>
      </c>
      <c r="BJ96" s="22">
        <v>3</v>
      </c>
      <c r="BK96" s="22">
        <v>1</v>
      </c>
      <c r="BL96" s="22">
        <v>2</v>
      </c>
      <c r="BM96" s="22">
        <v>2</v>
      </c>
      <c r="BN96" s="22">
        <v>1</v>
      </c>
      <c r="BO96" s="22">
        <v>1</v>
      </c>
      <c r="BP96" s="22">
        <v>1</v>
      </c>
      <c r="BQ96" s="22">
        <v>1</v>
      </c>
      <c r="BR96" s="22">
        <v>0</v>
      </c>
      <c r="BS96" s="22">
        <v>0</v>
      </c>
      <c r="BT96" s="22">
        <v>0</v>
      </c>
      <c r="BU96" s="22">
        <v>0</v>
      </c>
      <c r="BV96" s="23">
        <f t="shared" si="6"/>
        <v>12</v>
      </c>
    </row>
    <row r="97" spans="1:74">
      <c r="A97" s="22">
        <f t="shared" si="7"/>
        <v>94</v>
      </c>
      <c r="B97" s="22">
        <v>2</v>
      </c>
      <c r="C97" s="22" t="s">
        <v>421</v>
      </c>
      <c r="D97" s="28">
        <v>44068</v>
      </c>
      <c r="E97" s="22" t="s">
        <v>422</v>
      </c>
      <c r="F97" s="31">
        <v>28.74752</v>
      </c>
      <c r="G97" s="31">
        <v>59.81228</v>
      </c>
      <c r="H97" s="22">
        <f t="shared" si="8"/>
        <v>28</v>
      </c>
      <c r="I97" s="15">
        <f t="shared" si="10"/>
        <v>44.8512000000001</v>
      </c>
      <c r="J97" s="22">
        <f t="shared" si="9"/>
        <v>59</v>
      </c>
      <c r="K97" s="15">
        <f t="shared" si="11"/>
        <v>48.7368000000001</v>
      </c>
      <c r="L97" s="22">
        <v>9.5</v>
      </c>
      <c r="M97" s="22">
        <v>2.1</v>
      </c>
      <c r="O97" s="22">
        <v>19.6</v>
      </c>
      <c r="P97" s="22">
        <v>18.6</v>
      </c>
      <c r="R97" s="22">
        <v>1.99</v>
      </c>
      <c r="S97" s="22">
        <v>2.02</v>
      </c>
      <c r="T97" s="22">
        <v>8.28</v>
      </c>
      <c r="U97" s="22">
        <v>8.36</v>
      </c>
      <c r="AC97" s="22" t="s">
        <v>423</v>
      </c>
      <c r="AD97" s="22" t="s">
        <v>424</v>
      </c>
      <c r="AG97" s="22" t="s">
        <v>311</v>
      </c>
      <c r="AH97" s="22" t="s">
        <v>425</v>
      </c>
      <c r="AK97" s="22" t="s">
        <v>122</v>
      </c>
      <c r="AL97" s="22" t="s">
        <v>122</v>
      </c>
      <c r="AN97" s="23">
        <v>10</v>
      </c>
      <c r="AO97" s="22">
        <v>2</v>
      </c>
      <c r="AP97" s="23">
        <v>3</v>
      </c>
      <c r="AQ97" s="23">
        <v>2</v>
      </c>
      <c r="AR97" s="23">
        <v>0</v>
      </c>
      <c r="AS97" s="23">
        <v>2</v>
      </c>
      <c r="AT97" s="22">
        <v>0</v>
      </c>
      <c r="AU97" s="22">
        <v>0</v>
      </c>
      <c r="AV97" s="23">
        <v>0</v>
      </c>
      <c r="AW97" s="22">
        <v>0</v>
      </c>
      <c r="AX97" s="23">
        <v>0</v>
      </c>
      <c r="AY97" s="23">
        <v>0</v>
      </c>
      <c r="AZ97" s="22">
        <v>0</v>
      </c>
      <c r="BA97" s="22">
        <v>0</v>
      </c>
      <c r="BB97" s="23">
        <v>0</v>
      </c>
      <c r="BC97" s="23">
        <v>1</v>
      </c>
      <c r="BD97" s="22">
        <v>0</v>
      </c>
      <c r="BE97" s="22">
        <v>0</v>
      </c>
      <c r="BF97" s="22">
        <v>0</v>
      </c>
      <c r="BG97" s="23">
        <v>0</v>
      </c>
      <c r="BH97" s="22">
        <v>1</v>
      </c>
      <c r="BI97" s="22">
        <v>0</v>
      </c>
      <c r="BJ97" s="22">
        <v>7</v>
      </c>
      <c r="BK97" s="22">
        <v>5</v>
      </c>
      <c r="BL97" s="22">
        <v>2</v>
      </c>
      <c r="BM97" s="22">
        <v>2</v>
      </c>
      <c r="BN97" s="22">
        <v>1</v>
      </c>
      <c r="BO97" s="22">
        <v>1</v>
      </c>
      <c r="BP97" s="22">
        <v>1</v>
      </c>
      <c r="BQ97" s="22">
        <v>1</v>
      </c>
      <c r="BR97" s="22">
        <v>0</v>
      </c>
      <c r="BS97" s="22">
        <v>0</v>
      </c>
      <c r="BT97" s="22">
        <v>0</v>
      </c>
      <c r="BU97" s="22">
        <v>0</v>
      </c>
      <c r="BV97" s="23">
        <f t="shared" si="6"/>
        <v>20</v>
      </c>
    </row>
    <row r="98" spans="1:74">
      <c r="A98" s="22">
        <f t="shared" si="7"/>
        <v>95</v>
      </c>
      <c r="B98" s="22">
        <v>2</v>
      </c>
      <c r="C98" s="22" t="s">
        <v>426</v>
      </c>
      <c r="D98" s="28">
        <v>44068</v>
      </c>
      <c r="E98" s="22" t="s">
        <v>427</v>
      </c>
      <c r="F98" s="31">
        <v>28.75283</v>
      </c>
      <c r="G98" s="31">
        <v>59.79527</v>
      </c>
      <c r="H98" s="22">
        <f t="shared" si="8"/>
        <v>28</v>
      </c>
      <c r="I98" s="15">
        <f t="shared" si="10"/>
        <v>45.1698</v>
      </c>
      <c r="J98" s="22">
        <f t="shared" si="9"/>
        <v>59</v>
      </c>
      <c r="K98" s="15">
        <f t="shared" si="11"/>
        <v>47.7162000000001</v>
      </c>
      <c r="L98" s="22">
        <v>7.5</v>
      </c>
      <c r="M98" s="22">
        <v>2.2</v>
      </c>
      <c r="O98" s="22">
        <v>19.5</v>
      </c>
      <c r="P98" s="22">
        <v>18.8</v>
      </c>
      <c r="R98" s="22">
        <v>1.97</v>
      </c>
      <c r="S98" s="22">
        <v>2</v>
      </c>
      <c r="T98" s="22">
        <v>8.66</v>
      </c>
      <c r="U98" s="22">
        <v>8.41</v>
      </c>
      <c r="AC98" s="22" t="s">
        <v>428</v>
      </c>
      <c r="AG98" s="22" t="s">
        <v>420</v>
      </c>
      <c r="AK98" s="22" t="s">
        <v>122</v>
      </c>
      <c r="AL98" s="22" t="s">
        <v>122</v>
      </c>
      <c r="AN98" s="23">
        <v>0</v>
      </c>
      <c r="AO98" s="22">
        <v>2</v>
      </c>
      <c r="AP98" s="23">
        <v>0</v>
      </c>
      <c r="AQ98" s="23">
        <v>1</v>
      </c>
      <c r="AR98" s="23">
        <v>0</v>
      </c>
      <c r="AS98" s="23">
        <v>2</v>
      </c>
      <c r="AT98" s="22">
        <v>0</v>
      </c>
      <c r="AU98" s="22">
        <v>1</v>
      </c>
      <c r="AV98" s="23">
        <v>0</v>
      </c>
      <c r="AW98" s="22">
        <v>0</v>
      </c>
      <c r="AX98" s="23">
        <v>0</v>
      </c>
      <c r="AY98" s="23">
        <v>0</v>
      </c>
      <c r="AZ98" s="22">
        <v>0</v>
      </c>
      <c r="BA98" s="22">
        <v>0</v>
      </c>
      <c r="BB98" s="23">
        <v>0</v>
      </c>
      <c r="BC98" s="23">
        <v>1</v>
      </c>
      <c r="BD98" s="22">
        <v>0</v>
      </c>
      <c r="BE98" s="22">
        <v>0</v>
      </c>
      <c r="BF98" s="22">
        <v>0</v>
      </c>
      <c r="BG98" s="23">
        <v>0</v>
      </c>
      <c r="BH98" s="22">
        <v>0</v>
      </c>
      <c r="BI98" s="22">
        <v>0</v>
      </c>
      <c r="BJ98" s="22">
        <v>6</v>
      </c>
      <c r="BK98" s="22">
        <v>1</v>
      </c>
      <c r="BL98" s="22">
        <v>2</v>
      </c>
      <c r="BM98" s="22">
        <v>1</v>
      </c>
      <c r="BN98" s="22">
        <v>1</v>
      </c>
      <c r="BO98" s="22">
        <v>1</v>
      </c>
      <c r="BP98" s="22">
        <v>1</v>
      </c>
      <c r="BQ98" s="22">
        <v>1</v>
      </c>
      <c r="BR98" s="22">
        <v>0</v>
      </c>
      <c r="BS98" s="22">
        <v>0</v>
      </c>
      <c r="BT98" s="22">
        <v>0</v>
      </c>
      <c r="BU98" s="22">
        <v>0</v>
      </c>
      <c r="BV98" s="23">
        <f t="shared" si="6"/>
        <v>14</v>
      </c>
    </row>
    <row r="99" spans="1:74">
      <c r="A99" s="22">
        <f t="shared" si="7"/>
        <v>96</v>
      </c>
      <c r="B99" s="22">
        <v>2</v>
      </c>
      <c r="C99" s="22" t="s">
        <v>429</v>
      </c>
      <c r="D99" s="28">
        <v>44069</v>
      </c>
      <c r="E99" s="171" t="s">
        <v>430</v>
      </c>
      <c r="F99" s="31">
        <v>28.4547</v>
      </c>
      <c r="G99" s="31">
        <v>59.47815</v>
      </c>
      <c r="H99" s="22">
        <f t="shared" si="8"/>
        <v>28</v>
      </c>
      <c r="I99" s="15">
        <f t="shared" si="10"/>
        <v>27.2819999999999</v>
      </c>
      <c r="J99" s="22">
        <f t="shared" si="9"/>
        <v>59</v>
      </c>
      <c r="K99" s="15">
        <f t="shared" si="11"/>
        <v>28.689</v>
      </c>
      <c r="L99" s="22">
        <v>5.3</v>
      </c>
      <c r="M99" s="22">
        <v>1.9</v>
      </c>
      <c r="O99" s="22">
        <v>18.4</v>
      </c>
      <c r="P99" s="22">
        <v>18.3</v>
      </c>
      <c r="R99" s="22">
        <v>2.05</v>
      </c>
      <c r="S99" s="22">
        <v>2</v>
      </c>
      <c r="T99" s="22">
        <v>8.79</v>
      </c>
      <c r="U99" s="22">
        <v>9.01</v>
      </c>
      <c r="AC99" s="22" t="s">
        <v>431</v>
      </c>
      <c r="AG99" s="22" t="s">
        <v>209</v>
      </c>
      <c r="AK99" s="22" t="s">
        <v>122</v>
      </c>
      <c r="AL99" s="22" t="s">
        <v>122</v>
      </c>
      <c r="AN99" s="23">
        <v>0</v>
      </c>
      <c r="AO99" s="22">
        <v>0</v>
      </c>
      <c r="AP99" s="23">
        <v>0</v>
      </c>
      <c r="AQ99" s="23">
        <v>0</v>
      </c>
      <c r="AR99" s="23">
        <v>0</v>
      </c>
      <c r="AS99" s="23">
        <v>0</v>
      </c>
      <c r="AT99" s="22">
        <v>0</v>
      </c>
      <c r="AU99" s="22">
        <v>0</v>
      </c>
      <c r="AV99" s="23">
        <v>0</v>
      </c>
      <c r="AW99" s="22">
        <v>0</v>
      </c>
      <c r="AX99" s="23">
        <v>0</v>
      </c>
      <c r="AY99" s="23">
        <v>0</v>
      </c>
      <c r="AZ99" s="22">
        <v>0</v>
      </c>
      <c r="BA99" s="22">
        <v>0</v>
      </c>
      <c r="BB99" s="23">
        <v>0</v>
      </c>
      <c r="BC99" s="23">
        <v>0</v>
      </c>
      <c r="BD99" s="22">
        <v>0</v>
      </c>
      <c r="BE99" s="22">
        <v>0</v>
      </c>
      <c r="BF99" s="22">
        <v>0</v>
      </c>
      <c r="BG99" s="23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2</v>
      </c>
      <c r="BM99" s="22">
        <v>1</v>
      </c>
      <c r="BN99" s="22">
        <v>1</v>
      </c>
      <c r="BO99" s="22">
        <v>1</v>
      </c>
      <c r="BP99" s="22">
        <v>1</v>
      </c>
      <c r="BQ99" s="22">
        <v>1</v>
      </c>
      <c r="BR99" s="22">
        <v>0</v>
      </c>
      <c r="BS99" s="22">
        <v>0</v>
      </c>
      <c r="BT99" s="22">
        <v>0</v>
      </c>
      <c r="BU99" s="22">
        <v>0</v>
      </c>
      <c r="BV99" s="23">
        <f t="shared" si="6"/>
        <v>7</v>
      </c>
    </row>
    <row r="100" spans="1:74">
      <c r="A100" s="22">
        <f t="shared" si="7"/>
        <v>97</v>
      </c>
      <c r="B100" s="22">
        <v>2</v>
      </c>
      <c r="C100" s="22" t="s">
        <v>432</v>
      </c>
      <c r="D100" s="28">
        <v>44089</v>
      </c>
      <c r="F100" s="15">
        <v>28.2604225343</v>
      </c>
      <c r="G100" s="15">
        <v>59.7253086847</v>
      </c>
      <c r="H100" s="22">
        <f t="shared" si="8"/>
        <v>28</v>
      </c>
      <c r="I100" s="31">
        <v>15.626</v>
      </c>
      <c r="J100" s="22">
        <f t="shared" si="9"/>
        <v>59</v>
      </c>
      <c r="K100" s="31">
        <v>43.528</v>
      </c>
      <c r="L100" s="22">
        <v>14</v>
      </c>
      <c r="M100" s="22">
        <v>2.1</v>
      </c>
      <c r="O100" s="22">
        <v>14.4</v>
      </c>
      <c r="R100" s="22">
        <v>2.14</v>
      </c>
      <c r="T100" s="22">
        <v>8.01</v>
      </c>
      <c r="AC100" s="22" t="s">
        <v>433</v>
      </c>
      <c r="AG100" s="22" t="s">
        <v>209</v>
      </c>
      <c r="AK100" s="22" t="s">
        <v>122</v>
      </c>
      <c r="AL100" s="22" t="s">
        <v>122</v>
      </c>
      <c r="AN100" s="23">
        <v>0</v>
      </c>
      <c r="AO100" s="22">
        <v>0</v>
      </c>
      <c r="AP100" s="23">
        <v>0</v>
      </c>
      <c r="AQ100" s="23">
        <v>0</v>
      </c>
      <c r="AR100" s="23">
        <v>0</v>
      </c>
      <c r="AS100" s="23">
        <v>0</v>
      </c>
      <c r="AT100" s="22">
        <v>0</v>
      </c>
      <c r="AU100" s="22">
        <v>0</v>
      </c>
      <c r="AV100" s="23">
        <v>0</v>
      </c>
      <c r="AW100" s="22">
        <v>0</v>
      </c>
      <c r="AX100" s="23">
        <v>6</v>
      </c>
      <c r="AY100" s="23">
        <v>0</v>
      </c>
      <c r="AZ100" s="22">
        <v>0</v>
      </c>
      <c r="BA100" s="22">
        <v>0</v>
      </c>
      <c r="BB100" s="23">
        <v>0</v>
      </c>
      <c r="BC100" s="23">
        <v>1</v>
      </c>
      <c r="BD100" s="22">
        <v>0</v>
      </c>
      <c r="BE100" s="22">
        <v>0</v>
      </c>
      <c r="BF100" s="22">
        <v>0</v>
      </c>
      <c r="BG100" s="23">
        <v>0</v>
      </c>
      <c r="BH100" s="22">
        <v>0</v>
      </c>
      <c r="BI100" s="22">
        <v>0</v>
      </c>
      <c r="BJ100" s="22">
        <v>2</v>
      </c>
      <c r="BK100" s="22">
        <v>3</v>
      </c>
      <c r="BL100" s="22">
        <v>2</v>
      </c>
      <c r="BM100" s="22">
        <v>1</v>
      </c>
      <c r="BN100" s="22">
        <v>1</v>
      </c>
      <c r="BO100" s="22">
        <v>0</v>
      </c>
      <c r="BP100" s="22">
        <v>2</v>
      </c>
      <c r="BQ100" s="22">
        <v>2</v>
      </c>
      <c r="BR100" s="22">
        <v>1</v>
      </c>
      <c r="BS100" s="22">
        <v>1</v>
      </c>
      <c r="BT100" s="22">
        <v>0</v>
      </c>
      <c r="BU100" s="22">
        <v>0</v>
      </c>
      <c r="BV100" s="23">
        <f t="shared" si="6"/>
        <v>11</v>
      </c>
    </row>
    <row r="101" spans="1:74">
      <c r="A101" s="22">
        <f t="shared" si="7"/>
        <v>98</v>
      </c>
      <c r="B101" s="22">
        <v>2</v>
      </c>
      <c r="C101" s="22" t="s">
        <v>434</v>
      </c>
      <c r="D101" s="28">
        <v>44099</v>
      </c>
      <c r="E101" s="171" t="s">
        <v>435</v>
      </c>
      <c r="F101" s="15">
        <v>28.4187393853999</v>
      </c>
      <c r="G101" s="15">
        <v>59.7560644583999</v>
      </c>
      <c r="H101" s="22">
        <f t="shared" si="8"/>
        <v>28</v>
      </c>
      <c r="I101" s="31">
        <v>25.337</v>
      </c>
      <c r="J101" s="22">
        <f t="shared" si="9"/>
        <v>59</v>
      </c>
      <c r="K101" s="31">
        <v>44.694</v>
      </c>
      <c r="L101" s="22">
        <v>12</v>
      </c>
      <c r="M101" s="22">
        <v>1.7</v>
      </c>
      <c r="O101" s="22">
        <v>14</v>
      </c>
      <c r="R101" s="22">
        <v>2.96</v>
      </c>
      <c r="T101" s="22">
        <v>8.7</v>
      </c>
      <c r="AC101" s="22" t="s">
        <v>436</v>
      </c>
      <c r="AD101" s="22" t="s">
        <v>437</v>
      </c>
      <c r="AE101" s="22" t="s">
        <v>122</v>
      </c>
      <c r="AF101" s="22" t="s">
        <v>213</v>
      </c>
      <c r="AG101" s="22" t="s">
        <v>209</v>
      </c>
      <c r="AK101" s="22" t="s">
        <v>122</v>
      </c>
      <c r="AL101" s="22" t="s">
        <v>122</v>
      </c>
      <c r="AN101" s="23">
        <v>0</v>
      </c>
      <c r="AO101" s="22">
        <v>0</v>
      </c>
      <c r="AP101" s="23">
        <v>0</v>
      </c>
      <c r="AQ101" s="23">
        <v>0</v>
      </c>
      <c r="AR101" s="23">
        <v>0</v>
      </c>
      <c r="AS101" s="23">
        <v>0</v>
      </c>
      <c r="AT101" s="22">
        <v>0</v>
      </c>
      <c r="AU101" s="22">
        <v>0</v>
      </c>
      <c r="AV101" s="23">
        <v>0</v>
      </c>
      <c r="AW101" s="22">
        <v>0</v>
      </c>
      <c r="AX101" s="23">
        <v>7</v>
      </c>
      <c r="AY101" s="23">
        <v>0</v>
      </c>
      <c r="AZ101" s="22">
        <v>0</v>
      </c>
      <c r="BA101" s="22">
        <v>0</v>
      </c>
      <c r="BB101" s="23">
        <v>0</v>
      </c>
      <c r="BC101" s="23">
        <v>1</v>
      </c>
      <c r="BD101" s="22">
        <v>0</v>
      </c>
      <c r="BE101" s="22">
        <v>0</v>
      </c>
      <c r="BF101" s="22">
        <v>0</v>
      </c>
      <c r="BG101" s="23">
        <v>0</v>
      </c>
      <c r="BH101" s="22">
        <v>0</v>
      </c>
      <c r="BI101" s="22">
        <v>0</v>
      </c>
      <c r="BJ101" s="22">
        <v>2</v>
      </c>
      <c r="BK101" s="22">
        <v>6</v>
      </c>
      <c r="BL101" s="22">
        <v>3</v>
      </c>
      <c r="BM101" s="22">
        <v>1</v>
      </c>
      <c r="BN101" s="22">
        <v>1</v>
      </c>
      <c r="BO101" s="22">
        <v>0</v>
      </c>
      <c r="BP101" s="22">
        <v>3</v>
      </c>
      <c r="BQ101" s="22">
        <v>5</v>
      </c>
      <c r="BR101" s="22">
        <v>1</v>
      </c>
      <c r="BS101" s="22">
        <v>0</v>
      </c>
      <c r="BT101" s="22">
        <v>0</v>
      </c>
      <c r="BU101" s="22">
        <v>0</v>
      </c>
      <c r="BV101" s="23">
        <f t="shared" si="6"/>
        <v>20</v>
      </c>
    </row>
    <row r="102" spans="1:74">
      <c r="A102" s="22">
        <f t="shared" si="7"/>
        <v>99</v>
      </c>
      <c r="B102" s="22">
        <v>2</v>
      </c>
      <c r="C102" s="22" t="s">
        <v>438</v>
      </c>
      <c r="D102" s="28">
        <v>44071</v>
      </c>
      <c r="F102" s="9">
        <v>28.3314237680999</v>
      </c>
      <c r="G102" s="9">
        <v>59.7513346012</v>
      </c>
      <c r="H102" s="29">
        <f t="shared" si="8"/>
        <v>28</v>
      </c>
      <c r="I102" s="9">
        <f t="shared" si="10"/>
        <v>19.885426085994</v>
      </c>
      <c r="J102" s="29">
        <f t="shared" si="9"/>
        <v>59</v>
      </c>
      <c r="K102" s="9">
        <f t="shared" si="11"/>
        <v>45.080076072</v>
      </c>
      <c r="L102" s="22">
        <v>12.5</v>
      </c>
      <c r="M102" s="22">
        <v>2</v>
      </c>
      <c r="O102" s="22">
        <v>17</v>
      </c>
      <c r="R102" s="22">
        <v>2.57</v>
      </c>
      <c r="T102" s="22">
        <v>8.3</v>
      </c>
      <c r="Y102" s="22">
        <v>207</v>
      </c>
      <c r="AC102" s="22" t="s">
        <v>439</v>
      </c>
      <c r="AE102" s="22" t="s">
        <v>122</v>
      </c>
      <c r="AF102" s="22" t="s">
        <v>440</v>
      </c>
      <c r="AG102" s="22" t="s">
        <v>209</v>
      </c>
      <c r="AK102" s="22" t="s">
        <v>122</v>
      </c>
      <c r="AL102" s="22" t="s">
        <v>122</v>
      </c>
      <c r="AN102" s="23">
        <v>0</v>
      </c>
      <c r="AO102" s="22">
        <v>0</v>
      </c>
      <c r="AP102" s="23">
        <v>0</v>
      </c>
      <c r="AQ102" s="23">
        <v>0</v>
      </c>
      <c r="AR102" s="23">
        <v>0</v>
      </c>
      <c r="AS102" s="23">
        <v>0</v>
      </c>
      <c r="AT102" s="22">
        <v>0</v>
      </c>
      <c r="AU102" s="22">
        <v>0</v>
      </c>
      <c r="AV102" s="23">
        <v>0</v>
      </c>
      <c r="AW102" s="22">
        <v>0</v>
      </c>
      <c r="AX102" s="23">
        <v>5</v>
      </c>
      <c r="AY102" s="23">
        <v>0</v>
      </c>
      <c r="AZ102" s="22">
        <v>0</v>
      </c>
      <c r="BA102" s="22">
        <v>0</v>
      </c>
      <c r="BB102" s="23">
        <v>0</v>
      </c>
      <c r="BC102" s="23">
        <v>1</v>
      </c>
      <c r="BD102" s="22">
        <v>0</v>
      </c>
      <c r="BE102" s="22">
        <v>0</v>
      </c>
      <c r="BF102" s="22">
        <v>0</v>
      </c>
      <c r="BG102" s="23">
        <v>0</v>
      </c>
      <c r="BH102" s="22">
        <v>0</v>
      </c>
      <c r="BI102" s="22">
        <v>0</v>
      </c>
      <c r="BJ102" s="22">
        <v>2</v>
      </c>
      <c r="BK102" s="22">
        <v>4</v>
      </c>
      <c r="BL102" s="22">
        <v>2</v>
      </c>
      <c r="BM102" s="22">
        <v>1</v>
      </c>
      <c r="BN102" s="22">
        <v>1</v>
      </c>
      <c r="BO102" s="22">
        <v>0</v>
      </c>
      <c r="BP102" s="22">
        <v>3</v>
      </c>
      <c r="BQ102" s="22">
        <v>4</v>
      </c>
      <c r="BR102" s="22">
        <v>1</v>
      </c>
      <c r="BS102" s="22">
        <v>0</v>
      </c>
      <c r="BT102" s="22">
        <v>0</v>
      </c>
      <c r="BU102" s="22">
        <v>0</v>
      </c>
      <c r="BV102" s="23">
        <f t="shared" si="6"/>
        <v>16</v>
      </c>
    </row>
    <row r="103" spans="1:74">
      <c r="A103" s="22">
        <f t="shared" si="7"/>
        <v>100</v>
      </c>
      <c r="B103" s="22">
        <v>2</v>
      </c>
      <c r="C103" s="22" t="s">
        <v>441</v>
      </c>
      <c r="D103" s="28">
        <v>44068</v>
      </c>
      <c r="F103" s="15">
        <v>28.2389965702</v>
      </c>
      <c r="G103" s="15">
        <v>59.7667922851</v>
      </c>
      <c r="H103" s="22">
        <f t="shared" si="8"/>
        <v>28</v>
      </c>
      <c r="I103" s="31">
        <v>14.368</v>
      </c>
      <c r="J103" s="22">
        <f t="shared" si="9"/>
        <v>59</v>
      </c>
      <c r="K103" s="31">
        <v>46.018</v>
      </c>
      <c r="L103" s="22">
        <v>24</v>
      </c>
      <c r="M103" s="22">
        <v>2.5</v>
      </c>
      <c r="O103" s="22">
        <v>14.5</v>
      </c>
      <c r="R103" s="22">
        <v>3.08</v>
      </c>
      <c r="T103" s="22">
        <v>8.35</v>
      </c>
      <c r="AC103" s="22" t="s">
        <v>442</v>
      </c>
      <c r="AE103" s="22" t="s">
        <v>122</v>
      </c>
      <c r="AF103" s="22" t="s">
        <v>443</v>
      </c>
      <c r="AG103" s="22" t="s">
        <v>209</v>
      </c>
      <c r="AK103" s="22" t="s">
        <v>122</v>
      </c>
      <c r="AL103" s="22" t="s">
        <v>122</v>
      </c>
      <c r="AN103" s="23">
        <v>0</v>
      </c>
      <c r="AO103" s="22">
        <v>0</v>
      </c>
      <c r="AP103" s="23">
        <v>0</v>
      </c>
      <c r="AQ103" s="23">
        <v>0</v>
      </c>
      <c r="AR103" s="23">
        <v>0</v>
      </c>
      <c r="AS103" s="23">
        <v>0</v>
      </c>
      <c r="AT103" s="22">
        <v>0</v>
      </c>
      <c r="AU103" s="22">
        <v>0</v>
      </c>
      <c r="AV103" s="23">
        <v>0</v>
      </c>
      <c r="AW103" s="22">
        <v>0</v>
      </c>
      <c r="AX103" s="23">
        <v>10</v>
      </c>
      <c r="AY103" s="23">
        <v>0</v>
      </c>
      <c r="AZ103" s="22">
        <v>0</v>
      </c>
      <c r="BA103" s="22">
        <v>0</v>
      </c>
      <c r="BB103" s="23">
        <v>0</v>
      </c>
      <c r="BC103" s="23">
        <v>0</v>
      </c>
      <c r="BD103" s="22">
        <v>0</v>
      </c>
      <c r="BE103" s="22">
        <v>0</v>
      </c>
      <c r="BF103" s="22">
        <v>0</v>
      </c>
      <c r="BG103" s="23">
        <v>0</v>
      </c>
      <c r="BH103" s="22">
        <v>0</v>
      </c>
      <c r="BI103" s="22">
        <v>0</v>
      </c>
      <c r="BJ103" s="22">
        <v>1</v>
      </c>
      <c r="BK103" s="22">
        <v>5</v>
      </c>
      <c r="BL103" s="22">
        <v>3</v>
      </c>
      <c r="BM103" s="22">
        <v>1</v>
      </c>
      <c r="BN103" s="22">
        <v>0</v>
      </c>
      <c r="BO103" s="22">
        <v>0</v>
      </c>
      <c r="BP103" s="22">
        <v>2</v>
      </c>
      <c r="BQ103" s="22">
        <v>2</v>
      </c>
      <c r="BR103" s="22">
        <v>2</v>
      </c>
      <c r="BS103" s="22">
        <v>2</v>
      </c>
      <c r="BT103" s="22">
        <v>0</v>
      </c>
      <c r="BU103" s="22">
        <v>0</v>
      </c>
      <c r="BV103" s="23">
        <f t="shared" si="6"/>
        <v>10</v>
      </c>
    </row>
    <row r="104" spans="1:74">
      <c r="A104" s="22">
        <f t="shared" si="7"/>
        <v>101</v>
      </c>
      <c r="B104" s="22">
        <v>2</v>
      </c>
      <c r="C104" s="22" t="s">
        <v>444</v>
      </c>
      <c r="D104" s="28" t="s">
        <v>445</v>
      </c>
      <c r="F104" s="15">
        <v>28.2164234144</v>
      </c>
      <c r="G104" s="15">
        <v>59.7938847677</v>
      </c>
      <c r="H104" s="22">
        <f t="shared" si="8"/>
        <v>28</v>
      </c>
      <c r="I104" s="31">
        <v>12.99</v>
      </c>
      <c r="J104" s="22">
        <f t="shared" si="9"/>
        <v>59</v>
      </c>
      <c r="K104" s="31">
        <v>47.648</v>
      </c>
      <c r="L104" s="22">
        <v>25.5</v>
      </c>
      <c r="M104" s="22">
        <v>2.5</v>
      </c>
      <c r="O104" s="22">
        <v>14.4</v>
      </c>
      <c r="R104" s="22">
        <v>3.04</v>
      </c>
      <c r="T104" s="22">
        <v>8.33</v>
      </c>
      <c r="AC104" s="22" t="s">
        <v>446</v>
      </c>
      <c r="AG104" s="22" t="s">
        <v>209</v>
      </c>
      <c r="AK104" s="22" t="s">
        <v>122</v>
      </c>
      <c r="AL104" s="22" t="s">
        <v>122</v>
      </c>
      <c r="AN104" s="23">
        <v>0</v>
      </c>
      <c r="AO104" s="22">
        <v>0</v>
      </c>
      <c r="AP104" s="23">
        <v>0</v>
      </c>
      <c r="AQ104" s="23">
        <v>0</v>
      </c>
      <c r="AR104" s="23">
        <v>0</v>
      </c>
      <c r="AS104" s="23">
        <v>0</v>
      </c>
      <c r="AT104" s="22">
        <v>0</v>
      </c>
      <c r="AU104" s="22">
        <v>0</v>
      </c>
      <c r="AV104" s="23">
        <v>0</v>
      </c>
      <c r="AW104" s="22">
        <v>0</v>
      </c>
      <c r="AX104" s="23">
        <v>7</v>
      </c>
      <c r="AY104" s="23">
        <v>0</v>
      </c>
      <c r="AZ104" s="22">
        <v>0</v>
      </c>
      <c r="BA104" s="22">
        <v>0</v>
      </c>
      <c r="BB104" s="23">
        <v>0</v>
      </c>
      <c r="BC104" s="23">
        <v>0</v>
      </c>
      <c r="BD104" s="22">
        <v>0</v>
      </c>
      <c r="BE104" s="22">
        <v>0</v>
      </c>
      <c r="BF104" s="22">
        <v>0</v>
      </c>
      <c r="BG104" s="23">
        <v>0</v>
      </c>
      <c r="BH104" s="22">
        <v>0</v>
      </c>
      <c r="BI104" s="22">
        <v>0</v>
      </c>
      <c r="BJ104" s="22">
        <v>1</v>
      </c>
      <c r="BK104" s="22">
        <v>3</v>
      </c>
      <c r="BL104" s="22">
        <v>3</v>
      </c>
      <c r="BM104" s="22">
        <v>1</v>
      </c>
      <c r="BN104" s="22">
        <v>0</v>
      </c>
      <c r="BO104" s="22">
        <v>0</v>
      </c>
      <c r="BP104" s="22">
        <v>2</v>
      </c>
      <c r="BQ104" s="22">
        <v>2</v>
      </c>
      <c r="BR104" s="22">
        <v>2</v>
      </c>
      <c r="BS104" s="22">
        <v>1</v>
      </c>
      <c r="BT104" s="22">
        <v>0</v>
      </c>
      <c r="BU104" s="22">
        <v>0</v>
      </c>
      <c r="BV104" s="23">
        <f t="shared" si="6"/>
        <v>9</v>
      </c>
    </row>
    <row r="105" spans="1:74">
      <c r="A105" s="22">
        <f t="shared" si="7"/>
        <v>102</v>
      </c>
      <c r="C105" s="22" t="s">
        <v>447</v>
      </c>
      <c r="D105" s="28">
        <v>44099</v>
      </c>
      <c r="E105" s="22" t="s">
        <v>448</v>
      </c>
      <c r="F105" s="51"/>
      <c r="G105" s="51"/>
      <c r="H105" s="52">
        <v>28</v>
      </c>
      <c r="I105" s="54">
        <v>26.107</v>
      </c>
      <c r="J105" s="52">
        <v>59</v>
      </c>
      <c r="K105" s="54">
        <v>46.742</v>
      </c>
      <c r="L105" s="22">
        <v>6</v>
      </c>
      <c r="M105" s="22">
        <v>1.8</v>
      </c>
      <c r="O105" s="22">
        <v>14.4</v>
      </c>
      <c r="R105" s="22">
        <v>3.01</v>
      </c>
      <c r="T105" s="22">
        <v>8.36</v>
      </c>
      <c r="AC105" s="22" t="s">
        <v>288</v>
      </c>
      <c r="AG105" s="22" t="s">
        <v>209</v>
      </c>
      <c r="AK105" s="22" t="s">
        <v>122</v>
      </c>
      <c r="AL105" s="22" t="s">
        <v>122</v>
      </c>
      <c r="AN105" s="23">
        <v>0</v>
      </c>
      <c r="AO105" s="22">
        <v>1</v>
      </c>
      <c r="AP105" s="23">
        <v>0</v>
      </c>
      <c r="AQ105" s="23">
        <v>0</v>
      </c>
      <c r="AR105" s="23">
        <v>0</v>
      </c>
      <c r="AS105" s="23">
        <v>2</v>
      </c>
      <c r="AT105" s="22">
        <v>0</v>
      </c>
      <c r="AU105" s="22">
        <v>1</v>
      </c>
      <c r="AV105" s="23">
        <v>0</v>
      </c>
      <c r="AW105" s="22">
        <v>0</v>
      </c>
      <c r="AX105" s="23">
        <v>0</v>
      </c>
      <c r="AY105" s="23">
        <v>0</v>
      </c>
      <c r="AZ105" s="22">
        <v>0</v>
      </c>
      <c r="BA105" s="22">
        <v>0</v>
      </c>
      <c r="BB105" s="23">
        <v>0</v>
      </c>
      <c r="BC105" s="23">
        <v>1</v>
      </c>
      <c r="BD105" s="22">
        <v>0</v>
      </c>
      <c r="BE105" s="22">
        <v>0</v>
      </c>
      <c r="BF105" s="22">
        <v>0</v>
      </c>
      <c r="BG105" s="23">
        <v>0</v>
      </c>
      <c r="BH105" s="22">
        <v>0</v>
      </c>
      <c r="BI105" s="22">
        <v>0</v>
      </c>
      <c r="BJ105" s="22">
        <v>5</v>
      </c>
      <c r="BK105" s="22">
        <v>1</v>
      </c>
      <c r="BL105" s="22">
        <v>3</v>
      </c>
      <c r="BM105" s="22">
        <v>1</v>
      </c>
      <c r="BN105" s="22">
        <v>1</v>
      </c>
      <c r="BO105" s="22">
        <v>0</v>
      </c>
      <c r="BP105" s="22">
        <v>3</v>
      </c>
      <c r="BQ105" s="22">
        <v>3</v>
      </c>
      <c r="BR105" s="22">
        <v>1</v>
      </c>
      <c r="BS105" s="22">
        <v>0</v>
      </c>
      <c r="BT105" s="22">
        <v>0</v>
      </c>
      <c r="BU105" s="22">
        <v>1</v>
      </c>
      <c r="BV105" s="23">
        <f t="shared" si="6"/>
        <v>15</v>
      </c>
    </row>
    <row r="106" spans="1:74">
      <c r="A106" s="22">
        <f t="shared" si="7"/>
        <v>103</v>
      </c>
      <c r="C106" s="22" t="s">
        <v>447</v>
      </c>
      <c r="D106" s="28">
        <v>44099</v>
      </c>
      <c r="E106" s="22" t="s">
        <v>449</v>
      </c>
      <c r="F106" s="51">
        <v>28.445681</v>
      </c>
      <c r="G106" s="51">
        <v>59.79959</v>
      </c>
      <c r="H106" s="52"/>
      <c r="I106" s="54" t="s">
        <v>4</v>
      </c>
      <c r="J106" s="52"/>
      <c r="K106" s="54"/>
      <c r="L106" s="22">
        <v>6</v>
      </c>
      <c r="AG106" s="22" t="s">
        <v>450</v>
      </c>
      <c r="AN106" s="23">
        <v>3</v>
      </c>
      <c r="AO106" s="22">
        <v>2</v>
      </c>
      <c r="AP106" s="23">
        <v>1</v>
      </c>
      <c r="AQ106" s="23">
        <v>1</v>
      </c>
      <c r="AR106" s="23">
        <v>0</v>
      </c>
      <c r="AS106" s="23">
        <v>1</v>
      </c>
      <c r="AT106" s="22">
        <v>0</v>
      </c>
      <c r="AU106" s="22">
        <v>0</v>
      </c>
      <c r="AV106" s="23">
        <v>0</v>
      </c>
      <c r="AW106" s="22">
        <v>0</v>
      </c>
      <c r="AX106" s="23">
        <v>0</v>
      </c>
      <c r="AY106" s="23">
        <v>0</v>
      </c>
      <c r="AZ106" s="22">
        <v>0</v>
      </c>
      <c r="BA106" s="22">
        <v>0</v>
      </c>
      <c r="BB106" s="23">
        <v>0</v>
      </c>
      <c r="BC106" s="23">
        <v>1</v>
      </c>
      <c r="BD106" s="22">
        <v>0</v>
      </c>
      <c r="BE106" s="22">
        <v>0</v>
      </c>
      <c r="BF106" s="22">
        <v>0</v>
      </c>
      <c r="BG106" s="23">
        <v>0</v>
      </c>
      <c r="BH106" s="22">
        <v>0</v>
      </c>
      <c r="BI106" s="22">
        <v>0</v>
      </c>
      <c r="BJ106" s="22">
        <v>6</v>
      </c>
      <c r="BK106" s="22">
        <v>3</v>
      </c>
      <c r="BL106" s="22">
        <v>3</v>
      </c>
      <c r="BM106" s="22">
        <v>1</v>
      </c>
      <c r="BN106" s="22">
        <v>1</v>
      </c>
      <c r="BO106" s="22">
        <v>1</v>
      </c>
      <c r="BP106" s="22">
        <v>2</v>
      </c>
      <c r="BQ106" s="22">
        <v>2</v>
      </c>
      <c r="BR106" s="22">
        <v>1</v>
      </c>
      <c r="BS106" s="22">
        <v>0</v>
      </c>
      <c r="BT106" s="22">
        <v>0</v>
      </c>
      <c r="BU106" s="22">
        <v>1</v>
      </c>
      <c r="BV106" s="23">
        <f t="shared" si="6"/>
        <v>17</v>
      </c>
    </row>
    <row r="107" spans="1:74">
      <c r="A107" s="22">
        <f t="shared" si="7"/>
        <v>104</v>
      </c>
      <c r="B107" s="22">
        <v>3</v>
      </c>
      <c r="C107" s="22" t="s">
        <v>451</v>
      </c>
      <c r="D107" s="28">
        <v>44069</v>
      </c>
      <c r="F107" s="9">
        <v>28.8155018609</v>
      </c>
      <c r="G107" s="9">
        <v>59.7971851964</v>
      </c>
      <c r="H107" s="29">
        <f t="shared" si="8"/>
        <v>28</v>
      </c>
      <c r="I107" s="35">
        <v>48.958</v>
      </c>
      <c r="J107" s="29">
        <f t="shared" si="9"/>
        <v>59</v>
      </c>
      <c r="K107" s="35">
        <v>47.837</v>
      </c>
      <c r="L107" s="22">
        <v>4.3</v>
      </c>
      <c r="M107" s="22">
        <v>1.6</v>
      </c>
      <c r="O107" s="22">
        <v>18.4</v>
      </c>
      <c r="R107" s="22">
        <v>1.99</v>
      </c>
      <c r="T107" s="22">
        <v>8.47</v>
      </c>
      <c r="Y107" s="22">
        <v>152</v>
      </c>
      <c r="AC107" s="22" t="s">
        <v>452</v>
      </c>
      <c r="AE107" s="22" t="s">
        <v>122</v>
      </c>
      <c r="AF107" s="22" t="s">
        <v>453</v>
      </c>
      <c r="AG107" s="22" t="s">
        <v>454</v>
      </c>
      <c r="AH107" s="22" t="s">
        <v>455</v>
      </c>
      <c r="AK107" s="22" t="s">
        <v>122</v>
      </c>
      <c r="AL107" s="22" t="s">
        <v>122</v>
      </c>
      <c r="AN107" s="23">
        <v>2</v>
      </c>
      <c r="AO107" s="22">
        <v>1</v>
      </c>
      <c r="AP107" s="23">
        <v>1</v>
      </c>
      <c r="AQ107" s="23">
        <v>1</v>
      </c>
      <c r="AR107" s="23">
        <v>0</v>
      </c>
      <c r="AS107" s="23">
        <v>1</v>
      </c>
      <c r="AT107" s="22">
        <v>0</v>
      </c>
      <c r="AU107" s="22">
        <v>1</v>
      </c>
      <c r="AV107" s="23">
        <v>0</v>
      </c>
      <c r="AW107" s="22">
        <v>0</v>
      </c>
      <c r="AX107" s="23">
        <v>0</v>
      </c>
      <c r="AY107" s="23">
        <v>1</v>
      </c>
      <c r="AZ107" s="22">
        <v>0</v>
      </c>
      <c r="BA107" s="22">
        <v>0</v>
      </c>
      <c r="BB107" s="23">
        <v>0</v>
      </c>
      <c r="BC107" s="23">
        <v>1</v>
      </c>
      <c r="BD107" s="22">
        <v>0</v>
      </c>
      <c r="BE107" s="22">
        <v>0</v>
      </c>
      <c r="BF107" s="22">
        <v>0</v>
      </c>
      <c r="BG107" s="23">
        <v>0</v>
      </c>
      <c r="BH107" s="22">
        <v>0</v>
      </c>
      <c r="BI107" s="22">
        <v>0</v>
      </c>
      <c r="BJ107" s="22">
        <v>8</v>
      </c>
      <c r="BK107" s="22">
        <v>2</v>
      </c>
      <c r="BL107" s="22">
        <v>2</v>
      </c>
      <c r="BM107" s="22">
        <v>2</v>
      </c>
      <c r="BN107" s="22">
        <v>1</v>
      </c>
      <c r="BO107" s="22">
        <v>1</v>
      </c>
      <c r="BP107" s="22">
        <v>1</v>
      </c>
      <c r="BQ107" s="22">
        <v>1</v>
      </c>
      <c r="BR107" s="22">
        <v>0</v>
      </c>
      <c r="BS107" s="22">
        <v>0</v>
      </c>
      <c r="BT107" s="22">
        <v>0</v>
      </c>
      <c r="BU107" s="22">
        <v>0</v>
      </c>
      <c r="BV107" s="23">
        <f t="shared" si="6"/>
        <v>18</v>
      </c>
    </row>
    <row r="108" spans="1:33">
      <c r="A108" s="22">
        <f t="shared" si="7"/>
        <v>105</v>
      </c>
      <c r="B108" s="22">
        <v>3</v>
      </c>
      <c r="C108" s="22" t="s">
        <v>456</v>
      </c>
      <c r="D108" s="28">
        <v>44099</v>
      </c>
      <c r="E108" s="169" t="s">
        <v>457</v>
      </c>
      <c r="F108" s="31">
        <v>28.88426</v>
      </c>
      <c r="G108" s="31">
        <v>59.8256</v>
      </c>
      <c r="H108" s="22">
        <f t="shared" si="8"/>
        <v>28</v>
      </c>
      <c r="I108" s="15">
        <f t="shared" si="10"/>
        <v>53.0556000000001</v>
      </c>
      <c r="J108" s="22">
        <f t="shared" si="9"/>
        <v>59</v>
      </c>
      <c r="K108" s="15">
        <f t="shared" si="11"/>
        <v>49.5360000000001</v>
      </c>
      <c r="L108" s="22">
        <v>7.5</v>
      </c>
      <c r="O108" s="22">
        <v>14.2</v>
      </c>
      <c r="P108" s="22">
        <v>14</v>
      </c>
      <c r="R108" s="22">
        <f>5.78/2</f>
        <v>2.89</v>
      </c>
      <c r="S108" s="22">
        <f>6.17/2</f>
        <v>3.085</v>
      </c>
      <c r="T108" s="22">
        <v>9.15</v>
      </c>
      <c r="U108" s="22">
        <v>9.17</v>
      </c>
      <c r="Y108" s="22">
        <v>94</v>
      </c>
      <c r="Z108" s="22">
        <v>88</v>
      </c>
      <c r="AC108" s="22" t="s">
        <v>159</v>
      </c>
      <c r="AG108" s="22" t="s">
        <v>458</v>
      </c>
    </row>
    <row r="109" spans="3:74">
      <c r="C109" s="22" t="s">
        <v>456</v>
      </c>
      <c r="D109" s="28">
        <v>44069</v>
      </c>
      <c r="E109" s="169" t="s">
        <v>459</v>
      </c>
      <c r="F109" s="31">
        <v>28.88434</v>
      </c>
      <c r="G109" s="31">
        <v>59.82578</v>
      </c>
      <c r="L109" s="22">
        <v>7.3</v>
      </c>
      <c r="O109" s="22">
        <v>13.1</v>
      </c>
      <c r="P109" s="22">
        <v>14.1</v>
      </c>
      <c r="T109" s="22">
        <v>8.97</v>
      </c>
      <c r="U109" s="22">
        <v>9.11</v>
      </c>
      <c r="Y109" s="22">
        <v>66</v>
      </c>
      <c r="Z109" s="22">
        <v>58</v>
      </c>
      <c r="AC109" s="22" t="s">
        <v>460</v>
      </c>
      <c r="AG109" s="22" t="s">
        <v>458</v>
      </c>
      <c r="AH109" s="22" t="s">
        <v>461</v>
      </c>
      <c r="AK109" s="22" t="s">
        <v>205</v>
      </c>
      <c r="AN109" s="23">
        <v>5</v>
      </c>
      <c r="AO109" s="22">
        <v>2</v>
      </c>
      <c r="AP109" s="23">
        <v>3</v>
      </c>
      <c r="AQ109" s="23">
        <v>2</v>
      </c>
      <c r="AR109" s="23">
        <v>0</v>
      </c>
      <c r="AS109" s="23">
        <v>2</v>
      </c>
      <c r="AT109" s="22">
        <v>0</v>
      </c>
      <c r="AU109" s="22">
        <v>1</v>
      </c>
      <c r="AV109" s="23">
        <v>0</v>
      </c>
      <c r="AW109" s="22">
        <v>0</v>
      </c>
      <c r="AX109" s="23">
        <v>0</v>
      </c>
      <c r="AY109" s="23">
        <v>2</v>
      </c>
      <c r="AZ109" s="22">
        <v>0</v>
      </c>
      <c r="BA109" s="22">
        <v>0</v>
      </c>
      <c r="BB109" s="23">
        <v>0</v>
      </c>
      <c r="BC109" s="23">
        <v>1</v>
      </c>
      <c r="BD109" s="22">
        <v>0</v>
      </c>
      <c r="BE109" s="22">
        <v>0</v>
      </c>
      <c r="BF109" s="22">
        <v>0</v>
      </c>
      <c r="BG109" s="23">
        <v>0</v>
      </c>
      <c r="BH109" s="22">
        <v>1</v>
      </c>
      <c r="BI109" s="22">
        <v>0</v>
      </c>
      <c r="BJ109" s="22">
        <v>9</v>
      </c>
      <c r="BK109" s="22">
        <v>3</v>
      </c>
      <c r="BL109" s="22">
        <v>2</v>
      </c>
      <c r="BM109" s="22">
        <v>2</v>
      </c>
      <c r="BN109" s="22">
        <v>1</v>
      </c>
      <c r="BO109" s="22">
        <v>0</v>
      </c>
      <c r="BP109" s="22">
        <v>1</v>
      </c>
      <c r="BQ109" s="22">
        <v>1</v>
      </c>
      <c r="BR109" s="22">
        <v>0</v>
      </c>
      <c r="BS109" s="22">
        <v>0</v>
      </c>
      <c r="BT109" s="22">
        <v>0</v>
      </c>
      <c r="BU109" s="22">
        <v>0</v>
      </c>
      <c r="BV109" s="23">
        <f t="shared" si="6"/>
        <v>19</v>
      </c>
    </row>
    <row r="110" spans="1:74">
      <c r="A110" s="22">
        <f>A108+1</f>
        <v>106</v>
      </c>
      <c r="B110" s="22">
        <v>3</v>
      </c>
      <c r="C110" s="22" t="s">
        <v>462</v>
      </c>
      <c r="D110" s="28">
        <v>44099</v>
      </c>
      <c r="E110" s="169" t="s">
        <v>463</v>
      </c>
      <c r="F110" s="31">
        <v>28.8779861633</v>
      </c>
      <c r="G110" s="31">
        <v>59.8424452372999</v>
      </c>
      <c r="H110" s="23">
        <f t="shared" si="8"/>
        <v>28</v>
      </c>
      <c r="I110" s="31">
        <f t="shared" si="10"/>
        <v>52.6791697980001</v>
      </c>
      <c r="J110" s="23">
        <f t="shared" si="9"/>
        <v>59</v>
      </c>
      <c r="K110" s="31">
        <f t="shared" si="11"/>
        <v>50.5467142379939</v>
      </c>
      <c r="L110" s="22">
        <v>13.1</v>
      </c>
      <c r="O110" s="22">
        <v>14.6</v>
      </c>
      <c r="P110" s="22">
        <v>14.4</v>
      </c>
      <c r="R110" s="22">
        <f>5.96/2</f>
        <v>2.98</v>
      </c>
      <c r="S110" s="22">
        <f>6.07/2</f>
        <v>3.035</v>
      </c>
      <c r="T110" s="22">
        <v>8.72</v>
      </c>
      <c r="U110" s="22">
        <v>8.68</v>
      </c>
      <c r="Y110" s="22">
        <v>98</v>
      </c>
      <c r="Z110" s="22">
        <v>99</v>
      </c>
      <c r="AC110" s="22" t="s">
        <v>464</v>
      </c>
      <c r="AG110" s="22" t="s">
        <v>465</v>
      </c>
      <c r="AK110" s="22" t="s">
        <v>466</v>
      </c>
      <c r="AN110" s="23">
        <v>0</v>
      </c>
      <c r="AO110" s="22">
        <v>0</v>
      </c>
      <c r="AP110" s="23">
        <v>0</v>
      </c>
      <c r="AQ110" s="23">
        <v>0</v>
      </c>
      <c r="AR110" s="23">
        <v>0</v>
      </c>
      <c r="AS110" s="23">
        <v>0</v>
      </c>
      <c r="AT110" s="22">
        <v>0</v>
      </c>
      <c r="AU110" s="22">
        <v>0</v>
      </c>
      <c r="AV110" s="23">
        <v>0</v>
      </c>
      <c r="AW110" s="22">
        <v>0</v>
      </c>
      <c r="AX110" s="23">
        <v>1</v>
      </c>
      <c r="AY110" s="23">
        <v>0</v>
      </c>
      <c r="AZ110" s="22">
        <v>0</v>
      </c>
      <c r="BA110" s="22">
        <v>0</v>
      </c>
      <c r="BB110" s="23">
        <v>0</v>
      </c>
      <c r="BC110" s="23">
        <v>0</v>
      </c>
      <c r="BD110" s="22">
        <v>0</v>
      </c>
      <c r="BE110" s="22">
        <v>0</v>
      </c>
      <c r="BF110" s="22">
        <v>0</v>
      </c>
      <c r="BG110" s="23">
        <v>0</v>
      </c>
      <c r="BH110" s="22">
        <v>0</v>
      </c>
      <c r="BI110" s="22">
        <v>0</v>
      </c>
      <c r="BJ110" s="22">
        <v>1</v>
      </c>
      <c r="BK110" s="22">
        <v>1</v>
      </c>
      <c r="BL110" s="22">
        <v>2</v>
      </c>
      <c r="BM110" s="22">
        <v>1</v>
      </c>
      <c r="BN110" s="22">
        <v>1</v>
      </c>
      <c r="BO110" s="22">
        <v>1</v>
      </c>
      <c r="BP110" s="22">
        <v>2</v>
      </c>
      <c r="BQ110" s="22">
        <v>3</v>
      </c>
      <c r="BR110" s="22">
        <v>0</v>
      </c>
      <c r="BS110" s="22">
        <v>0</v>
      </c>
      <c r="BT110" s="22">
        <v>0</v>
      </c>
      <c r="BU110" s="22">
        <v>0</v>
      </c>
      <c r="BV110" s="23">
        <f t="shared" si="6"/>
        <v>12</v>
      </c>
    </row>
    <row r="111" spans="1:74">
      <c r="A111" s="22">
        <f t="shared" si="7"/>
        <v>107</v>
      </c>
      <c r="B111" s="22">
        <v>3</v>
      </c>
      <c r="C111" s="22" t="s">
        <v>467</v>
      </c>
      <c r="D111" s="28">
        <v>44099</v>
      </c>
      <c r="E111" s="169" t="s">
        <v>468</v>
      </c>
      <c r="F111" s="31">
        <v>28.8702632544</v>
      </c>
      <c r="G111" s="31">
        <v>59.8596656267</v>
      </c>
      <c r="H111" s="23">
        <f t="shared" si="8"/>
        <v>28</v>
      </c>
      <c r="I111" s="31">
        <f t="shared" si="10"/>
        <v>52.2157952640001</v>
      </c>
      <c r="J111" s="23">
        <f t="shared" si="9"/>
        <v>59</v>
      </c>
      <c r="K111" s="31">
        <f t="shared" si="11"/>
        <v>51.579937602</v>
      </c>
      <c r="L111" s="22">
        <v>17.6</v>
      </c>
      <c r="O111" s="22">
        <v>14.4</v>
      </c>
      <c r="P111" s="22">
        <v>14.4</v>
      </c>
      <c r="R111" s="22">
        <f>6.03/2</f>
        <v>3.015</v>
      </c>
      <c r="S111" s="22">
        <f>6.05/2</f>
        <v>3.025</v>
      </c>
      <c r="T111" s="22">
        <v>8.23</v>
      </c>
      <c r="U111" s="22">
        <v>8.25</v>
      </c>
      <c r="Y111" s="22">
        <v>185</v>
      </c>
      <c r="Z111" s="22">
        <v>183</v>
      </c>
      <c r="AC111" s="22" t="s">
        <v>469</v>
      </c>
      <c r="AG111" s="22" t="s">
        <v>465</v>
      </c>
      <c r="AK111" s="22" t="s">
        <v>466</v>
      </c>
      <c r="AN111" s="23">
        <v>0</v>
      </c>
      <c r="AO111" s="22">
        <v>0</v>
      </c>
      <c r="AP111" s="23">
        <v>0</v>
      </c>
      <c r="AQ111" s="23">
        <v>0</v>
      </c>
      <c r="AR111" s="23">
        <v>0</v>
      </c>
      <c r="AS111" s="23">
        <v>0</v>
      </c>
      <c r="AT111" s="22">
        <v>0</v>
      </c>
      <c r="AU111" s="22">
        <v>0</v>
      </c>
      <c r="AV111" s="23">
        <v>0</v>
      </c>
      <c r="AW111" s="22">
        <v>0</v>
      </c>
      <c r="AX111" s="23">
        <v>1</v>
      </c>
      <c r="AY111" s="23">
        <v>0</v>
      </c>
      <c r="AZ111" s="22">
        <v>0</v>
      </c>
      <c r="BA111" s="22">
        <v>0</v>
      </c>
      <c r="BB111" s="23">
        <v>0</v>
      </c>
      <c r="BC111" s="23">
        <v>0</v>
      </c>
      <c r="BD111" s="22">
        <v>0</v>
      </c>
      <c r="BE111" s="22">
        <v>0</v>
      </c>
      <c r="BF111" s="22">
        <v>0</v>
      </c>
      <c r="BG111" s="23">
        <v>0</v>
      </c>
      <c r="BH111" s="22">
        <v>0</v>
      </c>
      <c r="BI111" s="22">
        <v>0</v>
      </c>
      <c r="BJ111" s="22">
        <v>1</v>
      </c>
      <c r="BK111" s="22">
        <v>1</v>
      </c>
      <c r="BL111" s="22">
        <v>3</v>
      </c>
      <c r="BM111" s="22">
        <v>1</v>
      </c>
      <c r="BN111" s="22">
        <v>1</v>
      </c>
      <c r="BO111" s="22">
        <v>0</v>
      </c>
      <c r="BP111" s="22">
        <v>2</v>
      </c>
      <c r="BQ111" s="22">
        <v>3</v>
      </c>
      <c r="BR111" s="22">
        <v>0</v>
      </c>
      <c r="BS111" s="22">
        <v>0</v>
      </c>
      <c r="BT111" s="22">
        <v>0</v>
      </c>
      <c r="BU111" s="22">
        <v>0</v>
      </c>
      <c r="BV111" s="23">
        <f t="shared" si="6"/>
        <v>12</v>
      </c>
    </row>
    <row r="112" spans="1:74">
      <c r="A112" s="22">
        <f t="shared" si="7"/>
        <v>108</v>
      </c>
      <c r="B112" s="22">
        <v>3</v>
      </c>
      <c r="C112" s="22" t="s">
        <v>470</v>
      </c>
      <c r="D112" s="28">
        <v>44099</v>
      </c>
      <c r="E112" s="169" t="s">
        <v>471</v>
      </c>
      <c r="F112" s="31">
        <v>28.8838779324999</v>
      </c>
      <c r="G112" s="31">
        <v>59.8731599174</v>
      </c>
      <c r="H112" s="23">
        <f t="shared" si="8"/>
        <v>28</v>
      </c>
      <c r="I112" s="31">
        <f t="shared" si="10"/>
        <v>53.032675949994</v>
      </c>
      <c r="J112" s="23">
        <f t="shared" si="9"/>
        <v>59</v>
      </c>
      <c r="K112" s="31">
        <f t="shared" si="11"/>
        <v>52.3895950440001</v>
      </c>
      <c r="L112" s="22">
        <v>18.3</v>
      </c>
      <c r="O112" s="22">
        <v>14.8</v>
      </c>
      <c r="P112" s="22">
        <v>14.3</v>
      </c>
      <c r="R112" s="22">
        <f>5.74/2</f>
        <v>2.87</v>
      </c>
      <c r="S112" s="22">
        <f>6.03/2</f>
        <v>3.015</v>
      </c>
      <c r="T112" s="22">
        <v>8.32</v>
      </c>
      <c r="U112" s="22">
        <v>8.15</v>
      </c>
      <c r="Y112" s="22">
        <v>181</v>
      </c>
      <c r="Z112" s="22">
        <v>187</v>
      </c>
      <c r="AC112" s="22" t="s">
        <v>472</v>
      </c>
      <c r="AG112" s="22" t="s">
        <v>465</v>
      </c>
      <c r="AK112" s="22" t="s">
        <v>466</v>
      </c>
      <c r="AN112" s="23">
        <v>0</v>
      </c>
      <c r="AO112" s="22">
        <v>0</v>
      </c>
      <c r="AP112" s="23">
        <v>0</v>
      </c>
      <c r="AQ112" s="23">
        <v>0</v>
      </c>
      <c r="AR112" s="23">
        <v>0</v>
      </c>
      <c r="AS112" s="23">
        <v>0</v>
      </c>
      <c r="AT112" s="22">
        <v>0</v>
      </c>
      <c r="AU112" s="22">
        <v>0</v>
      </c>
      <c r="AV112" s="23">
        <v>0</v>
      </c>
      <c r="AW112" s="22">
        <v>0</v>
      </c>
      <c r="AX112" s="23">
        <v>1</v>
      </c>
      <c r="AY112" s="23">
        <v>0</v>
      </c>
      <c r="AZ112" s="22">
        <v>0</v>
      </c>
      <c r="BA112" s="22">
        <v>0</v>
      </c>
      <c r="BB112" s="23">
        <v>0</v>
      </c>
      <c r="BC112" s="23">
        <v>0</v>
      </c>
      <c r="BD112" s="22">
        <v>0</v>
      </c>
      <c r="BE112" s="22">
        <v>0</v>
      </c>
      <c r="BF112" s="22">
        <v>0</v>
      </c>
      <c r="BG112" s="23">
        <v>0</v>
      </c>
      <c r="BH112" s="22">
        <v>0</v>
      </c>
      <c r="BI112" s="22">
        <v>0</v>
      </c>
      <c r="BJ112" s="22">
        <v>1</v>
      </c>
      <c r="BK112" s="22">
        <v>1</v>
      </c>
      <c r="BL112" s="22">
        <v>3</v>
      </c>
      <c r="BM112" s="22">
        <v>1</v>
      </c>
      <c r="BN112" s="22">
        <v>0</v>
      </c>
      <c r="BO112" s="22">
        <v>0</v>
      </c>
      <c r="BP112" s="22">
        <v>2</v>
      </c>
      <c r="BQ112" s="22">
        <v>3</v>
      </c>
      <c r="BR112" s="22">
        <v>0</v>
      </c>
      <c r="BS112" s="22">
        <v>0</v>
      </c>
      <c r="BT112" s="22">
        <v>0</v>
      </c>
      <c r="BU112" s="22">
        <v>0</v>
      </c>
      <c r="BV112" s="23">
        <f t="shared" si="6"/>
        <v>11</v>
      </c>
    </row>
    <row r="113" spans="1:74">
      <c r="A113" s="22">
        <f t="shared" si="7"/>
        <v>109</v>
      </c>
      <c r="B113" s="22">
        <v>3</v>
      </c>
      <c r="C113" s="22" t="s">
        <v>473</v>
      </c>
      <c r="D113" s="28">
        <v>44099</v>
      </c>
      <c r="E113" s="169" t="s">
        <v>474</v>
      </c>
      <c r="F113" s="31">
        <v>28.9108051358999</v>
      </c>
      <c r="G113" s="31">
        <v>59.8415926738</v>
      </c>
      <c r="H113" s="23">
        <f t="shared" si="8"/>
        <v>28</v>
      </c>
      <c r="I113" s="31">
        <f t="shared" si="10"/>
        <v>54.648308153994</v>
      </c>
      <c r="J113" s="23">
        <f t="shared" si="9"/>
        <v>59</v>
      </c>
      <c r="K113" s="31">
        <f t="shared" si="11"/>
        <v>50.4955604280001</v>
      </c>
      <c r="L113" s="22">
        <v>11.5</v>
      </c>
      <c r="O113" s="22">
        <v>14.4</v>
      </c>
      <c r="P113" s="22">
        <v>14.1</v>
      </c>
      <c r="R113" s="22">
        <v>3</v>
      </c>
      <c r="S113" s="22">
        <v>3.31</v>
      </c>
      <c r="T113" s="22">
        <v>8.51</v>
      </c>
      <c r="U113" s="22">
        <v>8.44</v>
      </c>
      <c r="Y113" s="22">
        <v>104</v>
      </c>
      <c r="Z113" s="22">
        <v>104</v>
      </c>
      <c r="AC113" s="22" t="s">
        <v>475</v>
      </c>
      <c r="AG113" s="22" t="s">
        <v>465</v>
      </c>
      <c r="AK113" s="22" t="s">
        <v>466</v>
      </c>
      <c r="AN113" s="23">
        <v>1</v>
      </c>
      <c r="AO113" s="22">
        <v>0</v>
      </c>
      <c r="AP113" s="23">
        <v>0</v>
      </c>
      <c r="AQ113" s="23">
        <v>0</v>
      </c>
      <c r="AR113" s="23">
        <v>0</v>
      </c>
      <c r="AS113" s="23">
        <v>0</v>
      </c>
      <c r="AT113" s="22">
        <v>0</v>
      </c>
      <c r="AU113" s="22">
        <v>0</v>
      </c>
      <c r="AV113" s="23">
        <v>0</v>
      </c>
      <c r="AW113" s="22">
        <v>0</v>
      </c>
      <c r="AX113" s="23">
        <v>1</v>
      </c>
      <c r="AY113" s="23">
        <v>0</v>
      </c>
      <c r="AZ113" s="22">
        <v>0</v>
      </c>
      <c r="BA113" s="22">
        <v>0</v>
      </c>
      <c r="BB113" s="23">
        <v>0</v>
      </c>
      <c r="BC113" s="23">
        <v>0</v>
      </c>
      <c r="BD113" s="22">
        <v>0</v>
      </c>
      <c r="BE113" s="22">
        <v>0</v>
      </c>
      <c r="BF113" s="22">
        <v>0</v>
      </c>
      <c r="BG113" s="23">
        <v>0</v>
      </c>
      <c r="BH113" s="22">
        <v>0</v>
      </c>
      <c r="BI113" s="22">
        <v>0</v>
      </c>
      <c r="BJ113" s="22">
        <v>2</v>
      </c>
      <c r="BK113" s="22">
        <v>1</v>
      </c>
      <c r="BL113" s="22">
        <v>3</v>
      </c>
      <c r="BM113" s="22">
        <v>2</v>
      </c>
      <c r="BN113" s="22">
        <v>0</v>
      </c>
      <c r="BO113" s="22">
        <v>0</v>
      </c>
      <c r="BP113" s="22">
        <v>2</v>
      </c>
      <c r="BQ113" s="22">
        <v>3</v>
      </c>
      <c r="BR113" s="22">
        <v>0</v>
      </c>
      <c r="BS113" s="22">
        <v>0</v>
      </c>
      <c r="BT113" s="22">
        <v>0</v>
      </c>
      <c r="BU113" s="22">
        <v>0</v>
      </c>
      <c r="BV113" s="23">
        <f t="shared" si="6"/>
        <v>13</v>
      </c>
    </row>
    <row r="114" spans="1:74">
      <c r="A114" s="22">
        <f t="shared" si="7"/>
        <v>110</v>
      </c>
      <c r="B114" s="22">
        <v>3</v>
      </c>
      <c r="C114" s="22" t="s">
        <v>476</v>
      </c>
      <c r="D114" s="28">
        <v>44100</v>
      </c>
      <c r="E114" s="169" t="s">
        <v>477</v>
      </c>
      <c r="F114" s="31">
        <v>28.93077</v>
      </c>
      <c r="G114" s="31">
        <v>59.81306</v>
      </c>
      <c r="H114" s="22">
        <f t="shared" si="8"/>
        <v>28</v>
      </c>
      <c r="I114" s="15">
        <f t="shared" si="10"/>
        <v>55.8461999999999</v>
      </c>
      <c r="J114" s="22">
        <f t="shared" si="9"/>
        <v>59</v>
      </c>
      <c r="K114" s="15">
        <f t="shared" si="11"/>
        <v>48.7836</v>
      </c>
      <c r="L114" s="22">
        <v>3.3</v>
      </c>
      <c r="O114" s="22">
        <v>14.1</v>
      </c>
      <c r="P114" s="22">
        <v>14.1</v>
      </c>
      <c r="T114" s="22">
        <v>8.98</v>
      </c>
      <c r="U114" s="22">
        <v>9.09</v>
      </c>
      <c r="Y114" s="22">
        <v>137</v>
      </c>
      <c r="Z114" s="22">
        <v>136</v>
      </c>
      <c r="AC114" s="22" t="s">
        <v>478</v>
      </c>
      <c r="AG114" s="22" t="s">
        <v>311</v>
      </c>
      <c r="AH114" s="22" t="s">
        <v>479</v>
      </c>
      <c r="AK114" s="22" t="s">
        <v>122</v>
      </c>
      <c r="AN114" s="23">
        <v>3</v>
      </c>
      <c r="AO114" s="22">
        <v>2</v>
      </c>
      <c r="AP114" s="23">
        <v>2</v>
      </c>
      <c r="AQ114" s="23">
        <v>1</v>
      </c>
      <c r="AR114" s="23">
        <v>0</v>
      </c>
      <c r="AS114" s="23">
        <v>1</v>
      </c>
      <c r="AT114" s="22">
        <v>0</v>
      </c>
      <c r="AU114" s="22">
        <v>0</v>
      </c>
      <c r="AV114" s="23">
        <v>0</v>
      </c>
      <c r="AW114" s="22">
        <v>0</v>
      </c>
      <c r="AX114" s="23">
        <v>0</v>
      </c>
      <c r="AY114" s="23">
        <v>2</v>
      </c>
      <c r="AZ114" s="22">
        <v>0</v>
      </c>
      <c r="BA114" s="22">
        <v>0</v>
      </c>
      <c r="BB114" s="23">
        <v>0</v>
      </c>
      <c r="BC114" s="23">
        <v>0</v>
      </c>
      <c r="BD114" s="22">
        <v>0</v>
      </c>
      <c r="BE114" s="22">
        <v>0</v>
      </c>
      <c r="BF114" s="22">
        <v>0</v>
      </c>
      <c r="BG114" s="23">
        <v>0</v>
      </c>
      <c r="BH114" s="22">
        <v>0</v>
      </c>
      <c r="BI114" s="22">
        <v>0</v>
      </c>
      <c r="BJ114" s="22">
        <v>6</v>
      </c>
      <c r="BK114" s="22">
        <v>3</v>
      </c>
      <c r="BL114" s="22">
        <v>3</v>
      </c>
      <c r="BM114" s="22">
        <v>2</v>
      </c>
      <c r="BN114" s="22">
        <v>1</v>
      </c>
      <c r="BO114" s="22">
        <v>1</v>
      </c>
      <c r="BP114" s="22">
        <v>2</v>
      </c>
      <c r="BQ114" s="22">
        <v>3</v>
      </c>
      <c r="BR114" s="22">
        <v>0</v>
      </c>
      <c r="BS114" s="22">
        <v>0</v>
      </c>
      <c r="BT114" s="22">
        <v>0</v>
      </c>
      <c r="BU114" s="22">
        <v>0</v>
      </c>
      <c r="BV114" s="23">
        <f t="shared" si="6"/>
        <v>21</v>
      </c>
    </row>
    <row r="115" spans="1:74">
      <c r="A115" s="22">
        <f t="shared" si="7"/>
        <v>111</v>
      </c>
      <c r="B115" s="22">
        <v>3</v>
      </c>
      <c r="C115" s="22" t="s">
        <v>480</v>
      </c>
      <c r="D115" s="28">
        <v>44100</v>
      </c>
      <c r="E115" s="169" t="s">
        <v>481</v>
      </c>
      <c r="F115" s="31">
        <v>28.97081</v>
      </c>
      <c r="G115" s="31">
        <v>59.822222</v>
      </c>
      <c r="H115" s="22">
        <f t="shared" si="8"/>
        <v>28</v>
      </c>
      <c r="I115" s="15">
        <f t="shared" si="10"/>
        <v>58.2486</v>
      </c>
      <c r="J115" s="22">
        <f t="shared" si="9"/>
        <v>59</v>
      </c>
      <c r="K115" s="15">
        <f t="shared" si="11"/>
        <v>49.3333199999998</v>
      </c>
      <c r="L115" s="22">
        <v>1.9</v>
      </c>
      <c r="O115" s="22">
        <v>14.6</v>
      </c>
      <c r="P115" s="22">
        <v>14.4</v>
      </c>
      <c r="T115" s="22">
        <v>8.56</v>
      </c>
      <c r="U115" s="22">
        <v>8.48</v>
      </c>
      <c r="Y115" s="22">
        <v>178</v>
      </c>
      <c r="Z115" s="22">
        <v>178</v>
      </c>
      <c r="AC115" s="22" t="s">
        <v>482</v>
      </c>
      <c r="AG115" s="22" t="s">
        <v>311</v>
      </c>
      <c r="AH115" s="22" t="s">
        <v>483</v>
      </c>
      <c r="AK115" s="22" t="s">
        <v>122</v>
      </c>
      <c r="AN115" s="23">
        <v>0</v>
      </c>
      <c r="AO115" s="22">
        <v>1</v>
      </c>
      <c r="AP115" s="23">
        <v>0</v>
      </c>
      <c r="AQ115" s="23">
        <v>1</v>
      </c>
      <c r="AR115" s="23">
        <v>0</v>
      </c>
      <c r="AS115" s="23">
        <v>1</v>
      </c>
      <c r="AT115" s="22">
        <v>0</v>
      </c>
      <c r="AU115" s="22">
        <v>0</v>
      </c>
      <c r="AV115" s="23">
        <v>0</v>
      </c>
      <c r="AW115" s="22">
        <v>0</v>
      </c>
      <c r="AX115" s="23">
        <v>0</v>
      </c>
      <c r="AY115" s="23">
        <v>0</v>
      </c>
      <c r="AZ115" s="22">
        <v>0</v>
      </c>
      <c r="BA115" s="22">
        <v>0</v>
      </c>
      <c r="BB115" s="23">
        <v>0</v>
      </c>
      <c r="BC115" s="23">
        <v>0</v>
      </c>
      <c r="BD115" s="22">
        <v>0</v>
      </c>
      <c r="BE115" s="22">
        <v>0</v>
      </c>
      <c r="BF115" s="22">
        <v>0</v>
      </c>
      <c r="BG115" s="23">
        <v>0</v>
      </c>
      <c r="BH115" s="22">
        <v>0</v>
      </c>
      <c r="BI115" s="22">
        <v>0</v>
      </c>
      <c r="BJ115" s="22">
        <v>3</v>
      </c>
      <c r="BK115" s="22">
        <v>1</v>
      </c>
      <c r="BL115" s="22">
        <v>3</v>
      </c>
      <c r="BM115" s="22">
        <v>2</v>
      </c>
      <c r="BN115" s="22">
        <v>1</v>
      </c>
      <c r="BO115" s="22">
        <v>1</v>
      </c>
      <c r="BP115" s="22">
        <v>2</v>
      </c>
      <c r="BQ115" s="22">
        <v>3</v>
      </c>
      <c r="BR115" s="22">
        <v>0</v>
      </c>
      <c r="BS115" s="22">
        <v>0</v>
      </c>
      <c r="BT115" s="22">
        <v>1</v>
      </c>
      <c r="BU115" s="22">
        <v>0</v>
      </c>
      <c r="BV115" s="23">
        <f t="shared" si="6"/>
        <v>15</v>
      </c>
    </row>
    <row r="116" spans="1:74">
      <c r="A116" s="22">
        <f t="shared" si="7"/>
        <v>112</v>
      </c>
      <c r="B116" s="22">
        <v>3</v>
      </c>
      <c r="C116" s="22" t="s">
        <v>484</v>
      </c>
      <c r="D116" s="28">
        <v>44099</v>
      </c>
      <c r="E116" s="169" t="s">
        <v>485</v>
      </c>
      <c r="F116" s="31">
        <v>28.9480517456999</v>
      </c>
      <c r="G116" s="31">
        <v>59.8454194636999</v>
      </c>
      <c r="H116" s="23">
        <f t="shared" si="8"/>
        <v>28</v>
      </c>
      <c r="I116" s="31">
        <f t="shared" si="10"/>
        <v>56.883104741994</v>
      </c>
      <c r="J116" s="23">
        <f t="shared" si="9"/>
        <v>59</v>
      </c>
      <c r="K116" s="31">
        <f t="shared" si="11"/>
        <v>50.7251678219939</v>
      </c>
      <c r="L116" s="22">
        <v>8.7</v>
      </c>
      <c r="O116" s="22">
        <v>14.4</v>
      </c>
      <c r="P116" s="22">
        <v>14.2</v>
      </c>
      <c r="R116" s="22">
        <v>3</v>
      </c>
      <c r="S116" s="22">
        <v>3.15</v>
      </c>
      <c r="T116" s="22">
        <v>8.49</v>
      </c>
      <c r="U116" s="22">
        <v>8.55</v>
      </c>
      <c r="Y116" s="22">
        <v>130</v>
      </c>
      <c r="Z116" s="22">
        <v>131</v>
      </c>
      <c r="AC116" s="22" t="s">
        <v>486</v>
      </c>
      <c r="AG116" s="22" t="s">
        <v>465</v>
      </c>
      <c r="AK116" s="22" t="s">
        <v>466</v>
      </c>
      <c r="AN116" s="23">
        <v>0</v>
      </c>
      <c r="AO116" s="22">
        <v>0</v>
      </c>
      <c r="AP116" s="23">
        <v>0</v>
      </c>
      <c r="AQ116" s="23">
        <v>0</v>
      </c>
      <c r="AR116" s="23">
        <v>0</v>
      </c>
      <c r="AS116" s="23">
        <v>0</v>
      </c>
      <c r="AT116" s="22">
        <v>0</v>
      </c>
      <c r="AU116" s="22">
        <v>0</v>
      </c>
      <c r="AV116" s="23">
        <v>0</v>
      </c>
      <c r="AW116" s="22">
        <v>0</v>
      </c>
      <c r="AX116" s="23">
        <v>0</v>
      </c>
      <c r="AY116" s="23">
        <v>0</v>
      </c>
      <c r="AZ116" s="22">
        <v>0</v>
      </c>
      <c r="BA116" s="22">
        <v>0</v>
      </c>
      <c r="BB116" s="23">
        <v>0</v>
      </c>
      <c r="BC116" s="23">
        <v>1</v>
      </c>
      <c r="BD116" s="22">
        <v>0</v>
      </c>
      <c r="BE116" s="22">
        <v>0</v>
      </c>
      <c r="BF116" s="22">
        <v>0</v>
      </c>
      <c r="BG116" s="23">
        <v>0</v>
      </c>
      <c r="BH116" s="22">
        <v>0</v>
      </c>
      <c r="BI116" s="22">
        <v>0</v>
      </c>
      <c r="BJ116" s="22">
        <v>1</v>
      </c>
      <c r="BK116" s="22">
        <v>1</v>
      </c>
      <c r="BL116" s="22">
        <v>3</v>
      </c>
      <c r="BM116" s="22">
        <v>1</v>
      </c>
      <c r="BN116" s="22">
        <v>1</v>
      </c>
      <c r="BO116" s="22">
        <v>1</v>
      </c>
      <c r="BP116" s="22">
        <v>2</v>
      </c>
      <c r="BQ116" s="22">
        <v>3</v>
      </c>
      <c r="BR116" s="22">
        <v>0</v>
      </c>
      <c r="BS116" s="22">
        <v>0</v>
      </c>
      <c r="BT116" s="22">
        <v>1</v>
      </c>
      <c r="BU116" s="22">
        <v>0</v>
      </c>
      <c r="BV116" s="23">
        <f t="shared" si="6"/>
        <v>12</v>
      </c>
    </row>
    <row r="117" spans="1:74">
      <c r="A117" s="22">
        <f t="shared" si="7"/>
        <v>113</v>
      </c>
      <c r="B117" s="22">
        <v>3</v>
      </c>
      <c r="C117" s="22" t="s">
        <v>487</v>
      </c>
      <c r="D117" s="28">
        <v>44099</v>
      </c>
      <c r="E117" s="22" t="s">
        <v>488</v>
      </c>
      <c r="F117" s="31">
        <v>28.9178275997999</v>
      </c>
      <c r="G117" s="31">
        <v>59.8717193625999</v>
      </c>
      <c r="H117" s="23">
        <f t="shared" si="8"/>
        <v>28</v>
      </c>
      <c r="I117" s="31">
        <f t="shared" si="10"/>
        <v>55.069655987994</v>
      </c>
      <c r="J117" s="23">
        <f t="shared" si="9"/>
        <v>59</v>
      </c>
      <c r="K117" s="31">
        <f t="shared" si="11"/>
        <v>52.3031617559938</v>
      </c>
      <c r="L117" s="22">
        <v>14.5</v>
      </c>
      <c r="O117" s="22">
        <v>14.8</v>
      </c>
      <c r="P117" s="22">
        <v>14.4</v>
      </c>
      <c r="R117" s="22">
        <f>5.7/2</f>
        <v>2.85</v>
      </c>
      <c r="S117" s="22">
        <f>5.76/2</f>
        <v>2.88</v>
      </c>
      <c r="T117" s="22">
        <v>8.4</v>
      </c>
      <c r="U117" s="22">
        <v>8.15</v>
      </c>
      <c r="Y117" s="22">
        <v>187</v>
      </c>
      <c r="Z117" s="22">
        <v>194</v>
      </c>
      <c r="AC117" s="22" t="s">
        <v>489</v>
      </c>
      <c r="AG117" s="22" t="s">
        <v>465</v>
      </c>
      <c r="AK117" s="22" t="s">
        <v>466</v>
      </c>
      <c r="AN117" s="23">
        <v>0</v>
      </c>
      <c r="AO117" s="22">
        <v>0</v>
      </c>
      <c r="AP117" s="23">
        <v>0</v>
      </c>
      <c r="AQ117" s="23">
        <v>0</v>
      </c>
      <c r="AR117" s="23">
        <v>0</v>
      </c>
      <c r="AS117" s="23">
        <v>0</v>
      </c>
      <c r="AT117" s="22">
        <v>0</v>
      </c>
      <c r="AU117" s="22">
        <v>0</v>
      </c>
      <c r="AV117" s="23">
        <v>0</v>
      </c>
      <c r="AW117" s="22">
        <v>0</v>
      </c>
      <c r="AX117" s="23">
        <v>2</v>
      </c>
      <c r="AY117" s="23">
        <v>0</v>
      </c>
      <c r="AZ117" s="22">
        <v>0</v>
      </c>
      <c r="BA117" s="22">
        <v>0</v>
      </c>
      <c r="BB117" s="23">
        <v>0</v>
      </c>
      <c r="BC117" s="23">
        <v>1</v>
      </c>
      <c r="BD117" s="22">
        <v>0</v>
      </c>
      <c r="BE117" s="22">
        <v>0</v>
      </c>
      <c r="BF117" s="22">
        <v>0</v>
      </c>
      <c r="BG117" s="23">
        <v>0</v>
      </c>
      <c r="BH117" s="22">
        <v>0</v>
      </c>
      <c r="BI117" s="22">
        <v>0</v>
      </c>
      <c r="BJ117" s="22">
        <v>2</v>
      </c>
      <c r="BK117" s="22">
        <v>1</v>
      </c>
      <c r="BL117" s="22">
        <v>2</v>
      </c>
      <c r="BM117" s="22">
        <v>1</v>
      </c>
      <c r="BN117" s="22">
        <v>0</v>
      </c>
      <c r="BO117" s="22">
        <v>0</v>
      </c>
      <c r="BP117" s="22">
        <v>2</v>
      </c>
      <c r="BQ117" s="22">
        <v>3</v>
      </c>
      <c r="BR117" s="22">
        <v>0</v>
      </c>
      <c r="BS117" s="22">
        <v>0</v>
      </c>
      <c r="BT117" s="22">
        <v>0</v>
      </c>
      <c r="BU117" s="22">
        <v>0</v>
      </c>
      <c r="BV117" s="23">
        <f t="shared" si="6"/>
        <v>11</v>
      </c>
    </row>
    <row r="118" spans="1:74">
      <c r="A118" s="22">
        <f t="shared" si="7"/>
        <v>114</v>
      </c>
      <c r="B118" s="22">
        <v>3</v>
      </c>
      <c r="C118" s="22" t="s">
        <v>490</v>
      </c>
      <c r="D118" s="28">
        <v>44099</v>
      </c>
      <c r="E118" s="169" t="s">
        <v>491</v>
      </c>
      <c r="F118" s="31">
        <v>28.8852214019</v>
      </c>
      <c r="G118" s="31">
        <v>59.9035592167</v>
      </c>
      <c r="H118" s="23">
        <f t="shared" si="8"/>
        <v>28</v>
      </c>
      <c r="I118" s="31">
        <f t="shared" si="10"/>
        <v>53.1132841140001</v>
      </c>
      <c r="J118" s="23">
        <f t="shared" si="9"/>
        <v>59</v>
      </c>
      <c r="K118" s="31">
        <f t="shared" si="11"/>
        <v>54.2135530020002</v>
      </c>
      <c r="L118" s="22">
        <v>20</v>
      </c>
      <c r="O118" s="22">
        <v>15</v>
      </c>
      <c r="P118" s="22">
        <v>14.6</v>
      </c>
      <c r="R118" s="22">
        <f>5.1/2</f>
        <v>2.55</v>
      </c>
      <c r="S118" s="22">
        <f>5.45/2</f>
        <v>2.725</v>
      </c>
      <c r="T118" s="22">
        <v>8.11</v>
      </c>
      <c r="U118" s="22">
        <v>8.21</v>
      </c>
      <c r="Y118" s="22">
        <v>191</v>
      </c>
      <c r="Z118" s="22">
        <v>190</v>
      </c>
      <c r="AC118" s="22" t="s">
        <v>469</v>
      </c>
      <c r="AG118" s="22" t="s">
        <v>465</v>
      </c>
      <c r="AK118" s="22" t="s">
        <v>466</v>
      </c>
      <c r="AN118" s="23">
        <v>0</v>
      </c>
      <c r="AO118" s="22">
        <v>0</v>
      </c>
      <c r="AP118" s="23">
        <v>0</v>
      </c>
      <c r="AQ118" s="23">
        <v>0</v>
      </c>
      <c r="AR118" s="23">
        <v>0</v>
      </c>
      <c r="AS118" s="23">
        <v>0</v>
      </c>
      <c r="AT118" s="22">
        <v>0</v>
      </c>
      <c r="AU118" s="22">
        <v>0</v>
      </c>
      <c r="AV118" s="23">
        <v>0</v>
      </c>
      <c r="AW118" s="22">
        <v>0</v>
      </c>
      <c r="AX118" s="23">
        <v>2</v>
      </c>
      <c r="AY118" s="23">
        <v>0</v>
      </c>
      <c r="AZ118" s="22">
        <v>0</v>
      </c>
      <c r="BA118" s="22">
        <v>0</v>
      </c>
      <c r="BB118" s="23">
        <v>0</v>
      </c>
      <c r="BC118" s="23">
        <v>0</v>
      </c>
      <c r="BD118" s="22">
        <v>0</v>
      </c>
      <c r="BE118" s="22">
        <v>0</v>
      </c>
      <c r="BF118" s="22">
        <v>0</v>
      </c>
      <c r="BG118" s="23">
        <v>0</v>
      </c>
      <c r="BH118" s="22">
        <v>0</v>
      </c>
      <c r="BI118" s="22">
        <v>0</v>
      </c>
      <c r="BJ118" s="22">
        <v>0</v>
      </c>
      <c r="BK118" s="22">
        <v>0</v>
      </c>
      <c r="BL118" s="22">
        <v>2</v>
      </c>
      <c r="BM118" s="22">
        <v>1</v>
      </c>
      <c r="BN118" s="22">
        <v>0</v>
      </c>
      <c r="BO118" s="22">
        <v>0</v>
      </c>
      <c r="BP118" s="22">
        <v>2</v>
      </c>
      <c r="BQ118" s="22">
        <v>3</v>
      </c>
      <c r="BR118" s="22">
        <v>0</v>
      </c>
      <c r="BS118" s="22">
        <v>0</v>
      </c>
      <c r="BT118" s="22">
        <v>0</v>
      </c>
      <c r="BU118" s="22">
        <v>0</v>
      </c>
      <c r="BV118" s="23">
        <f t="shared" si="6"/>
        <v>8</v>
      </c>
    </row>
    <row r="119" spans="1:74">
      <c r="A119" s="22">
        <f t="shared" si="7"/>
        <v>115</v>
      </c>
      <c r="B119" s="22">
        <v>3</v>
      </c>
      <c r="C119" s="22" t="s">
        <v>492</v>
      </c>
      <c r="D119" s="28">
        <v>44069</v>
      </c>
      <c r="F119" s="9">
        <v>28.7933204136</v>
      </c>
      <c r="G119" s="9">
        <v>59.8089940003999</v>
      </c>
      <c r="H119" s="29">
        <f t="shared" si="8"/>
        <v>28</v>
      </c>
      <c r="I119" s="9">
        <f t="shared" si="10"/>
        <v>47.599224816</v>
      </c>
      <c r="J119" s="29">
        <f t="shared" si="9"/>
        <v>59</v>
      </c>
      <c r="K119" s="9">
        <f t="shared" si="11"/>
        <v>48.5396400239939</v>
      </c>
      <c r="L119" s="22">
        <v>3.5</v>
      </c>
      <c r="M119" s="22">
        <v>1.7</v>
      </c>
      <c r="O119" s="22">
        <v>18.5</v>
      </c>
      <c r="R119" s="22">
        <v>1.98</v>
      </c>
      <c r="T119" s="22">
        <v>8.63</v>
      </c>
      <c r="Y119" s="22">
        <v>131</v>
      </c>
      <c r="AC119" s="22" t="s">
        <v>493</v>
      </c>
      <c r="AE119" s="22" t="s">
        <v>494</v>
      </c>
      <c r="AF119" s="22" t="s">
        <v>495</v>
      </c>
      <c r="AK119" s="22" t="s">
        <v>122</v>
      </c>
      <c r="AL119" s="22" t="s">
        <v>122</v>
      </c>
      <c r="AN119" s="23">
        <v>1</v>
      </c>
      <c r="AO119" s="22">
        <v>1</v>
      </c>
      <c r="AP119" s="23">
        <v>1</v>
      </c>
      <c r="AQ119" s="23">
        <v>1</v>
      </c>
      <c r="AR119" s="23">
        <v>0</v>
      </c>
      <c r="AS119" s="23">
        <v>1</v>
      </c>
      <c r="AT119" s="22">
        <v>0</v>
      </c>
      <c r="AU119" s="22">
        <v>0</v>
      </c>
      <c r="AV119" s="23">
        <v>0</v>
      </c>
      <c r="AW119" s="22">
        <v>0</v>
      </c>
      <c r="AX119" s="23">
        <v>0</v>
      </c>
      <c r="AY119" s="23">
        <v>0</v>
      </c>
      <c r="AZ119" s="22">
        <v>0</v>
      </c>
      <c r="BA119" s="22">
        <v>0</v>
      </c>
      <c r="BB119" s="23">
        <v>0</v>
      </c>
      <c r="BC119" s="23">
        <v>1</v>
      </c>
      <c r="BD119" s="22">
        <v>0</v>
      </c>
      <c r="BE119" s="22">
        <v>0</v>
      </c>
      <c r="BF119" s="22">
        <v>0</v>
      </c>
      <c r="BG119" s="23">
        <v>0</v>
      </c>
      <c r="BH119" s="22">
        <v>0</v>
      </c>
      <c r="BI119" s="22">
        <v>0</v>
      </c>
      <c r="BJ119" s="22">
        <v>6</v>
      </c>
      <c r="BK119" s="22">
        <v>1</v>
      </c>
      <c r="BL119" s="22">
        <v>2</v>
      </c>
      <c r="BM119" s="22">
        <v>2</v>
      </c>
      <c r="BN119" s="22">
        <v>1</v>
      </c>
      <c r="BO119" s="22">
        <v>1</v>
      </c>
      <c r="BP119" s="22">
        <v>2</v>
      </c>
      <c r="BQ119" s="22">
        <v>1</v>
      </c>
      <c r="BR119" s="22">
        <v>0</v>
      </c>
      <c r="BS119" s="22">
        <v>0</v>
      </c>
      <c r="BT119" s="22">
        <v>1</v>
      </c>
      <c r="BU119" s="22">
        <v>0</v>
      </c>
      <c r="BV119" s="23">
        <f t="shared" si="6"/>
        <v>15</v>
      </c>
    </row>
    <row r="120" spans="1:74">
      <c r="A120" s="22">
        <f t="shared" si="7"/>
        <v>116</v>
      </c>
      <c r="B120" s="22">
        <v>3</v>
      </c>
      <c r="C120" s="22" t="s">
        <v>496</v>
      </c>
      <c r="D120" s="28">
        <v>44099</v>
      </c>
      <c r="E120" s="169" t="s">
        <v>497</v>
      </c>
      <c r="F120" s="31">
        <v>28.9189115438</v>
      </c>
      <c r="G120" s="31">
        <v>59.9036433352</v>
      </c>
      <c r="H120" s="23">
        <f t="shared" si="8"/>
        <v>28</v>
      </c>
      <c r="I120" s="31">
        <f t="shared" si="10"/>
        <v>55.134692628</v>
      </c>
      <c r="J120" s="23">
        <f t="shared" si="9"/>
        <v>59</v>
      </c>
      <c r="K120" s="31">
        <f t="shared" si="11"/>
        <v>54.2186001120001</v>
      </c>
      <c r="L120" s="22">
        <v>17.5</v>
      </c>
      <c r="O120" s="22">
        <v>14.3</v>
      </c>
      <c r="P120" s="22">
        <v>14.1</v>
      </c>
      <c r="R120" s="22">
        <f>5.14/2</f>
        <v>2.57</v>
      </c>
      <c r="S120" s="22">
        <f>5.45/2</f>
        <v>2.725</v>
      </c>
      <c r="T120" s="22">
        <v>8.3</v>
      </c>
      <c r="U120" s="22">
        <v>8.35</v>
      </c>
      <c r="Y120" s="22">
        <v>195</v>
      </c>
      <c r="Z120" s="22">
        <v>194</v>
      </c>
      <c r="AC120" s="22" t="s">
        <v>469</v>
      </c>
      <c r="AG120" s="22" t="s">
        <v>465</v>
      </c>
      <c r="AK120" s="22" t="s">
        <v>466</v>
      </c>
      <c r="AN120" s="23">
        <v>0</v>
      </c>
      <c r="AO120" s="22">
        <v>0</v>
      </c>
      <c r="AP120" s="23">
        <v>0</v>
      </c>
      <c r="AQ120" s="23">
        <v>0</v>
      </c>
      <c r="AR120" s="23">
        <v>0</v>
      </c>
      <c r="AS120" s="23">
        <v>0</v>
      </c>
      <c r="AT120" s="22">
        <v>0</v>
      </c>
      <c r="AU120" s="22">
        <v>0</v>
      </c>
      <c r="AV120" s="23">
        <v>0</v>
      </c>
      <c r="AW120" s="22">
        <v>0</v>
      </c>
      <c r="AX120" s="23">
        <v>3</v>
      </c>
      <c r="AY120" s="23">
        <v>0</v>
      </c>
      <c r="AZ120" s="22">
        <v>0</v>
      </c>
      <c r="BA120" s="22">
        <v>0</v>
      </c>
      <c r="BB120" s="23">
        <v>0</v>
      </c>
      <c r="BC120" s="23">
        <v>0</v>
      </c>
      <c r="BD120" s="22">
        <v>0</v>
      </c>
      <c r="BE120" s="22">
        <v>0</v>
      </c>
      <c r="BF120" s="22">
        <v>0</v>
      </c>
      <c r="BG120" s="23">
        <v>0</v>
      </c>
      <c r="BH120" s="22">
        <v>0</v>
      </c>
      <c r="BI120" s="22">
        <v>0</v>
      </c>
      <c r="BJ120" s="22">
        <v>1</v>
      </c>
      <c r="BK120" s="22">
        <v>1</v>
      </c>
      <c r="BL120" s="22">
        <v>2</v>
      </c>
      <c r="BM120" s="22">
        <v>1</v>
      </c>
      <c r="BN120" s="22">
        <v>0</v>
      </c>
      <c r="BO120" s="22">
        <v>0</v>
      </c>
      <c r="BP120" s="22">
        <v>2</v>
      </c>
      <c r="BQ120" s="22">
        <v>3</v>
      </c>
      <c r="BR120" s="22">
        <v>0</v>
      </c>
      <c r="BS120" s="22">
        <v>0</v>
      </c>
      <c r="BT120" s="22">
        <v>0</v>
      </c>
      <c r="BU120" s="22">
        <v>0</v>
      </c>
      <c r="BV120" s="23">
        <f t="shared" si="6"/>
        <v>10</v>
      </c>
    </row>
    <row r="121" spans="1:74">
      <c r="A121" s="22">
        <f t="shared" si="7"/>
        <v>117</v>
      </c>
      <c r="B121" s="22">
        <v>3</v>
      </c>
      <c r="C121" s="22" t="s">
        <v>498</v>
      </c>
      <c r="D121" s="28">
        <v>44099</v>
      </c>
      <c r="E121" s="169" t="s">
        <v>499</v>
      </c>
      <c r="F121" s="31">
        <v>28.9503414341</v>
      </c>
      <c r="G121" s="31">
        <v>59.8780862058</v>
      </c>
      <c r="H121" s="23">
        <f t="shared" si="8"/>
        <v>28</v>
      </c>
      <c r="I121" s="31">
        <f t="shared" si="10"/>
        <v>57.020486046</v>
      </c>
      <c r="J121" s="23">
        <f t="shared" si="9"/>
        <v>59</v>
      </c>
      <c r="K121" s="31">
        <f t="shared" si="11"/>
        <v>52.6851723480002</v>
      </c>
      <c r="L121" s="22">
        <v>13.4</v>
      </c>
      <c r="O121" s="22">
        <v>14.3</v>
      </c>
      <c r="P121" s="22">
        <v>14.1</v>
      </c>
      <c r="R121" s="22">
        <f>5.75/2</f>
        <v>2.875</v>
      </c>
      <c r="S121" s="22">
        <f>5.75/2</f>
        <v>2.875</v>
      </c>
      <c r="T121" s="22">
        <v>8.23</v>
      </c>
      <c r="U121" s="22">
        <v>8.3</v>
      </c>
      <c r="Y121" s="22">
        <v>189</v>
      </c>
      <c r="Z121" s="22">
        <v>187</v>
      </c>
      <c r="AC121" s="22" t="s">
        <v>500</v>
      </c>
      <c r="AG121" s="22" t="s">
        <v>465</v>
      </c>
      <c r="AK121" s="22" t="s">
        <v>466</v>
      </c>
      <c r="AN121" s="23">
        <v>0</v>
      </c>
      <c r="AO121" s="22">
        <v>0</v>
      </c>
      <c r="AP121" s="23">
        <v>0</v>
      </c>
      <c r="AQ121" s="23">
        <v>0</v>
      </c>
      <c r="AR121" s="23">
        <v>0</v>
      </c>
      <c r="AS121" s="23">
        <v>0</v>
      </c>
      <c r="AT121" s="22">
        <v>0</v>
      </c>
      <c r="AU121" s="22">
        <v>0</v>
      </c>
      <c r="AV121" s="23">
        <v>0</v>
      </c>
      <c r="AW121" s="22">
        <v>0</v>
      </c>
      <c r="AX121" s="23">
        <v>0</v>
      </c>
      <c r="AY121" s="23">
        <v>0</v>
      </c>
      <c r="AZ121" s="22">
        <v>0</v>
      </c>
      <c r="BA121" s="22">
        <v>0</v>
      </c>
      <c r="BB121" s="23">
        <v>0</v>
      </c>
      <c r="BC121" s="23">
        <v>0</v>
      </c>
      <c r="BD121" s="22">
        <v>1</v>
      </c>
      <c r="BE121" s="22">
        <v>0</v>
      </c>
      <c r="BF121" s="22">
        <v>0</v>
      </c>
      <c r="BG121" s="23">
        <v>0</v>
      </c>
      <c r="BH121" s="22">
        <v>0</v>
      </c>
      <c r="BI121" s="22">
        <v>0</v>
      </c>
      <c r="BJ121" s="22">
        <v>0</v>
      </c>
      <c r="BK121" s="22">
        <v>0</v>
      </c>
      <c r="BL121" s="22">
        <v>2</v>
      </c>
      <c r="BM121" s="22">
        <v>1</v>
      </c>
      <c r="BN121" s="22">
        <v>1</v>
      </c>
      <c r="BO121" s="22">
        <v>0</v>
      </c>
      <c r="BP121" s="22">
        <v>2</v>
      </c>
      <c r="BQ121" s="22">
        <v>3</v>
      </c>
      <c r="BR121" s="22">
        <v>0</v>
      </c>
      <c r="BS121" s="22">
        <v>0</v>
      </c>
      <c r="BT121" s="22">
        <v>0</v>
      </c>
      <c r="BU121" s="22">
        <v>0</v>
      </c>
      <c r="BV121" s="23">
        <f t="shared" si="6"/>
        <v>9</v>
      </c>
    </row>
    <row r="122" spans="1:74">
      <c r="A122" s="22">
        <f t="shared" si="7"/>
        <v>118</v>
      </c>
      <c r="B122" s="22">
        <v>3</v>
      </c>
      <c r="C122" s="22" t="s">
        <v>501</v>
      </c>
      <c r="D122" s="28">
        <v>44099</v>
      </c>
      <c r="E122" s="169" t="s">
        <v>502</v>
      </c>
      <c r="F122" s="31">
        <v>28.9880592304</v>
      </c>
      <c r="G122" s="31">
        <v>59.8573693913999</v>
      </c>
      <c r="H122" s="23">
        <f t="shared" si="8"/>
        <v>28</v>
      </c>
      <c r="I122" s="31">
        <f t="shared" si="10"/>
        <v>59.2835538240001</v>
      </c>
      <c r="J122" s="23">
        <f t="shared" si="9"/>
        <v>59</v>
      </c>
      <c r="K122" s="31">
        <f t="shared" si="11"/>
        <v>51.442163483994</v>
      </c>
      <c r="L122" s="22">
        <v>9.1</v>
      </c>
      <c r="O122" s="22">
        <v>15.1</v>
      </c>
      <c r="P122" s="22">
        <v>14.5</v>
      </c>
      <c r="R122" s="22">
        <f>6.26/2</f>
        <v>3.13</v>
      </c>
      <c r="S122" s="22">
        <v>3</v>
      </c>
      <c r="T122" s="22">
        <v>8.92</v>
      </c>
      <c r="U122" s="22">
        <v>8.88</v>
      </c>
      <c r="Y122" s="22">
        <v>84</v>
      </c>
      <c r="Z122" s="22">
        <v>72</v>
      </c>
      <c r="AC122" s="22" t="s">
        <v>353</v>
      </c>
      <c r="AG122" s="22" t="s">
        <v>465</v>
      </c>
      <c r="AK122" s="22" t="s">
        <v>466</v>
      </c>
      <c r="AN122" s="23">
        <v>0</v>
      </c>
      <c r="AO122" s="22">
        <v>0</v>
      </c>
      <c r="AP122" s="23">
        <v>0</v>
      </c>
      <c r="AQ122" s="23">
        <v>1</v>
      </c>
      <c r="AR122" s="23">
        <v>0</v>
      </c>
      <c r="AS122" s="23">
        <v>0</v>
      </c>
      <c r="AT122" s="22">
        <v>0</v>
      </c>
      <c r="AU122" s="22">
        <v>0</v>
      </c>
      <c r="AV122" s="23">
        <v>0</v>
      </c>
      <c r="AW122" s="22">
        <v>0</v>
      </c>
      <c r="AX122" s="23">
        <v>0</v>
      </c>
      <c r="AY122" s="23">
        <v>0</v>
      </c>
      <c r="AZ122" s="22">
        <v>0</v>
      </c>
      <c r="BA122" s="22">
        <v>0</v>
      </c>
      <c r="BB122" s="23">
        <v>0</v>
      </c>
      <c r="BC122" s="23">
        <v>0</v>
      </c>
      <c r="BD122" s="22">
        <v>1</v>
      </c>
      <c r="BE122" s="22">
        <v>0</v>
      </c>
      <c r="BF122" s="22">
        <v>0</v>
      </c>
      <c r="BG122" s="23">
        <v>0</v>
      </c>
      <c r="BH122" s="22">
        <v>0</v>
      </c>
      <c r="BI122" s="22">
        <v>0</v>
      </c>
      <c r="BJ122" s="22">
        <v>1</v>
      </c>
      <c r="BK122" s="22">
        <v>1</v>
      </c>
      <c r="BL122" s="22">
        <v>3</v>
      </c>
      <c r="BM122" s="22">
        <v>1</v>
      </c>
      <c r="BN122" s="22">
        <v>1</v>
      </c>
      <c r="BO122" s="22">
        <v>0</v>
      </c>
      <c r="BP122" s="22">
        <v>2</v>
      </c>
      <c r="BQ122" s="22">
        <v>3</v>
      </c>
      <c r="BR122" s="22">
        <v>0</v>
      </c>
      <c r="BS122" s="22">
        <v>0</v>
      </c>
      <c r="BT122" s="22">
        <v>0</v>
      </c>
      <c r="BU122" s="22">
        <v>0</v>
      </c>
      <c r="BV122" s="23">
        <f t="shared" si="6"/>
        <v>12</v>
      </c>
    </row>
    <row r="123" spans="1:74">
      <c r="A123" s="22">
        <f t="shared" si="7"/>
        <v>119</v>
      </c>
      <c r="B123" s="22">
        <v>3</v>
      </c>
      <c r="C123" s="29" t="s">
        <v>6</v>
      </c>
      <c r="D123" s="28">
        <v>44099</v>
      </c>
      <c r="E123" s="169" t="s">
        <v>503</v>
      </c>
      <c r="F123" s="31">
        <v>29.01154</v>
      </c>
      <c r="G123" s="31">
        <v>59.84193</v>
      </c>
      <c r="H123" s="22">
        <f t="shared" si="8"/>
        <v>29</v>
      </c>
      <c r="I123" s="15">
        <f t="shared" si="10"/>
        <v>0.692400000000006</v>
      </c>
      <c r="J123" s="22">
        <f t="shared" si="9"/>
        <v>59</v>
      </c>
      <c r="K123" s="15">
        <f t="shared" si="11"/>
        <v>50.5157999999999</v>
      </c>
      <c r="L123" s="22">
        <v>5.1</v>
      </c>
      <c r="O123" s="22">
        <v>16.1</v>
      </c>
      <c r="P123" s="22">
        <v>15.6</v>
      </c>
      <c r="R123" s="22">
        <v>3.2</v>
      </c>
      <c r="S123" s="22">
        <v>3.17</v>
      </c>
      <c r="T123" s="22">
        <v>8.92</v>
      </c>
      <c r="U123" s="22">
        <v>8.88</v>
      </c>
      <c r="Y123" s="22">
        <v>56</v>
      </c>
      <c r="Z123" s="22">
        <v>65</v>
      </c>
      <c r="AC123" s="22" t="s">
        <v>486</v>
      </c>
      <c r="AG123" s="22" t="s">
        <v>465</v>
      </c>
      <c r="AK123" s="22" t="s">
        <v>466</v>
      </c>
      <c r="AN123" s="23">
        <v>0</v>
      </c>
      <c r="AO123" s="22">
        <v>0</v>
      </c>
      <c r="AP123" s="23">
        <v>0</v>
      </c>
      <c r="AQ123" s="23">
        <v>1</v>
      </c>
      <c r="AR123" s="23">
        <v>0</v>
      </c>
      <c r="AS123" s="23">
        <v>0</v>
      </c>
      <c r="AT123" s="22">
        <v>0</v>
      </c>
      <c r="AU123" s="22">
        <v>0</v>
      </c>
      <c r="AV123" s="23">
        <v>0</v>
      </c>
      <c r="AW123" s="22">
        <v>0</v>
      </c>
      <c r="AX123" s="23">
        <v>0</v>
      </c>
      <c r="AY123" s="23">
        <v>1</v>
      </c>
      <c r="AZ123" s="22">
        <v>0</v>
      </c>
      <c r="BA123" s="22">
        <v>0</v>
      </c>
      <c r="BB123" s="23">
        <v>1</v>
      </c>
      <c r="BC123" s="23">
        <v>1</v>
      </c>
      <c r="BD123" s="22">
        <v>1</v>
      </c>
      <c r="BE123" s="22">
        <v>0</v>
      </c>
      <c r="BF123" s="22">
        <v>0</v>
      </c>
      <c r="BG123" s="23">
        <v>0</v>
      </c>
      <c r="BH123" s="22">
        <v>0</v>
      </c>
      <c r="BI123" s="22">
        <v>0</v>
      </c>
      <c r="BJ123" s="22">
        <v>6</v>
      </c>
      <c r="BK123" s="22">
        <v>1</v>
      </c>
      <c r="BL123" s="22">
        <v>3</v>
      </c>
      <c r="BM123" s="22">
        <v>1</v>
      </c>
      <c r="BN123" s="22">
        <v>1</v>
      </c>
      <c r="BO123" s="22">
        <v>1</v>
      </c>
      <c r="BP123" s="22">
        <v>2</v>
      </c>
      <c r="BQ123" s="22">
        <v>3</v>
      </c>
      <c r="BR123" s="22">
        <v>0</v>
      </c>
      <c r="BS123" s="22">
        <v>0</v>
      </c>
      <c r="BT123" s="22">
        <v>0</v>
      </c>
      <c r="BU123" s="22">
        <v>0</v>
      </c>
      <c r="BV123" s="23">
        <f t="shared" si="6"/>
        <v>18</v>
      </c>
    </row>
    <row r="124" spans="1:74">
      <c r="A124" s="22">
        <f t="shared" si="7"/>
        <v>120</v>
      </c>
      <c r="B124" s="22">
        <v>3</v>
      </c>
      <c r="C124" s="22" t="s">
        <v>504</v>
      </c>
      <c r="D124" s="28">
        <v>44099</v>
      </c>
      <c r="E124" s="169" t="s">
        <v>505</v>
      </c>
      <c r="F124" s="31">
        <v>29.06122</v>
      </c>
      <c r="G124" s="31">
        <v>59.88295</v>
      </c>
      <c r="H124" s="22">
        <f t="shared" si="8"/>
        <v>29</v>
      </c>
      <c r="I124" s="15">
        <f t="shared" si="10"/>
        <v>3.67319999999992</v>
      </c>
      <c r="J124" s="22">
        <f t="shared" si="9"/>
        <v>59</v>
      </c>
      <c r="K124" s="15">
        <f t="shared" si="11"/>
        <v>52.9770000000001</v>
      </c>
      <c r="L124" s="22">
        <v>20</v>
      </c>
      <c r="AC124" s="23" t="s">
        <v>506</v>
      </c>
      <c r="AG124" s="22" t="s">
        <v>465</v>
      </c>
      <c r="AK124" s="22" t="s">
        <v>466</v>
      </c>
      <c r="AN124" s="23">
        <v>0</v>
      </c>
      <c r="AO124" s="22">
        <v>0</v>
      </c>
      <c r="AP124" s="23">
        <v>0</v>
      </c>
      <c r="AQ124" s="23">
        <v>0</v>
      </c>
      <c r="AR124" s="23">
        <v>0</v>
      </c>
      <c r="AS124" s="23">
        <v>0</v>
      </c>
      <c r="AT124" s="22">
        <v>0</v>
      </c>
      <c r="AU124" s="22">
        <v>0</v>
      </c>
      <c r="AV124" s="23">
        <v>0</v>
      </c>
      <c r="AW124" s="22">
        <v>0</v>
      </c>
      <c r="AX124" s="23">
        <v>3</v>
      </c>
      <c r="AY124" s="23">
        <v>1</v>
      </c>
      <c r="AZ124" s="22">
        <v>0</v>
      </c>
      <c r="BA124" s="22">
        <v>0</v>
      </c>
      <c r="BB124" s="23">
        <v>0</v>
      </c>
      <c r="BC124" s="23">
        <v>0</v>
      </c>
      <c r="BD124" s="22">
        <v>1</v>
      </c>
      <c r="BE124" s="22">
        <v>0</v>
      </c>
      <c r="BF124" s="22">
        <v>0</v>
      </c>
      <c r="BG124" s="23">
        <v>0</v>
      </c>
      <c r="BH124" s="22">
        <v>0</v>
      </c>
      <c r="BI124" s="22">
        <v>0</v>
      </c>
      <c r="BJ124" s="22">
        <v>4</v>
      </c>
      <c r="BK124" s="22">
        <v>3</v>
      </c>
      <c r="BL124" s="22">
        <v>3</v>
      </c>
      <c r="BM124" s="22">
        <v>1</v>
      </c>
      <c r="BN124" s="22">
        <v>0</v>
      </c>
      <c r="BO124" s="22">
        <v>0</v>
      </c>
      <c r="BP124" s="22">
        <v>2</v>
      </c>
      <c r="BQ124" s="22">
        <v>4</v>
      </c>
      <c r="BR124" s="22">
        <v>0</v>
      </c>
      <c r="BS124" s="22">
        <v>0</v>
      </c>
      <c r="BT124" s="22">
        <v>0</v>
      </c>
      <c r="BU124" s="22">
        <v>0</v>
      </c>
      <c r="BV124" s="23">
        <f t="shared" si="6"/>
        <v>17</v>
      </c>
    </row>
    <row r="125" spans="1:74">
      <c r="A125" s="22">
        <f t="shared" si="7"/>
        <v>121</v>
      </c>
      <c r="B125" s="22">
        <v>3</v>
      </c>
      <c r="C125" s="22" t="s">
        <v>507</v>
      </c>
      <c r="D125" s="28">
        <v>44099</v>
      </c>
      <c r="E125" s="169" t="s">
        <v>508</v>
      </c>
      <c r="F125" s="31">
        <v>29.0280495937999</v>
      </c>
      <c r="G125" s="31">
        <v>59.8871793531999</v>
      </c>
      <c r="H125" s="23">
        <f t="shared" si="8"/>
        <v>29</v>
      </c>
      <c r="I125" s="31">
        <f t="shared" si="10"/>
        <v>1.68297562799395</v>
      </c>
      <c r="J125" s="23">
        <f t="shared" si="9"/>
        <v>59</v>
      </c>
      <c r="K125" s="31">
        <f t="shared" si="11"/>
        <v>53.2307611919938</v>
      </c>
      <c r="L125" s="22">
        <v>7.2</v>
      </c>
      <c r="O125" s="22">
        <v>15.3</v>
      </c>
      <c r="P125" s="22">
        <v>15</v>
      </c>
      <c r="R125" s="22">
        <v>3.09</v>
      </c>
      <c r="S125" s="22">
        <v>3.06</v>
      </c>
      <c r="T125" s="22">
        <v>9.1</v>
      </c>
      <c r="U125" s="22">
        <v>9</v>
      </c>
      <c r="Y125" s="22">
        <v>41</v>
      </c>
      <c r="Z125" s="22">
        <v>49</v>
      </c>
      <c r="AC125" s="22" t="s">
        <v>486</v>
      </c>
      <c r="AG125" s="22" t="s">
        <v>465</v>
      </c>
      <c r="AK125" s="22" t="s">
        <v>466</v>
      </c>
      <c r="AN125" s="23">
        <v>0</v>
      </c>
      <c r="AO125" s="22">
        <v>0</v>
      </c>
      <c r="AP125" s="23">
        <v>0</v>
      </c>
      <c r="AQ125" s="23">
        <v>0</v>
      </c>
      <c r="AR125" s="23">
        <v>0</v>
      </c>
      <c r="AS125" s="23">
        <v>0</v>
      </c>
      <c r="AT125" s="22">
        <v>0</v>
      </c>
      <c r="AU125" s="22">
        <v>0</v>
      </c>
      <c r="AV125" s="23">
        <v>0</v>
      </c>
      <c r="AW125" s="22">
        <v>0</v>
      </c>
      <c r="AX125" s="23">
        <v>0</v>
      </c>
      <c r="AY125" s="23">
        <v>0</v>
      </c>
      <c r="AZ125" s="22">
        <v>0</v>
      </c>
      <c r="BA125" s="22">
        <v>0</v>
      </c>
      <c r="BB125" s="23">
        <v>0</v>
      </c>
      <c r="BC125" s="23">
        <v>0</v>
      </c>
      <c r="BD125" s="22">
        <v>1</v>
      </c>
      <c r="BE125" s="22">
        <v>0</v>
      </c>
      <c r="BF125" s="22">
        <v>0</v>
      </c>
      <c r="BG125" s="23">
        <v>0</v>
      </c>
      <c r="BH125" s="22">
        <v>0</v>
      </c>
      <c r="BI125" s="22">
        <v>0</v>
      </c>
      <c r="BJ125" s="22">
        <v>3</v>
      </c>
      <c r="BK125" s="22">
        <v>2</v>
      </c>
      <c r="BL125" s="22">
        <v>3</v>
      </c>
      <c r="BM125" s="22">
        <v>1</v>
      </c>
      <c r="BN125" s="22">
        <v>1</v>
      </c>
      <c r="BO125" s="22">
        <v>1</v>
      </c>
      <c r="BP125" s="22">
        <v>2</v>
      </c>
      <c r="BQ125" s="22">
        <v>4</v>
      </c>
      <c r="BR125" s="22">
        <v>0</v>
      </c>
      <c r="BS125" s="22">
        <v>0</v>
      </c>
      <c r="BT125" s="22">
        <v>0</v>
      </c>
      <c r="BU125" s="22">
        <v>0</v>
      </c>
      <c r="BV125" s="23">
        <f t="shared" si="6"/>
        <v>17</v>
      </c>
    </row>
    <row r="126" spans="1:33">
      <c r="A126" s="22">
        <f t="shared" si="7"/>
        <v>122</v>
      </c>
      <c r="B126" s="22">
        <v>3</v>
      </c>
      <c r="C126" s="22" t="s">
        <v>509</v>
      </c>
      <c r="D126" s="28">
        <v>44099</v>
      </c>
      <c r="E126" s="169" t="s">
        <v>510</v>
      </c>
      <c r="F126" s="31">
        <v>28.9646135459</v>
      </c>
      <c r="G126" s="31">
        <v>59.9155101965</v>
      </c>
      <c r="H126" s="23">
        <f t="shared" si="8"/>
        <v>28</v>
      </c>
      <c r="I126" s="31">
        <f t="shared" si="10"/>
        <v>57.876812754</v>
      </c>
      <c r="J126" s="23">
        <f t="shared" si="9"/>
        <v>59</v>
      </c>
      <c r="K126" s="31">
        <f t="shared" si="11"/>
        <v>54.9306117900001</v>
      </c>
      <c r="L126" s="22">
        <v>9.5</v>
      </c>
      <c r="O126" s="22">
        <v>14.5</v>
      </c>
      <c r="P126" s="22">
        <v>14.5</v>
      </c>
      <c r="R126" s="22">
        <f>5.28/2</f>
        <v>2.64</v>
      </c>
      <c r="S126" s="22">
        <f>5.52/2</f>
        <v>2.76</v>
      </c>
      <c r="T126" s="22">
        <v>7.8</v>
      </c>
      <c r="U126" s="22">
        <v>7.99</v>
      </c>
      <c r="Y126" s="22">
        <v>209</v>
      </c>
      <c r="Z126" s="22">
        <v>207</v>
      </c>
      <c r="AG126" s="22" t="s">
        <v>511</v>
      </c>
    </row>
    <row r="127" spans="3:74">
      <c r="C127" s="22" t="s">
        <v>509</v>
      </c>
      <c r="D127" s="28">
        <v>44100</v>
      </c>
      <c r="E127" s="169" t="s">
        <v>512</v>
      </c>
      <c r="F127" s="31">
        <v>28.96489</v>
      </c>
      <c r="G127" s="31">
        <v>59.91561</v>
      </c>
      <c r="H127" s="22">
        <f t="shared" si="8"/>
        <v>28</v>
      </c>
      <c r="I127" s="15">
        <f t="shared" si="10"/>
        <v>57.8934</v>
      </c>
      <c r="J127" s="22">
        <f t="shared" si="9"/>
        <v>59</v>
      </c>
      <c r="K127" s="15">
        <f t="shared" si="11"/>
        <v>54.9366000000001</v>
      </c>
      <c r="L127" s="22">
        <v>9.7</v>
      </c>
      <c r="O127" s="22">
        <v>14.6</v>
      </c>
      <c r="P127" s="22">
        <v>14.6</v>
      </c>
      <c r="T127" s="22">
        <v>9.34</v>
      </c>
      <c r="U127" s="22">
        <v>9.57</v>
      </c>
      <c r="Y127" s="22">
        <v>51</v>
      </c>
      <c r="Z127" s="22">
        <v>31</v>
      </c>
      <c r="AC127" s="22" t="s">
        <v>513</v>
      </c>
      <c r="AG127" s="22" t="s">
        <v>311</v>
      </c>
      <c r="AH127" s="22" t="s">
        <v>514</v>
      </c>
      <c r="AK127" s="22" t="s">
        <v>122</v>
      </c>
      <c r="AN127" s="23">
        <v>3</v>
      </c>
      <c r="AO127" s="22">
        <v>3</v>
      </c>
      <c r="AP127" s="23">
        <v>1</v>
      </c>
      <c r="AQ127" s="23">
        <v>2</v>
      </c>
      <c r="AR127" s="23">
        <v>0</v>
      </c>
      <c r="AS127" s="23">
        <v>1</v>
      </c>
      <c r="AT127" s="22">
        <v>0</v>
      </c>
      <c r="AU127" s="22">
        <v>1</v>
      </c>
      <c r="AV127" s="23">
        <v>0</v>
      </c>
      <c r="AW127" s="22">
        <v>0</v>
      </c>
      <c r="AX127" s="23">
        <v>0</v>
      </c>
      <c r="AY127" s="23">
        <v>3</v>
      </c>
      <c r="AZ127" s="22">
        <v>0</v>
      </c>
      <c r="BA127" s="22">
        <v>0</v>
      </c>
      <c r="BB127" s="23">
        <v>1</v>
      </c>
      <c r="BC127" s="23">
        <v>1</v>
      </c>
      <c r="BD127" s="22">
        <v>0</v>
      </c>
      <c r="BE127" s="22">
        <v>0</v>
      </c>
      <c r="BF127" s="22">
        <v>0</v>
      </c>
      <c r="BG127" s="23">
        <v>0</v>
      </c>
      <c r="BH127" s="22">
        <v>0</v>
      </c>
      <c r="BI127" s="22">
        <v>0</v>
      </c>
      <c r="BJ127" s="22">
        <v>9</v>
      </c>
      <c r="BK127" s="22">
        <v>2</v>
      </c>
      <c r="BL127" s="22">
        <v>2</v>
      </c>
      <c r="BM127" s="22">
        <v>1</v>
      </c>
      <c r="BN127" s="22">
        <v>1</v>
      </c>
      <c r="BO127" s="22">
        <v>0</v>
      </c>
      <c r="BP127" s="22">
        <v>2</v>
      </c>
      <c r="BQ127" s="22">
        <v>4</v>
      </c>
      <c r="BR127" s="22">
        <v>0</v>
      </c>
      <c r="BS127" s="22">
        <v>0</v>
      </c>
      <c r="BT127" s="22">
        <v>0</v>
      </c>
      <c r="BU127" s="22">
        <v>0</v>
      </c>
      <c r="BV127" s="23">
        <f t="shared" si="6"/>
        <v>21</v>
      </c>
    </row>
    <row r="128" spans="1:33">
      <c r="A128" s="22">
        <f>A126+1</f>
        <v>123</v>
      </c>
      <c r="B128" s="22">
        <v>3</v>
      </c>
      <c r="C128" s="22" t="s">
        <v>515</v>
      </c>
      <c r="D128" s="28">
        <v>44099</v>
      </c>
      <c r="E128" s="169" t="s">
        <v>516</v>
      </c>
      <c r="F128" s="31">
        <v>28.9998775213</v>
      </c>
      <c r="G128" s="31">
        <v>59.9362200102999</v>
      </c>
      <c r="H128" s="23">
        <f t="shared" si="8"/>
        <v>28</v>
      </c>
      <c r="I128" s="31">
        <f t="shared" si="10"/>
        <v>59.992651278</v>
      </c>
      <c r="J128" s="23">
        <f t="shared" si="9"/>
        <v>59</v>
      </c>
      <c r="K128" s="31">
        <f t="shared" si="11"/>
        <v>56.1732006179939</v>
      </c>
      <c r="L128" s="22">
        <v>7.5</v>
      </c>
      <c r="O128" s="22">
        <v>14.3</v>
      </c>
      <c r="P128" s="22">
        <v>14.8</v>
      </c>
      <c r="R128" s="22">
        <f>5.6/2</f>
        <v>2.8</v>
      </c>
      <c r="S128" s="22">
        <f>5.56/2</f>
        <v>2.78</v>
      </c>
      <c r="T128" s="22">
        <v>8.36</v>
      </c>
      <c r="U128" s="22">
        <v>8.48</v>
      </c>
      <c r="Y128" s="22">
        <v>195</v>
      </c>
      <c r="Z128" s="22">
        <v>192</v>
      </c>
      <c r="AG128" s="22" t="s">
        <v>458</v>
      </c>
    </row>
    <row r="129" spans="3:74">
      <c r="C129" s="22" t="s">
        <v>515</v>
      </c>
      <c r="D129" s="28">
        <v>44100</v>
      </c>
      <c r="E129" s="169" t="s">
        <v>517</v>
      </c>
      <c r="F129" s="31">
        <v>28.99956</v>
      </c>
      <c r="G129" s="31">
        <v>59.9364</v>
      </c>
      <c r="H129" s="23">
        <f t="shared" si="8"/>
        <v>28</v>
      </c>
      <c r="I129" s="31">
        <f t="shared" si="10"/>
        <v>59.9735999999999</v>
      </c>
      <c r="J129" s="23">
        <f t="shared" si="9"/>
        <v>59</v>
      </c>
      <c r="K129" s="31">
        <f t="shared" si="11"/>
        <v>56.1839999999999</v>
      </c>
      <c r="L129" s="22">
        <v>7.5</v>
      </c>
      <c r="O129" s="22">
        <v>16.5</v>
      </c>
      <c r="P129" s="22">
        <v>16.6</v>
      </c>
      <c r="T129" s="22">
        <v>9.26</v>
      </c>
      <c r="U129" s="22">
        <v>9.27</v>
      </c>
      <c r="Y129" s="22">
        <v>51</v>
      </c>
      <c r="Z129" s="22">
        <v>43</v>
      </c>
      <c r="AC129" s="22" t="s">
        <v>518</v>
      </c>
      <c r="AG129" s="22" t="s">
        <v>209</v>
      </c>
      <c r="AK129" s="22" t="s">
        <v>466</v>
      </c>
      <c r="AN129" s="23">
        <v>1</v>
      </c>
      <c r="AO129" s="22">
        <v>1</v>
      </c>
      <c r="AP129" s="23">
        <v>0</v>
      </c>
      <c r="AQ129" s="23">
        <v>1</v>
      </c>
      <c r="AR129" s="23">
        <v>0</v>
      </c>
      <c r="AS129" s="23">
        <v>1</v>
      </c>
      <c r="AT129" s="22">
        <v>0</v>
      </c>
      <c r="AU129" s="22">
        <v>0</v>
      </c>
      <c r="AV129" s="23">
        <v>0</v>
      </c>
      <c r="AW129" s="22">
        <v>0</v>
      </c>
      <c r="AX129" s="23">
        <v>0</v>
      </c>
      <c r="AY129" s="23">
        <v>0</v>
      </c>
      <c r="AZ129" s="22">
        <v>0</v>
      </c>
      <c r="BA129" s="22">
        <v>0</v>
      </c>
      <c r="BB129" s="23">
        <v>0</v>
      </c>
      <c r="BC129" s="23">
        <v>1</v>
      </c>
      <c r="BD129" s="22">
        <v>0</v>
      </c>
      <c r="BE129" s="22">
        <v>0</v>
      </c>
      <c r="BF129" s="22">
        <v>0</v>
      </c>
      <c r="BG129" s="23">
        <v>0</v>
      </c>
      <c r="BH129" s="22">
        <v>0</v>
      </c>
      <c r="BI129" s="22">
        <v>0</v>
      </c>
      <c r="BJ129" s="22">
        <v>6</v>
      </c>
      <c r="BK129" s="22">
        <v>1</v>
      </c>
      <c r="BL129" s="22">
        <v>2</v>
      </c>
      <c r="BM129" s="22">
        <v>1</v>
      </c>
      <c r="BN129" s="22">
        <v>1</v>
      </c>
      <c r="BO129" s="22">
        <v>1</v>
      </c>
      <c r="BP129" s="22">
        <v>1</v>
      </c>
      <c r="BQ129" s="22">
        <v>2</v>
      </c>
      <c r="BR129" s="22">
        <v>0</v>
      </c>
      <c r="BS129" s="22">
        <v>0</v>
      </c>
      <c r="BT129" s="22">
        <v>0</v>
      </c>
      <c r="BU129" s="22">
        <v>0</v>
      </c>
      <c r="BV129" s="23">
        <f t="shared" si="6"/>
        <v>15</v>
      </c>
    </row>
    <row r="130" spans="1:74">
      <c r="A130" s="22">
        <f>A128+1</f>
        <v>124</v>
      </c>
      <c r="B130" s="22">
        <v>3</v>
      </c>
      <c r="C130" s="22" t="s">
        <v>519</v>
      </c>
      <c r="D130" s="28">
        <v>44098</v>
      </c>
      <c r="E130" s="169" t="s">
        <v>520</v>
      </c>
      <c r="F130" s="31">
        <v>29.0423546405999</v>
      </c>
      <c r="G130" s="31">
        <v>59.9290334881</v>
      </c>
      <c r="H130" s="23">
        <f t="shared" si="8"/>
        <v>29</v>
      </c>
      <c r="I130" s="31">
        <f t="shared" si="10"/>
        <v>2.54127843599399</v>
      </c>
      <c r="J130" s="23">
        <f t="shared" si="9"/>
        <v>59</v>
      </c>
      <c r="K130" s="31">
        <f t="shared" si="11"/>
        <v>55.7420092860002</v>
      </c>
      <c r="L130" s="22">
        <v>6.8</v>
      </c>
      <c r="O130" s="22">
        <v>15</v>
      </c>
      <c r="P130" s="22">
        <v>14.6</v>
      </c>
      <c r="R130" s="22">
        <f>5.64/2</f>
        <v>2.82</v>
      </c>
      <c r="S130" s="22">
        <f>5.63/2</f>
        <v>2.815</v>
      </c>
      <c r="T130" s="22">
        <v>8.73</v>
      </c>
      <c r="U130" s="22">
        <v>8.72</v>
      </c>
      <c r="Y130" s="22">
        <v>149</v>
      </c>
      <c r="Z130" s="22">
        <v>153</v>
      </c>
      <c r="AC130" s="22" t="s">
        <v>172</v>
      </c>
      <c r="AG130" s="22" t="s">
        <v>465</v>
      </c>
      <c r="AK130" s="22" t="s">
        <v>466</v>
      </c>
      <c r="AN130" s="23">
        <v>0</v>
      </c>
      <c r="AO130" s="22">
        <v>0</v>
      </c>
      <c r="AP130" s="23">
        <v>0</v>
      </c>
      <c r="AQ130" s="23">
        <v>1</v>
      </c>
      <c r="AR130" s="23">
        <v>0</v>
      </c>
      <c r="AS130" s="23">
        <v>1</v>
      </c>
      <c r="AT130" s="22">
        <v>0</v>
      </c>
      <c r="AU130" s="22">
        <v>0</v>
      </c>
      <c r="AV130" s="23">
        <v>0</v>
      </c>
      <c r="AW130" s="22">
        <v>0</v>
      </c>
      <c r="AX130" s="23">
        <v>0</v>
      </c>
      <c r="AY130" s="23">
        <v>0</v>
      </c>
      <c r="AZ130" s="22">
        <v>0</v>
      </c>
      <c r="BA130" s="22">
        <v>0</v>
      </c>
      <c r="BB130" s="23">
        <v>0</v>
      </c>
      <c r="BC130" s="23">
        <v>1</v>
      </c>
      <c r="BD130" s="22">
        <v>0</v>
      </c>
      <c r="BE130" s="22">
        <v>0</v>
      </c>
      <c r="BF130" s="22">
        <v>0</v>
      </c>
      <c r="BG130" s="23">
        <v>0</v>
      </c>
      <c r="BH130" s="22">
        <v>0</v>
      </c>
      <c r="BI130" s="22">
        <v>0</v>
      </c>
      <c r="BJ130" s="22">
        <v>4</v>
      </c>
      <c r="BK130" s="22">
        <v>1</v>
      </c>
      <c r="BL130" s="22">
        <v>2</v>
      </c>
      <c r="BM130" s="22">
        <v>1</v>
      </c>
      <c r="BN130" s="22">
        <v>1</v>
      </c>
      <c r="BO130" s="22">
        <v>1</v>
      </c>
      <c r="BP130" s="22">
        <v>1</v>
      </c>
      <c r="BQ130" s="22">
        <v>3</v>
      </c>
      <c r="BR130" s="22">
        <v>0</v>
      </c>
      <c r="BS130" s="22">
        <v>0</v>
      </c>
      <c r="BT130" s="22">
        <v>0</v>
      </c>
      <c r="BU130" s="22">
        <v>0</v>
      </c>
      <c r="BV130" s="23">
        <f t="shared" si="6"/>
        <v>14</v>
      </c>
    </row>
    <row r="131" spans="1:33">
      <c r="A131" s="22">
        <f t="shared" si="7"/>
        <v>125</v>
      </c>
      <c r="B131" s="22">
        <v>3</v>
      </c>
      <c r="C131" s="22" t="s">
        <v>521</v>
      </c>
      <c r="D131" s="28">
        <v>44099</v>
      </c>
      <c r="E131" s="169" t="s">
        <v>522</v>
      </c>
      <c r="F131" s="31">
        <v>29.0540605818</v>
      </c>
      <c r="G131" s="31">
        <v>59.950834735</v>
      </c>
      <c r="H131" s="23">
        <f t="shared" si="8"/>
        <v>29</v>
      </c>
      <c r="I131" s="31">
        <f t="shared" si="10"/>
        <v>3.2436349080001</v>
      </c>
      <c r="J131" s="23">
        <f t="shared" si="9"/>
        <v>59</v>
      </c>
      <c r="K131" s="31">
        <f t="shared" si="11"/>
        <v>57.0500841</v>
      </c>
      <c r="L131" s="22">
        <v>5</v>
      </c>
      <c r="O131" s="22">
        <v>15.2</v>
      </c>
      <c r="P131" s="22">
        <v>15.2</v>
      </c>
      <c r="R131" s="22">
        <f>5.72/2</f>
        <v>2.86</v>
      </c>
      <c r="S131" s="22">
        <f>5.73/2</f>
        <v>2.865</v>
      </c>
      <c r="T131" s="22">
        <v>8.63</v>
      </c>
      <c r="U131" s="22">
        <v>8.64</v>
      </c>
      <c r="Y131" s="22">
        <v>200</v>
      </c>
      <c r="Z131" s="22">
        <v>204</v>
      </c>
      <c r="AG131" s="22" t="s">
        <v>458</v>
      </c>
    </row>
    <row r="132" spans="3:74">
      <c r="C132" s="22" t="s">
        <v>521</v>
      </c>
      <c r="D132" s="28">
        <v>44100</v>
      </c>
      <c r="E132" s="169" t="s">
        <v>523</v>
      </c>
      <c r="F132" s="31">
        <v>29.05399</v>
      </c>
      <c r="G132" s="31">
        <v>59.95097</v>
      </c>
      <c r="H132" s="22">
        <f t="shared" si="8"/>
        <v>29</v>
      </c>
      <c r="I132" s="15">
        <f t="shared" si="10"/>
        <v>3.23939999999993</v>
      </c>
      <c r="J132" s="22">
        <f t="shared" si="9"/>
        <v>59</v>
      </c>
      <c r="K132" s="15">
        <f t="shared" si="11"/>
        <v>57.0581999999999</v>
      </c>
      <c r="L132" s="22">
        <v>5</v>
      </c>
      <c r="AC132" s="22" t="s">
        <v>524</v>
      </c>
      <c r="AG132" s="22" t="s">
        <v>209</v>
      </c>
      <c r="AK132" s="22" t="s">
        <v>466</v>
      </c>
      <c r="AN132" s="23">
        <v>1</v>
      </c>
      <c r="AO132" s="22">
        <v>1</v>
      </c>
      <c r="AP132" s="23">
        <v>0</v>
      </c>
      <c r="AQ132" s="23">
        <v>1</v>
      </c>
      <c r="AR132" s="23">
        <v>0</v>
      </c>
      <c r="AS132" s="23">
        <v>1</v>
      </c>
      <c r="AT132" s="22">
        <v>0</v>
      </c>
      <c r="AU132" s="22">
        <v>0</v>
      </c>
      <c r="AV132" s="23">
        <v>0</v>
      </c>
      <c r="AW132" s="22">
        <v>0</v>
      </c>
      <c r="AX132" s="23">
        <v>0</v>
      </c>
      <c r="AY132" s="23">
        <v>0</v>
      </c>
      <c r="AZ132" s="22">
        <v>0</v>
      </c>
      <c r="BA132" s="22">
        <v>0</v>
      </c>
      <c r="BB132" s="23">
        <v>0</v>
      </c>
      <c r="BC132" s="23">
        <v>5</v>
      </c>
      <c r="BD132" s="22">
        <v>0</v>
      </c>
      <c r="BE132" s="22">
        <v>0</v>
      </c>
      <c r="BF132" s="22">
        <v>0</v>
      </c>
      <c r="BG132" s="23">
        <v>0</v>
      </c>
      <c r="BH132" s="22">
        <v>0</v>
      </c>
      <c r="BI132" s="22">
        <v>0</v>
      </c>
      <c r="BJ132" s="22">
        <v>5</v>
      </c>
      <c r="BK132" s="22">
        <v>1</v>
      </c>
      <c r="BL132" s="22">
        <v>2</v>
      </c>
      <c r="BM132" s="22">
        <v>2</v>
      </c>
      <c r="BN132" s="22">
        <v>1</v>
      </c>
      <c r="BO132" s="22">
        <v>1</v>
      </c>
      <c r="BP132" s="22">
        <v>1</v>
      </c>
      <c r="BQ132" s="22">
        <v>2</v>
      </c>
      <c r="BR132" s="22">
        <v>0</v>
      </c>
      <c r="BS132" s="22">
        <v>0</v>
      </c>
      <c r="BT132" s="22">
        <v>0</v>
      </c>
      <c r="BU132" s="22">
        <v>0</v>
      </c>
      <c r="BV132" s="23">
        <f t="shared" ref="BV132:BV194" si="12">(BJ132+BK132+BL132+BM132+BN132+BO132+BP132+BQ132)-(BR132+BS132+BT132+BU132)</f>
        <v>15</v>
      </c>
    </row>
    <row r="133" spans="1:74">
      <c r="A133" s="22">
        <f>A131+1</f>
        <v>126</v>
      </c>
      <c r="B133" s="22">
        <v>3</v>
      </c>
      <c r="C133" s="22" t="s">
        <v>525</v>
      </c>
      <c r="D133" s="28">
        <v>44069</v>
      </c>
      <c r="F133" s="31">
        <v>28.78123</v>
      </c>
      <c r="G133" s="31">
        <v>59.82338</v>
      </c>
      <c r="H133" s="22">
        <f t="shared" si="8"/>
        <v>28</v>
      </c>
      <c r="I133" s="15">
        <f t="shared" si="10"/>
        <v>46.8738</v>
      </c>
      <c r="J133" s="22">
        <f t="shared" si="9"/>
        <v>59</v>
      </c>
      <c r="K133" s="15">
        <f t="shared" si="11"/>
        <v>49.4028</v>
      </c>
      <c r="L133" s="22">
        <v>10.7</v>
      </c>
      <c r="M133" s="22">
        <v>1.9</v>
      </c>
      <c r="O133" s="22">
        <v>18.8</v>
      </c>
      <c r="P133" s="22">
        <v>18.8</v>
      </c>
      <c r="Q133" s="22">
        <v>16.7</v>
      </c>
      <c r="R133" s="22">
        <v>2.01</v>
      </c>
      <c r="S133" s="22">
        <v>2.01</v>
      </c>
      <c r="T133" s="22">
        <v>8.26</v>
      </c>
      <c r="U133" s="22">
        <v>8.54</v>
      </c>
      <c r="V133" s="22">
        <v>7.17</v>
      </c>
      <c r="Y133" s="22">
        <v>162</v>
      </c>
      <c r="Z133" s="22">
        <v>153</v>
      </c>
      <c r="AC133" s="22" t="s">
        <v>526</v>
      </c>
      <c r="AE133" s="22" t="s">
        <v>311</v>
      </c>
      <c r="AF133" s="22" t="s">
        <v>527</v>
      </c>
      <c r="AK133" s="22" t="s">
        <v>122</v>
      </c>
      <c r="AL133" s="22" t="s">
        <v>122</v>
      </c>
      <c r="AN133" s="23">
        <v>2</v>
      </c>
      <c r="AO133" s="22">
        <v>1</v>
      </c>
      <c r="AP133" s="23">
        <v>0</v>
      </c>
      <c r="AQ133" s="23">
        <v>1</v>
      </c>
      <c r="AR133" s="23">
        <v>0</v>
      </c>
      <c r="AS133" s="23">
        <v>0</v>
      </c>
      <c r="AT133" s="22">
        <v>0</v>
      </c>
      <c r="AU133" s="22">
        <v>0</v>
      </c>
      <c r="AV133" s="23">
        <v>0</v>
      </c>
      <c r="AW133" s="22">
        <v>0</v>
      </c>
      <c r="AX133" s="23">
        <v>0</v>
      </c>
      <c r="AY133" s="23">
        <v>0</v>
      </c>
      <c r="AZ133" s="22">
        <v>0</v>
      </c>
      <c r="BA133" s="22">
        <v>0</v>
      </c>
      <c r="BB133" s="23">
        <v>0</v>
      </c>
      <c r="BC133" s="23">
        <v>1</v>
      </c>
      <c r="BD133" s="22">
        <v>0</v>
      </c>
      <c r="BE133" s="22">
        <v>0</v>
      </c>
      <c r="BF133" s="22">
        <v>0</v>
      </c>
      <c r="BG133" s="23">
        <v>0</v>
      </c>
      <c r="BH133" s="22">
        <v>0</v>
      </c>
      <c r="BI133" s="22">
        <v>0</v>
      </c>
      <c r="BJ133" s="22">
        <v>5</v>
      </c>
      <c r="BK133" s="22">
        <v>2</v>
      </c>
      <c r="BL133" s="22">
        <v>2</v>
      </c>
      <c r="BM133" s="22">
        <v>2</v>
      </c>
      <c r="BN133" s="22">
        <v>1</v>
      </c>
      <c r="BO133" s="22">
        <v>0</v>
      </c>
      <c r="BP133" s="22">
        <v>1</v>
      </c>
      <c r="BQ133" s="22">
        <v>1</v>
      </c>
      <c r="BR133" s="22">
        <v>0</v>
      </c>
      <c r="BS133" s="22">
        <v>0</v>
      </c>
      <c r="BT133" s="22">
        <v>0</v>
      </c>
      <c r="BU133" s="22">
        <v>0</v>
      </c>
      <c r="BV133" s="23">
        <f t="shared" si="12"/>
        <v>14</v>
      </c>
    </row>
    <row r="134" spans="1:74">
      <c r="A134" s="22">
        <f t="shared" si="7"/>
        <v>127</v>
      </c>
      <c r="B134" s="22">
        <v>3</v>
      </c>
      <c r="C134" s="22" t="s">
        <v>528</v>
      </c>
      <c r="D134" s="28">
        <v>44098</v>
      </c>
      <c r="E134" s="169" t="s">
        <v>529</v>
      </c>
      <c r="F134" s="31">
        <v>29.01717159</v>
      </c>
      <c r="G134" s="31">
        <v>59.9577908929</v>
      </c>
      <c r="H134" s="23">
        <f t="shared" si="8"/>
        <v>29</v>
      </c>
      <c r="I134" s="31">
        <f t="shared" si="10"/>
        <v>1.03029540000001</v>
      </c>
      <c r="J134" s="23">
        <f t="shared" si="9"/>
        <v>59</v>
      </c>
      <c r="K134" s="31">
        <f t="shared" si="11"/>
        <v>57.467453574</v>
      </c>
      <c r="L134" s="22">
        <v>12.5</v>
      </c>
      <c r="O134" s="22">
        <v>14.2</v>
      </c>
      <c r="P134" s="22">
        <v>13.9</v>
      </c>
      <c r="R134" s="22">
        <f>4.95/2</f>
        <v>2.475</v>
      </c>
      <c r="S134" s="22">
        <f>5.11/2</f>
        <v>2.555</v>
      </c>
      <c r="T134" s="22">
        <v>8.66</v>
      </c>
      <c r="U134" s="22">
        <v>8.59</v>
      </c>
      <c r="Y134" s="22">
        <v>151</v>
      </c>
      <c r="Z134" s="22">
        <v>155</v>
      </c>
      <c r="AC134" s="22" t="s">
        <v>172</v>
      </c>
      <c r="AG134" s="22" t="s">
        <v>465</v>
      </c>
      <c r="AK134" s="22" t="s">
        <v>466</v>
      </c>
      <c r="AN134" s="23">
        <v>0</v>
      </c>
      <c r="AO134" s="22">
        <v>1</v>
      </c>
      <c r="AP134" s="23">
        <v>0</v>
      </c>
      <c r="AQ134" s="23">
        <v>0</v>
      </c>
      <c r="AR134" s="23">
        <v>0</v>
      </c>
      <c r="AS134" s="23">
        <v>1</v>
      </c>
      <c r="AT134" s="22">
        <v>0</v>
      </c>
      <c r="AU134" s="22">
        <v>0</v>
      </c>
      <c r="AV134" s="23">
        <v>0</v>
      </c>
      <c r="AW134" s="22">
        <v>0</v>
      </c>
      <c r="AX134" s="23">
        <v>0</v>
      </c>
      <c r="AY134" s="23">
        <v>0</v>
      </c>
      <c r="AZ134" s="22">
        <v>0</v>
      </c>
      <c r="BA134" s="22">
        <v>0</v>
      </c>
      <c r="BB134" s="23">
        <v>0</v>
      </c>
      <c r="BC134" s="23">
        <v>1</v>
      </c>
      <c r="BD134" s="22">
        <v>0</v>
      </c>
      <c r="BE134" s="22">
        <v>0</v>
      </c>
      <c r="BF134" s="22">
        <v>0</v>
      </c>
      <c r="BG134" s="23">
        <v>0</v>
      </c>
      <c r="BH134" s="22">
        <v>0</v>
      </c>
      <c r="BI134" s="22">
        <v>0</v>
      </c>
      <c r="BJ134" s="22">
        <v>4</v>
      </c>
      <c r="BK134" s="22">
        <v>1</v>
      </c>
      <c r="BL134" s="22">
        <v>2</v>
      </c>
      <c r="BM134" s="22">
        <v>1</v>
      </c>
      <c r="BN134" s="22">
        <v>1</v>
      </c>
      <c r="BO134" s="22">
        <v>0</v>
      </c>
      <c r="BP134" s="22">
        <v>1</v>
      </c>
      <c r="BQ134" s="22">
        <v>1</v>
      </c>
      <c r="BR134" s="22">
        <v>0</v>
      </c>
      <c r="BS134" s="22">
        <v>0</v>
      </c>
      <c r="BT134" s="22">
        <v>0</v>
      </c>
      <c r="BU134" s="22">
        <v>0</v>
      </c>
      <c r="BV134" s="23">
        <f t="shared" si="12"/>
        <v>11</v>
      </c>
    </row>
    <row r="135" spans="1:74">
      <c r="A135" s="22">
        <f t="shared" si="7"/>
        <v>128</v>
      </c>
      <c r="B135" s="22">
        <v>3</v>
      </c>
      <c r="C135" s="22" t="s">
        <v>530</v>
      </c>
      <c r="D135" s="28">
        <v>44098</v>
      </c>
      <c r="E135" s="169" t="s">
        <v>531</v>
      </c>
      <c r="F135" s="31">
        <v>28.9887049449999</v>
      </c>
      <c r="G135" s="31">
        <v>59.9635413923</v>
      </c>
      <c r="H135" s="23">
        <f t="shared" si="8"/>
        <v>28</v>
      </c>
      <c r="I135" s="31">
        <f t="shared" si="10"/>
        <v>59.3222966999939</v>
      </c>
      <c r="J135" s="23">
        <f t="shared" si="9"/>
        <v>59</v>
      </c>
      <c r="K135" s="31">
        <f t="shared" si="11"/>
        <v>57.8124835380001</v>
      </c>
      <c r="L135" s="22">
        <v>16.6</v>
      </c>
      <c r="O135" s="22">
        <v>14.5</v>
      </c>
      <c r="P135" s="22">
        <v>14.5</v>
      </c>
      <c r="R135" s="22">
        <f>4.9/2</f>
        <v>2.45</v>
      </c>
      <c r="S135" s="22">
        <f>4.91/2</f>
        <v>2.455</v>
      </c>
      <c r="T135" s="22">
        <v>8.63</v>
      </c>
      <c r="U135" s="22">
        <v>8.57</v>
      </c>
      <c r="Y135" s="22">
        <v>139</v>
      </c>
      <c r="Z135" s="22">
        <v>141</v>
      </c>
      <c r="AC135" s="22" t="s">
        <v>172</v>
      </c>
      <c r="AG135" s="22" t="s">
        <v>465</v>
      </c>
      <c r="AK135" s="22" t="s">
        <v>466</v>
      </c>
      <c r="AN135" s="23">
        <v>0</v>
      </c>
      <c r="AO135" s="22">
        <v>0</v>
      </c>
      <c r="AP135" s="23">
        <v>0</v>
      </c>
      <c r="AQ135" s="23">
        <v>0</v>
      </c>
      <c r="AR135" s="23">
        <v>0</v>
      </c>
      <c r="AS135" s="23">
        <v>0</v>
      </c>
      <c r="AT135" s="22">
        <v>0</v>
      </c>
      <c r="AU135" s="22">
        <v>0</v>
      </c>
      <c r="AV135" s="23">
        <v>0</v>
      </c>
      <c r="AW135" s="22">
        <v>0</v>
      </c>
      <c r="AX135" s="23">
        <v>0</v>
      </c>
      <c r="AY135" s="23">
        <v>0</v>
      </c>
      <c r="AZ135" s="22">
        <v>0</v>
      </c>
      <c r="BA135" s="22">
        <v>0</v>
      </c>
      <c r="BB135" s="23">
        <v>0</v>
      </c>
      <c r="BC135" s="23">
        <v>1</v>
      </c>
      <c r="BD135" s="22">
        <v>0</v>
      </c>
      <c r="BE135" s="22">
        <v>0</v>
      </c>
      <c r="BF135" s="22">
        <v>0</v>
      </c>
      <c r="BG135" s="23">
        <v>0</v>
      </c>
      <c r="BH135" s="22">
        <v>0</v>
      </c>
      <c r="BI135" s="22">
        <v>0</v>
      </c>
      <c r="BJ135" s="22">
        <v>1</v>
      </c>
      <c r="BK135" s="22">
        <v>1</v>
      </c>
      <c r="BL135" s="22">
        <v>2</v>
      </c>
      <c r="BM135" s="22">
        <v>1</v>
      </c>
      <c r="BN135" s="22">
        <v>1</v>
      </c>
      <c r="BO135" s="22">
        <v>0</v>
      </c>
      <c r="BP135" s="22">
        <v>1</v>
      </c>
      <c r="BQ135" s="22">
        <v>1</v>
      </c>
      <c r="BR135" s="22">
        <v>0</v>
      </c>
      <c r="BS135" s="22">
        <v>0</v>
      </c>
      <c r="BT135" s="22">
        <v>0</v>
      </c>
      <c r="BU135" s="22">
        <v>0</v>
      </c>
      <c r="BV135" s="23">
        <f t="shared" si="12"/>
        <v>8</v>
      </c>
    </row>
    <row r="136" spans="1:74">
      <c r="A136" s="22">
        <f t="shared" si="7"/>
        <v>129</v>
      </c>
      <c r="B136" s="22">
        <v>3</v>
      </c>
      <c r="C136" s="22" t="s">
        <v>532</v>
      </c>
      <c r="D136" s="28">
        <v>44098</v>
      </c>
      <c r="E136" s="169" t="s">
        <v>533</v>
      </c>
      <c r="F136" s="31">
        <v>28.930708925</v>
      </c>
      <c r="G136" s="31">
        <v>59.9736233868</v>
      </c>
      <c r="H136" s="23">
        <f t="shared" si="8"/>
        <v>28</v>
      </c>
      <c r="I136" s="31">
        <f t="shared" si="10"/>
        <v>55.8425355000001</v>
      </c>
      <c r="J136" s="23">
        <f t="shared" si="9"/>
        <v>59</v>
      </c>
      <c r="K136" s="31">
        <f t="shared" si="11"/>
        <v>58.417403208</v>
      </c>
      <c r="L136" s="22">
        <v>21.2</v>
      </c>
      <c r="M136" s="22">
        <v>3.4</v>
      </c>
      <c r="O136" s="22">
        <v>14.1</v>
      </c>
      <c r="P136" s="22">
        <v>13.9</v>
      </c>
      <c r="R136" s="22">
        <f>4.85/2</f>
        <v>2.425</v>
      </c>
      <c r="S136" s="22">
        <f>4.95/2</f>
        <v>2.475</v>
      </c>
      <c r="T136" s="22">
        <v>8.58</v>
      </c>
      <c r="U136" s="22">
        <v>8.61</v>
      </c>
      <c r="Y136" s="22">
        <v>165</v>
      </c>
      <c r="Z136" s="22">
        <v>168</v>
      </c>
      <c r="AC136" s="22" t="s">
        <v>353</v>
      </c>
      <c r="AE136" s="22" t="s">
        <v>534</v>
      </c>
      <c r="AF136" s="22" t="s">
        <v>535</v>
      </c>
      <c r="AG136" s="22" t="s">
        <v>465</v>
      </c>
      <c r="AK136" s="22" t="s">
        <v>466</v>
      </c>
      <c r="AN136" s="23">
        <v>0</v>
      </c>
      <c r="AO136" s="22">
        <v>0</v>
      </c>
      <c r="AP136" s="23">
        <v>0</v>
      </c>
      <c r="AQ136" s="23">
        <v>0</v>
      </c>
      <c r="AR136" s="23">
        <v>0</v>
      </c>
      <c r="AS136" s="23">
        <v>0</v>
      </c>
      <c r="AT136" s="22">
        <v>0</v>
      </c>
      <c r="AU136" s="22">
        <v>0</v>
      </c>
      <c r="AV136" s="23">
        <v>0</v>
      </c>
      <c r="AW136" s="22">
        <v>0</v>
      </c>
      <c r="AX136" s="23">
        <v>1</v>
      </c>
      <c r="AY136" s="23">
        <v>0</v>
      </c>
      <c r="AZ136" s="22">
        <v>0</v>
      </c>
      <c r="BA136" s="22">
        <v>0</v>
      </c>
      <c r="BB136" s="23">
        <v>0</v>
      </c>
      <c r="BC136" s="23">
        <v>0</v>
      </c>
      <c r="BD136" s="22">
        <v>0</v>
      </c>
      <c r="BE136" s="22">
        <v>0</v>
      </c>
      <c r="BF136" s="22">
        <v>0</v>
      </c>
      <c r="BG136" s="23">
        <v>0</v>
      </c>
      <c r="BH136" s="22">
        <v>0</v>
      </c>
      <c r="BI136" s="22">
        <v>0</v>
      </c>
      <c r="BJ136" s="22">
        <v>1</v>
      </c>
      <c r="BK136" s="22">
        <v>2</v>
      </c>
      <c r="BL136" s="22">
        <v>2</v>
      </c>
      <c r="BM136" s="22">
        <v>1</v>
      </c>
      <c r="BN136" s="22">
        <v>0</v>
      </c>
      <c r="BO136" s="22">
        <v>0</v>
      </c>
      <c r="BP136" s="22">
        <v>1</v>
      </c>
      <c r="BQ136" s="22">
        <v>2</v>
      </c>
      <c r="BR136" s="22">
        <v>0</v>
      </c>
      <c r="BS136" s="22">
        <v>0</v>
      </c>
      <c r="BT136" s="22">
        <v>0</v>
      </c>
      <c r="BU136" s="22">
        <v>0</v>
      </c>
      <c r="BV136" s="23">
        <f t="shared" si="12"/>
        <v>9</v>
      </c>
    </row>
    <row r="137" spans="1:74">
      <c r="A137" s="22">
        <f t="shared" si="7"/>
        <v>130</v>
      </c>
      <c r="B137" s="22">
        <v>3</v>
      </c>
      <c r="C137" s="22" t="s">
        <v>536</v>
      </c>
      <c r="D137" s="28">
        <v>44098</v>
      </c>
      <c r="E137" s="169" t="s">
        <v>537</v>
      </c>
      <c r="F137" s="31">
        <v>28.9306906568</v>
      </c>
      <c r="G137" s="31">
        <v>59.9895933859</v>
      </c>
      <c r="H137" s="23">
        <f t="shared" si="8"/>
        <v>28</v>
      </c>
      <c r="I137" s="31">
        <f t="shared" si="10"/>
        <v>55.841439408</v>
      </c>
      <c r="J137" s="23">
        <f t="shared" si="9"/>
        <v>59</v>
      </c>
      <c r="K137" s="31">
        <f t="shared" si="11"/>
        <v>59.3756031540001</v>
      </c>
      <c r="L137" s="22">
        <v>26.8</v>
      </c>
      <c r="O137" s="22">
        <v>14.5</v>
      </c>
      <c r="P137" s="22">
        <v>14.3</v>
      </c>
      <c r="R137" s="22">
        <f>4.9/2</f>
        <v>2.45</v>
      </c>
      <c r="S137" s="22">
        <f>4.95/2</f>
        <v>2.475</v>
      </c>
      <c r="T137" s="22">
        <v>8.71</v>
      </c>
      <c r="U137" s="22">
        <v>8.65</v>
      </c>
      <c r="Y137" s="22">
        <v>140</v>
      </c>
      <c r="Z137" s="22">
        <v>143</v>
      </c>
      <c r="AC137" s="22" t="s">
        <v>538</v>
      </c>
      <c r="AG137" s="22" t="s">
        <v>465</v>
      </c>
      <c r="AK137" s="22" t="s">
        <v>466</v>
      </c>
      <c r="AN137" s="23">
        <v>0</v>
      </c>
      <c r="AO137" s="22">
        <v>0</v>
      </c>
      <c r="AP137" s="23">
        <v>0</v>
      </c>
      <c r="AQ137" s="23">
        <v>0</v>
      </c>
      <c r="AR137" s="23">
        <v>0</v>
      </c>
      <c r="AS137" s="23">
        <v>0</v>
      </c>
      <c r="AT137" s="22">
        <v>0</v>
      </c>
      <c r="AU137" s="22">
        <v>0</v>
      </c>
      <c r="AV137" s="23">
        <v>0</v>
      </c>
      <c r="AW137" s="22">
        <v>0</v>
      </c>
      <c r="AX137" s="23">
        <v>3</v>
      </c>
      <c r="AY137" s="23">
        <v>0</v>
      </c>
      <c r="AZ137" s="22">
        <v>0</v>
      </c>
      <c r="BA137" s="22">
        <v>0</v>
      </c>
      <c r="BB137" s="23">
        <v>0</v>
      </c>
      <c r="BC137" s="23">
        <v>0</v>
      </c>
      <c r="BD137" s="22">
        <v>0</v>
      </c>
      <c r="BE137" s="22">
        <v>0</v>
      </c>
      <c r="BF137" s="22">
        <v>0</v>
      </c>
      <c r="BG137" s="23">
        <v>0</v>
      </c>
      <c r="BH137" s="22">
        <v>0</v>
      </c>
      <c r="BI137" s="22">
        <v>0</v>
      </c>
      <c r="BJ137" s="22">
        <v>1</v>
      </c>
      <c r="BK137" s="22">
        <v>2</v>
      </c>
      <c r="BL137" s="22">
        <v>2</v>
      </c>
      <c r="BM137" s="22">
        <v>1</v>
      </c>
      <c r="BN137" s="22">
        <v>0</v>
      </c>
      <c r="BO137" s="22">
        <v>0</v>
      </c>
      <c r="BP137" s="22">
        <v>1</v>
      </c>
      <c r="BQ137" s="22">
        <v>2</v>
      </c>
      <c r="BR137" s="22">
        <v>0</v>
      </c>
      <c r="BS137" s="22">
        <v>0</v>
      </c>
      <c r="BT137" s="22">
        <v>0</v>
      </c>
      <c r="BU137" s="22">
        <v>0</v>
      </c>
      <c r="BV137" s="23">
        <f t="shared" si="12"/>
        <v>9</v>
      </c>
    </row>
    <row r="138" spans="1:11">
      <c r="A138" s="22">
        <f t="shared" ref="A138:A193" si="13">A137+1</f>
        <v>131</v>
      </c>
      <c r="B138" s="22">
        <v>3</v>
      </c>
      <c r="C138" s="22" t="s">
        <v>539</v>
      </c>
      <c r="D138" s="23" t="s">
        <v>540</v>
      </c>
      <c r="F138" s="15">
        <v>28.9298821275999</v>
      </c>
      <c r="G138" s="15">
        <v>60.0017725963</v>
      </c>
      <c r="H138" s="22">
        <f t="shared" si="8"/>
        <v>28</v>
      </c>
      <c r="I138" s="15">
        <f t="shared" si="10"/>
        <v>55.792927655994</v>
      </c>
      <c r="J138" s="22">
        <f t="shared" si="9"/>
        <v>60</v>
      </c>
      <c r="K138" s="15">
        <f t="shared" si="11"/>
        <v>0.106355778000022</v>
      </c>
    </row>
    <row r="139" spans="1:74">
      <c r="A139" s="22">
        <f t="shared" si="13"/>
        <v>132</v>
      </c>
      <c r="B139" s="22">
        <v>3</v>
      </c>
      <c r="C139" s="29" t="s">
        <v>541</v>
      </c>
      <c r="D139" s="28">
        <v>44098</v>
      </c>
      <c r="E139" s="169" t="s">
        <v>542</v>
      </c>
      <c r="F139" s="15">
        <v>28.9893416156999</v>
      </c>
      <c r="G139" s="15">
        <v>60.0026012789999</v>
      </c>
      <c r="H139" s="23">
        <f t="shared" si="8"/>
        <v>28</v>
      </c>
      <c r="I139" s="31">
        <v>59.283</v>
      </c>
      <c r="J139" s="23">
        <v>59</v>
      </c>
      <c r="K139" s="31">
        <v>59.805</v>
      </c>
      <c r="L139" s="22">
        <v>26.8</v>
      </c>
      <c r="O139" s="22">
        <v>14.5</v>
      </c>
      <c r="P139" s="22">
        <v>14.1</v>
      </c>
      <c r="R139" s="22">
        <f>4.6/2</f>
        <v>2.3</v>
      </c>
      <c r="S139" s="22">
        <f>4.74/2</f>
        <v>2.37</v>
      </c>
      <c r="T139" s="22">
        <v>8.38</v>
      </c>
      <c r="U139" s="22">
        <v>8.39</v>
      </c>
      <c r="Y139" s="22">
        <v>148</v>
      </c>
      <c r="Z139" s="22">
        <v>150</v>
      </c>
      <c r="AC139" s="22" t="s">
        <v>543</v>
      </c>
      <c r="AG139" s="22" t="s">
        <v>465</v>
      </c>
      <c r="AK139" s="22" t="s">
        <v>466</v>
      </c>
      <c r="AN139" s="23">
        <v>0</v>
      </c>
      <c r="AO139" s="22">
        <v>0</v>
      </c>
      <c r="AP139" s="23">
        <v>0</v>
      </c>
      <c r="AQ139" s="23">
        <v>0</v>
      </c>
      <c r="AR139" s="23">
        <v>0</v>
      </c>
      <c r="AS139" s="23">
        <v>0</v>
      </c>
      <c r="AT139" s="22">
        <v>0</v>
      </c>
      <c r="AU139" s="22">
        <v>0</v>
      </c>
      <c r="AV139" s="23">
        <v>0</v>
      </c>
      <c r="AW139" s="22">
        <v>0</v>
      </c>
      <c r="AX139" s="23">
        <v>0</v>
      </c>
      <c r="AY139" s="23">
        <v>0</v>
      </c>
      <c r="AZ139" s="22">
        <v>0</v>
      </c>
      <c r="BA139" s="22">
        <v>0</v>
      </c>
      <c r="BB139" s="23">
        <v>0</v>
      </c>
      <c r="BC139" s="23">
        <v>0</v>
      </c>
      <c r="BD139" s="22">
        <v>0</v>
      </c>
      <c r="BE139" s="22">
        <v>0</v>
      </c>
      <c r="BF139" s="22">
        <v>0</v>
      </c>
      <c r="BG139" s="23">
        <v>0</v>
      </c>
      <c r="BH139" s="22">
        <v>0</v>
      </c>
      <c r="BI139" s="22">
        <v>0</v>
      </c>
      <c r="BJ139" s="22">
        <v>0</v>
      </c>
      <c r="BK139" s="22">
        <v>0</v>
      </c>
      <c r="BL139" s="22">
        <v>2</v>
      </c>
      <c r="BM139" s="22">
        <v>1</v>
      </c>
      <c r="BN139" s="22">
        <v>0</v>
      </c>
      <c r="BO139" s="22">
        <v>0</v>
      </c>
      <c r="BP139" s="22">
        <v>1</v>
      </c>
      <c r="BQ139" s="22">
        <v>2</v>
      </c>
      <c r="BR139" s="22">
        <v>0</v>
      </c>
      <c r="BS139" s="22">
        <v>0</v>
      </c>
      <c r="BT139" s="22">
        <v>0</v>
      </c>
      <c r="BU139" s="22">
        <v>0</v>
      </c>
      <c r="BV139" s="23">
        <f t="shared" si="12"/>
        <v>6</v>
      </c>
    </row>
    <row r="140" spans="1:74">
      <c r="A140" s="22">
        <f t="shared" si="13"/>
        <v>133</v>
      </c>
      <c r="B140" s="22">
        <v>3</v>
      </c>
      <c r="C140" s="22" t="s">
        <v>544</v>
      </c>
      <c r="D140" s="28">
        <v>44098</v>
      </c>
      <c r="E140" s="169" t="s">
        <v>545</v>
      </c>
      <c r="F140" s="31">
        <v>29.0241524971999</v>
      </c>
      <c r="G140" s="31">
        <v>59.9696566097999</v>
      </c>
      <c r="H140" s="23">
        <f t="shared" si="8"/>
        <v>29</v>
      </c>
      <c r="I140" s="31">
        <f t="shared" si="10"/>
        <v>1.44914983199399</v>
      </c>
      <c r="J140" s="23">
        <f t="shared" si="9"/>
        <v>59</v>
      </c>
      <c r="K140" s="31">
        <f t="shared" si="11"/>
        <v>58.1793965879939</v>
      </c>
      <c r="L140" s="22">
        <v>15.8</v>
      </c>
      <c r="O140" s="22">
        <v>15.2</v>
      </c>
      <c r="P140" s="22">
        <v>14.8</v>
      </c>
      <c r="R140" s="22">
        <f>4.9/2</f>
        <v>2.45</v>
      </c>
      <c r="S140" s="22">
        <f>5.3/2</f>
        <v>2.65</v>
      </c>
      <c r="T140" s="22">
        <v>8.39</v>
      </c>
      <c r="U140" s="22">
        <v>8.43</v>
      </c>
      <c r="Y140" s="22">
        <v>147</v>
      </c>
      <c r="Z140" s="22">
        <v>147</v>
      </c>
      <c r="AC140" s="22" t="s">
        <v>172</v>
      </c>
      <c r="AG140" s="22" t="s">
        <v>465</v>
      </c>
      <c r="AK140" s="22" t="s">
        <v>466</v>
      </c>
      <c r="AN140" s="23">
        <v>0</v>
      </c>
      <c r="AO140" s="22">
        <v>0</v>
      </c>
      <c r="AP140" s="23">
        <v>0</v>
      </c>
      <c r="AQ140" s="23">
        <v>0</v>
      </c>
      <c r="AR140" s="23">
        <v>0</v>
      </c>
      <c r="AS140" s="23">
        <v>0</v>
      </c>
      <c r="AT140" s="22">
        <v>0</v>
      </c>
      <c r="AU140" s="22">
        <v>0</v>
      </c>
      <c r="AV140" s="23">
        <v>0</v>
      </c>
      <c r="AW140" s="22">
        <v>0</v>
      </c>
      <c r="AX140" s="23">
        <v>1</v>
      </c>
      <c r="AY140" s="23">
        <v>0</v>
      </c>
      <c r="AZ140" s="22">
        <v>0</v>
      </c>
      <c r="BA140" s="22">
        <v>0</v>
      </c>
      <c r="BB140" s="23">
        <v>0</v>
      </c>
      <c r="BC140" s="23">
        <v>0</v>
      </c>
      <c r="BD140" s="22">
        <v>0</v>
      </c>
      <c r="BE140" s="22">
        <v>0</v>
      </c>
      <c r="BF140" s="22">
        <v>0</v>
      </c>
      <c r="BG140" s="23">
        <v>0</v>
      </c>
      <c r="BH140" s="22">
        <v>0</v>
      </c>
      <c r="BI140" s="22">
        <v>0</v>
      </c>
      <c r="BJ140" s="22">
        <v>1</v>
      </c>
      <c r="BK140" s="22">
        <v>1</v>
      </c>
      <c r="BL140" s="22">
        <v>2</v>
      </c>
      <c r="BM140" s="22">
        <v>1</v>
      </c>
      <c r="BN140" s="22">
        <v>0</v>
      </c>
      <c r="BO140" s="22">
        <v>0</v>
      </c>
      <c r="BP140" s="22">
        <v>1</v>
      </c>
      <c r="BQ140" s="22">
        <v>2</v>
      </c>
      <c r="BR140" s="22">
        <v>0</v>
      </c>
      <c r="BS140" s="22">
        <v>0</v>
      </c>
      <c r="BT140" s="22">
        <v>0</v>
      </c>
      <c r="BU140" s="22">
        <v>0</v>
      </c>
      <c r="BV140" s="23">
        <f t="shared" si="12"/>
        <v>8</v>
      </c>
    </row>
    <row r="141" spans="1:74">
      <c r="A141" s="22">
        <f t="shared" si="13"/>
        <v>134</v>
      </c>
      <c r="B141" s="22">
        <v>3</v>
      </c>
      <c r="C141" s="22" t="s">
        <v>546</v>
      </c>
      <c r="D141" s="28">
        <v>44098</v>
      </c>
      <c r="E141" s="169" t="s">
        <v>547</v>
      </c>
      <c r="F141" s="31">
        <v>29.0374633013999</v>
      </c>
      <c r="G141" s="31">
        <v>59.9671702938999</v>
      </c>
      <c r="H141" s="23">
        <f t="shared" ref="H141:H194" si="14">FLOOR(F141,1)</f>
        <v>29</v>
      </c>
      <c r="I141" s="31">
        <f t="shared" ref="I141:I194" si="15">(F141-H141)*60</f>
        <v>2.24779808399397</v>
      </c>
      <c r="J141" s="23">
        <f t="shared" ref="J141:J194" si="16">FLOOR(G141,1)</f>
        <v>59</v>
      </c>
      <c r="K141" s="31">
        <f t="shared" ref="K141:K194" si="17">(G141-J141)*60</f>
        <v>58.0302176339939</v>
      </c>
      <c r="L141" s="22">
        <v>11.6</v>
      </c>
      <c r="O141" s="22">
        <v>15</v>
      </c>
      <c r="P141" s="22">
        <v>14.7</v>
      </c>
      <c r="R141" s="22">
        <f>4.94/2</f>
        <v>2.47</v>
      </c>
      <c r="S141" s="22">
        <f>5.25/2</f>
        <v>2.625</v>
      </c>
      <c r="T141" s="22">
        <v>8.55</v>
      </c>
      <c r="U141" s="22">
        <v>8.53</v>
      </c>
      <c r="Y141" s="22">
        <v>146</v>
      </c>
      <c r="Z141" s="22">
        <v>147</v>
      </c>
      <c r="AC141" s="22" t="s">
        <v>172</v>
      </c>
      <c r="AG141" s="22" t="s">
        <v>465</v>
      </c>
      <c r="AK141" s="22" t="s">
        <v>466</v>
      </c>
      <c r="AN141" s="23">
        <v>0</v>
      </c>
      <c r="AO141" s="22">
        <v>0</v>
      </c>
      <c r="AP141" s="23">
        <v>0</v>
      </c>
      <c r="AQ141" s="23">
        <v>0</v>
      </c>
      <c r="AR141" s="23">
        <v>0</v>
      </c>
      <c r="AS141" s="23">
        <v>0</v>
      </c>
      <c r="AT141" s="22">
        <v>0</v>
      </c>
      <c r="AU141" s="22">
        <v>0</v>
      </c>
      <c r="AV141" s="23">
        <v>0</v>
      </c>
      <c r="AW141" s="22">
        <v>0</v>
      </c>
      <c r="AX141" s="23">
        <v>1</v>
      </c>
      <c r="AY141" s="23">
        <v>0</v>
      </c>
      <c r="AZ141" s="22">
        <v>0</v>
      </c>
      <c r="BA141" s="22">
        <v>0</v>
      </c>
      <c r="BB141" s="23">
        <v>0</v>
      </c>
      <c r="BC141" s="23">
        <v>0</v>
      </c>
      <c r="BD141" s="22">
        <v>0</v>
      </c>
      <c r="BE141" s="22">
        <v>0</v>
      </c>
      <c r="BF141" s="22">
        <v>0</v>
      </c>
      <c r="BG141" s="23">
        <v>0</v>
      </c>
      <c r="BH141" s="22">
        <v>0</v>
      </c>
      <c r="BI141" s="22">
        <v>0</v>
      </c>
      <c r="BJ141" s="22">
        <v>1</v>
      </c>
      <c r="BK141" s="22">
        <v>1</v>
      </c>
      <c r="BL141" s="22">
        <v>2</v>
      </c>
      <c r="BM141" s="22">
        <v>1</v>
      </c>
      <c r="BN141" s="22">
        <v>0</v>
      </c>
      <c r="BO141" s="22">
        <v>0</v>
      </c>
      <c r="BP141" s="22">
        <v>1</v>
      </c>
      <c r="BQ141" s="22">
        <v>2</v>
      </c>
      <c r="BR141" s="22">
        <v>0</v>
      </c>
      <c r="BS141" s="22">
        <v>0</v>
      </c>
      <c r="BT141" s="22">
        <v>0</v>
      </c>
      <c r="BU141" s="22">
        <v>0</v>
      </c>
      <c r="BV141" s="23">
        <f t="shared" si="12"/>
        <v>8</v>
      </c>
    </row>
    <row r="142" spans="1:74">
      <c r="A142" s="22">
        <f t="shared" si="13"/>
        <v>135</v>
      </c>
      <c r="B142" s="22">
        <v>3</v>
      </c>
      <c r="C142" s="22" t="s">
        <v>548</v>
      </c>
      <c r="D142" s="28">
        <v>44098</v>
      </c>
      <c r="E142" s="169" t="s">
        <v>549</v>
      </c>
      <c r="F142" s="31">
        <v>29.0524357126</v>
      </c>
      <c r="G142" s="31">
        <v>59.9639913458999</v>
      </c>
      <c r="H142" s="23">
        <f t="shared" si="14"/>
        <v>29</v>
      </c>
      <c r="I142" s="31">
        <f t="shared" si="15"/>
        <v>3.14614275600007</v>
      </c>
      <c r="J142" s="23">
        <f t="shared" si="16"/>
        <v>59</v>
      </c>
      <c r="K142" s="31">
        <f t="shared" si="17"/>
        <v>57.8394807539939</v>
      </c>
      <c r="L142" s="22">
        <v>8.5</v>
      </c>
      <c r="O142" s="22">
        <v>15</v>
      </c>
      <c r="P142" s="22">
        <v>14.7</v>
      </c>
      <c r="R142" s="22">
        <f>5.22/2</f>
        <v>2.61</v>
      </c>
      <c r="S142" s="22">
        <f>5.29/2</f>
        <v>2.645</v>
      </c>
      <c r="T142" s="22">
        <v>8.46</v>
      </c>
      <c r="U142" s="22">
        <v>8.5</v>
      </c>
      <c r="Y142" s="22">
        <v>146</v>
      </c>
      <c r="Z142" s="22">
        <v>146</v>
      </c>
      <c r="AC142" s="22" t="s">
        <v>550</v>
      </c>
      <c r="AG142" s="22" t="s">
        <v>465</v>
      </c>
      <c r="AK142" s="22" t="s">
        <v>466</v>
      </c>
      <c r="AN142" s="23">
        <v>1</v>
      </c>
      <c r="AO142" s="22">
        <v>0</v>
      </c>
      <c r="AP142" s="23">
        <v>0</v>
      </c>
      <c r="AQ142" s="23">
        <v>1</v>
      </c>
      <c r="AR142" s="23">
        <v>0</v>
      </c>
      <c r="AS142" s="23">
        <v>0</v>
      </c>
      <c r="AT142" s="22">
        <v>0</v>
      </c>
      <c r="AU142" s="22">
        <v>0</v>
      </c>
      <c r="AV142" s="23">
        <v>0</v>
      </c>
      <c r="AW142" s="22">
        <v>0</v>
      </c>
      <c r="AX142" s="23">
        <v>0</v>
      </c>
      <c r="AY142" s="23">
        <v>0</v>
      </c>
      <c r="AZ142" s="22">
        <v>0</v>
      </c>
      <c r="BA142" s="22">
        <v>0</v>
      </c>
      <c r="BB142" s="23">
        <v>0</v>
      </c>
      <c r="BC142" s="23">
        <v>0</v>
      </c>
      <c r="BD142" s="22">
        <v>0</v>
      </c>
      <c r="BE142" s="22">
        <v>0</v>
      </c>
      <c r="BF142" s="22">
        <v>0</v>
      </c>
      <c r="BG142" s="23">
        <v>0</v>
      </c>
      <c r="BH142" s="22">
        <v>0</v>
      </c>
      <c r="BI142" s="22">
        <v>0</v>
      </c>
      <c r="BJ142" s="22">
        <v>2</v>
      </c>
      <c r="BK142" s="22">
        <v>1</v>
      </c>
      <c r="BL142" s="22">
        <v>2</v>
      </c>
      <c r="BM142" s="22">
        <v>1</v>
      </c>
      <c r="BN142" s="22">
        <v>1</v>
      </c>
      <c r="BO142" s="22">
        <v>1</v>
      </c>
      <c r="BP142" s="22">
        <v>1</v>
      </c>
      <c r="BQ142" s="22">
        <v>1</v>
      </c>
      <c r="BR142" s="22">
        <v>0</v>
      </c>
      <c r="BS142" s="22">
        <v>0</v>
      </c>
      <c r="BT142" s="22">
        <v>0</v>
      </c>
      <c r="BU142" s="22">
        <v>0</v>
      </c>
      <c r="BV142" s="23">
        <f t="shared" si="12"/>
        <v>10</v>
      </c>
    </row>
    <row r="143" spans="1:33">
      <c r="A143" s="22">
        <f t="shared" si="13"/>
        <v>136</v>
      </c>
      <c r="B143" s="22">
        <v>3</v>
      </c>
      <c r="C143" s="22" t="s">
        <v>551</v>
      </c>
      <c r="D143" s="28">
        <v>44098</v>
      </c>
      <c r="E143" s="169" t="s">
        <v>552</v>
      </c>
      <c r="F143" s="31">
        <v>29.078596474</v>
      </c>
      <c r="G143" s="31">
        <v>59.9727977247</v>
      </c>
      <c r="H143" s="23">
        <f t="shared" si="14"/>
        <v>29</v>
      </c>
      <c r="I143" s="31">
        <f t="shared" si="15"/>
        <v>4.71578844000007</v>
      </c>
      <c r="J143" s="23">
        <f t="shared" si="16"/>
        <v>59</v>
      </c>
      <c r="K143" s="31">
        <f t="shared" si="17"/>
        <v>58.3678634820001</v>
      </c>
      <c r="L143" s="22">
        <v>7.7</v>
      </c>
      <c r="O143" s="22">
        <v>14.5</v>
      </c>
      <c r="P143" s="22">
        <v>14.3</v>
      </c>
      <c r="R143" s="22">
        <f>5.12/2</f>
        <v>2.56</v>
      </c>
      <c r="S143" s="22">
        <f>5.26/2</f>
        <v>2.63</v>
      </c>
      <c r="T143" s="22">
        <v>8.32</v>
      </c>
      <c r="U143" s="22">
        <v>8.33</v>
      </c>
      <c r="Y143" s="22">
        <v>153</v>
      </c>
      <c r="Z143" s="22">
        <v>153</v>
      </c>
      <c r="AC143" s="22" t="s">
        <v>159</v>
      </c>
      <c r="AG143" s="22" t="s">
        <v>458</v>
      </c>
    </row>
    <row r="144" spans="3:74">
      <c r="C144" s="22" t="s">
        <v>551</v>
      </c>
      <c r="D144" s="28">
        <v>44098</v>
      </c>
      <c r="E144" s="169" t="s">
        <v>553</v>
      </c>
      <c r="F144" s="31">
        <v>29.07858</v>
      </c>
      <c r="G144" s="31">
        <v>59.97297</v>
      </c>
      <c r="H144" s="22">
        <f t="shared" si="14"/>
        <v>29</v>
      </c>
      <c r="I144" s="15">
        <f t="shared" si="15"/>
        <v>4.71479999999993</v>
      </c>
      <c r="J144" s="22">
        <f t="shared" si="16"/>
        <v>59</v>
      </c>
      <c r="K144" s="15">
        <f t="shared" si="17"/>
        <v>58.3781999999998</v>
      </c>
      <c r="L144" s="22">
        <v>7.5</v>
      </c>
      <c r="O144" s="22">
        <v>14.8</v>
      </c>
      <c r="P144" s="22">
        <v>14.8</v>
      </c>
      <c r="T144" s="22">
        <v>9.54</v>
      </c>
      <c r="U144" s="22">
        <v>9.64</v>
      </c>
      <c r="Y144" s="22">
        <v>55</v>
      </c>
      <c r="Z144" s="22">
        <v>45</v>
      </c>
      <c r="AC144" s="22" t="s">
        <v>554</v>
      </c>
      <c r="AG144" s="22" t="s">
        <v>458</v>
      </c>
      <c r="AH144" s="22" t="s">
        <v>555</v>
      </c>
      <c r="AK144" s="22" t="s">
        <v>205</v>
      </c>
      <c r="AL144" s="22" t="s">
        <v>122</v>
      </c>
      <c r="AN144" s="23">
        <v>1</v>
      </c>
      <c r="AO144" s="22">
        <v>0</v>
      </c>
      <c r="AP144" s="23">
        <v>1</v>
      </c>
      <c r="AQ144" s="23">
        <v>2</v>
      </c>
      <c r="AR144" s="23">
        <v>0</v>
      </c>
      <c r="AS144" s="23">
        <v>0</v>
      </c>
      <c r="AT144" s="22">
        <v>0</v>
      </c>
      <c r="AU144" s="22">
        <v>0</v>
      </c>
      <c r="AV144" s="23">
        <v>0</v>
      </c>
      <c r="AW144" s="22">
        <v>0</v>
      </c>
      <c r="AX144" s="23">
        <v>0</v>
      </c>
      <c r="AY144" s="23">
        <v>0</v>
      </c>
      <c r="AZ144" s="22">
        <v>0</v>
      </c>
      <c r="BA144" s="22">
        <v>0</v>
      </c>
      <c r="BB144" s="23">
        <v>0</v>
      </c>
      <c r="BC144" s="23">
        <v>1</v>
      </c>
      <c r="BD144" s="22">
        <v>0</v>
      </c>
      <c r="BE144" s="22">
        <v>0</v>
      </c>
      <c r="BF144" s="22">
        <v>0</v>
      </c>
      <c r="BG144" s="23">
        <v>0</v>
      </c>
      <c r="BH144" s="22">
        <v>0</v>
      </c>
      <c r="BI144" s="22">
        <v>0</v>
      </c>
      <c r="BJ144" s="22">
        <v>2</v>
      </c>
      <c r="BK144" s="22">
        <v>2</v>
      </c>
      <c r="BL144" s="22">
        <v>2</v>
      </c>
      <c r="BM144" s="22">
        <v>2</v>
      </c>
      <c r="BN144" s="22">
        <v>1</v>
      </c>
      <c r="BO144" s="22">
        <v>1</v>
      </c>
      <c r="BP144" s="22">
        <v>1</v>
      </c>
      <c r="BQ144" s="22">
        <v>1</v>
      </c>
      <c r="BR144" s="22">
        <v>0</v>
      </c>
      <c r="BS144" s="22">
        <v>0</v>
      </c>
      <c r="BT144" s="22">
        <v>0</v>
      </c>
      <c r="BU144" s="22">
        <v>0</v>
      </c>
      <c r="BV144" s="23">
        <f t="shared" si="12"/>
        <v>12</v>
      </c>
    </row>
    <row r="145" spans="1:74">
      <c r="A145" s="22">
        <f>A143+1</f>
        <v>137</v>
      </c>
      <c r="B145" s="22">
        <v>3</v>
      </c>
      <c r="C145" s="22" t="s">
        <v>556</v>
      </c>
      <c r="D145" s="28">
        <v>44098</v>
      </c>
      <c r="E145" s="169" t="s">
        <v>557</v>
      </c>
      <c r="F145" s="31">
        <v>29.0536743157999</v>
      </c>
      <c r="G145" s="31">
        <v>59.9748090985999</v>
      </c>
      <c r="H145" s="23">
        <f t="shared" si="14"/>
        <v>29</v>
      </c>
      <c r="I145" s="31">
        <f t="shared" si="15"/>
        <v>3.22045894799395</v>
      </c>
      <c r="J145" s="23">
        <f t="shared" si="16"/>
        <v>59</v>
      </c>
      <c r="K145" s="31">
        <f t="shared" si="17"/>
        <v>58.4885459159939</v>
      </c>
      <c r="L145" s="22">
        <v>14.5</v>
      </c>
      <c r="O145" s="22">
        <v>15</v>
      </c>
      <c r="P145" s="22">
        <v>14.7</v>
      </c>
      <c r="R145" s="22">
        <f>2.5</f>
        <v>2.5</v>
      </c>
      <c r="S145" s="22">
        <f>5.03/2</f>
        <v>2.515</v>
      </c>
      <c r="T145" s="22">
        <v>8.53</v>
      </c>
      <c r="U145" s="22">
        <v>8.41</v>
      </c>
      <c r="Y145" s="22">
        <v>145</v>
      </c>
      <c r="Z145" s="22">
        <v>142</v>
      </c>
      <c r="AC145" s="22" t="s">
        <v>353</v>
      </c>
      <c r="AG145" s="22" t="s">
        <v>465</v>
      </c>
      <c r="AK145" s="22" t="s">
        <v>466</v>
      </c>
      <c r="AN145" s="23">
        <v>0</v>
      </c>
      <c r="AO145" s="22">
        <v>0</v>
      </c>
      <c r="AP145" s="23">
        <v>0</v>
      </c>
      <c r="AQ145" s="23">
        <v>0</v>
      </c>
      <c r="AR145" s="23">
        <v>0</v>
      </c>
      <c r="AS145" s="23">
        <v>0</v>
      </c>
      <c r="AT145" s="22">
        <v>0</v>
      </c>
      <c r="AU145" s="22">
        <v>0</v>
      </c>
      <c r="AV145" s="23">
        <v>0</v>
      </c>
      <c r="AW145" s="22">
        <v>0</v>
      </c>
      <c r="AX145" s="23">
        <v>0</v>
      </c>
      <c r="AY145" s="23">
        <v>0</v>
      </c>
      <c r="AZ145" s="22">
        <v>0</v>
      </c>
      <c r="BA145" s="22">
        <v>0</v>
      </c>
      <c r="BB145" s="23">
        <v>0</v>
      </c>
      <c r="BC145" s="23">
        <v>1</v>
      </c>
      <c r="BD145" s="22">
        <v>0</v>
      </c>
      <c r="BE145" s="22">
        <v>0</v>
      </c>
      <c r="BF145" s="22">
        <v>0</v>
      </c>
      <c r="BG145" s="23">
        <v>0</v>
      </c>
      <c r="BH145" s="22">
        <v>0</v>
      </c>
      <c r="BI145" s="22">
        <v>0</v>
      </c>
      <c r="BJ145" s="22">
        <v>1</v>
      </c>
      <c r="BK145" s="22">
        <v>1</v>
      </c>
      <c r="BL145" s="22">
        <v>2</v>
      </c>
      <c r="BM145" s="22">
        <v>1</v>
      </c>
      <c r="BN145" s="22">
        <v>1</v>
      </c>
      <c r="BO145" s="22">
        <v>0</v>
      </c>
      <c r="BP145" s="22">
        <v>1</v>
      </c>
      <c r="BQ145" s="22">
        <v>1</v>
      </c>
      <c r="BR145" s="22">
        <v>0</v>
      </c>
      <c r="BS145" s="22">
        <v>0</v>
      </c>
      <c r="BT145" s="22">
        <v>0</v>
      </c>
      <c r="BU145" s="22">
        <v>0</v>
      </c>
      <c r="BV145" s="23">
        <f t="shared" si="12"/>
        <v>8</v>
      </c>
    </row>
    <row r="146" spans="1:74">
      <c r="A146" s="22">
        <f t="shared" si="13"/>
        <v>138</v>
      </c>
      <c r="B146" s="22">
        <v>3</v>
      </c>
      <c r="C146" s="22" t="s">
        <v>558</v>
      </c>
      <c r="D146" s="28">
        <v>44099</v>
      </c>
      <c r="E146" s="169" t="s">
        <v>559</v>
      </c>
      <c r="F146" s="31">
        <v>28.81009</v>
      </c>
      <c r="G146" s="31">
        <v>59.83121</v>
      </c>
      <c r="H146" s="22">
        <f t="shared" si="14"/>
        <v>28</v>
      </c>
      <c r="I146" s="15">
        <f t="shared" si="15"/>
        <v>48.6053999999999</v>
      </c>
      <c r="J146" s="22">
        <f t="shared" si="16"/>
        <v>59</v>
      </c>
      <c r="K146" s="15">
        <f t="shared" si="17"/>
        <v>49.8725999999999</v>
      </c>
      <c r="L146" s="22">
        <v>9.6</v>
      </c>
      <c r="O146" s="22">
        <v>13.9</v>
      </c>
      <c r="P146" s="22">
        <v>13.9</v>
      </c>
      <c r="R146" s="22">
        <f>5.91/2</f>
        <v>2.955</v>
      </c>
      <c r="S146" s="22">
        <f>6.21/2</f>
        <v>3.105</v>
      </c>
      <c r="T146" s="22">
        <v>8.85</v>
      </c>
      <c r="U146" s="22">
        <v>8.84</v>
      </c>
      <c r="Y146" s="22">
        <v>141</v>
      </c>
      <c r="Z146" s="22">
        <v>140</v>
      </c>
      <c r="AC146" s="22" t="s">
        <v>560</v>
      </c>
      <c r="AG146" s="22" t="s">
        <v>465</v>
      </c>
      <c r="AN146" s="23">
        <v>1</v>
      </c>
      <c r="AO146" s="22">
        <v>1</v>
      </c>
      <c r="AP146" s="23">
        <v>0</v>
      </c>
      <c r="AQ146" s="23">
        <v>1</v>
      </c>
      <c r="AR146" s="23">
        <v>0</v>
      </c>
      <c r="AS146" s="23">
        <v>0</v>
      </c>
      <c r="AT146" s="22">
        <v>0</v>
      </c>
      <c r="AU146" s="22">
        <v>0</v>
      </c>
      <c r="AV146" s="23">
        <v>0</v>
      </c>
      <c r="AW146" s="22">
        <v>0</v>
      </c>
      <c r="AX146" s="23">
        <v>0</v>
      </c>
      <c r="AY146" s="23">
        <v>0</v>
      </c>
      <c r="AZ146" s="22">
        <v>0</v>
      </c>
      <c r="BA146" s="22">
        <v>0</v>
      </c>
      <c r="BB146" s="23">
        <v>0</v>
      </c>
      <c r="BC146" s="23">
        <v>1</v>
      </c>
      <c r="BD146" s="22">
        <v>0</v>
      </c>
      <c r="BE146" s="22">
        <v>0</v>
      </c>
      <c r="BF146" s="22">
        <v>0</v>
      </c>
      <c r="BG146" s="23">
        <v>0</v>
      </c>
      <c r="BH146" s="22">
        <v>0</v>
      </c>
      <c r="BI146" s="22">
        <v>0</v>
      </c>
      <c r="BJ146" s="22">
        <v>4</v>
      </c>
      <c r="BK146" s="22">
        <v>1</v>
      </c>
      <c r="BL146" s="22">
        <v>2</v>
      </c>
      <c r="BM146" s="22">
        <v>1</v>
      </c>
      <c r="BN146" s="22">
        <v>1</v>
      </c>
      <c r="BO146" s="22">
        <v>1</v>
      </c>
      <c r="BP146" s="22">
        <v>1</v>
      </c>
      <c r="BQ146" s="22">
        <v>1</v>
      </c>
      <c r="BR146" s="22">
        <v>0</v>
      </c>
      <c r="BS146" s="22">
        <v>0</v>
      </c>
      <c r="BT146" s="22">
        <v>0</v>
      </c>
      <c r="BU146" s="22">
        <v>0</v>
      </c>
      <c r="BV146" s="23">
        <f t="shared" si="12"/>
        <v>12</v>
      </c>
    </row>
    <row r="147" spans="1:74">
      <c r="A147" s="22">
        <f t="shared" si="13"/>
        <v>139</v>
      </c>
      <c r="B147" s="22">
        <v>3</v>
      </c>
      <c r="C147" s="22" t="s">
        <v>561</v>
      </c>
      <c r="D147" s="28">
        <v>44098</v>
      </c>
      <c r="E147" s="169" t="s">
        <v>562</v>
      </c>
      <c r="F147" s="31">
        <v>29.0533256460999</v>
      </c>
      <c r="G147" s="31">
        <v>59.9875527606</v>
      </c>
      <c r="H147" s="23">
        <f t="shared" si="14"/>
        <v>29</v>
      </c>
      <c r="I147" s="31">
        <f t="shared" si="15"/>
        <v>3.19953876599399</v>
      </c>
      <c r="J147" s="23">
        <f t="shared" si="16"/>
        <v>59</v>
      </c>
      <c r="K147" s="31">
        <f t="shared" si="17"/>
        <v>59.2531656360002</v>
      </c>
      <c r="L147" s="22">
        <v>21.3</v>
      </c>
      <c r="O147" s="22">
        <v>14.6</v>
      </c>
      <c r="P147" s="22">
        <v>14.3</v>
      </c>
      <c r="R147" s="22">
        <f>5.06/2</f>
        <v>2.53</v>
      </c>
      <c r="S147" s="22">
        <f>5.15/2</f>
        <v>2.575</v>
      </c>
      <c r="T147" s="22">
        <v>8.41</v>
      </c>
      <c r="U147" s="22">
        <v>8.45</v>
      </c>
      <c r="Y147" s="22">
        <v>150</v>
      </c>
      <c r="Z147" s="22">
        <v>151</v>
      </c>
      <c r="AC147" s="22" t="s">
        <v>353</v>
      </c>
      <c r="AG147" s="22" t="s">
        <v>465</v>
      </c>
      <c r="AK147" s="22" t="s">
        <v>466</v>
      </c>
      <c r="AN147" s="23">
        <v>0</v>
      </c>
      <c r="AO147" s="22">
        <v>0</v>
      </c>
      <c r="AP147" s="23">
        <v>0</v>
      </c>
      <c r="AQ147" s="23">
        <v>0</v>
      </c>
      <c r="AR147" s="23">
        <v>0</v>
      </c>
      <c r="AS147" s="23">
        <v>0</v>
      </c>
      <c r="AT147" s="22">
        <v>0</v>
      </c>
      <c r="AU147" s="22">
        <v>0</v>
      </c>
      <c r="AV147" s="23">
        <v>0</v>
      </c>
      <c r="AW147" s="22">
        <v>0</v>
      </c>
      <c r="AX147" s="23">
        <v>2</v>
      </c>
      <c r="AY147" s="23">
        <v>0</v>
      </c>
      <c r="AZ147" s="22">
        <v>0</v>
      </c>
      <c r="BA147" s="22">
        <v>0</v>
      </c>
      <c r="BB147" s="23">
        <v>0</v>
      </c>
      <c r="BC147" s="23">
        <v>0</v>
      </c>
      <c r="BD147" s="22">
        <v>0</v>
      </c>
      <c r="BE147" s="22">
        <v>0</v>
      </c>
      <c r="BF147" s="22">
        <v>0</v>
      </c>
      <c r="BG147" s="23">
        <v>0</v>
      </c>
      <c r="BH147" s="22">
        <v>0</v>
      </c>
      <c r="BI147" s="22">
        <v>0</v>
      </c>
      <c r="BJ147" s="22">
        <v>1</v>
      </c>
      <c r="BK147" s="22">
        <v>2</v>
      </c>
      <c r="BL147" s="22">
        <v>2</v>
      </c>
      <c r="BM147" s="22">
        <v>1</v>
      </c>
      <c r="BN147" s="22">
        <v>0</v>
      </c>
      <c r="BO147" s="22">
        <v>0</v>
      </c>
      <c r="BP147" s="22">
        <v>1</v>
      </c>
      <c r="BQ147" s="22">
        <v>1</v>
      </c>
      <c r="BR147" s="22">
        <v>0</v>
      </c>
      <c r="BS147" s="22">
        <v>0</v>
      </c>
      <c r="BT147" s="22">
        <v>0</v>
      </c>
      <c r="BU147" s="22">
        <v>0</v>
      </c>
      <c r="BV147" s="23">
        <f t="shared" si="12"/>
        <v>8</v>
      </c>
    </row>
    <row r="148" spans="1:74">
      <c r="A148" s="22">
        <f t="shared" si="13"/>
        <v>140</v>
      </c>
      <c r="B148" s="22">
        <v>3</v>
      </c>
      <c r="C148" s="22" t="s">
        <v>563</v>
      </c>
      <c r="D148" s="28">
        <v>44098</v>
      </c>
      <c r="E148" s="169" t="s">
        <v>564</v>
      </c>
      <c r="F148" s="31">
        <v>29.0676950422999</v>
      </c>
      <c r="G148" s="31">
        <v>59.9988027022</v>
      </c>
      <c r="H148" s="23">
        <f t="shared" si="14"/>
        <v>29</v>
      </c>
      <c r="I148" s="31">
        <f t="shared" si="15"/>
        <v>4.06170253799395</v>
      </c>
      <c r="J148" s="23">
        <f t="shared" si="16"/>
        <v>59</v>
      </c>
      <c r="K148" s="31">
        <f t="shared" si="17"/>
        <v>59.9281621320002</v>
      </c>
      <c r="L148" s="22">
        <v>24.2</v>
      </c>
      <c r="O148" s="22">
        <v>14.9</v>
      </c>
      <c r="P148" s="22">
        <v>14.6</v>
      </c>
      <c r="R148" s="22">
        <f>4.09/2</f>
        <v>2.045</v>
      </c>
      <c r="S148" s="22">
        <f>4.18/2</f>
        <v>2.09</v>
      </c>
      <c r="T148" s="22">
        <v>8.72</v>
      </c>
      <c r="U148" s="22">
        <v>8.68</v>
      </c>
      <c r="Y148" s="22">
        <v>84</v>
      </c>
      <c r="Z148" s="22">
        <v>90</v>
      </c>
      <c r="AC148" s="22" t="s">
        <v>565</v>
      </c>
      <c r="AG148" s="22" t="s">
        <v>465</v>
      </c>
      <c r="AN148" s="23">
        <v>0</v>
      </c>
      <c r="AO148" s="22">
        <v>0</v>
      </c>
      <c r="AP148" s="23">
        <v>0</v>
      </c>
      <c r="AQ148" s="23">
        <v>0</v>
      </c>
      <c r="AR148" s="23">
        <v>0</v>
      </c>
      <c r="AS148" s="23">
        <v>0</v>
      </c>
      <c r="AT148" s="22">
        <v>0</v>
      </c>
      <c r="AU148" s="22">
        <v>0</v>
      </c>
      <c r="AV148" s="23">
        <v>0</v>
      </c>
      <c r="AW148" s="22">
        <v>0</v>
      </c>
      <c r="AX148" s="23">
        <v>3</v>
      </c>
      <c r="AY148" s="23">
        <v>0</v>
      </c>
      <c r="AZ148" s="22">
        <v>0</v>
      </c>
      <c r="BA148" s="22">
        <v>0</v>
      </c>
      <c r="BB148" s="23">
        <v>0</v>
      </c>
      <c r="BC148" s="23">
        <v>0</v>
      </c>
      <c r="BD148" s="22">
        <v>0</v>
      </c>
      <c r="BE148" s="22">
        <v>0</v>
      </c>
      <c r="BF148" s="22">
        <v>0</v>
      </c>
      <c r="BG148" s="23">
        <v>0</v>
      </c>
      <c r="BH148" s="22">
        <v>0</v>
      </c>
      <c r="BI148" s="22">
        <v>0</v>
      </c>
      <c r="BJ148" s="22">
        <v>1</v>
      </c>
      <c r="BK148" s="22">
        <v>3</v>
      </c>
      <c r="BL148" s="22">
        <v>2</v>
      </c>
      <c r="BM148" s="22">
        <v>1</v>
      </c>
      <c r="BN148" s="22">
        <v>0</v>
      </c>
      <c r="BO148" s="22">
        <v>0</v>
      </c>
      <c r="BP148" s="22">
        <v>1</v>
      </c>
      <c r="BQ148" s="22">
        <v>1</v>
      </c>
      <c r="BR148" s="22">
        <v>0</v>
      </c>
      <c r="BS148" s="22">
        <v>0</v>
      </c>
      <c r="BT148" s="22">
        <v>0</v>
      </c>
      <c r="BU148" s="22">
        <v>0</v>
      </c>
      <c r="BV148" s="23">
        <f t="shared" si="12"/>
        <v>9</v>
      </c>
    </row>
    <row r="149" spans="1:74">
      <c r="A149" s="22">
        <f t="shared" si="13"/>
        <v>141</v>
      </c>
      <c r="B149" s="22">
        <v>3</v>
      </c>
      <c r="C149" s="29" t="s">
        <v>566</v>
      </c>
      <c r="D149" s="28">
        <v>44098</v>
      </c>
      <c r="E149" s="169" t="s">
        <v>567</v>
      </c>
      <c r="F149" s="15">
        <v>29.054758915</v>
      </c>
      <c r="G149" s="15">
        <v>60.0045464354</v>
      </c>
      <c r="H149" s="23">
        <f t="shared" si="14"/>
        <v>29</v>
      </c>
      <c r="I149" s="31">
        <v>4.33</v>
      </c>
      <c r="J149" s="23">
        <f t="shared" si="16"/>
        <v>60</v>
      </c>
      <c r="K149" s="31">
        <v>0.296</v>
      </c>
      <c r="L149" s="22">
        <v>26.5</v>
      </c>
      <c r="M149" s="22">
        <v>2.3</v>
      </c>
      <c r="O149" s="22">
        <v>14.7</v>
      </c>
      <c r="P149" s="22">
        <v>14.5</v>
      </c>
      <c r="Q149" s="22">
        <v>14.5</v>
      </c>
      <c r="R149" s="22">
        <f>4.09/2</f>
        <v>2.045</v>
      </c>
      <c r="S149" s="22">
        <f>4.18/2</f>
        <v>2.09</v>
      </c>
      <c r="T149" s="22">
        <v>8.52</v>
      </c>
      <c r="U149" s="22">
        <v>8.54</v>
      </c>
      <c r="V149" s="22">
        <v>7.34</v>
      </c>
      <c r="Y149" s="22">
        <v>125</v>
      </c>
      <c r="Z149" s="22">
        <v>127</v>
      </c>
      <c r="AC149" s="22" t="s">
        <v>565</v>
      </c>
      <c r="AE149" s="22" t="s">
        <v>568</v>
      </c>
      <c r="AF149" s="22" t="s">
        <v>569</v>
      </c>
      <c r="AG149" s="22" t="s">
        <v>465</v>
      </c>
      <c r="AK149" s="22" t="s">
        <v>122</v>
      </c>
      <c r="AN149" s="23">
        <v>0</v>
      </c>
      <c r="AO149" s="22">
        <v>0</v>
      </c>
      <c r="AP149" s="23">
        <v>0</v>
      </c>
      <c r="AQ149" s="23">
        <v>0</v>
      </c>
      <c r="AR149" s="23">
        <v>0</v>
      </c>
      <c r="AS149" s="23">
        <v>0</v>
      </c>
      <c r="AT149" s="22">
        <v>0</v>
      </c>
      <c r="AU149" s="22">
        <v>0</v>
      </c>
      <c r="AV149" s="23">
        <v>0</v>
      </c>
      <c r="AW149" s="22">
        <v>0</v>
      </c>
      <c r="AX149" s="23">
        <v>3</v>
      </c>
      <c r="AY149" s="23">
        <v>0</v>
      </c>
      <c r="AZ149" s="22">
        <v>0</v>
      </c>
      <c r="BA149" s="22">
        <v>0</v>
      </c>
      <c r="BB149" s="23">
        <v>0</v>
      </c>
      <c r="BC149" s="23">
        <v>0</v>
      </c>
      <c r="BD149" s="22">
        <v>0</v>
      </c>
      <c r="BE149" s="22">
        <v>0</v>
      </c>
      <c r="BF149" s="22">
        <v>0</v>
      </c>
      <c r="BG149" s="23">
        <v>0</v>
      </c>
      <c r="BH149" s="22">
        <v>0</v>
      </c>
      <c r="BI149" s="22">
        <v>0</v>
      </c>
      <c r="BJ149" s="22">
        <v>1</v>
      </c>
      <c r="BK149" s="22">
        <v>3</v>
      </c>
      <c r="BL149" s="22">
        <v>2</v>
      </c>
      <c r="BM149" s="22">
        <v>1</v>
      </c>
      <c r="BN149" s="22">
        <v>0</v>
      </c>
      <c r="BO149" s="22">
        <v>0</v>
      </c>
      <c r="BP149" s="22">
        <v>1</v>
      </c>
      <c r="BQ149" s="22">
        <v>1</v>
      </c>
      <c r="BR149" s="22">
        <v>0</v>
      </c>
      <c r="BS149" s="22">
        <v>0</v>
      </c>
      <c r="BT149" s="22">
        <v>0</v>
      </c>
      <c r="BU149" s="22">
        <v>0</v>
      </c>
      <c r="BV149" s="23">
        <f t="shared" si="12"/>
        <v>9</v>
      </c>
    </row>
    <row r="150" spans="1:74">
      <c r="A150" s="22">
        <f t="shared" si="13"/>
        <v>142</v>
      </c>
      <c r="B150" s="22">
        <v>3</v>
      </c>
      <c r="C150" s="22" t="s">
        <v>570</v>
      </c>
      <c r="D150" s="28">
        <v>44098</v>
      </c>
      <c r="E150" s="169" t="s">
        <v>571</v>
      </c>
      <c r="F150" s="31">
        <v>29.1061297946999</v>
      </c>
      <c r="G150" s="31">
        <v>60.0062755440999</v>
      </c>
      <c r="H150" s="23">
        <f t="shared" si="14"/>
        <v>29</v>
      </c>
      <c r="I150" s="31">
        <f t="shared" si="15"/>
        <v>6.36778768199399</v>
      </c>
      <c r="J150" s="23">
        <f t="shared" si="16"/>
        <v>60</v>
      </c>
      <c r="K150" s="31">
        <f t="shared" si="17"/>
        <v>0.37653264599399</v>
      </c>
      <c r="L150" s="22">
        <v>20.5</v>
      </c>
      <c r="O150" s="22">
        <v>14.5</v>
      </c>
      <c r="P150" s="22">
        <v>14.5</v>
      </c>
      <c r="R150" s="22">
        <v>2</v>
      </c>
      <c r="S150" s="22">
        <v>2.7</v>
      </c>
      <c r="T150" s="22">
        <v>8.36</v>
      </c>
      <c r="U150" s="22">
        <v>8.41</v>
      </c>
      <c r="Y150" s="22">
        <v>137</v>
      </c>
      <c r="Z150" s="22">
        <v>137</v>
      </c>
      <c r="AC150" s="22" t="s">
        <v>572</v>
      </c>
      <c r="AG150" s="22" t="s">
        <v>465</v>
      </c>
      <c r="AK150" s="22" t="s">
        <v>466</v>
      </c>
      <c r="AN150" s="23">
        <v>0</v>
      </c>
      <c r="AO150" s="22">
        <v>0</v>
      </c>
      <c r="AP150" s="23">
        <v>0</v>
      </c>
      <c r="AQ150" s="23">
        <v>0</v>
      </c>
      <c r="AR150" s="23">
        <v>0</v>
      </c>
      <c r="AS150" s="23">
        <v>0</v>
      </c>
      <c r="AT150" s="22">
        <v>0</v>
      </c>
      <c r="AU150" s="22">
        <v>0</v>
      </c>
      <c r="AV150" s="23">
        <v>0</v>
      </c>
      <c r="AW150" s="22">
        <v>0</v>
      </c>
      <c r="AX150" s="23">
        <v>4</v>
      </c>
      <c r="AY150" s="23">
        <v>0</v>
      </c>
      <c r="AZ150" s="22">
        <v>0</v>
      </c>
      <c r="BA150" s="22">
        <v>0</v>
      </c>
      <c r="BB150" s="23">
        <v>0</v>
      </c>
      <c r="BC150" s="23">
        <v>0</v>
      </c>
      <c r="BD150" s="22">
        <v>0</v>
      </c>
      <c r="BE150" s="22">
        <v>0</v>
      </c>
      <c r="BF150" s="22">
        <v>0</v>
      </c>
      <c r="BG150" s="23">
        <v>0</v>
      </c>
      <c r="BH150" s="22">
        <v>0</v>
      </c>
      <c r="BI150" s="22">
        <v>0</v>
      </c>
      <c r="BJ150" s="22">
        <v>1</v>
      </c>
      <c r="BK150" s="22">
        <v>4</v>
      </c>
      <c r="BL150" s="22">
        <v>2</v>
      </c>
      <c r="BM150" s="22">
        <v>1</v>
      </c>
      <c r="BN150" s="22">
        <v>0</v>
      </c>
      <c r="BO150" s="22">
        <v>0</v>
      </c>
      <c r="BP150" s="22">
        <v>1</v>
      </c>
      <c r="BQ150" s="22">
        <v>1</v>
      </c>
      <c r="BR150" s="22">
        <v>0</v>
      </c>
      <c r="BS150" s="22">
        <v>0</v>
      </c>
      <c r="BT150" s="22">
        <v>0</v>
      </c>
      <c r="BU150" s="22">
        <v>0</v>
      </c>
      <c r="BV150" s="23">
        <f t="shared" si="12"/>
        <v>10</v>
      </c>
    </row>
    <row r="151" spans="1:33">
      <c r="A151" s="22">
        <f t="shared" si="13"/>
        <v>143</v>
      </c>
      <c r="B151" s="22">
        <v>3</v>
      </c>
      <c r="C151" s="22" t="s">
        <v>573</v>
      </c>
      <c r="D151" s="28">
        <v>44098</v>
      </c>
      <c r="E151" s="169" t="s">
        <v>574</v>
      </c>
      <c r="F151" s="31">
        <v>29.1136710687999</v>
      </c>
      <c r="G151" s="31">
        <v>59.9815568024</v>
      </c>
      <c r="H151" s="23">
        <f t="shared" si="14"/>
        <v>29</v>
      </c>
      <c r="I151" s="31">
        <f t="shared" si="15"/>
        <v>6.82026412799395</v>
      </c>
      <c r="J151" s="23">
        <f t="shared" si="16"/>
        <v>59</v>
      </c>
      <c r="K151" s="31">
        <f t="shared" si="17"/>
        <v>58.893408144</v>
      </c>
      <c r="L151" s="22">
        <v>3.2</v>
      </c>
      <c r="O151" s="22">
        <v>14.8</v>
      </c>
      <c r="R151" s="22">
        <f>5.3/2</f>
        <v>2.65</v>
      </c>
      <c r="T151" s="22">
        <v>8.34</v>
      </c>
      <c r="Y151" s="22">
        <v>141</v>
      </c>
      <c r="AC151" s="22" t="s">
        <v>159</v>
      </c>
      <c r="AG151" s="22" t="s">
        <v>458</v>
      </c>
    </row>
    <row r="152" spans="3:74">
      <c r="C152" s="22" t="s">
        <v>573</v>
      </c>
      <c r="D152" s="28">
        <v>44100</v>
      </c>
      <c r="E152" s="169" t="s">
        <v>575</v>
      </c>
      <c r="F152" s="31">
        <v>29.1136710687999</v>
      </c>
      <c r="G152" s="31">
        <v>59.9815568024</v>
      </c>
      <c r="H152" s="23"/>
      <c r="I152" s="31"/>
      <c r="J152" s="23"/>
      <c r="K152" s="31"/>
      <c r="L152" s="22">
        <v>4</v>
      </c>
      <c r="O152" s="22">
        <v>14.8</v>
      </c>
      <c r="P152" s="22">
        <v>14.6</v>
      </c>
      <c r="T152" s="22">
        <v>9.32</v>
      </c>
      <c r="U152" s="22">
        <v>9.43</v>
      </c>
      <c r="Y152" s="22">
        <v>67</v>
      </c>
      <c r="Z152" s="22">
        <v>63</v>
      </c>
      <c r="AC152" s="22" t="s">
        <v>576</v>
      </c>
      <c r="AG152" s="22" t="s">
        <v>577</v>
      </c>
      <c r="AH152" s="22" t="s">
        <v>578</v>
      </c>
      <c r="AK152" s="22" t="s">
        <v>122</v>
      </c>
      <c r="AN152" s="23">
        <v>3</v>
      </c>
      <c r="AO152" s="22">
        <v>1</v>
      </c>
      <c r="AP152" s="23">
        <v>2</v>
      </c>
      <c r="AQ152" s="23">
        <v>5</v>
      </c>
      <c r="AR152" s="23">
        <v>0</v>
      </c>
      <c r="AS152" s="23">
        <v>2</v>
      </c>
      <c r="AT152" s="22">
        <v>0</v>
      </c>
      <c r="AU152" s="22">
        <v>0</v>
      </c>
      <c r="AV152" s="23">
        <v>0</v>
      </c>
      <c r="AW152" s="22">
        <v>0</v>
      </c>
      <c r="AX152" s="23">
        <v>0</v>
      </c>
      <c r="AY152" s="23">
        <v>0</v>
      </c>
      <c r="AZ152" s="22">
        <v>0</v>
      </c>
      <c r="BA152" s="22">
        <v>0</v>
      </c>
      <c r="BB152" s="23">
        <v>0</v>
      </c>
      <c r="BC152" s="23">
        <v>0</v>
      </c>
      <c r="BD152" s="22">
        <v>0</v>
      </c>
      <c r="BE152" s="22">
        <v>1</v>
      </c>
      <c r="BF152" s="22">
        <v>1</v>
      </c>
      <c r="BG152" s="23">
        <v>0</v>
      </c>
      <c r="BH152" s="22">
        <v>0</v>
      </c>
      <c r="BI152" s="22">
        <v>0</v>
      </c>
      <c r="BJ152" s="22">
        <v>7</v>
      </c>
      <c r="BK152" s="22">
        <v>4</v>
      </c>
      <c r="BL152" s="22">
        <v>1</v>
      </c>
      <c r="BM152" s="22">
        <v>2</v>
      </c>
      <c r="BN152" s="22">
        <v>1</v>
      </c>
      <c r="BO152" s="22">
        <v>1</v>
      </c>
      <c r="BP152" s="22">
        <v>1</v>
      </c>
      <c r="BQ152" s="22">
        <v>1</v>
      </c>
      <c r="BR152" s="22">
        <v>0</v>
      </c>
      <c r="BS152" s="22">
        <v>0</v>
      </c>
      <c r="BT152" s="22">
        <v>0</v>
      </c>
      <c r="BU152" s="22">
        <v>0</v>
      </c>
      <c r="BV152" s="23">
        <f t="shared" si="12"/>
        <v>18</v>
      </c>
    </row>
    <row r="153" spans="1:74">
      <c r="A153" s="22">
        <f>A151+1</f>
        <v>144</v>
      </c>
      <c r="B153" s="22">
        <v>3</v>
      </c>
      <c r="C153" s="22" t="s">
        <v>579</v>
      </c>
      <c r="D153" s="28">
        <v>44099</v>
      </c>
      <c r="E153" s="169" t="s">
        <v>580</v>
      </c>
      <c r="F153" s="31">
        <v>28.8168</v>
      </c>
      <c r="G153" s="31">
        <v>59.81293</v>
      </c>
      <c r="H153" s="22">
        <f t="shared" si="14"/>
        <v>28</v>
      </c>
      <c r="I153" s="15">
        <f t="shared" si="15"/>
        <v>49.008</v>
      </c>
      <c r="J153" s="22">
        <f t="shared" si="16"/>
        <v>59</v>
      </c>
      <c r="K153" s="15">
        <f t="shared" si="17"/>
        <v>48.7758000000001</v>
      </c>
      <c r="L153" s="22">
        <v>7.8</v>
      </c>
      <c r="O153" s="22">
        <v>13.8</v>
      </c>
      <c r="P153" s="22">
        <v>13.7</v>
      </c>
      <c r="R153" s="22">
        <f>5.57/2</f>
        <v>2.785</v>
      </c>
      <c r="S153" s="22">
        <v>3.02</v>
      </c>
      <c r="T153" s="22">
        <v>8.57</v>
      </c>
      <c r="U153" s="22">
        <v>8.69</v>
      </c>
      <c r="Y153" s="22">
        <v>163</v>
      </c>
      <c r="Z153" s="22">
        <v>162</v>
      </c>
      <c r="AC153" s="22" t="s">
        <v>581</v>
      </c>
      <c r="AG153" s="22" t="s">
        <v>465</v>
      </c>
      <c r="AK153" s="22" t="s">
        <v>466</v>
      </c>
      <c r="AN153" s="23">
        <v>0</v>
      </c>
      <c r="AO153" s="22">
        <v>0</v>
      </c>
      <c r="AP153" s="23">
        <v>0</v>
      </c>
      <c r="AQ153" s="23">
        <v>0</v>
      </c>
      <c r="AR153" s="23">
        <v>0</v>
      </c>
      <c r="AS153" s="23">
        <v>0</v>
      </c>
      <c r="AT153" s="22">
        <v>0</v>
      </c>
      <c r="AU153" s="22">
        <v>0</v>
      </c>
      <c r="AV153" s="23">
        <v>0</v>
      </c>
      <c r="AW153" s="22">
        <v>0</v>
      </c>
      <c r="AX153" s="23">
        <v>0</v>
      </c>
      <c r="AY153" s="23">
        <v>0</v>
      </c>
      <c r="AZ153" s="22">
        <v>0</v>
      </c>
      <c r="BA153" s="22">
        <v>0</v>
      </c>
      <c r="BB153" s="23">
        <v>0</v>
      </c>
      <c r="BC153" s="23">
        <v>1</v>
      </c>
      <c r="BD153" s="22">
        <v>0</v>
      </c>
      <c r="BE153" s="22">
        <v>0</v>
      </c>
      <c r="BF153" s="22">
        <v>0</v>
      </c>
      <c r="BG153" s="23">
        <v>0</v>
      </c>
      <c r="BH153" s="22">
        <v>0</v>
      </c>
      <c r="BI153" s="22">
        <v>0</v>
      </c>
      <c r="BJ153" s="22">
        <v>1</v>
      </c>
      <c r="BK153" s="22">
        <v>1</v>
      </c>
      <c r="BL153" s="22">
        <v>3</v>
      </c>
      <c r="BM153" s="22">
        <v>1</v>
      </c>
      <c r="BN153" s="22">
        <v>1</v>
      </c>
      <c r="BO153" s="22">
        <v>1</v>
      </c>
      <c r="BP153" s="22">
        <v>2</v>
      </c>
      <c r="BQ153" s="22">
        <v>2</v>
      </c>
      <c r="BR153" s="22">
        <v>0</v>
      </c>
      <c r="BS153" s="22">
        <v>0</v>
      </c>
      <c r="BT153" s="22">
        <v>0</v>
      </c>
      <c r="BU153" s="22">
        <v>0</v>
      </c>
      <c r="BV153" s="23">
        <f t="shared" si="12"/>
        <v>12</v>
      </c>
    </row>
    <row r="154" spans="1:74">
      <c r="A154" s="22">
        <f t="shared" si="13"/>
        <v>145</v>
      </c>
      <c r="B154" s="22">
        <v>3</v>
      </c>
      <c r="C154" s="22" t="s">
        <v>582</v>
      </c>
      <c r="D154" s="28">
        <v>44099</v>
      </c>
      <c r="E154" s="169" t="s">
        <v>583</v>
      </c>
      <c r="F154" s="31">
        <v>28.84604</v>
      </c>
      <c r="G154" s="31">
        <v>59.7999</v>
      </c>
      <c r="H154" s="22">
        <f t="shared" si="14"/>
        <v>28</v>
      </c>
      <c r="I154" s="15">
        <f t="shared" si="15"/>
        <v>50.7623999999999</v>
      </c>
      <c r="J154" s="22">
        <f t="shared" si="16"/>
        <v>59</v>
      </c>
      <c r="K154" s="15">
        <f t="shared" si="17"/>
        <v>47.9940000000001</v>
      </c>
      <c r="L154" s="22">
        <v>2.5</v>
      </c>
      <c r="O154" s="22">
        <v>13.8</v>
      </c>
      <c r="P154" s="22">
        <v>13.7</v>
      </c>
      <c r="R154" s="22">
        <v>3.055</v>
      </c>
      <c r="S154" s="22">
        <v>3</v>
      </c>
      <c r="T154" s="22">
        <v>8.67</v>
      </c>
      <c r="U154" s="22">
        <v>8.75</v>
      </c>
      <c r="Y154" s="22">
        <v>163</v>
      </c>
      <c r="Z154" s="22">
        <v>163</v>
      </c>
      <c r="AC154" s="22" t="s">
        <v>581</v>
      </c>
      <c r="AG154" s="22" t="s">
        <v>465</v>
      </c>
      <c r="AN154" s="23">
        <v>0</v>
      </c>
      <c r="AO154" s="22">
        <v>0</v>
      </c>
      <c r="AP154" s="23">
        <v>0</v>
      </c>
      <c r="AQ154" s="23">
        <v>0</v>
      </c>
      <c r="AR154" s="23">
        <v>0</v>
      </c>
      <c r="AS154" s="23">
        <v>1</v>
      </c>
      <c r="AT154" s="22">
        <v>0</v>
      </c>
      <c r="AU154" s="22">
        <v>0</v>
      </c>
      <c r="AV154" s="23">
        <v>0</v>
      </c>
      <c r="AW154" s="22">
        <v>0</v>
      </c>
      <c r="AX154" s="23">
        <v>0</v>
      </c>
      <c r="AY154" s="23">
        <v>0</v>
      </c>
      <c r="AZ154" s="22">
        <v>0</v>
      </c>
      <c r="BA154" s="22">
        <v>0</v>
      </c>
      <c r="BB154" s="23">
        <v>0</v>
      </c>
      <c r="BC154" s="23">
        <v>1</v>
      </c>
      <c r="BD154" s="22">
        <v>0</v>
      </c>
      <c r="BE154" s="22">
        <v>0</v>
      </c>
      <c r="BF154" s="22">
        <v>0</v>
      </c>
      <c r="BG154" s="23">
        <v>0</v>
      </c>
      <c r="BH154" s="22">
        <v>0</v>
      </c>
      <c r="BI154" s="22">
        <v>0</v>
      </c>
      <c r="BJ154" s="22">
        <v>2</v>
      </c>
      <c r="BK154" s="22">
        <v>1</v>
      </c>
      <c r="BL154" s="22">
        <v>3</v>
      </c>
      <c r="BM154" s="22">
        <v>1</v>
      </c>
      <c r="BN154" s="22">
        <v>1</v>
      </c>
      <c r="BO154" s="22">
        <v>1</v>
      </c>
      <c r="BP154" s="22">
        <v>2</v>
      </c>
      <c r="BQ154" s="22">
        <v>2</v>
      </c>
      <c r="BR154" s="22">
        <v>0</v>
      </c>
      <c r="BS154" s="22">
        <v>0</v>
      </c>
      <c r="BT154" s="22">
        <v>0</v>
      </c>
      <c r="BU154" s="22">
        <v>1</v>
      </c>
      <c r="BV154" s="23">
        <f t="shared" si="12"/>
        <v>12</v>
      </c>
    </row>
    <row r="155" spans="1:74">
      <c r="A155" s="22">
        <f t="shared" si="13"/>
        <v>146</v>
      </c>
      <c r="B155" s="22">
        <v>3</v>
      </c>
      <c r="C155" s="22" t="s">
        <v>584</v>
      </c>
      <c r="D155" s="28">
        <v>44099</v>
      </c>
      <c r="E155" s="169" t="s">
        <v>585</v>
      </c>
      <c r="F155" s="31">
        <v>28.84198</v>
      </c>
      <c r="G155" s="31">
        <v>59.81623</v>
      </c>
      <c r="H155" s="22">
        <f t="shared" si="14"/>
        <v>28</v>
      </c>
      <c r="I155" s="15">
        <f t="shared" si="15"/>
        <v>50.5188</v>
      </c>
      <c r="J155" s="22">
        <f t="shared" si="16"/>
        <v>59</v>
      </c>
      <c r="K155" s="15">
        <f t="shared" si="17"/>
        <v>48.9737999999998</v>
      </c>
      <c r="L155" s="22">
        <v>5.8</v>
      </c>
      <c r="O155" s="22">
        <v>13.8</v>
      </c>
      <c r="P155" s="22">
        <v>13.7</v>
      </c>
      <c r="R155" s="22">
        <f>5.93/2</f>
        <v>2.965</v>
      </c>
      <c r="S155" s="22">
        <f>5.99/2</f>
        <v>2.995</v>
      </c>
      <c r="T155" s="22">
        <v>8.7</v>
      </c>
      <c r="U155" s="22">
        <v>8.9</v>
      </c>
      <c r="Y155" s="22">
        <v>156</v>
      </c>
      <c r="Z155" s="22">
        <v>151</v>
      </c>
      <c r="AC155" s="22" t="s">
        <v>353</v>
      </c>
      <c r="AG155" s="22" t="s">
        <v>465</v>
      </c>
      <c r="AK155" s="22" t="s">
        <v>466</v>
      </c>
      <c r="AN155" s="23">
        <v>0</v>
      </c>
      <c r="AO155" s="22">
        <v>0</v>
      </c>
      <c r="AP155" s="23">
        <v>0</v>
      </c>
      <c r="AQ155" s="23">
        <v>0</v>
      </c>
      <c r="AR155" s="23">
        <v>0</v>
      </c>
      <c r="AS155" s="23">
        <v>0</v>
      </c>
      <c r="AT155" s="22">
        <v>0</v>
      </c>
      <c r="AU155" s="22">
        <v>0</v>
      </c>
      <c r="AV155" s="23">
        <v>0</v>
      </c>
      <c r="AW155" s="22">
        <v>0</v>
      </c>
      <c r="AX155" s="23">
        <v>0</v>
      </c>
      <c r="AY155" s="23">
        <v>0</v>
      </c>
      <c r="AZ155" s="22">
        <v>0</v>
      </c>
      <c r="BA155" s="22">
        <v>0</v>
      </c>
      <c r="BB155" s="23">
        <v>0</v>
      </c>
      <c r="BC155" s="23">
        <v>0</v>
      </c>
      <c r="BD155" s="22">
        <v>0</v>
      </c>
      <c r="BE155" s="22">
        <v>0</v>
      </c>
      <c r="BF155" s="22">
        <v>0</v>
      </c>
      <c r="BG155" s="23">
        <v>0</v>
      </c>
      <c r="BH155" s="22">
        <v>0</v>
      </c>
      <c r="BI155" s="22">
        <v>0</v>
      </c>
      <c r="BJ155" s="22">
        <v>0</v>
      </c>
      <c r="BK155" s="22">
        <v>0</v>
      </c>
      <c r="BL155" s="22">
        <v>3</v>
      </c>
      <c r="BM155" s="22">
        <v>1</v>
      </c>
      <c r="BN155" s="22">
        <v>1</v>
      </c>
      <c r="BO155" s="22">
        <v>1</v>
      </c>
      <c r="BP155" s="22">
        <v>2</v>
      </c>
      <c r="BQ155" s="22">
        <v>2</v>
      </c>
      <c r="BR155" s="22">
        <v>0</v>
      </c>
      <c r="BS155" s="22">
        <v>0</v>
      </c>
      <c r="BT155" s="22">
        <v>0</v>
      </c>
      <c r="BU155" s="22">
        <v>0</v>
      </c>
      <c r="BV155" s="23">
        <f t="shared" si="12"/>
        <v>10</v>
      </c>
    </row>
    <row r="156" spans="1:74">
      <c r="A156" s="22">
        <f t="shared" si="13"/>
        <v>147</v>
      </c>
      <c r="B156" s="22">
        <v>3</v>
      </c>
      <c r="C156" s="22" t="s">
        <v>586</v>
      </c>
      <c r="D156" s="28">
        <v>44099</v>
      </c>
      <c r="E156" s="169" t="s">
        <v>587</v>
      </c>
      <c r="F156" s="31">
        <v>28.88426</v>
      </c>
      <c r="G156" s="31">
        <v>59.83558</v>
      </c>
      <c r="H156" s="22">
        <f t="shared" si="14"/>
        <v>28</v>
      </c>
      <c r="I156" s="15">
        <f t="shared" si="15"/>
        <v>53.0556000000001</v>
      </c>
      <c r="J156" s="22">
        <f t="shared" si="16"/>
        <v>59</v>
      </c>
      <c r="K156" s="15">
        <f t="shared" si="17"/>
        <v>50.1348</v>
      </c>
      <c r="L156" s="22">
        <v>20.5</v>
      </c>
      <c r="O156" s="22">
        <v>14</v>
      </c>
      <c r="P156" s="22">
        <v>13.6</v>
      </c>
      <c r="R156" s="22">
        <f>5.74/2</f>
        <v>2.87</v>
      </c>
      <c r="S156" s="22">
        <f>6.21/2</f>
        <v>3.105</v>
      </c>
      <c r="T156" s="22">
        <v>8.87</v>
      </c>
      <c r="U156" s="22">
        <v>8.91</v>
      </c>
      <c r="Y156" s="22">
        <v>141</v>
      </c>
      <c r="Z156" s="22">
        <v>140</v>
      </c>
      <c r="AC156" s="22" t="s">
        <v>588</v>
      </c>
      <c r="AG156" s="22" t="s">
        <v>465</v>
      </c>
      <c r="AK156" s="22" t="s">
        <v>466</v>
      </c>
      <c r="AN156" s="23">
        <v>0</v>
      </c>
      <c r="AO156" s="22">
        <v>0</v>
      </c>
      <c r="AP156" s="23">
        <v>0</v>
      </c>
      <c r="AQ156" s="23">
        <v>0</v>
      </c>
      <c r="AR156" s="23">
        <v>0</v>
      </c>
      <c r="AS156" s="23">
        <v>0</v>
      </c>
      <c r="AT156" s="22">
        <v>0</v>
      </c>
      <c r="AU156" s="22">
        <v>0</v>
      </c>
      <c r="AV156" s="23">
        <v>0</v>
      </c>
      <c r="AW156" s="22">
        <v>0</v>
      </c>
      <c r="AX156" s="23">
        <v>5</v>
      </c>
      <c r="AY156" s="23">
        <v>0</v>
      </c>
      <c r="AZ156" s="22">
        <v>0</v>
      </c>
      <c r="BA156" s="22">
        <v>0</v>
      </c>
      <c r="BB156" s="23">
        <v>0</v>
      </c>
      <c r="BC156" s="23">
        <v>1</v>
      </c>
      <c r="BD156" s="22">
        <v>0</v>
      </c>
      <c r="BE156" s="22">
        <v>0</v>
      </c>
      <c r="BF156" s="22">
        <v>0</v>
      </c>
      <c r="BG156" s="23">
        <v>0</v>
      </c>
      <c r="BH156" s="22">
        <v>0</v>
      </c>
      <c r="BI156" s="22">
        <v>0</v>
      </c>
      <c r="BJ156" s="22">
        <v>2</v>
      </c>
      <c r="BK156" s="22">
        <v>4</v>
      </c>
      <c r="BL156" s="22">
        <v>3</v>
      </c>
      <c r="BM156" s="22">
        <v>1</v>
      </c>
      <c r="BN156" s="22">
        <v>0</v>
      </c>
      <c r="BO156" s="22">
        <v>0</v>
      </c>
      <c r="BP156" s="22">
        <v>2</v>
      </c>
      <c r="BQ156" s="22">
        <v>2</v>
      </c>
      <c r="BR156" s="22">
        <v>0</v>
      </c>
      <c r="BS156" s="22">
        <v>0</v>
      </c>
      <c r="BT156" s="22">
        <v>0</v>
      </c>
      <c r="BU156" s="22">
        <v>0</v>
      </c>
      <c r="BV156" s="23">
        <f t="shared" si="12"/>
        <v>14</v>
      </c>
    </row>
    <row r="157" spans="1:74">
      <c r="A157" s="22">
        <f t="shared" si="13"/>
        <v>148</v>
      </c>
      <c r="B157" s="22">
        <v>3</v>
      </c>
      <c r="C157" s="22" t="s">
        <v>589</v>
      </c>
      <c r="D157" s="28">
        <v>44100</v>
      </c>
      <c r="E157" s="169" t="s">
        <v>590</v>
      </c>
      <c r="F157" s="31">
        <v>28.89009</v>
      </c>
      <c r="G157" s="31">
        <v>59.81409</v>
      </c>
      <c r="H157" s="22">
        <f t="shared" si="14"/>
        <v>28</v>
      </c>
      <c r="I157" s="15">
        <f t="shared" si="15"/>
        <v>53.4054</v>
      </c>
      <c r="J157" s="22">
        <f t="shared" si="16"/>
        <v>59</v>
      </c>
      <c r="K157" s="15">
        <f t="shared" si="17"/>
        <v>48.8454</v>
      </c>
      <c r="L157" s="22">
        <v>2.8</v>
      </c>
      <c r="O157" s="22">
        <v>13.9</v>
      </c>
      <c r="P157" s="22">
        <v>13.9</v>
      </c>
      <c r="T157" s="22">
        <v>9.04</v>
      </c>
      <c r="U157" s="22">
        <v>9.13</v>
      </c>
      <c r="Y157" s="22">
        <v>208</v>
      </c>
      <c r="Z157" s="22">
        <v>211</v>
      </c>
      <c r="AC157" s="22" t="s">
        <v>591</v>
      </c>
      <c r="AG157" s="22" t="s">
        <v>465</v>
      </c>
      <c r="AK157" s="22" t="s">
        <v>466</v>
      </c>
      <c r="AN157" s="23">
        <v>0</v>
      </c>
      <c r="AO157" s="22">
        <v>0</v>
      </c>
      <c r="AP157" s="23">
        <v>0</v>
      </c>
      <c r="AQ157" s="23">
        <v>0</v>
      </c>
      <c r="AR157" s="23">
        <v>0</v>
      </c>
      <c r="AS157" s="23">
        <v>1</v>
      </c>
      <c r="AT157" s="22">
        <v>0</v>
      </c>
      <c r="AU157" s="22">
        <v>1</v>
      </c>
      <c r="AV157" s="23">
        <v>0</v>
      </c>
      <c r="AW157" s="22">
        <v>0</v>
      </c>
      <c r="AX157" s="23">
        <v>0</v>
      </c>
      <c r="AY157" s="23">
        <v>0</v>
      </c>
      <c r="AZ157" s="22">
        <v>0</v>
      </c>
      <c r="BA157" s="22">
        <v>0</v>
      </c>
      <c r="BB157" s="23">
        <v>0</v>
      </c>
      <c r="BC157" s="23">
        <v>1</v>
      </c>
      <c r="BD157" s="22">
        <v>0</v>
      </c>
      <c r="BE157" s="22">
        <v>0</v>
      </c>
      <c r="BF157" s="22">
        <v>1</v>
      </c>
      <c r="BG157" s="23">
        <v>0</v>
      </c>
      <c r="BH157" s="22">
        <v>0</v>
      </c>
      <c r="BI157" s="22">
        <v>0</v>
      </c>
      <c r="BJ157" s="22">
        <v>4</v>
      </c>
      <c r="BK157" s="22">
        <v>1</v>
      </c>
      <c r="BL157" s="22">
        <v>3</v>
      </c>
      <c r="BM157" s="22">
        <v>1</v>
      </c>
      <c r="BN157" s="22">
        <v>1</v>
      </c>
      <c r="BO157" s="22">
        <v>1</v>
      </c>
      <c r="BP157" s="22">
        <v>1</v>
      </c>
      <c r="BQ157" s="22">
        <v>1</v>
      </c>
      <c r="BR157" s="22">
        <v>0</v>
      </c>
      <c r="BS157" s="22">
        <v>0</v>
      </c>
      <c r="BT157" s="22">
        <v>0</v>
      </c>
      <c r="BU157" s="22">
        <v>0</v>
      </c>
      <c r="BV157" s="23">
        <f t="shared" si="12"/>
        <v>13</v>
      </c>
    </row>
    <row r="158" spans="1:74">
      <c r="A158" s="22">
        <f t="shared" si="13"/>
        <v>149</v>
      </c>
      <c r="B158" s="22">
        <v>4</v>
      </c>
      <c r="C158" s="22" t="s">
        <v>592</v>
      </c>
      <c r="D158" s="28">
        <v>44098</v>
      </c>
      <c r="E158" s="169" t="s">
        <v>593</v>
      </c>
      <c r="F158" s="31">
        <v>29.1672157946</v>
      </c>
      <c r="G158" s="31">
        <v>59.9881035088999</v>
      </c>
      <c r="H158" s="23">
        <f t="shared" si="14"/>
        <v>29</v>
      </c>
      <c r="I158" s="31">
        <f t="shared" si="15"/>
        <v>10.032947676</v>
      </c>
      <c r="J158" s="23">
        <f t="shared" si="16"/>
        <v>59</v>
      </c>
      <c r="K158" s="31">
        <f t="shared" si="17"/>
        <v>59.2862105339938</v>
      </c>
      <c r="L158" s="22">
        <v>5.5</v>
      </c>
      <c r="O158" s="22">
        <v>14.7</v>
      </c>
      <c r="P158" s="22">
        <v>14.3</v>
      </c>
      <c r="R158" s="22">
        <f>4.22/2</f>
        <v>2.11</v>
      </c>
      <c r="S158" s="22">
        <f>4.78/2</f>
        <v>2.39</v>
      </c>
      <c r="T158" s="22">
        <v>8.24</v>
      </c>
      <c r="U158" s="22">
        <v>8.29</v>
      </c>
      <c r="Y158" s="22">
        <v>126</v>
      </c>
      <c r="Z158" s="22">
        <v>125</v>
      </c>
      <c r="AC158" s="22" t="s">
        <v>159</v>
      </c>
      <c r="AG158" s="22" t="s">
        <v>594</v>
      </c>
      <c r="AN158" s="23">
        <v>1</v>
      </c>
      <c r="AO158" s="22">
        <v>1</v>
      </c>
      <c r="AP158" s="23">
        <v>2</v>
      </c>
      <c r="AQ158" s="23">
        <v>5</v>
      </c>
      <c r="AR158" s="23">
        <v>0</v>
      </c>
      <c r="AS158" s="23">
        <v>1</v>
      </c>
      <c r="AT158" s="22">
        <v>0</v>
      </c>
      <c r="AU158" s="22">
        <v>0</v>
      </c>
      <c r="AV158" s="23">
        <v>0</v>
      </c>
      <c r="AW158" s="22">
        <v>0</v>
      </c>
      <c r="AX158" s="23">
        <v>0</v>
      </c>
      <c r="AY158" s="23">
        <v>0</v>
      </c>
      <c r="AZ158" s="22">
        <v>0</v>
      </c>
      <c r="BA158" s="22">
        <v>0</v>
      </c>
      <c r="BB158" s="23">
        <v>0</v>
      </c>
      <c r="BC158" s="23">
        <v>0</v>
      </c>
      <c r="BD158" s="22">
        <v>0</v>
      </c>
      <c r="BE158" s="22">
        <v>0</v>
      </c>
      <c r="BF158" s="22">
        <v>0</v>
      </c>
      <c r="BG158" s="23">
        <v>0</v>
      </c>
      <c r="BH158" s="22">
        <v>0</v>
      </c>
      <c r="BI158" s="22">
        <v>0</v>
      </c>
      <c r="BJ158" s="22">
        <v>5</v>
      </c>
      <c r="BK158" s="22">
        <v>3</v>
      </c>
      <c r="BL158" s="22">
        <v>2</v>
      </c>
      <c r="BM158" s="22">
        <v>2</v>
      </c>
      <c r="BN158" s="22">
        <v>1</v>
      </c>
      <c r="BO158" s="22">
        <v>1</v>
      </c>
      <c r="BP158" s="22">
        <v>1</v>
      </c>
      <c r="BQ158" s="22">
        <v>1</v>
      </c>
      <c r="BR158" s="22">
        <v>0</v>
      </c>
      <c r="BS158" s="22">
        <v>0</v>
      </c>
      <c r="BT158" s="22">
        <v>0</v>
      </c>
      <c r="BU158" s="22">
        <v>0</v>
      </c>
      <c r="BV158" s="23">
        <f t="shared" si="12"/>
        <v>16</v>
      </c>
    </row>
    <row r="159" spans="3:37">
      <c r="C159" s="22" t="s">
        <v>592</v>
      </c>
      <c r="D159" s="28">
        <v>44100</v>
      </c>
      <c r="E159" s="169" t="s">
        <v>595</v>
      </c>
      <c r="F159" s="31">
        <v>29.16681</v>
      </c>
      <c r="G159" s="31">
        <v>59.9883</v>
      </c>
      <c r="H159" s="23">
        <f t="shared" si="14"/>
        <v>29</v>
      </c>
      <c r="I159" s="31">
        <f t="shared" si="15"/>
        <v>10.0086000000001</v>
      </c>
      <c r="J159" s="23">
        <f t="shared" si="16"/>
        <v>59</v>
      </c>
      <c r="K159" s="31">
        <f t="shared" si="17"/>
        <v>59.2980000000001</v>
      </c>
      <c r="L159" s="22">
        <v>6.5</v>
      </c>
      <c r="O159" s="22">
        <v>14.6</v>
      </c>
      <c r="P159" s="22">
        <v>14.5</v>
      </c>
      <c r="R159" s="22">
        <f>5.05/2</f>
        <v>2.525</v>
      </c>
      <c r="S159" s="22">
        <f>5.08/2</f>
        <v>2.54</v>
      </c>
      <c r="T159" s="22">
        <v>8.1</v>
      </c>
      <c r="U159" s="22">
        <v>8</v>
      </c>
      <c r="Y159" s="22">
        <v>145</v>
      </c>
      <c r="Z159" s="22">
        <v>147</v>
      </c>
      <c r="AG159" s="22" t="s">
        <v>577</v>
      </c>
      <c r="AH159" s="22" t="s">
        <v>596</v>
      </c>
      <c r="AK159" s="22" t="s">
        <v>122</v>
      </c>
    </row>
    <row r="160" spans="1:74">
      <c r="A160" s="22">
        <f>A158+1</f>
        <v>150</v>
      </c>
      <c r="B160" s="22">
        <v>4</v>
      </c>
      <c r="C160" s="22" t="s">
        <v>597</v>
      </c>
      <c r="D160" s="28">
        <v>44098</v>
      </c>
      <c r="E160" s="169" t="s">
        <v>598</v>
      </c>
      <c r="F160" s="31">
        <v>29.3931199694999</v>
      </c>
      <c r="G160" s="31">
        <v>59.9949139571</v>
      </c>
      <c r="H160" s="23">
        <f t="shared" si="14"/>
        <v>29</v>
      </c>
      <c r="I160" s="31">
        <f t="shared" si="15"/>
        <v>23.587198169994</v>
      </c>
      <c r="J160" s="23">
        <f t="shared" si="16"/>
        <v>59</v>
      </c>
      <c r="K160" s="31">
        <f t="shared" si="17"/>
        <v>59.6948374260002</v>
      </c>
      <c r="L160" s="22">
        <v>11.2</v>
      </c>
      <c r="O160" s="22">
        <v>13.4</v>
      </c>
      <c r="P160" s="22">
        <v>14</v>
      </c>
      <c r="R160" s="22">
        <f>1.88/2</f>
        <v>0.94</v>
      </c>
      <c r="S160" s="22">
        <f>3.69/2</f>
        <v>1.845</v>
      </c>
      <c r="T160" s="22">
        <v>8.73</v>
      </c>
      <c r="U160" s="22">
        <v>8.55</v>
      </c>
      <c r="Y160" s="22">
        <v>53</v>
      </c>
      <c r="Z160" s="22">
        <v>52</v>
      </c>
      <c r="AC160" s="22" t="s">
        <v>599</v>
      </c>
      <c r="AG160" s="22" t="s">
        <v>465</v>
      </c>
      <c r="AK160" s="22" t="s">
        <v>466</v>
      </c>
      <c r="AN160" s="23">
        <v>0</v>
      </c>
      <c r="AO160" s="22">
        <v>0</v>
      </c>
      <c r="AP160" s="23">
        <v>0</v>
      </c>
      <c r="AQ160" s="23">
        <v>0</v>
      </c>
      <c r="AR160" s="23">
        <v>0</v>
      </c>
      <c r="AS160" s="23">
        <v>0</v>
      </c>
      <c r="AT160" s="22">
        <v>0</v>
      </c>
      <c r="AU160" s="22">
        <v>0</v>
      </c>
      <c r="AV160" s="23">
        <v>0</v>
      </c>
      <c r="AW160" s="22">
        <v>0</v>
      </c>
      <c r="AX160" s="23">
        <v>1</v>
      </c>
      <c r="AY160" s="23">
        <v>0</v>
      </c>
      <c r="AZ160" s="22">
        <v>0</v>
      </c>
      <c r="BA160" s="22">
        <v>0</v>
      </c>
      <c r="BB160" s="23">
        <v>0</v>
      </c>
      <c r="BC160" s="23">
        <v>0</v>
      </c>
      <c r="BD160" s="22">
        <v>0</v>
      </c>
      <c r="BE160" s="22">
        <v>0</v>
      </c>
      <c r="BF160" s="22">
        <v>0</v>
      </c>
      <c r="BG160" s="23">
        <v>0</v>
      </c>
      <c r="BH160" s="22">
        <v>0</v>
      </c>
      <c r="BI160" s="22">
        <v>0</v>
      </c>
      <c r="BJ160" s="22">
        <v>1</v>
      </c>
      <c r="BK160" s="22">
        <v>1</v>
      </c>
      <c r="BL160" s="22">
        <v>1</v>
      </c>
      <c r="BM160" s="22">
        <v>1</v>
      </c>
      <c r="BN160" s="22">
        <v>1</v>
      </c>
      <c r="BO160" s="22">
        <v>0</v>
      </c>
      <c r="BP160" s="22">
        <v>1</v>
      </c>
      <c r="BQ160" s="22">
        <v>2</v>
      </c>
      <c r="BR160" s="22">
        <v>0</v>
      </c>
      <c r="BS160" s="22">
        <v>0</v>
      </c>
      <c r="BT160" s="22">
        <v>0</v>
      </c>
      <c r="BU160" s="22">
        <v>0</v>
      </c>
      <c r="BV160" s="23">
        <f t="shared" si="12"/>
        <v>8</v>
      </c>
    </row>
    <row r="161" spans="1:74">
      <c r="A161" s="22">
        <f>A160+1</f>
        <v>151</v>
      </c>
      <c r="B161" s="22">
        <v>4</v>
      </c>
      <c r="C161" s="22" t="s">
        <v>600</v>
      </c>
      <c r="D161" s="28">
        <v>44098</v>
      </c>
      <c r="E161" s="169" t="s">
        <v>601</v>
      </c>
      <c r="F161" s="31">
        <v>29.4016792757999</v>
      </c>
      <c r="G161" s="31">
        <v>60.0108732869</v>
      </c>
      <c r="H161" s="23">
        <f t="shared" si="14"/>
        <v>29</v>
      </c>
      <c r="I161" s="31">
        <f t="shared" si="15"/>
        <v>24.100756547994</v>
      </c>
      <c r="J161" s="23">
        <f t="shared" si="16"/>
        <v>60</v>
      </c>
      <c r="K161" s="31">
        <f t="shared" si="17"/>
        <v>0.652397214000047</v>
      </c>
      <c r="L161" s="22">
        <v>20.6</v>
      </c>
      <c r="M161" s="22">
        <v>1.5</v>
      </c>
      <c r="O161" s="22">
        <v>12.8</v>
      </c>
      <c r="P161" s="22">
        <v>13.8</v>
      </c>
      <c r="R161" s="22">
        <f>1.8/2</f>
        <v>0.9</v>
      </c>
      <c r="S161" s="22">
        <f>2.55/2</f>
        <v>1.275</v>
      </c>
      <c r="T161" s="22">
        <v>8.76</v>
      </c>
      <c r="U161" s="22">
        <v>8.48</v>
      </c>
      <c r="Y161" s="22">
        <v>40</v>
      </c>
      <c r="Z161" s="22">
        <v>48</v>
      </c>
      <c r="AC161" s="22" t="s">
        <v>286</v>
      </c>
      <c r="AE161" s="22" t="s">
        <v>602</v>
      </c>
      <c r="AF161" s="22" t="s">
        <v>603</v>
      </c>
      <c r="AG161" s="22" t="s">
        <v>465</v>
      </c>
      <c r="AK161" s="22" t="s">
        <v>466</v>
      </c>
      <c r="AN161" s="23">
        <v>0</v>
      </c>
      <c r="AO161" s="22">
        <v>0</v>
      </c>
      <c r="AP161" s="23">
        <v>0</v>
      </c>
      <c r="AQ161" s="23">
        <v>0</v>
      </c>
      <c r="AR161" s="23">
        <v>0</v>
      </c>
      <c r="AS161" s="23">
        <v>0</v>
      </c>
      <c r="AT161" s="22">
        <v>0</v>
      </c>
      <c r="AU161" s="22">
        <v>0</v>
      </c>
      <c r="AV161" s="23">
        <v>0</v>
      </c>
      <c r="AW161" s="22">
        <v>0</v>
      </c>
      <c r="AX161" s="23">
        <v>1</v>
      </c>
      <c r="AY161" s="23">
        <v>0</v>
      </c>
      <c r="AZ161" s="22">
        <v>0</v>
      </c>
      <c r="BA161" s="22">
        <v>0</v>
      </c>
      <c r="BB161" s="23">
        <v>0</v>
      </c>
      <c r="BC161" s="23">
        <v>0</v>
      </c>
      <c r="BD161" s="22">
        <v>0</v>
      </c>
      <c r="BE161" s="22">
        <v>0</v>
      </c>
      <c r="BF161" s="22">
        <v>0</v>
      </c>
      <c r="BG161" s="23">
        <v>0</v>
      </c>
      <c r="BH161" s="22">
        <v>0</v>
      </c>
      <c r="BI161" s="22">
        <v>0</v>
      </c>
      <c r="BJ161" s="22">
        <v>1</v>
      </c>
      <c r="BK161" s="22">
        <v>1</v>
      </c>
      <c r="BL161" s="22">
        <v>1</v>
      </c>
      <c r="BM161" s="22">
        <v>1</v>
      </c>
      <c r="BN161" s="22">
        <v>0</v>
      </c>
      <c r="BO161" s="22">
        <v>0</v>
      </c>
      <c r="BP161" s="22">
        <v>1</v>
      </c>
      <c r="BQ161" s="22">
        <v>1</v>
      </c>
      <c r="BR161" s="22">
        <v>0</v>
      </c>
      <c r="BS161" s="22">
        <v>0</v>
      </c>
      <c r="BT161" s="22">
        <v>0</v>
      </c>
      <c r="BU161" s="22">
        <v>0</v>
      </c>
      <c r="BV161" s="23">
        <f t="shared" si="12"/>
        <v>6</v>
      </c>
    </row>
    <row r="162" spans="1:74">
      <c r="A162" s="22">
        <f t="shared" si="13"/>
        <v>152</v>
      </c>
      <c r="B162" s="22">
        <v>4</v>
      </c>
      <c r="C162" s="22" t="s">
        <v>604</v>
      </c>
      <c r="D162" s="28">
        <v>44098</v>
      </c>
      <c r="E162" s="169" t="s">
        <v>605</v>
      </c>
      <c r="F162" s="15">
        <v>29.4116470738999</v>
      </c>
      <c r="G162" s="15">
        <v>60.0284464221999</v>
      </c>
      <c r="H162" s="22">
        <f t="shared" si="14"/>
        <v>29</v>
      </c>
      <c r="I162" s="31">
        <v>24.754</v>
      </c>
      <c r="J162" s="22">
        <f t="shared" si="16"/>
        <v>60</v>
      </c>
      <c r="K162" s="31">
        <v>1.823</v>
      </c>
      <c r="L162" s="22">
        <v>22.5</v>
      </c>
      <c r="O162" s="22">
        <v>13.8</v>
      </c>
      <c r="P162" s="22">
        <v>13.8</v>
      </c>
      <c r="Q162" s="22">
        <v>13.8</v>
      </c>
      <c r="R162" s="22">
        <f>1.75/2</f>
        <v>0.875</v>
      </c>
      <c r="S162" s="22">
        <f>2.05/2</f>
        <v>1.025</v>
      </c>
      <c r="T162" s="22">
        <v>8.55</v>
      </c>
      <c r="U162" s="22">
        <v>8.6</v>
      </c>
      <c r="V162" s="22">
        <v>7.34</v>
      </c>
      <c r="Y162" s="22">
        <v>64</v>
      </c>
      <c r="Z162" s="22">
        <v>43</v>
      </c>
      <c r="AC162" s="22" t="s">
        <v>572</v>
      </c>
      <c r="AG162" s="22" t="s">
        <v>465</v>
      </c>
      <c r="AK162" s="22" t="s">
        <v>466</v>
      </c>
      <c r="AN162" s="23">
        <v>0</v>
      </c>
      <c r="AO162" s="22">
        <v>0</v>
      </c>
      <c r="AP162" s="23">
        <v>0</v>
      </c>
      <c r="AQ162" s="23">
        <v>0</v>
      </c>
      <c r="AR162" s="23">
        <v>0</v>
      </c>
      <c r="AS162" s="23">
        <v>0</v>
      </c>
      <c r="AT162" s="22">
        <v>0</v>
      </c>
      <c r="AU162" s="22">
        <v>0</v>
      </c>
      <c r="AV162" s="23">
        <v>0</v>
      </c>
      <c r="AW162" s="22">
        <v>0</v>
      </c>
      <c r="AX162" s="23">
        <v>1</v>
      </c>
      <c r="AY162" s="23">
        <v>0</v>
      </c>
      <c r="AZ162" s="22">
        <v>0</v>
      </c>
      <c r="BA162" s="22">
        <v>0</v>
      </c>
      <c r="BB162" s="23">
        <v>0</v>
      </c>
      <c r="BC162" s="23">
        <v>0</v>
      </c>
      <c r="BD162" s="22">
        <v>0</v>
      </c>
      <c r="BE162" s="22">
        <v>0</v>
      </c>
      <c r="BF162" s="22">
        <v>0</v>
      </c>
      <c r="BG162" s="23">
        <v>0</v>
      </c>
      <c r="BH162" s="22">
        <v>0</v>
      </c>
      <c r="BI162" s="22">
        <v>0</v>
      </c>
      <c r="BJ162" s="22">
        <v>1</v>
      </c>
      <c r="BK162" s="22">
        <v>1</v>
      </c>
      <c r="BL162" s="22">
        <v>1</v>
      </c>
      <c r="BM162" s="22">
        <v>1</v>
      </c>
      <c r="BN162" s="22">
        <v>0</v>
      </c>
      <c r="BO162" s="22">
        <v>0</v>
      </c>
      <c r="BP162" s="22">
        <v>1</v>
      </c>
      <c r="BQ162" s="22">
        <v>1</v>
      </c>
      <c r="BR162" s="22">
        <v>0</v>
      </c>
      <c r="BS162" s="22">
        <v>0</v>
      </c>
      <c r="BT162" s="22">
        <v>0</v>
      </c>
      <c r="BU162" s="22">
        <v>0</v>
      </c>
      <c r="BV162" s="23">
        <f t="shared" si="12"/>
        <v>6</v>
      </c>
    </row>
    <row r="163" spans="1:74">
      <c r="A163" s="22">
        <f t="shared" si="13"/>
        <v>153</v>
      </c>
      <c r="B163" s="22">
        <v>4</v>
      </c>
      <c r="C163" s="22" t="s">
        <v>606</v>
      </c>
      <c r="D163" s="28">
        <v>44097</v>
      </c>
      <c r="E163" s="169" t="s">
        <v>607</v>
      </c>
      <c r="F163" s="31">
        <v>29.450858379</v>
      </c>
      <c r="G163" s="31">
        <v>60.0186422495999</v>
      </c>
      <c r="H163" s="23">
        <f t="shared" si="14"/>
        <v>29</v>
      </c>
      <c r="I163" s="31">
        <f t="shared" si="15"/>
        <v>27.05150274</v>
      </c>
      <c r="J163" s="23">
        <f t="shared" si="16"/>
        <v>60</v>
      </c>
      <c r="K163" s="31">
        <f t="shared" si="17"/>
        <v>1.11853497599398</v>
      </c>
      <c r="L163" s="22">
        <v>17.9</v>
      </c>
      <c r="N163" s="30"/>
      <c r="O163" s="22">
        <v>13.8</v>
      </c>
      <c r="P163" s="22">
        <v>13.8</v>
      </c>
      <c r="Q163" s="22">
        <v>12.6</v>
      </c>
      <c r="R163" s="22">
        <f>2.44/2</f>
        <v>1.22</v>
      </c>
      <c r="S163" s="22">
        <f>2.52/2</f>
        <v>1.26</v>
      </c>
      <c r="T163" s="22">
        <v>8.2</v>
      </c>
      <c r="U163" s="22">
        <v>8.1</v>
      </c>
      <c r="V163" s="22">
        <v>7.55</v>
      </c>
      <c r="Y163" s="22">
        <v>176</v>
      </c>
      <c r="Z163" s="22">
        <v>177</v>
      </c>
      <c r="AC163" s="22" t="s">
        <v>608</v>
      </c>
      <c r="AG163" s="22" t="s">
        <v>465</v>
      </c>
      <c r="AK163" s="22" t="s">
        <v>466</v>
      </c>
      <c r="AN163" s="23">
        <v>0</v>
      </c>
      <c r="AO163" s="22">
        <v>0</v>
      </c>
      <c r="AP163" s="23">
        <v>0</v>
      </c>
      <c r="AQ163" s="23">
        <v>0</v>
      </c>
      <c r="AR163" s="23">
        <v>0</v>
      </c>
      <c r="AS163" s="23">
        <v>0</v>
      </c>
      <c r="AT163" s="22">
        <v>0</v>
      </c>
      <c r="AU163" s="22">
        <v>0</v>
      </c>
      <c r="AV163" s="23">
        <v>0</v>
      </c>
      <c r="AW163" s="22">
        <v>0</v>
      </c>
      <c r="AX163" s="23">
        <v>0</v>
      </c>
      <c r="AY163" s="23">
        <v>0</v>
      </c>
      <c r="AZ163" s="22">
        <v>0</v>
      </c>
      <c r="BA163" s="22">
        <v>0</v>
      </c>
      <c r="BB163" s="23">
        <v>0</v>
      </c>
      <c r="BC163" s="23">
        <v>0</v>
      </c>
      <c r="BD163" s="22">
        <v>0</v>
      </c>
      <c r="BE163" s="22">
        <v>0</v>
      </c>
      <c r="BF163" s="22">
        <v>0</v>
      </c>
      <c r="BG163" s="23">
        <v>0</v>
      </c>
      <c r="BH163" s="22">
        <v>0</v>
      </c>
      <c r="BI163" s="22">
        <v>0</v>
      </c>
      <c r="BJ163" s="22">
        <v>0</v>
      </c>
      <c r="BK163" s="22">
        <v>0</v>
      </c>
      <c r="BL163" s="22">
        <v>1</v>
      </c>
      <c r="BM163" s="22">
        <v>1</v>
      </c>
      <c r="BN163" s="22">
        <v>0</v>
      </c>
      <c r="BO163" s="22">
        <v>0</v>
      </c>
      <c r="BP163" s="22">
        <v>1</v>
      </c>
      <c r="BQ163" s="22">
        <v>1</v>
      </c>
      <c r="BR163" s="22">
        <v>0</v>
      </c>
      <c r="BS163" s="22">
        <v>0</v>
      </c>
      <c r="BT163" s="22">
        <v>0</v>
      </c>
      <c r="BU163" s="22">
        <v>0</v>
      </c>
      <c r="BV163" s="23">
        <f t="shared" si="12"/>
        <v>4</v>
      </c>
    </row>
    <row r="164" spans="1:37">
      <c r="A164" s="22">
        <f t="shared" si="13"/>
        <v>154</v>
      </c>
      <c r="B164" s="22">
        <v>4</v>
      </c>
      <c r="C164" s="22" t="s">
        <v>609</v>
      </c>
      <c r="D164" s="28">
        <v>44097</v>
      </c>
      <c r="E164" s="169" t="s">
        <v>610</v>
      </c>
      <c r="F164" s="31">
        <v>29.441566338</v>
      </c>
      <c r="G164" s="31">
        <v>60.0052217188</v>
      </c>
      <c r="H164" s="23">
        <f t="shared" si="14"/>
        <v>29</v>
      </c>
      <c r="I164" s="31">
        <f t="shared" si="15"/>
        <v>26.4939802800001</v>
      </c>
      <c r="J164" s="23">
        <f t="shared" si="16"/>
        <v>60</v>
      </c>
      <c r="K164" s="31">
        <f t="shared" si="17"/>
        <v>0.313303128000086</v>
      </c>
      <c r="L164" s="22">
        <v>16.3</v>
      </c>
      <c r="O164" s="22">
        <v>13.4</v>
      </c>
      <c r="P164" s="22">
        <v>13.4</v>
      </c>
      <c r="R164" s="22">
        <f>1.96/2</f>
        <v>0.98</v>
      </c>
      <c r="S164" s="22">
        <f>2.06/2</f>
        <v>1.03</v>
      </c>
      <c r="T164" s="22">
        <v>8.29</v>
      </c>
      <c r="U164" s="22">
        <v>8.29</v>
      </c>
      <c r="Y164" s="22">
        <v>184</v>
      </c>
      <c r="Z164" s="22">
        <v>181</v>
      </c>
      <c r="AC164" s="22" t="s">
        <v>611</v>
      </c>
      <c r="AG164" s="22" t="s">
        <v>465</v>
      </c>
      <c r="AK164" s="22" t="s">
        <v>466</v>
      </c>
    </row>
    <row r="165" spans="3:74">
      <c r="C165" s="22" t="s">
        <v>609</v>
      </c>
      <c r="D165" s="28">
        <v>44100</v>
      </c>
      <c r="E165" s="22" t="s">
        <v>612</v>
      </c>
      <c r="F165" s="31">
        <v>29.43944</v>
      </c>
      <c r="G165" s="31">
        <v>60.00554</v>
      </c>
      <c r="H165" s="22">
        <f t="shared" si="14"/>
        <v>29</v>
      </c>
      <c r="I165" s="15">
        <f t="shared" si="15"/>
        <v>26.3664000000001</v>
      </c>
      <c r="J165" s="22">
        <f t="shared" si="16"/>
        <v>60</v>
      </c>
      <c r="K165" s="15">
        <f t="shared" si="17"/>
        <v>0.332400000000206</v>
      </c>
      <c r="L165" s="22">
        <v>16.2</v>
      </c>
      <c r="AC165" s="22" t="s">
        <v>613</v>
      </c>
      <c r="AG165" s="22" t="s">
        <v>209</v>
      </c>
      <c r="AK165" s="22" t="s">
        <v>614</v>
      </c>
      <c r="AN165" s="23">
        <v>0</v>
      </c>
      <c r="AO165" s="22">
        <v>1</v>
      </c>
      <c r="AP165" s="23">
        <v>1</v>
      </c>
      <c r="AQ165" s="23">
        <v>2</v>
      </c>
      <c r="AR165" s="23">
        <v>0</v>
      </c>
      <c r="AS165" s="23">
        <v>0</v>
      </c>
      <c r="AT165" s="22">
        <v>0</v>
      </c>
      <c r="AU165" s="22">
        <v>0</v>
      </c>
      <c r="AV165" s="23">
        <v>0</v>
      </c>
      <c r="AW165" s="22">
        <v>0</v>
      </c>
      <c r="AX165" s="23">
        <v>0</v>
      </c>
      <c r="AY165" s="23">
        <v>0</v>
      </c>
      <c r="AZ165" s="22">
        <v>0</v>
      </c>
      <c r="BA165" s="22">
        <v>0</v>
      </c>
      <c r="BB165" s="23">
        <v>0</v>
      </c>
      <c r="BC165" s="23">
        <v>0</v>
      </c>
      <c r="BD165" s="22">
        <v>1</v>
      </c>
      <c r="BE165" s="22">
        <v>1</v>
      </c>
      <c r="BF165" s="22">
        <v>0</v>
      </c>
      <c r="BG165" s="23">
        <v>0</v>
      </c>
      <c r="BH165" s="22">
        <v>0</v>
      </c>
      <c r="BI165" s="22">
        <v>0</v>
      </c>
      <c r="BJ165" s="22">
        <v>5</v>
      </c>
      <c r="BK165" s="22">
        <v>1</v>
      </c>
      <c r="BL165" s="22">
        <v>1</v>
      </c>
      <c r="BM165" s="22">
        <v>1</v>
      </c>
      <c r="BN165" s="22">
        <v>0</v>
      </c>
      <c r="BO165" s="22">
        <v>0</v>
      </c>
      <c r="BP165" s="22">
        <v>1</v>
      </c>
      <c r="BQ165" s="22">
        <v>1</v>
      </c>
      <c r="BR165" s="22">
        <v>0</v>
      </c>
      <c r="BS165" s="22">
        <v>0</v>
      </c>
      <c r="BT165" s="22">
        <v>0</v>
      </c>
      <c r="BU165" s="22">
        <v>0</v>
      </c>
      <c r="BV165" s="23">
        <f t="shared" si="12"/>
        <v>10</v>
      </c>
    </row>
    <row r="166" spans="1:74">
      <c r="A166" s="22">
        <f>A164+1</f>
        <v>155</v>
      </c>
      <c r="B166" s="22">
        <v>4</v>
      </c>
      <c r="C166" s="22" t="s">
        <v>615</v>
      </c>
      <c r="D166" s="28">
        <v>44097</v>
      </c>
      <c r="E166" s="22" t="s">
        <v>616</v>
      </c>
      <c r="F166" s="31">
        <v>29.4393096527</v>
      </c>
      <c r="G166" s="31">
        <v>59.9958511262</v>
      </c>
      <c r="H166" s="23">
        <f t="shared" si="14"/>
        <v>29</v>
      </c>
      <c r="I166" s="31">
        <f t="shared" si="15"/>
        <v>26.358579162</v>
      </c>
      <c r="J166" s="23">
        <f t="shared" si="16"/>
        <v>59</v>
      </c>
      <c r="K166" s="31">
        <f t="shared" si="17"/>
        <v>59.7510675720001</v>
      </c>
      <c r="L166" s="22">
        <v>13.9</v>
      </c>
      <c r="O166" s="22">
        <v>13.5</v>
      </c>
      <c r="P166" s="22">
        <v>13.6</v>
      </c>
      <c r="R166" s="22">
        <f>1.96/2</f>
        <v>0.98</v>
      </c>
      <c r="S166" s="22">
        <f>2.06/2</f>
        <v>1.03</v>
      </c>
      <c r="T166" s="22">
        <v>8.43</v>
      </c>
      <c r="U166" s="22">
        <v>8.28</v>
      </c>
      <c r="Y166" s="22">
        <v>139</v>
      </c>
      <c r="Z166" s="22">
        <v>147</v>
      </c>
      <c r="AC166" s="22" t="s">
        <v>572</v>
      </c>
      <c r="AG166" s="22" t="s">
        <v>465</v>
      </c>
      <c r="AK166" s="22" t="s">
        <v>466</v>
      </c>
      <c r="AN166" s="23">
        <v>0</v>
      </c>
      <c r="AO166" s="22">
        <v>0</v>
      </c>
      <c r="AP166" s="23">
        <v>0</v>
      </c>
      <c r="AQ166" s="23">
        <v>0</v>
      </c>
      <c r="AR166" s="23">
        <v>0</v>
      </c>
      <c r="AS166" s="23">
        <v>0</v>
      </c>
      <c r="AT166" s="22">
        <v>0</v>
      </c>
      <c r="AU166" s="22">
        <v>0</v>
      </c>
      <c r="AV166" s="23">
        <v>0</v>
      </c>
      <c r="AW166" s="22">
        <v>0</v>
      </c>
      <c r="AX166" s="23">
        <v>1</v>
      </c>
      <c r="AY166" s="23">
        <v>0</v>
      </c>
      <c r="AZ166" s="22">
        <v>0</v>
      </c>
      <c r="BA166" s="22">
        <v>0</v>
      </c>
      <c r="BB166" s="23">
        <v>0</v>
      </c>
      <c r="BC166" s="23">
        <v>0</v>
      </c>
      <c r="BD166" s="22">
        <v>0</v>
      </c>
      <c r="BE166" s="22">
        <v>0</v>
      </c>
      <c r="BF166" s="22">
        <v>0</v>
      </c>
      <c r="BG166" s="23">
        <v>0</v>
      </c>
      <c r="BH166" s="22">
        <v>0</v>
      </c>
      <c r="BI166" s="22">
        <v>0</v>
      </c>
      <c r="BJ166" s="22">
        <v>1</v>
      </c>
      <c r="BK166" s="22">
        <v>1</v>
      </c>
      <c r="BL166" s="22">
        <v>1</v>
      </c>
      <c r="BM166" s="22">
        <v>1</v>
      </c>
      <c r="BN166" s="22">
        <v>1</v>
      </c>
      <c r="BO166" s="22">
        <v>0</v>
      </c>
      <c r="BP166" s="22">
        <v>1</v>
      </c>
      <c r="BQ166" s="22">
        <v>1</v>
      </c>
      <c r="BR166" s="22">
        <v>0</v>
      </c>
      <c r="BS166" s="22">
        <v>0</v>
      </c>
      <c r="BT166" s="22">
        <v>0</v>
      </c>
      <c r="BU166" s="22">
        <v>0</v>
      </c>
      <c r="BV166" s="23">
        <f t="shared" si="12"/>
        <v>7</v>
      </c>
    </row>
    <row r="167" spans="1:74">
      <c r="A167" s="22">
        <f t="shared" si="13"/>
        <v>156</v>
      </c>
      <c r="B167" s="22">
        <v>4</v>
      </c>
      <c r="C167" s="22" t="s">
        <v>617</v>
      </c>
      <c r="D167" s="28">
        <v>44097</v>
      </c>
      <c r="E167" s="22" t="s">
        <v>618</v>
      </c>
      <c r="F167" s="31">
        <v>29.4334219481</v>
      </c>
      <c r="G167" s="31">
        <v>59.987403161</v>
      </c>
      <c r="H167" s="23">
        <f t="shared" si="14"/>
        <v>29</v>
      </c>
      <c r="I167" s="31">
        <f t="shared" si="15"/>
        <v>26.0053168860001</v>
      </c>
      <c r="J167" s="23">
        <f t="shared" si="16"/>
        <v>59</v>
      </c>
      <c r="K167" s="31">
        <f t="shared" si="17"/>
        <v>59.2441896600002</v>
      </c>
      <c r="L167" s="22">
        <v>6</v>
      </c>
      <c r="O167" s="22">
        <v>13.8</v>
      </c>
      <c r="P167" s="22">
        <v>13.8</v>
      </c>
      <c r="R167" s="22">
        <f>2.24/2</f>
        <v>1.12</v>
      </c>
      <c r="S167" s="22">
        <f>2.51/2</f>
        <v>1.255</v>
      </c>
      <c r="T167" s="22">
        <v>8.32</v>
      </c>
      <c r="U167" s="22">
        <v>8.26</v>
      </c>
      <c r="Y167" s="22">
        <v>164</v>
      </c>
      <c r="Z167" s="22">
        <v>169</v>
      </c>
      <c r="AC167" s="22" t="s">
        <v>619</v>
      </c>
      <c r="AG167" s="22" t="s">
        <v>594</v>
      </c>
      <c r="AN167" s="23">
        <v>1</v>
      </c>
      <c r="AP167" s="23">
        <v>2</v>
      </c>
      <c r="AQ167" s="23">
        <v>4</v>
      </c>
      <c r="AR167" s="23">
        <v>0</v>
      </c>
      <c r="AS167" s="23">
        <v>0</v>
      </c>
      <c r="AT167" s="22">
        <v>0</v>
      </c>
      <c r="AU167" s="22">
        <v>0</v>
      </c>
      <c r="AV167" s="23">
        <v>0</v>
      </c>
      <c r="AW167" s="22">
        <v>0</v>
      </c>
      <c r="AX167" s="23">
        <v>0</v>
      </c>
      <c r="AY167" s="23">
        <v>0</v>
      </c>
      <c r="AZ167" s="22">
        <v>0</v>
      </c>
      <c r="BA167" s="22">
        <v>0</v>
      </c>
      <c r="BB167" s="23">
        <v>0</v>
      </c>
      <c r="BC167" s="23">
        <v>0</v>
      </c>
      <c r="BD167" s="22">
        <v>0</v>
      </c>
      <c r="BE167" s="22">
        <v>0</v>
      </c>
      <c r="BF167" s="22">
        <v>0</v>
      </c>
      <c r="BG167" s="23">
        <v>0</v>
      </c>
      <c r="BH167" s="22">
        <v>0</v>
      </c>
      <c r="BI167" s="22">
        <v>0</v>
      </c>
      <c r="BJ167" s="22">
        <v>3</v>
      </c>
      <c r="BK167" s="22">
        <v>3</v>
      </c>
      <c r="BL167" s="22">
        <v>1</v>
      </c>
      <c r="BM167" s="22">
        <v>2</v>
      </c>
      <c r="BN167" s="22">
        <v>1</v>
      </c>
      <c r="BO167" s="22">
        <v>1</v>
      </c>
      <c r="BP167" s="22">
        <v>1</v>
      </c>
      <c r="BQ167" s="22">
        <v>1</v>
      </c>
      <c r="BR167" s="22">
        <v>0</v>
      </c>
      <c r="BS167" s="22">
        <v>0</v>
      </c>
      <c r="BT167" s="22">
        <v>0</v>
      </c>
      <c r="BU167" s="22">
        <v>0</v>
      </c>
      <c r="BV167" s="23">
        <f t="shared" si="12"/>
        <v>13</v>
      </c>
    </row>
    <row r="168" spans="1:74">
      <c r="A168" s="22">
        <f t="shared" si="13"/>
        <v>157</v>
      </c>
      <c r="B168" s="22">
        <v>4</v>
      </c>
      <c r="C168" s="22" t="s">
        <v>620</v>
      </c>
      <c r="D168" s="28">
        <v>44097</v>
      </c>
      <c r="E168" s="169" t="s">
        <v>621</v>
      </c>
      <c r="F168" s="31">
        <v>29.4267696269999</v>
      </c>
      <c r="G168" s="31">
        <v>59.9814380381</v>
      </c>
      <c r="H168" s="23">
        <f t="shared" si="14"/>
        <v>29</v>
      </c>
      <c r="I168" s="31">
        <f t="shared" si="15"/>
        <v>25.606177619994</v>
      </c>
      <c r="J168" s="23">
        <f t="shared" si="16"/>
        <v>59</v>
      </c>
      <c r="K168" s="31">
        <f t="shared" si="17"/>
        <v>58.8862822860001</v>
      </c>
      <c r="L168" s="22">
        <v>5.1</v>
      </c>
      <c r="O168" s="22">
        <v>13.8</v>
      </c>
      <c r="P168" s="22">
        <v>13.8</v>
      </c>
      <c r="R168" s="22">
        <f>2.55/2</f>
        <v>1.275</v>
      </c>
      <c r="S168" s="22">
        <f>2.85/2</f>
        <v>1.425</v>
      </c>
      <c r="T168" s="22">
        <v>8.3</v>
      </c>
      <c r="U168" s="22">
        <v>8.25</v>
      </c>
      <c r="Y168" s="22">
        <v>173</v>
      </c>
      <c r="Z168" s="22">
        <v>176</v>
      </c>
      <c r="AC168" s="22" t="s">
        <v>500</v>
      </c>
      <c r="AG168" s="22" t="s">
        <v>465</v>
      </c>
      <c r="AK168" s="22" t="s">
        <v>466</v>
      </c>
      <c r="AN168" s="23">
        <v>0</v>
      </c>
      <c r="AO168" s="22">
        <v>0</v>
      </c>
      <c r="AP168" s="23">
        <v>0</v>
      </c>
      <c r="AQ168" s="23">
        <v>0</v>
      </c>
      <c r="AR168" s="23">
        <v>0</v>
      </c>
      <c r="AS168" s="23">
        <v>0</v>
      </c>
      <c r="AT168" s="22">
        <v>0</v>
      </c>
      <c r="AU168" s="22">
        <v>0</v>
      </c>
      <c r="AV168" s="23">
        <v>0</v>
      </c>
      <c r="AW168" s="22">
        <v>0</v>
      </c>
      <c r="AX168" s="23">
        <v>0</v>
      </c>
      <c r="AY168" s="23">
        <v>0</v>
      </c>
      <c r="AZ168" s="22">
        <v>0</v>
      </c>
      <c r="BA168" s="22">
        <v>0</v>
      </c>
      <c r="BB168" s="23">
        <v>0</v>
      </c>
      <c r="BC168" s="23">
        <v>0</v>
      </c>
      <c r="BD168" s="22">
        <v>0</v>
      </c>
      <c r="BE168" s="22">
        <v>0</v>
      </c>
      <c r="BF168" s="22">
        <v>0</v>
      </c>
      <c r="BG168" s="23">
        <v>0</v>
      </c>
      <c r="BH168" s="22">
        <v>0</v>
      </c>
      <c r="BI168" s="22">
        <v>0</v>
      </c>
      <c r="BJ168" s="22">
        <v>0</v>
      </c>
      <c r="BK168" s="22">
        <v>0</v>
      </c>
      <c r="BL168" s="22">
        <v>2</v>
      </c>
      <c r="BM168" s="22">
        <v>1</v>
      </c>
      <c r="BN168" s="22">
        <v>1</v>
      </c>
      <c r="BO168" s="22">
        <v>1</v>
      </c>
      <c r="BP168" s="22">
        <v>1</v>
      </c>
      <c r="BQ168" s="22">
        <v>1</v>
      </c>
      <c r="BR168" s="22">
        <v>0</v>
      </c>
      <c r="BS168" s="22">
        <v>0</v>
      </c>
      <c r="BT168" s="22">
        <v>0</v>
      </c>
      <c r="BU168" s="22">
        <v>0</v>
      </c>
      <c r="BV168" s="23">
        <f t="shared" si="12"/>
        <v>7</v>
      </c>
    </row>
    <row r="169" spans="1:74">
      <c r="A169" s="22">
        <f t="shared" si="13"/>
        <v>158</v>
      </c>
      <c r="B169" s="22">
        <v>4</v>
      </c>
      <c r="C169" s="22" t="s">
        <v>622</v>
      </c>
      <c r="D169" s="28">
        <v>44097</v>
      </c>
      <c r="E169" s="169" t="s">
        <v>623</v>
      </c>
      <c r="F169" s="15">
        <v>29.4201084082</v>
      </c>
      <c r="G169" s="15">
        <v>59.9725245883999</v>
      </c>
      <c r="H169" s="22">
        <f t="shared" si="14"/>
        <v>29</v>
      </c>
      <c r="I169" s="31">
        <v>25.305</v>
      </c>
      <c r="J169" s="22">
        <f t="shared" si="16"/>
        <v>59</v>
      </c>
      <c r="K169" s="31">
        <v>58.454</v>
      </c>
      <c r="L169" s="22">
        <v>2.9</v>
      </c>
      <c r="O169" s="22">
        <v>14.3</v>
      </c>
      <c r="R169" s="22">
        <f>3.69/2</f>
        <v>1.845</v>
      </c>
      <c r="T169" s="22">
        <v>8.33</v>
      </c>
      <c r="Y169" s="22">
        <v>183</v>
      </c>
      <c r="AC169" s="22" t="s">
        <v>353</v>
      </c>
      <c r="AG169" s="22" t="s">
        <v>465</v>
      </c>
      <c r="AK169" s="22" t="s">
        <v>466</v>
      </c>
      <c r="AN169" s="23">
        <v>0</v>
      </c>
      <c r="AO169" s="22">
        <v>0</v>
      </c>
      <c r="AP169" s="23">
        <v>0</v>
      </c>
      <c r="AQ169" s="23">
        <v>0</v>
      </c>
      <c r="AR169" s="23">
        <v>0</v>
      </c>
      <c r="AS169" s="23">
        <v>0</v>
      </c>
      <c r="AT169" s="22">
        <v>0</v>
      </c>
      <c r="AU169" s="22">
        <v>0</v>
      </c>
      <c r="AV169" s="23">
        <v>0</v>
      </c>
      <c r="AW169" s="22">
        <v>0</v>
      </c>
      <c r="AX169" s="23">
        <v>0</v>
      </c>
      <c r="AY169" s="23">
        <v>0</v>
      </c>
      <c r="AZ169" s="22">
        <v>0</v>
      </c>
      <c r="BA169" s="22">
        <v>0</v>
      </c>
      <c r="BB169" s="23">
        <v>0</v>
      </c>
      <c r="BC169" s="23">
        <v>0</v>
      </c>
      <c r="BD169" s="22">
        <v>0</v>
      </c>
      <c r="BE169" s="22">
        <v>0</v>
      </c>
      <c r="BF169" s="22">
        <v>0</v>
      </c>
      <c r="BG169" s="23">
        <v>0</v>
      </c>
      <c r="BH169" s="22">
        <v>0</v>
      </c>
      <c r="BI169" s="22">
        <v>0</v>
      </c>
      <c r="BJ169" s="22">
        <v>0</v>
      </c>
      <c r="BK169" s="22">
        <v>0</v>
      </c>
      <c r="BL169" s="22">
        <v>1</v>
      </c>
      <c r="BM169" s="22">
        <v>1</v>
      </c>
      <c r="BN169" s="22">
        <v>1</v>
      </c>
      <c r="BO169" s="22">
        <v>1</v>
      </c>
      <c r="BP169" s="22">
        <v>1</v>
      </c>
      <c r="BQ169" s="22">
        <v>1</v>
      </c>
      <c r="BR169" s="22">
        <v>0</v>
      </c>
      <c r="BS169" s="22">
        <v>0</v>
      </c>
      <c r="BT169" s="22">
        <v>0</v>
      </c>
      <c r="BU169" s="22">
        <v>0</v>
      </c>
      <c r="BV169" s="23">
        <f t="shared" si="12"/>
        <v>6</v>
      </c>
    </row>
    <row r="170" spans="1:74">
      <c r="A170" s="22">
        <f t="shared" si="13"/>
        <v>159</v>
      </c>
      <c r="B170" s="22">
        <v>4</v>
      </c>
      <c r="C170" s="22" t="s">
        <v>624</v>
      </c>
      <c r="D170" s="28">
        <v>44097</v>
      </c>
      <c r="E170" s="169" t="s">
        <v>625</v>
      </c>
      <c r="F170" s="15">
        <v>29.4807165196</v>
      </c>
      <c r="G170" s="15">
        <v>59.9634171797999</v>
      </c>
      <c r="H170" s="22">
        <f t="shared" si="14"/>
        <v>29</v>
      </c>
      <c r="I170" s="31">
        <v>28.874</v>
      </c>
      <c r="J170" s="22">
        <f t="shared" si="16"/>
        <v>59</v>
      </c>
      <c r="K170" s="31">
        <v>58.015</v>
      </c>
      <c r="L170" s="22">
        <v>1.2</v>
      </c>
      <c r="O170" s="22">
        <v>14</v>
      </c>
      <c r="P170" s="22">
        <v>14</v>
      </c>
      <c r="R170" s="22">
        <f>3.44/2</f>
        <v>1.72</v>
      </c>
      <c r="S170" s="22">
        <f>3.28/2</f>
        <v>1.64</v>
      </c>
      <c r="T170" s="22">
        <v>8.38</v>
      </c>
      <c r="U170" s="22">
        <v>8.43</v>
      </c>
      <c r="Y170" s="22">
        <v>162</v>
      </c>
      <c r="Z170" s="22">
        <v>162</v>
      </c>
      <c r="AC170" s="22" t="s">
        <v>172</v>
      </c>
      <c r="AG170" s="22" t="s">
        <v>465</v>
      </c>
      <c r="AK170" s="22" t="s">
        <v>466</v>
      </c>
      <c r="AN170" s="23">
        <v>0</v>
      </c>
      <c r="AO170" s="22">
        <v>0</v>
      </c>
      <c r="AP170" s="23">
        <v>1</v>
      </c>
      <c r="AQ170" s="23">
        <v>1</v>
      </c>
      <c r="AR170" s="23">
        <v>0</v>
      </c>
      <c r="AS170" s="23">
        <v>1</v>
      </c>
      <c r="AT170" s="22">
        <v>0</v>
      </c>
      <c r="AU170" s="22">
        <v>0</v>
      </c>
      <c r="AV170" s="23">
        <v>0</v>
      </c>
      <c r="AW170" s="22">
        <v>0</v>
      </c>
      <c r="AX170" s="23">
        <v>0</v>
      </c>
      <c r="AY170" s="23">
        <v>0</v>
      </c>
      <c r="AZ170" s="22">
        <v>0</v>
      </c>
      <c r="BA170" s="22">
        <v>0</v>
      </c>
      <c r="BB170" s="23">
        <v>0</v>
      </c>
      <c r="BC170" s="23">
        <v>0</v>
      </c>
      <c r="BD170" s="22">
        <v>0</v>
      </c>
      <c r="BE170" s="22">
        <v>0</v>
      </c>
      <c r="BF170" s="22">
        <v>0</v>
      </c>
      <c r="BG170" s="23">
        <v>0</v>
      </c>
      <c r="BH170" s="22">
        <v>0</v>
      </c>
      <c r="BI170" s="22">
        <v>0</v>
      </c>
      <c r="BJ170" s="22">
        <v>3</v>
      </c>
      <c r="BK170" s="22">
        <v>1</v>
      </c>
      <c r="BL170" s="22">
        <v>1</v>
      </c>
      <c r="BM170" s="22">
        <v>1</v>
      </c>
      <c r="BN170" s="22">
        <v>1</v>
      </c>
      <c r="BO170" s="22">
        <v>1</v>
      </c>
      <c r="BP170" s="22">
        <v>1</v>
      </c>
      <c r="BQ170" s="22">
        <v>1</v>
      </c>
      <c r="BR170" s="22">
        <v>0</v>
      </c>
      <c r="BS170" s="22">
        <v>0</v>
      </c>
      <c r="BT170" s="22">
        <v>0</v>
      </c>
      <c r="BU170" s="22">
        <v>1</v>
      </c>
      <c r="BV170" s="23">
        <f t="shared" si="12"/>
        <v>9</v>
      </c>
    </row>
    <row r="171" spans="1:74">
      <c r="A171" s="22">
        <f t="shared" si="13"/>
        <v>160</v>
      </c>
      <c r="B171" s="22">
        <v>4</v>
      </c>
      <c r="C171" s="22" t="s">
        <v>626</v>
      </c>
      <c r="D171" s="28">
        <v>44098</v>
      </c>
      <c r="E171" s="169" t="s">
        <v>627</v>
      </c>
      <c r="F171" s="31">
        <v>29.1695052198</v>
      </c>
      <c r="G171" s="31">
        <v>60.0173702754999</v>
      </c>
      <c r="H171" s="23">
        <f t="shared" si="14"/>
        <v>29</v>
      </c>
      <c r="I171" s="31">
        <f t="shared" si="15"/>
        <v>10.1703131880001</v>
      </c>
      <c r="J171" s="23">
        <f t="shared" si="16"/>
        <v>60</v>
      </c>
      <c r="K171" s="31">
        <f t="shared" si="17"/>
        <v>1.04221652999399</v>
      </c>
      <c r="L171" s="22">
        <v>27.3</v>
      </c>
      <c r="O171" s="22">
        <v>14.9</v>
      </c>
      <c r="P171" s="22">
        <v>14.3</v>
      </c>
      <c r="Q171" s="22">
        <v>13.5</v>
      </c>
      <c r="R171" s="22">
        <f>4.11/2</f>
        <v>2.055</v>
      </c>
      <c r="S171" s="22">
        <f>5.4/2</f>
        <v>2.7</v>
      </c>
      <c r="T171" s="22">
        <v>8.33</v>
      </c>
      <c r="U171" s="22">
        <v>8.28</v>
      </c>
      <c r="V171" s="22">
        <v>7.32</v>
      </c>
      <c r="Y171" s="22">
        <v>142</v>
      </c>
      <c r="Z171" s="22">
        <v>145</v>
      </c>
      <c r="AC171" s="22" t="s">
        <v>572</v>
      </c>
      <c r="AG171" s="22" t="s">
        <v>465</v>
      </c>
      <c r="AK171" s="22" t="s">
        <v>466</v>
      </c>
      <c r="AN171" s="23">
        <v>0</v>
      </c>
      <c r="AO171" s="22">
        <v>0</v>
      </c>
      <c r="AP171" s="23">
        <v>0</v>
      </c>
      <c r="AQ171" s="23">
        <v>0</v>
      </c>
      <c r="AR171" s="23">
        <v>0</v>
      </c>
      <c r="AS171" s="23">
        <v>0</v>
      </c>
      <c r="AT171" s="22">
        <v>0</v>
      </c>
      <c r="AU171" s="22">
        <v>0</v>
      </c>
      <c r="AV171" s="23">
        <v>0</v>
      </c>
      <c r="AW171" s="22">
        <v>0</v>
      </c>
      <c r="AX171" s="23">
        <v>6</v>
      </c>
      <c r="AY171" s="23">
        <v>0</v>
      </c>
      <c r="AZ171" s="22">
        <v>0</v>
      </c>
      <c r="BA171" s="22">
        <v>0</v>
      </c>
      <c r="BB171" s="23">
        <v>0</v>
      </c>
      <c r="BC171" s="23">
        <v>0</v>
      </c>
      <c r="BD171" s="22">
        <v>0</v>
      </c>
      <c r="BE171" s="22">
        <v>0</v>
      </c>
      <c r="BF171" s="22">
        <v>0</v>
      </c>
      <c r="BG171" s="23">
        <v>0</v>
      </c>
      <c r="BH171" s="22">
        <v>0</v>
      </c>
      <c r="BI171" s="22">
        <v>0</v>
      </c>
      <c r="BJ171" s="22">
        <v>1</v>
      </c>
      <c r="BK171" s="22">
        <v>4</v>
      </c>
      <c r="BL171" s="22">
        <v>1</v>
      </c>
      <c r="BM171" s="22">
        <v>1</v>
      </c>
      <c r="BN171" s="22">
        <v>0</v>
      </c>
      <c r="BO171" s="22">
        <v>0</v>
      </c>
      <c r="BP171" s="22">
        <v>1</v>
      </c>
      <c r="BQ171" s="22">
        <v>1</v>
      </c>
      <c r="BR171" s="22">
        <v>0</v>
      </c>
      <c r="BS171" s="22">
        <v>0</v>
      </c>
      <c r="BT171" s="22">
        <v>0</v>
      </c>
      <c r="BU171" s="22">
        <v>0</v>
      </c>
      <c r="BV171" s="23">
        <f t="shared" si="12"/>
        <v>9</v>
      </c>
    </row>
    <row r="172" spans="1:74">
      <c r="A172" s="22">
        <f t="shared" si="13"/>
        <v>161</v>
      </c>
      <c r="B172" s="22">
        <v>4</v>
      </c>
      <c r="C172" s="22" t="s">
        <v>628</v>
      </c>
      <c r="D172" s="28">
        <v>44097</v>
      </c>
      <c r="E172" s="169" t="s">
        <v>422</v>
      </c>
      <c r="F172" s="31">
        <v>29.484683986</v>
      </c>
      <c r="G172" s="31">
        <v>59.9733798992999</v>
      </c>
      <c r="H172" s="23">
        <f t="shared" si="14"/>
        <v>29</v>
      </c>
      <c r="I172" s="31">
        <f t="shared" si="15"/>
        <v>29.08103916</v>
      </c>
      <c r="J172" s="23">
        <f t="shared" si="16"/>
        <v>59</v>
      </c>
      <c r="K172" s="31">
        <f t="shared" si="17"/>
        <v>58.402793957994</v>
      </c>
      <c r="L172" s="22">
        <v>5.1</v>
      </c>
      <c r="O172" s="22">
        <v>13.7</v>
      </c>
      <c r="P172" s="22">
        <v>13.6</v>
      </c>
      <c r="R172" s="22">
        <f>2.44/2</f>
        <v>1.22</v>
      </c>
      <c r="S172" s="22">
        <f>3.57/2</f>
        <v>1.785</v>
      </c>
      <c r="T172" s="22">
        <v>8.3</v>
      </c>
      <c r="U172" s="22">
        <v>8.15</v>
      </c>
      <c r="Y172" s="22">
        <v>150</v>
      </c>
      <c r="Z172" s="22">
        <v>154</v>
      </c>
      <c r="AC172" s="22" t="s">
        <v>172</v>
      </c>
      <c r="AG172" s="22" t="s">
        <v>465</v>
      </c>
      <c r="AK172" s="22" t="s">
        <v>466</v>
      </c>
      <c r="AN172" s="23">
        <v>0</v>
      </c>
      <c r="AO172" s="22">
        <v>0</v>
      </c>
      <c r="AP172" s="23">
        <v>0</v>
      </c>
      <c r="AQ172" s="23">
        <v>0</v>
      </c>
      <c r="AR172" s="23">
        <v>0</v>
      </c>
      <c r="AS172" s="23">
        <v>0</v>
      </c>
      <c r="AT172" s="22">
        <v>0</v>
      </c>
      <c r="AU172" s="22">
        <v>0</v>
      </c>
      <c r="AV172" s="23">
        <v>0</v>
      </c>
      <c r="AW172" s="22">
        <v>0</v>
      </c>
      <c r="AX172" s="23">
        <v>0</v>
      </c>
      <c r="AY172" s="23">
        <v>0</v>
      </c>
      <c r="AZ172" s="22">
        <v>0</v>
      </c>
      <c r="BA172" s="22">
        <v>0</v>
      </c>
      <c r="BB172" s="23">
        <v>0</v>
      </c>
      <c r="BC172" s="23">
        <v>0</v>
      </c>
      <c r="BD172" s="22">
        <v>0</v>
      </c>
      <c r="BE172" s="22">
        <v>0</v>
      </c>
      <c r="BF172" s="22">
        <v>0</v>
      </c>
      <c r="BG172" s="23">
        <v>0</v>
      </c>
      <c r="BH172" s="22">
        <v>0</v>
      </c>
      <c r="BI172" s="22">
        <v>0</v>
      </c>
      <c r="BJ172" s="22">
        <v>0</v>
      </c>
      <c r="BK172" s="22">
        <v>0</v>
      </c>
      <c r="BL172" s="22">
        <v>1</v>
      </c>
      <c r="BM172" s="22">
        <v>1</v>
      </c>
      <c r="BN172" s="22">
        <v>1</v>
      </c>
      <c r="BO172" s="22">
        <v>1</v>
      </c>
      <c r="BP172" s="22">
        <v>1</v>
      </c>
      <c r="BQ172" s="22">
        <v>1</v>
      </c>
      <c r="BR172" s="22">
        <v>0</v>
      </c>
      <c r="BS172" s="22">
        <v>0</v>
      </c>
      <c r="BT172" s="22">
        <v>0</v>
      </c>
      <c r="BU172" s="22">
        <v>0</v>
      </c>
      <c r="BV172" s="23">
        <f t="shared" si="12"/>
        <v>6</v>
      </c>
    </row>
    <row r="173" spans="1:74">
      <c r="A173" s="22">
        <f t="shared" si="13"/>
        <v>162</v>
      </c>
      <c r="B173" s="22">
        <v>4</v>
      </c>
      <c r="C173" s="22" t="s">
        <v>629</v>
      </c>
      <c r="D173" s="28">
        <v>44097</v>
      </c>
      <c r="E173" s="22" t="s">
        <v>630</v>
      </c>
      <c r="F173" s="31">
        <v>29.4916611959</v>
      </c>
      <c r="G173" s="31">
        <v>59.9942838559</v>
      </c>
      <c r="H173" s="23">
        <f t="shared" si="14"/>
        <v>29</v>
      </c>
      <c r="I173" s="31">
        <f t="shared" si="15"/>
        <v>29.499671754</v>
      </c>
      <c r="J173" s="23">
        <f t="shared" si="16"/>
        <v>59</v>
      </c>
      <c r="K173" s="31">
        <f t="shared" si="17"/>
        <v>59.6570313540001</v>
      </c>
      <c r="L173" s="22">
        <v>11.5</v>
      </c>
      <c r="O173" s="22">
        <v>13.1</v>
      </c>
      <c r="P173" s="22">
        <v>13.6</v>
      </c>
      <c r="R173" s="22">
        <f>1.25/2</f>
        <v>0.625</v>
      </c>
      <c r="S173" s="22">
        <f>2.64/2</f>
        <v>1.32</v>
      </c>
      <c r="T173" s="22">
        <v>8.6</v>
      </c>
      <c r="U173" s="22">
        <v>8.5</v>
      </c>
      <c r="Y173" s="22">
        <v>161</v>
      </c>
      <c r="Z173" s="22">
        <v>163</v>
      </c>
      <c r="AC173" s="22" t="s">
        <v>538</v>
      </c>
      <c r="AG173" s="22" t="s">
        <v>465</v>
      </c>
      <c r="AK173" s="22" t="s">
        <v>466</v>
      </c>
      <c r="AN173" s="23">
        <v>0</v>
      </c>
      <c r="AO173" s="22">
        <v>0</v>
      </c>
      <c r="AP173" s="23">
        <v>0</v>
      </c>
      <c r="AQ173" s="23">
        <v>0</v>
      </c>
      <c r="AR173" s="23">
        <v>0</v>
      </c>
      <c r="AS173" s="23">
        <v>0</v>
      </c>
      <c r="AT173" s="22">
        <v>0</v>
      </c>
      <c r="AU173" s="22">
        <v>0</v>
      </c>
      <c r="AV173" s="23">
        <v>0</v>
      </c>
      <c r="AW173" s="22">
        <v>0</v>
      </c>
      <c r="AX173" s="23">
        <v>1</v>
      </c>
      <c r="AY173" s="23">
        <v>0</v>
      </c>
      <c r="AZ173" s="22">
        <v>0</v>
      </c>
      <c r="BA173" s="22">
        <v>0</v>
      </c>
      <c r="BB173" s="23">
        <v>0</v>
      </c>
      <c r="BC173" s="23">
        <v>0</v>
      </c>
      <c r="BD173" s="22">
        <v>0</v>
      </c>
      <c r="BE173" s="22">
        <v>0</v>
      </c>
      <c r="BF173" s="22">
        <v>0</v>
      </c>
      <c r="BG173" s="23">
        <v>0</v>
      </c>
      <c r="BH173" s="22">
        <v>0</v>
      </c>
      <c r="BI173" s="22">
        <v>0</v>
      </c>
      <c r="BJ173" s="22">
        <v>1</v>
      </c>
      <c r="BK173" s="22">
        <v>1</v>
      </c>
      <c r="BL173" s="22">
        <v>1</v>
      </c>
      <c r="BM173" s="22">
        <v>1</v>
      </c>
      <c r="BN173" s="22">
        <v>1</v>
      </c>
      <c r="BO173" s="22">
        <v>0</v>
      </c>
      <c r="BP173" s="22">
        <v>1</v>
      </c>
      <c r="BQ173" s="22">
        <v>1</v>
      </c>
      <c r="BR173" s="22">
        <v>0</v>
      </c>
      <c r="BS173" s="22">
        <v>0</v>
      </c>
      <c r="BT173" s="22">
        <v>0</v>
      </c>
      <c r="BU173" s="22">
        <v>0</v>
      </c>
      <c r="BV173" s="23">
        <f t="shared" si="12"/>
        <v>7</v>
      </c>
    </row>
    <row r="174" spans="1:74">
      <c r="A174" s="22">
        <f t="shared" si="13"/>
        <v>163</v>
      </c>
      <c r="B174" s="22">
        <v>4</v>
      </c>
      <c r="C174" s="22" t="s">
        <v>631</v>
      </c>
      <c r="D174" s="28">
        <v>44097</v>
      </c>
      <c r="E174" s="169" t="s">
        <v>632</v>
      </c>
      <c r="F174" s="31">
        <v>29.4934332055</v>
      </c>
      <c r="G174" s="31">
        <v>60.0121483936</v>
      </c>
      <c r="H174" s="23">
        <f t="shared" si="14"/>
        <v>29</v>
      </c>
      <c r="I174" s="31">
        <f t="shared" si="15"/>
        <v>29.60599233</v>
      </c>
      <c r="J174" s="23">
        <f t="shared" si="16"/>
        <v>60</v>
      </c>
      <c r="K174" s="31">
        <f t="shared" si="17"/>
        <v>0.728903616000025</v>
      </c>
      <c r="L174" s="22">
        <v>14.5</v>
      </c>
      <c r="O174" s="22">
        <v>13</v>
      </c>
      <c r="P174" s="22">
        <v>13</v>
      </c>
      <c r="R174" s="22">
        <f>1.08/2</f>
        <v>0.54</v>
      </c>
      <c r="S174" s="22">
        <f>1.27/2</f>
        <v>0.635</v>
      </c>
      <c r="T174" s="22">
        <v>8.2</v>
      </c>
      <c r="U174" s="22">
        <v>8.11</v>
      </c>
      <c r="Y174" s="22">
        <v>199</v>
      </c>
      <c r="Z174" s="22">
        <v>200</v>
      </c>
      <c r="AC174" s="22" t="s">
        <v>538</v>
      </c>
      <c r="AG174" s="22" t="s">
        <v>465</v>
      </c>
      <c r="AK174" s="22" t="s">
        <v>466</v>
      </c>
      <c r="AN174" s="23">
        <v>0</v>
      </c>
      <c r="AO174" s="22">
        <v>0</v>
      </c>
      <c r="AP174" s="23">
        <v>0</v>
      </c>
      <c r="AQ174" s="23">
        <v>0</v>
      </c>
      <c r="AR174" s="23">
        <v>0</v>
      </c>
      <c r="AS174" s="23">
        <v>0</v>
      </c>
      <c r="AT174" s="22">
        <v>0</v>
      </c>
      <c r="AU174" s="22">
        <v>0</v>
      </c>
      <c r="AV174" s="23">
        <v>0</v>
      </c>
      <c r="AW174" s="22">
        <v>0</v>
      </c>
      <c r="AX174" s="23">
        <v>0</v>
      </c>
      <c r="AY174" s="23">
        <v>0</v>
      </c>
      <c r="AZ174" s="22">
        <v>0</v>
      </c>
      <c r="BA174" s="22">
        <v>0</v>
      </c>
      <c r="BB174" s="23">
        <v>0</v>
      </c>
      <c r="BC174" s="23">
        <v>0</v>
      </c>
      <c r="BD174" s="22">
        <v>0</v>
      </c>
      <c r="BE174" s="22">
        <v>0</v>
      </c>
      <c r="BF174" s="22">
        <v>0</v>
      </c>
      <c r="BG174" s="23">
        <v>0</v>
      </c>
      <c r="BH174" s="22">
        <v>0</v>
      </c>
      <c r="BI174" s="22">
        <v>0</v>
      </c>
      <c r="BJ174" s="22">
        <v>0</v>
      </c>
      <c r="BK174" s="22">
        <v>0</v>
      </c>
      <c r="BL174" s="22">
        <v>1</v>
      </c>
      <c r="BM174" s="22">
        <v>1</v>
      </c>
      <c r="BN174" s="22">
        <v>1</v>
      </c>
      <c r="BO174" s="22">
        <v>0</v>
      </c>
      <c r="BP174" s="22">
        <v>1</v>
      </c>
      <c r="BQ174" s="22">
        <v>1</v>
      </c>
      <c r="BR174" s="22">
        <v>0</v>
      </c>
      <c r="BS174" s="22">
        <v>0</v>
      </c>
      <c r="BT174" s="22">
        <v>0</v>
      </c>
      <c r="BU174" s="22">
        <v>0</v>
      </c>
      <c r="BV174" s="23">
        <f t="shared" si="12"/>
        <v>5</v>
      </c>
    </row>
    <row r="175" spans="1:74">
      <c r="A175" s="22">
        <f t="shared" si="13"/>
        <v>164</v>
      </c>
      <c r="B175" s="22">
        <v>4</v>
      </c>
      <c r="C175" s="22" t="s">
        <v>633</v>
      </c>
      <c r="D175" s="28">
        <v>44097</v>
      </c>
      <c r="E175" s="169" t="s">
        <v>634</v>
      </c>
      <c r="F175" s="31">
        <v>29.5299018917</v>
      </c>
      <c r="G175" s="31">
        <v>60.0016855424999</v>
      </c>
      <c r="H175" s="23">
        <f t="shared" si="14"/>
        <v>29</v>
      </c>
      <c r="I175" s="31">
        <f t="shared" si="15"/>
        <v>31.794113502</v>
      </c>
      <c r="J175" s="23">
        <f t="shared" si="16"/>
        <v>60</v>
      </c>
      <c r="K175" s="31">
        <f t="shared" si="17"/>
        <v>0.101132549993963</v>
      </c>
      <c r="L175" s="22">
        <v>12</v>
      </c>
      <c r="O175" s="22">
        <v>12.9</v>
      </c>
      <c r="P175" s="22">
        <v>12.9</v>
      </c>
      <c r="R175" s="22">
        <f>0.62/2</f>
        <v>0.31</v>
      </c>
      <c r="S175" s="22">
        <f>1.33/2</f>
        <v>0.665</v>
      </c>
      <c r="T175" s="22">
        <v>8.45</v>
      </c>
      <c r="U175" s="22">
        <v>8.21</v>
      </c>
      <c r="Y175" s="22">
        <v>141</v>
      </c>
      <c r="Z175" s="22">
        <v>141</v>
      </c>
      <c r="AC175" s="22" t="s">
        <v>635</v>
      </c>
      <c r="AG175" s="22" t="s">
        <v>465</v>
      </c>
      <c r="AK175" s="22" t="s">
        <v>466</v>
      </c>
      <c r="AN175" s="23">
        <v>0</v>
      </c>
      <c r="AO175" s="22">
        <v>0</v>
      </c>
      <c r="AP175" s="23">
        <v>0</v>
      </c>
      <c r="AQ175" s="23">
        <v>0</v>
      </c>
      <c r="AR175" s="23">
        <v>0</v>
      </c>
      <c r="AS175" s="23">
        <v>0</v>
      </c>
      <c r="AT175" s="22">
        <v>0</v>
      </c>
      <c r="AU175" s="22">
        <v>0</v>
      </c>
      <c r="AV175" s="23">
        <v>0</v>
      </c>
      <c r="AW175" s="22">
        <v>0</v>
      </c>
      <c r="AX175" s="23">
        <v>0</v>
      </c>
      <c r="AY175" s="23">
        <v>0</v>
      </c>
      <c r="AZ175" s="22">
        <v>0</v>
      </c>
      <c r="BA175" s="22">
        <v>0</v>
      </c>
      <c r="BB175" s="23">
        <v>0</v>
      </c>
      <c r="BC175" s="23">
        <v>0</v>
      </c>
      <c r="BD175" s="22">
        <v>0</v>
      </c>
      <c r="BE175" s="22">
        <v>0</v>
      </c>
      <c r="BF175" s="22">
        <v>0</v>
      </c>
      <c r="BG175" s="23">
        <v>0</v>
      </c>
      <c r="BH175" s="22">
        <v>0</v>
      </c>
      <c r="BI175" s="22">
        <v>0</v>
      </c>
      <c r="BJ175" s="22">
        <v>0</v>
      </c>
      <c r="BK175" s="22">
        <v>0</v>
      </c>
      <c r="BL175" s="22">
        <v>0</v>
      </c>
      <c r="BM175" s="22">
        <v>1</v>
      </c>
      <c r="BN175" s="22">
        <v>1</v>
      </c>
      <c r="BO175" s="22">
        <v>0</v>
      </c>
      <c r="BP175" s="22">
        <v>1</v>
      </c>
      <c r="BQ175" s="22">
        <v>2</v>
      </c>
      <c r="BR175" s="22">
        <v>0</v>
      </c>
      <c r="BS175" s="22">
        <v>0</v>
      </c>
      <c r="BT175" s="22">
        <v>0</v>
      </c>
      <c r="BU175" s="22">
        <v>0</v>
      </c>
      <c r="BV175" s="23">
        <f t="shared" si="12"/>
        <v>5</v>
      </c>
    </row>
    <row r="176" spans="1:74">
      <c r="A176" s="22">
        <f t="shared" si="13"/>
        <v>165</v>
      </c>
      <c r="B176" s="22">
        <v>4</v>
      </c>
      <c r="C176" s="22" t="s">
        <v>636</v>
      </c>
      <c r="D176" s="28">
        <v>44097</v>
      </c>
      <c r="E176" s="22" t="s">
        <v>637</v>
      </c>
      <c r="F176" s="31">
        <v>29.5291291742</v>
      </c>
      <c r="G176" s="31">
        <v>59.9841110826</v>
      </c>
      <c r="H176" s="23">
        <f t="shared" si="14"/>
        <v>29</v>
      </c>
      <c r="I176" s="31">
        <f t="shared" si="15"/>
        <v>31.7477504520001</v>
      </c>
      <c r="J176" s="23">
        <f t="shared" si="16"/>
        <v>59</v>
      </c>
      <c r="K176" s="31">
        <f t="shared" si="17"/>
        <v>59.0466649560001</v>
      </c>
      <c r="L176" s="22">
        <v>6.5</v>
      </c>
      <c r="O176" s="22">
        <v>13.1</v>
      </c>
      <c r="P176" s="22">
        <v>13.2</v>
      </c>
      <c r="R176" s="22">
        <f>1.41/2</f>
        <v>0.705</v>
      </c>
      <c r="S176" s="22">
        <f>2.04/2</f>
        <v>1.02</v>
      </c>
      <c r="T176" s="22">
        <v>8.13</v>
      </c>
      <c r="U176" s="22">
        <v>8.02</v>
      </c>
      <c r="Y176" s="22">
        <v>159</v>
      </c>
      <c r="Z176" s="22">
        <v>159</v>
      </c>
      <c r="AC176" s="22" t="s">
        <v>172</v>
      </c>
      <c r="AG176" s="22" t="s">
        <v>465</v>
      </c>
      <c r="AK176" s="22" t="s">
        <v>466</v>
      </c>
      <c r="AN176" s="23">
        <v>0</v>
      </c>
      <c r="AO176" s="22">
        <v>0</v>
      </c>
      <c r="AP176" s="23">
        <v>0</v>
      </c>
      <c r="AQ176" s="23">
        <v>0</v>
      </c>
      <c r="AR176" s="23">
        <v>0</v>
      </c>
      <c r="AS176" s="23">
        <v>0</v>
      </c>
      <c r="AT176" s="22">
        <v>1</v>
      </c>
      <c r="AU176" s="22">
        <v>0</v>
      </c>
      <c r="AV176" s="23">
        <v>0</v>
      </c>
      <c r="AW176" s="22">
        <v>0</v>
      </c>
      <c r="AX176" s="23">
        <v>0</v>
      </c>
      <c r="AY176" s="23">
        <v>0</v>
      </c>
      <c r="AZ176" s="22">
        <v>1</v>
      </c>
      <c r="BA176" s="22">
        <v>1</v>
      </c>
      <c r="BB176" s="23">
        <v>0</v>
      </c>
      <c r="BC176" s="23">
        <v>0</v>
      </c>
      <c r="BD176" s="22">
        <v>1</v>
      </c>
      <c r="BE176" s="22">
        <v>1</v>
      </c>
      <c r="BF176" s="22">
        <v>0</v>
      </c>
      <c r="BG176" s="23">
        <v>0</v>
      </c>
      <c r="BH176" s="22">
        <v>0</v>
      </c>
      <c r="BI176" s="22">
        <v>0</v>
      </c>
      <c r="BJ176" s="22">
        <v>5</v>
      </c>
      <c r="BK176" s="22">
        <v>1</v>
      </c>
      <c r="BL176" s="22">
        <v>0</v>
      </c>
      <c r="BM176" s="22">
        <v>1</v>
      </c>
      <c r="BN176" s="22">
        <v>1</v>
      </c>
      <c r="BO176" s="22">
        <v>1</v>
      </c>
      <c r="BP176" s="22">
        <v>1</v>
      </c>
      <c r="BQ176" s="22">
        <v>3</v>
      </c>
      <c r="BR176" s="22">
        <v>0</v>
      </c>
      <c r="BS176" s="22">
        <v>0</v>
      </c>
      <c r="BT176" s="22">
        <v>0</v>
      </c>
      <c r="BU176" s="22">
        <v>0</v>
      </c>
      <c r="BV176" s="23">
        <f t="shared" si="12"/>
        <v>13</v>
      </c>
    </row>
    <row r="177" spans="1:74">
      <c r="A177" s="22">
        <f t="shared" si="13"/>
        <v>166</v>
      </c>
      <c r="B177" s="22">
        <v>4</v>
      </c>
      <c r="C177" s="22" t="s">
        <v>638</v>
      </c>
      <c r="D177" s="28">
        <v>44097</v>
      </c>
      <c r="E177" s="169" t="s">
        <v>639</v>
      </c>
      <c r="F177" s="15">
        <v>29.5266966255</v>
      </c>
      <c r="G177" s="15">
        <v>59.9671388558999</v>
      </c>
      <c r="H177" s="22">
        <f t="shared" si="14"/>
        <v>29</v>
      </c>
      <c r="I177" s="31">
        <v>31.608</v>
      </c>
      <c r="J177" s="22">
        <f t="shared" si="16"/>
        <v>59</v>
      </c>
      <c r="K177" s="31">
        <v>58.219</v>
      </c>
      <c r="L177" s="22">
        <v>1.5</v>
      </c>
      <c r="O177" s="22">
        <v>13.5</v>
      </c>
      <c r="R177" s="22">
        <f>2.44/2</f>
        <v>1.22</v>
      </c>
      <c r="T177" s="22">
        <v>8.02</v>
      </c>
      <c r="Y177" s="22">
        <v>168</v>
      </c>
      <c r="AC177" s="22" t="s">
        <v>500</v>
      </c>
      <c r="AG177" s="22" t="s">
        <v>465</v>
      </c>
      <c r="AK177" s="22" t="s">
        <v>466</v>
      </c>
      <c r="AN177" s="23">
        <v>0</v>
      </c>
      <c r="AO177" s="22">
        <v>0</v>
      </c>
      <c r="AP177" s="23">
        <v>0</v>
      </c>
      <c r="AQ177" s="23">
        <v>0</v>
      </c>
      <c r="AR177" s="23">
        <v>0</v>
      </c>
      <c r="AS177" s="23">
        <v>0</v>
      </c>
      <c r="AT177" s="22">
        <v>1</v>
      </c>
      <c r="AU177" s="22">
        <v>0</v>
      </c>
      <c r="AV177" s="23">
        <v>0</v>
      </c>
      <c r="AW177" s="22">
        <v>0</v>
      </c>
      <c r="AX177" s="23">
        <v>0</v>
      </c>
      <c r="AY177" s="23">
        <v>0</v>
      </c>
      <c r="AZ177" s="22">
        <v>1</v>
      </c>
      <c r="BA177" s="22">
        <v>1</v>
      </c>
      <c r="BB177" s="23">
        <v>0</v>
      </c>
      <c r="BC177" s="23">
        <v>1</v>
      </c>
      <c r="BD177" s="22">
        <v>1</v>
      </c>
      <c r="BE177" s="22">
        <v>1</v>
      </c>
      <c r="BF177" s="22">
        <v>0</v>
      </c>
      <c r="BG177" s="23">
        <v>0</v>
      </c>
      <c r="BH177" s="22">
        <v>0</v>
      </c>
      <c r="BI177" s="22">
        <v>0</v>
      </c>
      <c r="BJ177" s="22">
        <v>6</v>
      </c>
      <c r="BK177" s="22">
        <v>1</v>
      </c>
      <c r="BL177" s="22">
        <v>0</v>
      </c>
      <c r="BM177" s="22">
        <v>1</v>
      </c>
      <c r="BN177" s="22">
        <v>1</v>
      </c>
      <c r="BO177" s="22">
        <v>1</v>
      </c>
      <c r="BP177" s="22">
        <v>1</v>
      </c>
      <c r="BQ177" s="22">
        <v>3</v>
      </c>
      <c r="BR177" s="22">
        <v>0</v>
      </c>
      <c r="BS177" s="22">
        <v>0</v>
      </c>
      <c r="BT177" s="22">
        <v>0</v>
      </c>
      <c r="BU177" s="22">
        <v>2</v>
      </c>
      <c r="BV177" s="23">
        <f t="shared" si="12"/>
        <v>12</v>
      </c>
    </row>
    <row r="178" spans="1:74">
      <c r="A178" s="22">
        <f t="shared" si="13"/>
        <v>167</v>
      </c>
      <c r="B178" s="22">
        <v>4</v>
      </c>
      <c r="C178" s="22" t="s">
        <v>640</v>
      </c>
      <c r="D178" s="28">
        <v>44097</v>
      </c>
      <c r="E178" s="169" t="s">
        <v>641</v>
      </c>
      <c r="F178" s="56">
        <v>29.562304671</v>
      </c>
      <c r="G178" s="56">
        <v>59.9580924879999</v>
      </c>
      <c r="H178" s="57">
        <f t="shared" si="14"/>
        <v>29</v>
      </c>
      <c r="I178" s="31">
        <v>33.949</v>
      </c>
      <c r="J178" s="57">
        <f t="shared" si="16"/>
        <v>59</v>
      </c>
      <c r="K178" s="31">
        <v>57.683</v>
      </c>
      <c r="L178" s="22">
        <v>1.5</v>
      </c>
      <c r="O178" s="22">
        <v>14.1</v>
      </c>
      <c r="R178" s="22">
        <f>2.18/2</f>
        <v>1.09</v>
      </c>
      <c r="T178" s="22">
        <v>8.6</v>
      </c>
      <c r="Y178" s="22">
        <v>109</v>
      </c>
      <c r="AC178" s="22" t="s">
        <v>500</v>
      </c>
      <c r="AG178" s="22" t="s">
        <v>465</v>
      </c>
      <c r="AK178" s="22" t="s">
        <v>466</v>
      </c>
      <c r="AN178" s="23">
        <v>0</v>
      </c>
      <c r="AO178" s="22">
        <v>0</v>
      </c>
      <c r="AP178" s="23">
        <v>0</v>
      </c>
      <c r="AQ178" s="23">
        <v>0</v>
      </c>
      <c r="AR178" s="23">
        <v>0</v>
      </c>
      <c r="AS178" s="23">
        <v>0</v>
      </c>
      <c r="AT178" s="22">
        <v>1</v>
      </c>
      <c r="AU178" s="22">
        <v>0</v>
      </c>
      <c r="AV178" s="23">
        <v>0</v>
      </c>
      <c r="AW178" s="22">
        <v>0</v>
      </c>
      <c r="AX178" s="23">
        <v>0</v>
      </c>
      <c r="AY178" s="23">
        <v>0</v>
      </c>
      <c r="AZ178" s="22">
        <v>2</v>
      </c>
      <c r="BA178" s="22">
        <v>2</v>
      </c>
      <c r="BB178" s="23">
        <v>0</v>
      </c>
      <c r="BC178" s="23">
        <v>1</v>
      </c>
      <c r="BD178" s="22">
        <v>1</v>
      </c>
      <c r="BE178" s="22">
        <v>1</v>
      </c>
      <c r="BF178" s="22">
        <v>1</v>
      </c>
      <c r="BG178" s="23">
        <v>0</v>
      </c>
      <c r="BH178" s="22">
        <v>0</v>
      </c>
      <c r="BI178" s="22">
        <v>0</v>
      </c>
      <c r="BJ178" s="22">
        <v>6</v>
      </c>
      <c r="BK178" s="22">
        <v>1</v>
      </c>
      <c r="BL178" s="22">
        <v>0</v>
      </c>
      <c r="BM178" s="22">
        <v>1</v>
      </c>
      <c r="BN178" s="22">
        <v>2</v>
      </c>
      <c r="BO178" s="22">
        <v>2</v>
      </c>
      <c r="BP178" s="22">
        <v>1</v>
      </c>
      <c r="BQ178" s="22">
        <v>3</v>
      </c>
      <c r="BR178" s="22">
        <v>0</v>
      </c>
      <c r="BS178" s="22">
        <v>0</v>
      </c>
      <c r="BT178" s="22">
        <v>0</v>
      </c>
      <c r="BU178" s="22">
        <v>2</v>
      </c>
      <c r="BV178" s="23">
        <f t="shared" si="12"/>
        <v>14</v>
      </c>
    </row>
    <row r="179" spans="1:74">
      <c r="A179" s="22">
        <f t="shared" si="13"/>
        <v>168</v>
      </c>
      <c r="B179" s="22">
        <v>4</v>
      </c>
      <c r="C179" s="22" t="s">
        <v>642</v>
      </c>
      <c r="D179" s="28">
        <v>44097</v>
      </c>
      <c r="E179" s="169" t="s">
        <v>643</v>
      </c>
      <c r="F179" s="31">
        <v>29.5673060045999</v>
      </c>
      <c r="G179" s="31">
        <v>59.9683869736999</v>
      </c>
      <c r="H179" s="23">
        <f t="shared" si="14"/>
        <v>29</v>
      </c>
      <c r="I179" s="31">
        <f t="shared" si="15"/>
        <v>34.038360275994</v>
      </c>
      <c r="J179" s="23">
        <f t="shared" si="16"/>
        <v>59</v>
      </c>
      <c r="K179" s="31">
        <f t="shared" si="17"/>
        <v>58.103218421994</v>
      </c>
      <c r="L179" s="22">
        <v>6.8</v>
      </c>
      <c r="O179" s="22">
        <v>14.1</v>
      </c>
      <c r="P179" s="22">
        <v>13.9</v>
      </c>
      <c r="R179" s="22">
        <f>2.12/2</f>
        <v>1.06</v>
      </c>
      <c r="S179" s="22">
        <f>2.42/2</f>
        <v>1.21</v>
      </c>
      <c r="T179" s="22">
        <v>8.34</v>
      </c>
      <c r="U179" s="22">
        <v>8.38</v>
      </c>
      <c r="Y179" s="22">
        <v>125</v>
      </c>
      <c r="Z179" s="22">
        <v>129</v>
      </c>
      <c r="AC179" s="22" t="s">
        <v>353</v>
      </c>
      <c r="AG179" s="22" t="s">
        <v>465</v>
      </c>
      <c r="AK179" s="22" t="s">
        <v>466</v>
      </c>
      <c r="AN179" s="23">
        <v>0</v>
      </c>
      <c r="AO179" s="22">
        <v>0</v>
      </c>
      <c r="AP179" s="23">
        <v>0</v>
      </c>
      <c r="AQ179" s="23">
        <v>0</v>
      </c>
      <c r="AR179" s="23">
        <v>0</v>
      </c>
      <c r="AS179" s="23">
        <v>0</v>
      </c>
      <c r="AT179" s="22">
        <v>0</v>
      </c>
      <c r="AU179" s="22">
        <v>0</v>
      </c>
      <c r="AV179" s="23">
        <v>0</v>
      </c>
      <c r="AW179" s="22">
        <v>0</v>
      </c>
      <c r="AX179" s="23">
        <v>0</v>
      </c>
      <c r="AY179" s="23">
        <v>0</v>
      </c>
      <c r="AZ179" s="22">
        <v>1</v>
      </c>
      <c r="BA179" s="22">
        <v>1</v>
      </c>
      <c r="BB179" s="23">
        <v>0</v>
      </c>
      <c r="BC179" s="23">
        <v>0</v>
      </c>
      <c r="BD179" s="22">
        <v>0</v>
      </c>
      <c r="BE179" s="22">
        <v>1</v>
      </c>
      <c r="BF179" s="22">
        <v>1</v>
      </c>
      <c r="BG179" s="23">
        <v>0</v>
      </c>
      <c r="BH179" s="22">
        <v>0</v>
      </c>
      <c r="BI179" s="22">
        <v>0</v>
      </c>
      <c r="BJ179" s="22">
        <v>6</v>
      </c>
      <c r="BK179" s="22">
        <v>1</v>
      </c>
      <c r="BL179" s="22">
        <v>1</v>
      </c>
      <c r="BM179" s="22">
        <v>1</v>
      </c>
      <c r="BN179" s="22">
        <v>2</v>
      </c>
      <c r="BO179" s="22">
        <v>1</v>
      </c>
      <c r="BP179" s="22">
        <v>1</v>
      </c>
      <c r="BQ179" s="22">
        <v>3</v>
      </c>
      <c r="BR179" s="22">
        <v>0</v>
      </c>
      <c r="BS179" s="22">
        <v>0</v>
      </c>
      <c r="BT179" s="22">
        <v>0</v>
      </c>
      <c r="BU179" s="22">
        <v>1</v>
      </c>
      <c r="BV179" s="23">
        <f t="shared" si="12"/>
        <v>15</v>
      </c>
    </row>
    <row r="180" spans="1:74">
      <c r="A180" s="22">
        <f t="shared" si="13"/>
        <v>169</v>
      </c>
      <c r="B180" s="22">
        <v>4</v>
      </c>
      <c r="C180" s="22" t="s">
        <v>644</v>
      </c>
      <c r="D180" s="28">
        <v>44097</v>
      </c>
      <c r="E180" s="22" t="s">
        <v>645</v>
      </c>
      <c r="F180" s="31">
        <v>29.5778910248</v>
      </c>
      <c r="G180" s="31">
        <v>59.9847471412999</v>
      </c>
      <c r="H180" s="23">
        <f t="shared" si="14"/>
        <v>29</v>
      </c>
      <c r="I180" s="31">
        <f t="shared" si="15"/>
        <v>34.673461488</v>
      </c>
      <c r="J180" s="23">
        <f t="shared" si="16"/>
        <v>59</v>
      </c>
      <c r="K180" s="31">
        <f t="shared" si="17"/>
        <v>59.0848284779939</v>
      </c>
      <c r="L180" s="22">
        <v>9.1</v>
      </c>
      <c r="O180" s="22">
        <v>13.4</v>
      </c>
      <c r="P180" s="22">
        <v>13.6</v>
      </c>
      <c r="R180" s="22">
        <f>1.83/2</f>
        <v>0.915</v>
      </c>
      <c r="S180" s="22">
        <f>2.24/2</f>
        <v>1.12</v>
      </c>
      <c r="T180" s="22">
        <v>8.46</v>
      </c>
      <c r="U180" s="22">
        <v>8.35</v>
      </c>
      <c r="Y180" s="22">
        <v>115</v>
      </c>
      <c r="Z180" s="22">
        <v>120</v>
      </c>
      <c r="AC180" s="22" t="s">
        <v>353</v>
      </c>
      <c r="AG180" s="22" t="s">
        <v>465</v>
      </c>
      <c r="AK180" s="22" t="s">
        <v>466</v>
      </c>
      <c r="AN180" s="23">
        <v>0</v>
      </c>
      <c r="AO180" s="22">
        <v>0</v>
      </c>
      <c r="AP180" s="23">
        <v>0</v>
      </c>
      <c r="AQ180" s="23">
        <v>0</v>
      </c>
      <c r="AR180" s="23">
        <v>0</v>
      </c>
      <c r="AS180" s="23">
        <v>0</v>
      </c>
      <c r="AT180" s="22">
        <v>1</v>
      </c>
      <c r="AU180" s="22">
        <v>0</v>
      </c>
      <c r="AV180" s="23">
        <v>0</v>
      </c>
      <c r="AW180" s="22">
        <v>0</v>
      </c>
      <c r="AX180" s="23">
        <v>1</v>
      </c>
      <c r="AY180" s="23">
        <v>0</v>
      </c>
      <c r="AZ180" s="22">
        <v>0</v>
      </c>
      <c r="BA180" s="22">
        <v>0</v>
      </c>
      <c r="BB180" s="23">
        <v>0</v>
      </c>
      <c r="BC180" s="23">
        <v>0</v>
      </c>
      <c r="BD180" s="22">
        <v>1</v>
      </c>
      <c r="BE180" s="22">
        <v>1</v>
      </c>
      <c r="BF180" s="22">
        <v>0</v>
      </c>
      <c r="BG180" s="23">
        <v>0</v>
      </c>
      <c r="BH180" s="22">
        <v>0</v>
      </c>
      <c r="BI180" s="22">
        <v>0</v>
      </c>
      <c r="BJ180" s="22">
        <v>6</v>
      </c>
      <c r="BK180" s="22">
        <v>1</v>
      </c>
      <c r="BL180" s="22">
        <v>1</v>
      </c>
      <c r="BM180" s="22">
        <v>1</v>
      </c>
      <c r="BN180" s="22">
        <v>1</v>
      </c>
      <c r="BO180" s="22">
        <v>1</v>
      </c>
      <c r="BP180" s="22">
        <v>1</v>
      </c>
      <c r="BQ180" s="22">
        <v>3</v>
      </c>
      <c r="BR180" s="22">
        <v>0</v>
      </c>
      <c r="BS180" s="22">
        <v>0</v>
      </c>
      <c r="BT180" s="22">
        <v>0</v>
      </c>
      <c r="BU180" s="22">
        <v>0</v>
      </c>
      <c r="BV180" s="23">
        <f t="shared" si="12"/>
        <v>15</v>
      </c>
    </row>
    <row r="181" spans="1:74">
      <c r="A181" s="22">
        <f t="shared" si="13"/>
        <v>170</v>
      </c>
      <c r="B181" s="22">
        <v>4</v>
      </c>
      <c r="C181" s="22" t="s">
        <v>646</v>
      </c>
      <c r="D181" s="28">
        <v>44097</v>
      </c>
      <c r="E181" s="170" t="s">
        <v>647</v>
      </c>
      <c r="F181" s="31">
        <v>29.5857651990999</v>
      </c>
      <c r="G181" s="31">
        <v>59.9965399845999</v>
      </c>
      <c r="H181" s="23">
        <f t="shared" si="14"/>
        <v>29</v>
      </c>
      <c r="I181" s="31">
        <f t="shared" si="15"/>
        <v>35.145911945994</v>
      </c>
      <c r="J181" s="23">
        <f t="shared" si="16"/>
        <v>59</v>
      </c>
      <c r="K181" s="31">
        <f t="shared" si="17"/>
        <v>59.7923990759939</v>
      </c>
      <c r="L181" s="22">
        <v>10.2</v>
      </c>
      <c r="O181" s="22">
        <v>13.6</v>
      </c>
      <c r="P181" s="22">
        <v>13.3</v>
      </c>
      <c r="Q181" s="22">
        <v>13.7</v>
      </c>
      <c r="R181" s="22">
        <f>1.53/2</f>
        <v>0.765</v>
      </c>
      <c r="S181" s="22">
        <f>2.11/2</f>
        <v>1.055</v>
      </c>
      <c r="T181" s="22">
        <v>8.51</v>
      </c>
      <c r="U181" s="22">
        <v>8.41</v>
      </c>
      <c r="V181" s="22">
        <v>7.29</v>
      </c>
      <c r="Y181" s="22">
        <v>125</v>
      </c>
      <c r="Z181" s="22">
        <v>129</v>
      </c>
      <c r="AC181" s="22" t="s">
        <v>648</v>
      </c>
      <c r="AG181" s="22" t="s">
        <v>465</v>
      </c>
      <c r="AK181" s="22" t="s">
        <v>466</v>
      </c>
      <c r="AN181" s="23">
        <v>0</v>
      </c>
      <c r="AO181" s="22">
        <v>0</v>
      </c>
      <c r="AP181" s="23">
        <v>0</v>
      </c>
      <c r="AQ181" s="23">
        <v>0</v>
      </c>
      <c r="AR181" s="23">
        <v>0</v>
      </c>
      <c r="AS181" s="23">
        <v>0</v>
      </c>
      <c r="AT181" s="22">
        <v>0</v>
      </c>
      <c r="AU181" s="22">
        <v>0</v>
      </c>
      <c r="AV181" s="23">
        <v>0</v>
      </c>
      <c r="AW181" s="22">
        <v>0</v>
      </c>
      <c r="AX181" s="23">
        <v>0</v>
      </c>
      <c r="AY181" s="23">
        <v>0</v>
      </c>
      <c r="AZ181" s="22">
        <v>0</v>
      </c>
      <c r="BA181" s="22">
        <v>0</v>
      </c>
      <c r="BB181" s="23">
        <v>0</v>
      </c>
      <c r="BC181" s="23">
        <v>0</v>
      </c>
      <c r="BD181" s="22">
        <v>1</v>
      </c>
      <c r="BE181" s="22">
        <v>1</v>
      </c>
      <c r="BF181" s="22">
        <v>0</v>
      </c>
      <c r="BG181" s="23">
        <v>0</v>
      </c>
      <c r="BH181" s="22">
        <v>0</v>
      </c>
      <c r="BI181" s="22">
        <v>0</v>
      </c>
      <c r="BJ181" s="22">
        <v>4</v>
      </c>
      <c r="BK181" s="22">
        <v>1</v>
      </c>
      <c r="BL181" s="22">
        <v>0</v>
      </c>
      <c r="BM181" s="22">
        <v>1</v>
      </c>
      <c r="BN181" s="22">
        <v>1</v>
      </c>
      <c r="BO181" s="22">
        <v>0</v>
      </c>
      <c r="BP181" s="22">
        <v>1</v>
      </c>
      <c r="BQ181" s="22">
        <v>4</v>
      </c>
      <c r="BR181" s="22">
        <v>0</v>
      </c>
      <c r="BS181" s="22">
        <v>0</v>
      </c>
      <c r="BT181" s="22">
        <v>0</v>
      </c>
      <c r="BU181" s="22">
        <v>0</v>
      </c>
      <c r="BV181" s="23">
        <f t="shared" si="12"/>
        <v>12</v>
      </c>
    </row>
    <row r="182" spans="1:74">
      <c r="A182" s="22">
        <f t="shared" si="13"/>
        <v>171</v>
      </c>
      <c r="B182" s="22">
        <v>4</v>
      </c>
      <c r="C182" s="22" t="s">
        <v>649</v>
      </c>
      <c r="D182" s="28">
        <v>44098</v>
      </c>
      <c r="E182" s="169" t="s">
        <v>650</v>
      </c>
      <c r="F182" s="31">
        <v>29.2265905518999</v>
      </c>
      <c r="G182" s="31">
        <v>60.0190345749999</v>
      </c>
      <c r="H182" s="23">
        <f t="shared" si="14"/>
        <v>29</v>
      </c>
      <c r="I182" s="31">
        <f t="shared" si="15"/>
        <v>13.595433113994</v>
      </c>
      <c r="J182" s="23">
        <f t="shared" si="16"/>
        <v>60</v>
      </c>
      <c r="K182" s="31">
        <f t="shared" si="17"/>
        <v>1.14207449999398</v>
      </c>
      <c r="L182" s="22">
        <v>26.3</v>
      </c>
      <c r="M182" s="22">
        <v>1.7</v>
      </c>
      <c r="O182" s="22">
        <v>14.2</v>
      </c>
      <c r="P182" s="22">
        <v>14</v>
      </c>
      <c r="Q182" s="22">
        <v>13.3</v>
      </c>
      <c r="R182" s="22">
        <f>3.5/2</f>
        <v>1.75</v>
      </c>
      <c r="S182" s="22">
        <f>4.36/2</f>
        <v>2.18</v>
      </c>
      <c r="T182" s="22">
        <v>8.34</v>
      </c>
      <c r="U182" s="22">
        <v>8.24</v>
      </c>
      <c r="V182" s="22">
        <v>7.31</v>
      </c>
      <c r="Y182" s="22">
        <v>110</v>
      </c>
      <c r="Z182" s="22">
        <v>114</v>
      </c>
      <c r="AC182" s="22" t="s">
        <v>572</v>
      </c>
      <c r="AE182" s="22" t="s">
        <v>651</v>
      </c>
      <c r="AF182" s="22" t="s">
        <v>652</v>
      </c>
      <c r="AN182" s="23">
        <v>0</v>
      </c>
      <c r="AO182" s="22">
        <v>0</v>
      </c>
      <c r="AP182" s="23">
        <v>0</v>
      </c>
      <c r="AQ182" s="23">
        <v>0</v>
      </c>
      <c r="AR182" s="23">
        <v>0</v>
      </c>
      <c r="AS182" s="23">
        <v>0</v>
      </c>
      <c r="AT182" s="22">
        <v>0</v>
      </c>
      <c r="AU182" s="22">
        <v>0</v>
      </c>
      <c r="AV182" s="23">
        <v>0</v>
      </c>
      <c r="AW182" s="22">
        <v>0</v>
      </c>
      <c r="AX182" s="23">
        <v>4</v>
      </c>
      <c r="AY182" s="23">
        <v>0</v>
      </c>
      <c r="AZ182" s="22">
        <v>0</v>
      </c>
      <c r="BA182" s="22">
        <v>0</v>
      </c>
      <c r="BB182" s="23">
        <v>0</v>
      </c>
      <c r="BC182" s="23">
        <v>0</v>
      </c>
      <c r="BD182" s="22">
        <v>1</v>
      </c>
      <c r="BE182" s="22">
        <v>1</v>
      </c>
      <c r="BF182" s="22">
        <v>0</v>
      </c>
      <c r="BG182" s="23">
        <v>0</v>
      </c>
      <c r="BH182" s="22">
        <v>0</v>
      </c>
      <c r="BI182" s="22">
        <v>1</v>
      </c>
      <c r="BJ182" s="22">
        <v>5</v>
      </c>
      <c r="BK182" s="22">
        <v>2</v>
      </c>
      <c r="BL182" s="22">
        <v>1</v>
      </c>
      <c r="BM182" s="22">
        <v>1</v>
      </c>
      <c r="BN182" s="22">
        <v>1</v>
      </c>
      <c r="BO182" s="22">
        <v>0</v>
      </c>
      <c r="BP182" s="22">
        <v>1</v>
      </c>
      <c r="BQ182" s="22">
        <v>3</v>
      </c>
      <c r="BR182" s="22">
        <v>0</v>
      </c>
      <c r="BS182" s="22">
        <v>0</v>
      </c>
      <c r="BT182" s="22">
        <v>0</v>
      </c>
      <c r="BU182" s="22">
        <v>0</v>
      </c>
      <c r="BV182" s="23">
        <f t="shared" si="12"/>
        <v>14</v>
      </c>
    </row>
    <row r="183" spans="1:26">
      <c r="A183" s="22">
        <f t="shared" si="13"/>
        <v>172</v>
      </c>
      <c r="B183" s="22">
        <v>4</v>
      </c>
      <c r="C183" s="22" t="s">
        <v>653</v>
      </c>
      <c r="D183" s="28">
        <v>44097</v>
      </c>
      <c r="E183" s="169" t="s">
        <v>654</v>
      </c>
      <c r="F183" s="15">
        <v>29.6233597885</v>
      </c>
      <c r="G183" s="15">
        <v>59.987976301</v>
      </c>
      <c r="H183" s="22">
        <f t="shared" si="14"/>
        <v>29</v>
      </c>
      <c r="I183" s="15">
        <f t="shared" si="15"/>
        <v>37.40158731</v>
      </c>
      <c r="J183" s="22">
        <f t="shared" si="16"/>
        <v>59</v>
      </c>
      <c r="K183" s="15">
        <f t="shared" si="17"/>
        <v>59.2785780600002</v>
      </c>
      <c r="L183" s="22">
        <v>8.5</v>
      </c>
      <c r="O183" s="22">
        <v>14.1</v>
      </c>
      <c r="P183" s="22">
        <v>13.9</v>
      </c>
      <c r="R183" s="22">
        <f>1.91/2</f>
        <v>0.955</v>
      </c>
      <c r="S183" s="22">
        <f>3.2/2</f>
        <v>1.6</v>
      </c>
      <c r="Y183" s="22">
        <v>40</v>
      </c>
      <c r="Z183" s="22">
        <v>59</v>
      </c>
    </row>
    <row r="184" spans="3:74">
      <c r="C184" s="22" t="s">
        <v>653</v>
      </c>
      <c r="D184" s="28">
        <v>44101</v>
      </c>
      <c r="E184" s="171" t="s">
        <v>655</v>
      </c>
      <c r="M184" s="22">
        <v>1.5</v>
      </c>
      <c r="AC184" s="57" t="s">
        <v>572</v>
      </c>
      <c r="AE184" s="22" t="s">
        <v>656</v>
      </c>
      <c r="AF184" s="22" t="s">
        <v>657</v>
      </c>
      <c r="AG184" s="22" t="s">
        <v>465</v>
      </c>
      <c r="AK184" s="23" t="s">
        <v>466</v>
      </c>
      <c r="AN184" s="23">
        <v>0</v>
      </c>
      <c r="AO184" s="22">
        <v>0</v>
      </c>
      <c r="AP184" s="23">
        <v>0</v>
      </c>
      <c r="AQ184" s="23">
        <v>0</v>
      </c>
      <c r="AR184" s="23">
        <v>0</v>
      </c>
      <c r="AS184" s="23">
        <v>0</v>
      </c>
      <c r="AT184" s="22">
        <v>0</v>
      </c>
      <c r="AU184" s="22">
        <v>0</v>
      </c>
      <c r="AV184" s="23">
        <v>0</v>
      </c>
      <c r="AW184" s="22">
        <v>0</v>
      </c>
      <c r="AX184" s="23">
        <v>4</v>
      </c>
      <c r="AY184" s="23">
        <v>0</v>
      </c>
      <c r="AZ184" s="22">
        <v>0</v>
      </c>
      <c r="BA184" s="22">
        <v>0</v>
      </c>
      <c r="BB184" s="23">
        <v>0</v>
      </c>
      <c r="BC184" s="23">
        <v>0</v>
      </c>
      <c r="BD184" s="22">
        <v>1</v>
      </c>
      <c r="BE184" s="22">
        <v>1</v>
      </c>
      <c r="BF184" s="22">
        <v>0</v>
      </c>
      <c r="BG184" s="23">
        <v>0</v>
      </c>
      <c r="BH184" s="22">
        <v>0</v>
      </c>
      <c r="BI184" s="22">
        <v>1</v>
      </c>
      <c r="BJ184" s="22">
        <v>4</v>
      </c>
      <c r="BK184" s="22">
        <v>2</v>
      </c>
      <c r="BL184" s="22">
        <v>1</v>
      </c>
      <c r="BM184" s="22">
        <v>1</v>
      </c>
      <c r="BN184" s="22">
        <v>1</v>
      </c>
      <c r="BO184" s="22">
        <v>1</v>
      </c>
      <c r="BP184" s="22">
        <v>1</v>
      </c>
      <c r="BQ184" s="22">
        <v>4</v>
      </c>
      <c r="BR184" s="22">
        <v>0</v>
      </c>
      <c r="BS184" s="22">
        <v>0</v>
      </c>
      <c r="BT184" s="22">
        <v>0</v>
      </c>
      <c r="BU184" s="22">
        <v>0</v>
      </c>
      <c r="BV184" s="23">
        <f t="shared" si="12"/>
        <v>15</v>
      </c>
    </row>
    <row r="185" spans="1:74">
      <c r="A185" s="22">
        <v>173</v>
      </c>
      <c r="C185" s="22" t="s">
        <v>658</v>
      </c>
      <c r="D185" s="28">
        <v>44097</v>
      </c>
      <c r="E185" s="171" t="s">
        <v>659</v>
      </c>
      <c r="F185" s="31">
        <v>29.6033664887</v>
      </c>
      <c r="G185" s="31">
        <v>59.9581367413</v>
      </c>
      <c r="H185" s="23">
        <f t="shared" ref="H185" si="18">FLOOR(F185,1)</f>
        <v>29</v>
      </c>
      <c r="I185" s="31">
        <f t="shared" ref="I185" si="19">(F185-H185)*60</f>
        <v>36.201989322</v>
      </c>
      <c r="J185" s="23">
        <f t="shared" ref="J185" si="20">FLOOR(G185,1)</f>
        <v>59</v>
      </c>
      <c r="K185" s="31">
        <f t="shared" ref="K185" si="21">(G185-J185)*60</f>
        <v>57.4882044780001</v>
      </c>
      <c r="L185" s="22">
        <v>4.5</v>
      </c>
      <c r="O185" s="22">
        <v>14.2</v>
      </c>
      <c r="P185" s="22">
        <v>13.6</v>
      </c>
      <c r="R185" s="22">
        <f>2.28/2</f>
        <v>1.14</v>
      </c>
      <c r="S185" s="22">
        <f>3.29/2</f>
        <v>1.645</v>
      </c>
      <c r="T185" s="22">
        <v>8.55</v>
      </c>
      <c r="U185" s="22">
        <v>8.42</v>
      </c>
      <c r="Y185" s="22">
        <v>124</v>
      </c>
      <c r="Z185" s="22">
        <v>127</v>
      </c>
      <c r="AC185" s="57" t="s">
        <v>172</v>
      </c>
      <c r="AG185" s="22" t="s">
        <v>465</v>
      </c>
      <c r="AK185" s="22" t="s">
        <v>466</v>
      </c>
      <c r="AN185" s="23">
        <v>0</v>
      </c>
      <c r="AO185" s="22">
        <v>0</v>
      </c>
      <c r="AP185" s="23">
        <v>0</v>
      </c>
      <c r="AQ185" s="23">
        <v>0</v>
      </c>
      <c r="AR185" s="23">
        <v>0</v>
      </c>
      <c r="AS185" s="23">
        <v>0</v>
      </c>
      <c r="AT185" s="22">
        <v>0</v>
      </c>
      <c r="AU185" s="22">
        <v>0</v>
      </c>
      <c r="AV185" s="23">
        <v>0</v>
      </c>
      <c r="AW185" s="22">
        <v>0</v>
      </c>
      <c r="AX185" s="23">
        <v>0</v>
      </c>
      <c r="AY185" s="23">
        <v>0</v>
      </c>
      <c r="AZ185" s="22">
        <v>1</v>
      </c>
      <c r="BA185" s="22">
        <v>1</v>
      </c>
      <c r="BB185" s="23">
        <v>0</v>
      </c>
      <c r="BC185" s="23">
        <v>1</v>
      </c>
      <c r="BD185" s="22">
        <v>0</v>
      </c>
      <c r="BE185" s="22">
        <v>0</v>
      </c>
      <c r="BF185" s="22">
        <v>0</v>
      </c>
      <c r="BG185" s="23">
        <v>0</v>
      </c>
      <c r="BH185" s="22">
        <v>0</v>
      </c>
      <c r="BI185" s="22">
        <v>0</v>
      </c>
      <c r="BJ185" s="22">
        <v>3</v>
      </c>
      <c r="BK185" s="22">
        <v>1</v>
      </c>
      <c r="BL185" s="22">
        <v>1</v>
      </c>
      <c r="BM185" s="22">
        <v>1</v>
      </c>
      <c r="BN185" s="22">
        <v>1</v>
      </c>
      <c r="BO185" s="22">
        <v>1</v>
      </c>
      <c r="BP185" s="22">
        <v>1</v>
      </c>
      <c r="BQ185" s="22">
        <v>3</v>
      </c>
      <c r="BR185" s="22">
        <v>0</v>
      </c>
      <c r="BS185" s="22">
        <v>0</v>
      </c>
      <c r="BT185" s="22">
        <v>0</v>
      </c>
      <c r="BU185" s="22">
        <v>0</v>
      </c>
      <c r="BV185" s="23">
        <f t="shared" si="12"/>
        <v>12</v>
      </c>
    </row>
    <row r="186" spans="1:74">
      <c r="A186" s="22">
        <f>A185+1</f>
        <v>174</v>
      </c>
      <c r="B186" s="22">
        <v>4</v>
      </c>
      <c r="C186" s="22" t="s">
        <v>660</v>
      </c>
      <c r="D186" s="28">
        <v>44097</v>
      </c>
      <c r="E186" s="169" t="s">
        <v>661</v>
      </c>
      <c r="F186" s="31">
        <v>29.5972373025</v>
      </c>
      <c r="G186" s="31">
        <v>59.9500806909999</v>
      </c>
      <c r="H186" s="23">
        <f t="shared" si="14"/>
        <v>29</v>
      </c>
      <c r="I186" s="31">
        <f t="shared" si="15"/>
        <v>35.8342381500001</v>
      </c>
      <c r="J186" s="23">
        <f t="shared" si="16"/>
        <v>59</v>
      </c>
      <c r="K186" s="31">
        <f t="shared" si="17"/>
        <v>57.0048414599938</v>
      </c>
      <c r="L186" s="22">
        <v>2</v>
      </c>
      <c r="O186" s="22">
        <v>14</v>
      </c>
      <c r="P186" s="22">
        <v>13.9</v>
      </c>
      <c r="R186" s="22">
        <f>2.96/2</f>
        <v>1.48</v>
      </c>
      <c r="S186" s="22">
        <f>3.11/2</f>
        <v>1.555</v>
      </c>
      <c r="T186" s="22">
        <v>8.67</v>
      </c>
      <c r="U186" s="22">
        <v>8.56</v>
      </c>
      <c r="Y186" s="22">
        <v>82</v>
      </c>
      <c r="Z186" s="22">
        <v>81</v>
      </c>
      <c r="AC186" s="22" t="s">
        <v>353</v>
      </c>
      <c r="AG186" s="22" t="s">
        <v>465</v>
      </c>
      <c r="AK186" s="22" t="s">
        <v>466</v>
      </c>
      <c r="AN186" s="23">
        <v>0</v>
      </c>
      <c r="AO186" s="22">
        <v>0</v>
      </c>
      <c r="AP186" s="23">
        <v>0</v>
      </c>
      <c r="AQ186" s="23">
        <v>1</v>
      </c>
      <c r="AR186" s="23">
        <v>0</v>
      </c>
      <c r="AS186" s="23">
        <v>0</v>
      </c>
      <c r="AT186" s="22">
        <v>0</v>
      </c>
      <c r="AU186" s="22">
        <v>0</v>
      </c>
      <c r="AV186" s="23">
        <v>0</v>
      </c>
      <c r="AW186" s="22">
        <v>0</v>
      </c>
      <c r="AX186" s="23">
        <v>0</v>
      </c>
      <c r="AY186" s="23">
        <v>0</v>
      </c>
      <c r="AZ186" s="22">
        <v>1</v>
      </c>
      <c r="BA186" s="22">
        <v>1</v>
      </c>
      <c r="BB186" s="23">
        <v>0</v>
      </c>
      <c r="BC186" s="23">
        <v>1</v>
      </c>
      <c r="BD186" s="22">
        <v>0</v>
      </c>
      <c r="BE186" s="22">
        <v>0</v>
      </c>
      <c r="BF186" s="22">
        <v>0</v>
      </c>
      <c r="BG186" s="23">
        <v>0</v>
      </c>
      <c r="BH186" s="22">
        <v>0</v>
      </c>
      <c r="BI186" s="22">
        <v>0</v>
      </c>
      <c r="BJ186" s="22">
        <v>4</v>
      </c>
      <c r="BK186" s="22">
        <v>1</v>
      </c>
      <c r="BL186" s="22">
        <v>1</v>
      </c>
      <c r="BM186" s="22">
        <v>1</v>
      </c>
      <c r="BN186" s="22">
        <v>1</v>
      </c>
      <c r="BO186" s="22">
        <v>1</v>
      </c>
      <c r="BP186" s="22">
        <v>1</v>
      </c>
      <c r="BQ186" s="22">
        <v>2</v>
      </c>
      <c r="BR186" s="22">
        <v>0</v>
      </c>
      <c r="BS186" s="22">
        <v>0</v>
      </c>
      <c r="BT186" s="22">
        <v>0</v>
      </c>
      <c r="BU186" s="22">
        <v>2</v>
      </c>
      <c r="BV186" s="23">
        <f t="shared" si="12"/>
        <v>10</v>
      </c>
    </row>
    <row r="187" spans="1:74">
      <c r="A187" s="22">
        <f t="shared" si="13"/>
        <v>175</v>
      </c>
      <c r="B187" s="22">
        <v>4</v>
      </c>
      <c r="C187" s="22" t="s">
        <v>662</v>
      </c>
      <c r="D187" s="28">
        <v>44098</v>
      </c>
      <c r="E187" s="169" t="s">
        <v>663</v>
      </c>
      <c r="F187" s="31">
        <v>29.2250190502999</v>
      </c>
      <c r="G187" s="31">
        <v>60.0012116707999</v>
      </c>
      <c r="H187" s="23">
        <f t="shared" si="14"/>
        <v>29</v>
      </c>
      <c r="I187" s="31">
        <f t="shared" si="15"/>
        <v>13.5011430179939</v>
      </c>
      <c r="J187" s="23">
        <f t="shared" si="16"/>
        <v>60</v>
      </c>
      <c r="K187" s="31">
        <f t="shared" si="17"/>
        <v>0.0727002479938221</v>
      </c>
      <c r="L187" s="22">
        <v>13.5</v>
      </c>
      <c r="O187" s="22">
        <v>14.6</v>
      </c>
      <c r="P187" s="22">
        <v>14.4</v>
      </c>
      <c r="R187" s="22">
        <f>4.22/2</f>
        <v>2.11</v>
      </c>
      <c r="S187" s="22">
        <f>4.78/2</f>
        <v>2.39</v>
      </c>
      <c r="T187" s="22">
        <v>8.24</v>
      </c>
      <c r="U187" s="22">
        <v>8.29</v>
      </c>
      <c r="Y187" s="22">
        <v>126</v>
      </c>
      <c r="Z187" s="22">
        <v>125</v>
      </c>
      <c r="AC187" s="22" t="s">
        <v>475</v>
      </c>
      <c r="AG187" s="22" t="s">
        <v>465</v>
      </c>
      <c r="AK187" s="22" t="s">
        <v>466</v>
      </c>
      <c r="AN187" s="23">
        <v>0</v>
      </c>
      <c r="AO187" s="22">
        <v>0</v>
      </c>
      <c r="AP187" s="23">
        <v>0</v>
      </c>
      <c r="AQ187" s="23">
        <v>0</v>
      </c>
      <c r="AR187" s="23">
        <v>0</v>
      </c>
      <c r="AS187" s="23">
        <v>0</v>
      </c>
      <c r="AT187" s="22">
        <v>0</v>
      </c>
      <c r="AU187" s="22">
        <v>0</v>
      </c>
      <c r="AV187" s="23">
        <v>0</v>
      </c>
      <c r="AW187" s="22">
        <v>0</v>
      </c>
      <c r="AX187" s="23">
        <v>0</v>
      </c>
      <c r="AY187" s="23">
        <v>0</v>
      </c>
      <c r="AZ187" s="22">
        <v>0</v>
      </c>
      <c r="BA187" s="22">
        <v>0</v>
      </c>
      <c r="BB187" s="23">
        <v>0</v>
      </c>
      <c r="BC187" s="23">
        <v>0</v>
      </c>
      <c r="BD187" s="22">
        <v>1</v>
      </c>
      <c r="BE187" s="22">
        <v>1</v>
      </c>
      <c r="BF187" s="22">
        <v>0</v>
      </c>
      <c r="BG187" s="23">
        <v>0</v>
      </c>
      <c r="BH187" s="22">
        <v>0</v>
      </c>
      <c r="BI187" s="22">
        <v>0</v>
      </c>
      <c r="BJ187" s="22">
        <v>3</v>
      </c>
      <c r="BK187" s="22">
        <v>1</v>
      </c>
      <c r="BL187" s="22">
        <v>1</v>
      </c>
      <c r="BM187" s="22">
        <v>2</v>
      </c>
      <c r="BN187" s="22">
        <v>1</v>
      </c>
      <c r="BO187" s="22">
        <v>1</v>
      </c>
      <c r="BP187" s="22">
        <v>1</v>
      </c>
      <c r="BQ187" s="22">
        <v>2</v>
      </c>
      <c r="BR187" s="22">
        <v>0</v>
      </c>
      <c r="BS187" s="22">
        <v>0</v>
      </c>
      <c r="BT187" s="22">
        <v>0</v>
      </c>
      <c r="BU187" s="22">
        <v>0</v>
      </c>
      <c r="BV187" s="23">
        <f t="shared" si="12"/>
        <v>12</v>
      </c>
    </row>
    <row r="188" spans="1:74">
      <c r="A188" s="22">
        <f t="shared" si="13"/>
        <v>176</v>
      </c>
      <c r="B188" s="22">
        <v>4</v>
      </c>
      <c r="C188" s="22" t="s">
        <v>664</v>
      </c>
      <c r="D188" s="28">
        <v>44098</v>
      </c>
      <c r="E188" s="169" t="s">
        <v>665</v>
      </c>
      <c r="F188" s="31">
        <v>29.2979268696999</v>
      </c>
      <c r="G188" s="31">
        <v>59.995969967</v>
      </c>
      <c r="H188" s="23">
        <f t="shared" si="14"/>
        <v>29</v>
      </c>
      <c r="I188" s="31">
        <f t="shared" si="15"/>
        <v>17.875612181994</v>
      </c>
      <c r="J188" s="23">
        <f t="shared" si="16"/>
        <v>59</v>
      </c>
      <c r="K188" s="31">
        <f t="shared" si="17"/>
        <v>59.75819802</v>
      </c>
      <c r="L188" s="22">
        <v>10.3</v>
      </c>
      <c r="O188" s="22">
        <v>14</v>
      </c>
      <c r="P188" s="22">
        <v>14.3</v>
      </c>
      <c r="R188" s="22">
        <f>3.09/2</f>
        <v>1.545</v>
      </c>
      <c r="S188" s="22">
        <f>4.7/2</f>
        <v>2.35</v>
      </c>
      <c r="T188" s="22">
        <v>8.63</v>
      </c>
      <c r="U188" s="22">
        <v>8.36</v>
      </c>
      <c r="Y188" s="22">
        <v>35</v>
      </c>
      <c r="Z188" s="22">
        <v>45</v>
      </c>
      <c r="AC188" s="22" t="s">
        <v>666</v>
      </c>
      <c r="AG188" s="22" t="s">
        <v>465</v>
      </c>
      <c r="AK188" s="22" t="s">
        <v>466</v>
      </c>
      <c r="AN188" s="23">
        <v>0</v>
      </c>
      <c r="AO188" s="22">
        <v>0</v>
      </c>
      <c r="AP188" s="23">
        <v>0</v>
      </c>
      <c r="AQ188" s="23">
        <v>0</v>
      </c>
      <c r="AR188" s="23">
        <v>0</v>
      </c>
      <c r="AS188" s="23">
        <v>0</v>
      </c>
      <c r="AT188" s="22">
        <v>0</v>
      </c>
      <c r="AU188" s="22">
        <v>0</v>
      </c>
      <c r="AV188" s="23">
        <v>0</v>
      </c>
      <c r="AW188" s="22">
        <v>0</v>
      </c>
      <c r="AX188" s="23">
        <v>0</v>
      </c>
      <c r="AY188" s="23">
        <v>0</v>
      </c>
      <c r="AZ188" s="22">
        <v>0</v>
      </c>
      <c r="BA188" s="22">
        <v>0</v>
      </c>
      <c r="BB188" s="23">
        <v>0</v>
      </c>
      <c r="BC188" s="23">
        <v>0</v>
      </c>
      <c r="BD188" s="22">
        <v>1</v>
      </c>
      <c r="BE188" s="22">
        <v>1</v>
      </c>
      <c r="BF188" s="22">
        <v>0</v>
      </c>
      <c r="BG188" s="23">
        <v>0</v>
      </c>
      <c r="BH188" s="22">
        <v>0</v>
      </c>
      <c r="BI188" s="22">
        <v>0</v>
      </c>
      <c r="BJ188" s="22">
        <v>2</v>
      </c>
      <c r="BK188" s="22">
        <v>1</v>
      </c>
      <c r="BL188" s="22">
        <v>1</v>
      </c>
      <c r="BM188" s="22">
        <v>1</v>
      </c>
      <c r="BN188" s="22">
        <v>1</v>
      </c>
      <c r="BO188" s="22">
        <v>1</v>
      </c>
      <c r="BP188" s="22">
        <v>1</v>
      </c>
      <c r="BQ188" s="22">
        <v>2</v>
      </c>
      <c r="BR188" s="22">
        <v>0</v>
      </c>
      <c r="BS188" s="22">
        <v>0</v>
      </c>
      <c r="BT188" s="22">
        <v>0</v>
      </c>
      <c r="BU188" s="22">
        <v>0</v>
      </c>
      <c r="BV188" s="23">
        <f t="shared" si="12"/>
        <v>10</v>
      </c>
    </row>
    <row r="189" spans="1:74">
      <c r="A189" s="22">
        <f t="shared" si="13"/>
        <v>177</v>
      </c>
      <c r="B189" s="22">
        <v>4</v>
      </c>
      <c r="C189" s="22" t="s">
        <v>667</v>
      </c>
      <c r="D189" s="28">
        <v>44098</v>
      </c>
      <c r="E189" s="169" t="s">
        <v>668</v>
      </c>
      <c r="F189" s="31">
        <v>29.3018637429999</v>
      </c>
      <c r="G189" s="31">
        <v>60.0158427687999</v>
      </c>
      <c r="H189" s="23">
        <f t="shared" si="14"/>
        <v>29</v>
      </c>
      <c r="I189" s="31">
        <f t="shared" si="15"/>
        <v>18.1118245799939</v>
      </c>
      <c r="J189" s="23">
        <f t="shared" si="16"/>
        <v>60</v>
      </c>
      <c r="K189" s="31">
        <f t="shared" si="17"/>
        <v>0.950566127993966</v>
      </c>
      <c r="L189" s="22">
        <v>25</v>
      </c>
      <c r="O189" s="22">
        <v>14.2</v>
      </c>
      <c r="P189" s="22">
        <v>14.5</v>
      </c>
      <c r="Q189" s="22">
        <v>13.5</v>
      </c>
      <c r="R189" s="22">
        <f>2.51/2</f>
        <v>1.255</v>
      </c>
      <c r="S189" s="22">
        <f>3.76/2</f>
        <v>1.88</v>
      </c>
      <c r="T189" s="22">
        <v>8.1</v>
      </c>
      <c r="U189" s="22">
        <v>8.08</v>
      </c>
      <c r="V189" s="22">
        <v>7.37</v>
      </c>
      <c r="Y189" s="22">
        <v>115</v>
      </c>
      <c r="Z189" s="22">
        <v>117</v>
      </c>
      <c r="AC189" s="22" t="s">
        <v>572</v>
      </c>
      <c r="AG189" s="22" t="s">
        <v>465</v>
      </c>
      <c r="AK189" s="22" t="s">
        <v>466</v>
      </c>
      <c r="AN189" s="23">
        <v>0</v>
      </c>
      <c r="AO189" s="22">
        <v>0</v>
      </c>
      <c r="AP189" s="23">
        <v>0</v>
      </c>
      <c r="AQ189" s="23">
        <v>0</v>
      </c>
      <c r="AR189" s="23">
        <v>0</v>
      </c>
      <c r="AS189" s="23">
        <v>0</v>
      </c>
      <c r="AT189" s="22">
        <v>0</v>
      </c>
      <c r="AU189" s="22">
        <v>0</v>
      </c>
      <c r="AV189" s="23">
        <v>0</v>
      </c>
      <c r="AW189" s="22">
        <v>0</v>
      </c>
      <c r="AX189" s="23">
        <v>4</v>
      </c>
      <c r="AY189" s="23">
        <v>0</v>
      </c>
      <c r="AZ189" s="22">
        <v>0</v>
      </c>
      <c r="BA189" s="22">
        <v>0</v>
      </c>
      <c r="BB189" s="23">
        <v>0</v>
      </c>
      <c r="BC189" s="23">
        <v>0</v>
      </c>
      <c r="BD189" s="22">
        <v>1</v>
      </c>
      <c r="BE189" s="22">
        <v>1</v>
      </c>
      <c r="BF189" s="22">
        <v>0</v>
      </c>
      <c r="BG189" s="23">
        <v>0</v>
      </c>
      <c r="BH189" s="22">
        <v>0</v>
      </c>
      <c r="BI189" s="22">
        <v>0</v>
      </c>
      <c r="BJ189" s="22">
        <v>3</v>
      </c>
      <c r="BK189" s="22">
        <v>2</v>
      </c>
      <c r="BL189" s="22">
        <v>1</v>
      </c>
      <c r="BM189" s="22">
        <v>1</v>
      </c>
      <c r="BN189" s="22">
        <v>1</v>
      </c>
      <c r="BO189" s="22">
        <v>1</v>
      </c>
      <c r="BP189" s="22">
        <v>1</v>
      </c>
      <c r="BQ189" s="22">
        <v>2</v>
      </c>
      <c r="BR189" s="22">
        <v>0</v>
      </c>
      <c r="BS189" s="22">
        <v>0</v>
      </c>
      <c r="BT189" s="22">
        <v>0</v>
      </c>
      <c r="BU189" s="22">
        <v>0</v>
      </c>
      <c r="BV189" s="23">
        <f t="shared" si="12"/>
        <v>12</v>
      </c>
    </row>
    <row r="190" spans="1:74">
      <c r="A190" s="22">
        <f t="shared" si="13"/>
        <v>178</v>
      </c>
      <c r="C190" s="22" t="s">
        <v>669</v>
      </c>
      <c r="D190" s="28">
        <v>44100</v>
      </c>
      <c r="E190" s="169" t="s">
        <v>670</v>
      </c>
      <c r="F190" s="31">
        <v>29.3011</v>
      </c>
      <c r="G190" s="31">
        <v>60.01607</v>
      </c>
      <c r="H190" s="22">
        <f t="shared" si="14"/>
        <v>29</v>
      </c>
      <c r="I190" s="15">
        <f t="shared" si="15"/>
        <v>18.0660000000001</v>
      </c>
      <c r="J190" s="22">
        <f t="shared" si="16"/>
        <v>60</v>
      </c>
      <c r="K190" s="15">
        <f t="shared" si="17"/>
        <v>0.964199999999948</v>
      </c>
      <c r="AC190" s="22" t="s">
        <v>671</v>
      </c>
      <c r="AG190" s="22" t="s">
        <v>209</v>
      </c>
      <c r="AK190" s="22" t="s">
        <v>672</v>
      </c>
      <c r="AN190" s="23">
        <v>0</v>
      </c>
      <c r="AO190" s="22">
        <v>0</v>
      </c>
      <c r="AP190" s="23">
        <v>0</v>
      </c>
      <c r="AQ190" s="23">
        <v>0</v>
      </c>
      <c r="AR190" s="23">
        <v>0</v>
      </c>
      <c r="AS190" s="23">
        <v>0</v>
      </c>
      <c r="AT190" s="22">
        <v>0</v>
      </c>
      <c r="AU190" s="22">
        <v>0</v>
      </c>
      <c r="AV190" s="23">
        <v>0</v>
      </c>
      <c r="AW190" s="22">
        <v>0</v>
      </c>
      <c r="AX190" s="23">
        <v>7</v>
      </c>
      <c r="AY190" s="23">
        <v>0</v>
      </c>
      <c r="AZ190" s="22">
        <v>0</v>
      </c>
      <c r="BA190" s="22">
        <v>0</v>
      </c>
      <c r="BB190" s="23">
        <v>0</v>
      </c>
      <c r="BC190" s="23">
        <v>0</v>
      </c>
      <c r="BD190" s="22">
        <v>1</v>
      </c>
      <c r="BE190" s="22">
        <v>1</v>
      </c>
      <c r="BF190" s="22">
        <v>0</v>
      </c>
      <c r="BG190" s="23">
        <v>0</v>
      </c>
      <c r="BH190" s="22">
        <v>0</v>
      </c>
      <c r="BI190" s="22">
        <v>0</v>
      </c>
      <c r="BJ190" s="22">
        <v>3</v>
      </c>
      <c r="BK190" s="22">
        <v>3</v>
      </c>
      <c r="BL190" s="22">
        <v>1</v>
      </c>
      <c r="BM190" s="22">
        <v>1</v>
      </c>
      <c r="BN190" s="22">
        <v>1</v>
      </c>
      <c r="BO190" s="22">
        <v>1</v>
      </c>
      <c r="BP190" s="22">
        <v>1</v>
      </c>
      <c r="BQ190" s="22">
        <v>2</v>
      </c>
      <c r="BR190" s="22">
        <v>0</v>
      </c>
      <c r="BS190" s="22">
        <v>0</v>
      </c>
      <c r="BT190" s="22">
        <v>0</v>
      </c>
      <c r="BU190" s="22">
        <v>0</v>
      </c>
      <c r="BV190" s="23">
        <f t="shared" si="12"/>
        <v>13</v>
      </c>
    </row>
    <row r="191" spans="1:74">
      <c r="A191" s="22">
        <f t="shared" si="13"/>
        <v>179</v>
      </c>
      <c r="B191" s="22">
        <v>4</v>
      </c>
      <c r="C191" s="22" t="s">
        <v>673</v>
      </c>
      <c r="D191" s="28">
        <v>44098</v>
      </c>
      <c r="E191" s="169" t="s">
        <v>674</v>
      </c>
      <c r="F191" s="31">
        <v>29.3512503357</v>
      </c>
      <c r="G191" s="31">
        <v>60.0026135545</v>
      </c>
      <c r="H191" s="23">
        <f t="shared" si="14"/>
        <v>29</v>
      </c>
      <c r="I191" s="31">
        <f t="shared" si="15"/>
        <v>21.0750201420001</v>
      </c>
      <c r="J191" s="23">
        <f t="shared" si="16"/>
        <v>60</v>
      </c>
      <c r="K191" s="31">
        <f t="shared" si="17"/>
        <v>0.1568132700001</v>
      </c>
      <c r="L191" s="22">
        <v>19.1</v>
      </c>
      <c r="O191" s="22">
        <v>13.6</v>
      </c>
      <c r="P191" s="22">
        <v>13.6</v>
      </c>
      <c r="Q191" s="22">
        <v>13.9</v>
      </c>
      <c r="R191" s="22">
        <f>2.15/2</f>
        <v>1.075</v>
      </c>
      <c r="S191" s="22">
        <f>3.1/2</f>
        <v>1.55</v>
      </c>
      <c r="T191" s="22">
        <v>8.5</v>
      </c>
      <c r="U191" s="22">
        <v>8.3</v>
      </c>
      <c r="V191" s="22">
        <v>7.08</v>
      </c>
      <c r="Y191" s="22">
        <v>55</v>
      </c>
      <c r="Z191" s="22">
        <v>66</v>
      </c>
      <c r="AC191" s="22" t="s">
        <v>572</v>
      </c>
      <c r="AG191" s="22" t="s">
        <v>465</v>
      </c>
      <c r="AK191" s="22" t="s">
        <v>466</v>
      </c>
      <c r="AN191" s="23">
        <v>0</v>
      </c>
      <c r="AO191" s="22">
        <v>0</v>
      </c>
      <c r="AP191" s="23">
        <v>0</v>
      </c>
      <c r="AQ191" s="23">
        <v>0</v>
      </c>
      <c r="AR191" s="23">
        <v>0</v>
      </c>
      <c r="AS191" s="23">
        <v>0</v>
      </c>
      <c r="AT191" s="22">
        <v>0</v>
      </c>
      <c r="AU191" s="22">
        <v>0</v>
      </c>
      <c r="AV191" s="23">
        <v>0</v>
      </c>
      <c r="AW191" s="22">
        <v>0</v>
      </c>
      <c r="AX191" s="23">
        <v>3</v>
      </c>
      <c r="AY191" s="23">
        <v>0</v>
      </c>
      <c r="AZ191" s="22">
        <v>0</v>
      </c>
      <c r="BA191" s="22">
        <v>0</v>
      </c>
      <c r="BB191" s="23">
        <v>0</v>
      </c>
      <c r="BC191" s="23">
        <v>0</v>
      </c>
      <c r="BD191" s="22">
        <v>1</v>
      </c>
      <c r="BE191" s="22">
        <v>1</v>
      </c>
      <c r="BF191" s="22">
        <v>0</v>
      </c>
      <c r="BG191" s="23">
        <v>0</v>
      </c>
      <c r="BH191" s="22">
        <v>0</v>
      </c>
      <c r="BI191" s="22">
        <v>0</v>
      </c>
      <c r="BJ191" s="22">
        <v>3</v>
      </c>
      <c r="BK191" s="22">
        <v>2</v>
      </c>
      <c r="BL191" s="22">
        <v>1</v>
      </c>
      <c r="BM191" s="22">
        <v>1</v>
      </c>
      <c r="BN191" s="22">
        <v>1</v>
      </c>
      <c r="BO191" s="22">
        <v>1</v>
      </c>
      <c r="BP191" s="22">
        <v>1</v>
      </c>
      <c r="BQ191" s="22">
        <v>1</v>
      </c>
      <c r="BR191" s="22">
        <v>0</v>
      </c>
      <c r="BS191" s="22">
        <v>0</v>
      </c>
      <c r="BT191" s="22">
        <v>0</v>
      </c>
      <c r="BU191" s="22">
        <v>0</v>
      </c>
      <c r="BV191" s="23">
        <f t="shared" si="12"/>
        <v>11</v>
      </c>
    </row>
    <row r="192" spans="1:74">
      <c r="A192" s="22">
        <f t="shared" si="13"/>
        <v>180</v>
      </c>
      <c r="B192" s="22">
        <v>4</v>
      </c>
      <c r="C192" s="22" t="s">
        <v>675</v>
      </c>
      <c r="D192" s="28">
        <v>44098</v>
      </c>
      <c r="E192" s="171" t="s">
        <v>676</v>
      </c>
      <c r="F192" s="31">
        <v>29.351628637</v>
      </c>
      <c r="G192" s="31">
        <v>59.9877988730999</v>
      </c>
      <c r="H192" s="23">
        <f t="shared" si="14"/>
        <v>29</v>
      </c>
      <c r="I192" s="31">
        <f t="shared" si="15"/>
        <v>21.0977182200001</v>
      </c>
      <c r="J192" s="23">
        <f t="shared" si="16"/>
        <v>59</v>
      </c>
      <c r="K192" s="31">
        <f t="shared" si="17"/>
        <v>59.2679323859939</v>
      </c>
      <c r="L192" s="22">
        <v>3.4</v>
      </c>
      <c r="O192" s="22">
        <v>13.9</v>
      </c>
      <c r="R192" s="22">
        <f>3.01/2</f>
        <v>1.505</v>
      </c>
      <c r="T192" s="22">
        <v>8.5</v>
      </c>
      <c r="Y192" s="22">
        <v>63</v>
      </c>
      <c r="AC192" s="22" t="s">
        <v>666</v>
      </c>
      <c r="AG192" s="22" t="s">
        <v>465</v>
      </c>
      <c r="AK192" s="22" t="s">
        <v>466</v>
      </c>
      <c r="AN192" s="23">
        <v>0</v>
      </c>
      <c r="AO192" s="22">
        <v>0</v>
      </c>
      <c r="AP192" s="23">
        <v>0</v>
      </c>
      <c r="AQ192" s="23">
        <v>0</v>
      </c>
      <c r="AR192" s="23">
        <v>0</v>
      </c>
      <c r="AS192" s="23">
        <v>0</v>
      </c>
      <c r="AT192" s="22">
        <v>0</v>
      </c>
      <c r="AU192" s="22">
        <v>0</v>
      </c>
      <c r="AV192" s="23">
        <v>0</v>
      </c>
      <c r="AW192" s="22">
        <v>0</v>
      </c>
      <c r="AX192" s="23">
        <v>0</v>
      </c>
      <c r="AY192" s="23">
        <v>0</v>
      </c>
      <c r="AZ192" s="22">
        <v>1</v>
      </c>
      <c r="BA192" s="22">
        <v>1</v>
      </c>
      <c r="BB192" s="23">
        <v>0</v>
      </c>
      <c r="BC192" s="23">
        <v>1</v>
      </c>
      <c r="BD192" s="22">
        <v>1</v>
      </c>
      <c r="BE192" s="22">
        <v>0</v>
      </c>
      <c r="BF192" s="22">
        <v>0</v>
      </c>
      <c r="BG192" s="23">
        <v>0</v>
      </c>
      <c r="BH192" s="22">
        <v>0</v>
      </c>
      <c r="BI192" s="22">
        <v>0</v>
      </c>
      <c r="BJ192" s="22">
        <v>4</v>
      </c>
      <c r="BK192" s="22">
        <v>1</v>
      </c>
      <c r="BL192" s="22">
        <v>1</v>
      </c>
      <c r="BM192" s="22">
        <v>1</v>
      </c>
      <c r="BN192" s="22">
        <v>1</v>
      </c>
      <c r="BO192" s="22">
        <v>1</v>
      </c>
      <c r="BP192" s="22">
        <v>1</v>
      </c>
      <c r="BQ192" s="22">
        <v>1</v>
      </c>
      <c r="BR192" s="22">
        <v>0</v>
      </c>
      <c r="BS192" s="22">
        <v>0</v>
      </c>
      <c r="BT192" s="22">
        <v>0</v>
      </c>
      <c r="BU192" s="22">
        <v>1</v>
      </c>
      <c r="BV192" s="23">
        <f t="shared" si="12"/>
        <v>10</v>
      </c>
    </row>
    <row r="193" spans="1:26">
      <c r="A193" s="22">
        <f t="shared" si="13"/>
        <v>181</v>
      </c>
      <c r="B193" s="22">
        <v>4</v>
      </c>
      <c r="C193" s="22" t="s">
        <v>677</v>
      </c>
      <c r="D193" s="28">
        <v>44098</v>
      </c>
      <c r="E193" s="171" t="s">
        <v>678</v>
      </c>
      <c r="F193" s="31">
        <v>29.3855477824</v>
      </c>
      <c r="G193" s="31">
        <v>59.9849003162999</v>
      </c>
      <c r="H193" s="23">
        <f t="shared" si="14"/>
        <v>29</v>
      </c>
      <c r="I193" s="31">
        <f t="shared" si="15"/>
        <v>23.132866944</v>
      </c>
      <c r="J193" s="23">
        <f t="shared" si="16"/>
        <v>59</v>
      </c>
      <c r="K193" s="31">
        <f t="shared" si="17"/>
        <v>59.094018977994</v>
      </c>
      <c r="L193" s="22">
        <v>5.7</v>
      </c>
      <c r="O193" s="22">
        <v>13.9</v>
      </c>
      <c r="P193" s="22">
        <v>13.8</v>
      </c>
      <c r="R193" s="22">
        <f>2.81/2</f>
        <v>1.405</v>
      </c>
      <c r="S193" s="22">
        <f>3.21/2</f>
        <v>1.605</v>
      </c>
      <c r="T193" s="22">
        <v>8.74</v>
      </c>
      <c r="U193" s="22">
        <v>8.8</v>
      </c>
      <c r="Y193" s="22">
        <v>181</v>
      </c>
      <c r="Z193" s="22">
        <v>181</v>
      </c>
    </row>
    <row r="194" spans="1:74">
      <c r="A194" s="22">
        <v>182</v>
      </c>
      <c r="C194" s="22" t="s">
        <v>677</v>
      </c>
      <c r="D194" s="28">
        <v>44100</v>
      </c>
      <c r="F194" s="31">
        <v>29.38465</v>
      </c>
      <c r="G194" s="31">
        <v>59.98521</v>
      </c>
      <c r="H194" s="22">
        <f t="shared" si="14"/>
        <v>29</v>
      </c>
      <c r="I194" s="15">
        <f t="shared" si="15"/>
        <v>23.079</v>
      </c>
      <c r="J194" s="22">
        <f t="shared" si="16"/>
        <v>59</v>
      </c>
      <c r="K194" s="15">
        <f t="shared" si="17"/>
        <v>59.1126000000001</v>
      </c>
      <c r="L194" s="22">
        <v>5.6</v>
      </c>
      <c r="O194" s="22">
        <v>13.9</v>
      </c>
      <c r="P194" s="22">
        <v>14</v>
      </c>
      <c r="T194" s="22">
        <v>9.3</v>
      </c>
      <c r="U194" s="22">
        <v>9.43</v>
      </c>
      <c r="Y194" s="22">
        <v>129</v>
      </c>
      <c r="Z194" s="22">
        <v>125</v>
      </c>
      <c r="AC194" s="22" t="s">
        <v>679</v>
      </c>
      <c r="AG194" s="22" t="s">
        <v>311</v>
      </c>
      <c r="AH194" s="22" t="s">
        <v>680</v>
      </c>
      <c r="AK194" s="22" t="s">
        <v>122</v>
      </c>
      <c r="AN194" s="23">
        <v>0</v>
      </c>
      <c r="AO194" s="22">
        <v>0</v>
      </c>
      <c r="AP194" s="23">
        <v>3</v>
      </c>
      <c r="AQ194" s="23">
        <v>8</v>
      </c>
      <c r="AR194" s="23">
        <v>0</v>
      </c>
      <c r="AS194" s="23">
        <v>1</v>
      </c>
      <c r="AT194" s="22">
        <v>0</v>
      </c>
      <c r="AU194" s="22">
        <v>0</v>
      </c>
      <c r="AV194" s="23">
        <v>0</v>
      </c>
      <c r="AW194" s="22">
        <v>0</v>
      </c>
      <c r="AX194" s="23">
        <v>0</v>
      </c>
      <c r="AY194" s="23">
        <v>0</v>
      </c>
      <c r="AZ194" s="22">
        <v>1</v>
      </c>
      <c r="BA194" s="22">
        <v>1</v>
      </c>
      <c r="BB194" s="23">
        <v>0</v>
      </c>
      <c r="BC194" s="23">
        <v>1</v>
      </c>
      <c r="BD194" s="22">
        <v>0</v>
      </c>
      <c r="BE194" s="22">
        <v>0</v>
      </c>
      <c r="BF194" s="22">
        <v>1</v>
      </c>
      <c r="BG194" s="23">
        <v>0</v>
      </c>
      <c r="BH194" s="22">
        <v>0</v>
      </c>
      <c r="BI194" s="22">
        <v>0</v>
      </c>
      <c r="BJ194" s="22">
        <v>7</v>
      </c>
      <c r="BK194" s="22">
        <v>5</v>
      </c>
      <c r="BL194" s="22">
        <v>1</v>
      </c>
      <c r="BM194" s="22">
        <v>2</v>
      </c>
      <c r="BN194" s="22">
        <v>1</v>
      </c>
      <c r="BO194" s="22">
        <v>0</v>
      </c>
      <c r="BP194" s="22">
        <v>1</v>
      </c>
      <c r="BQ194" s="22">
        <v>1</v>
      </c>
      <c r="BR194" s="22">
        <v>0</v>
      </c>
      <c r="BS194" s="22">
        <v>0</v>
      </c>
      <c r="BT194" s="22">
        <v>0</v>
      </c>
      <c r="BU194" s="22">
        <v>0</v>
      </c>
      <c r="BV194" s="23">
        <f t="shared" si="12"/>
        <v>18</v>
      </c>
    </row>
    <row r="195" spans="1:74">
      <c r="A195" s="22">
        <f t="shared" ref="A195:A221" si="22">A194+1</f>
        <v>183</v>
      </c>
      <c r="B195" s="22">
        <v>1</v>
      </c>
      <c r="C195" s="14" t="s">
        <v>681</v>
      </c>
      <c r="D195" s="28">
        <v>43991</v>
      </c>
      <c r="F195" s="15">
        <v>28.13077</v>
      </c>
      <c r="G195" s="15">
        <v>59.774363</v>
      </c>
      <c r="I195" s="31"/>
      <c r="K195" s="31"/>
      <c r="L195" s="22">
        <v>3</v>
      </c>
      <c r="M195" s="22">
        <v>1.3</v>
      </c>
      <c r="O195" s="22">
        <v>14</v>
      </c>
      <c r="R195" s="22">
        <v>3.89</v>
      </c>
      <c r="T195" s="22">
        <v>7.51</v>
      </c>
      <c r="AB195" s="22" t="s">
        <v>682</v>
      </c>
      <c r="AE195" s="22" t="s">
        <v>122</v>
      </c>
      <c r="AF195" s="22" t="s">
        <v>122</v>
      </c>
      <c r="AL195" s="22" t="s">
        <v>122</v>
      </c>
      <c r="AN195" s="23">
        <v>1</v>
      </c>
      <c r="AO195" s="22">
        <v>1</v>
      </c>
      <c r="AP195" s="23">
        <v>1</v>
      </c>
      <c r="AQ195" s="23">
        <v>0</v>
      </c>
      <c r="AR195" s="23">
        <v>1</v>
      </c>
      <c r="AS195" s="23">
        <v>1</v>
      </c>
      <c r="AT195" s="22">
        <v>0</v>
      </c>
      <c r="AU195" s="22">
        <v>0</v>
      </c>
      <c r="AV195" s="23">
        <v>0</v>
      </c>
      <c r="AW195" s="22">
        <v>0</v>
      </c>
      <c r="AX195" s="23">
        <v>0</v>
      </c>
      <c r="AY195" s="23">
        <v>0</v>
      </c>
      <c r="AZ195" s="22">
        <v>0</v>
      </c>
      <c r="BA195" s="22">
        <v>0</v>
      </c>
      <c r="BB195" s="23">
        <v>0</v>
      </c>
      <c r="BC195" s="23">
        <v>0</v>
      </c>
      <c r="BD195" s="22">
        <v>0</v>
      </c>
      <c r="BE195" s="22">
        <v>0</v>
      </c>
      <c r="BF195" s="22">
        <v>0</v>
      </c>
      <c r="BG195" s="23">
        <v>0</v>
      </c>
      <c r="BH195" s="22">
        <v>0</v>
      </c>
      <c r="BI195" s="22">
        <v>0</v>
      </c>
      <c r="BJ195" s="22">
        <v>5</v>
      </c>
      <c r="BK195" s="22">
        <v>1</v>
      </c>
      <c r="BL195" s="22">
        <v>3</v>
      </c>
      <c r="BM195" s="22">
        <v>2</v>
      </c>
      <c r="BN195" s="22">
        <v>1</v>
      </c>
      <c r="BO195" s="22">
        <v>1</v>
      </c>
      <c r="BP195" s="22">
        <v>1</v>
      </c>
      <c r="BQ195" s="22">
        <v>1</v>
      </c>
      <c r="BR195" s="22">
        <v>2</v>
      </c>
      <c r="BS195" s="22">
        <v>2</v>
      </c>
      <c r="BT195" s="22">
        <v>0</v>
      </c>
      <c r="BU195" s="22">
        <v>0</v>
      </c>
      <c r="BV195" s="23">
        <f t="shared" ref="BV195:BV202" si="23">(BJ195+BK195+BL195+BM195+BN195+BO195+BP195+BQ195)-(BR195+BS195+BT195+BU195)</f>
        <v>11</v>
      </c>
    </row>
    <row r="196" spans="1:74">
      <c r="A196" s="22">
        <f t="shared" si="22"/>
        <v>184</v>
      </c>
      <c r="B196" s="22">
        <v>2</v>
      </c>
      <c r="C196" s="14" t="s">
        <v>683</v>
      </c>
      <c r="D196" s="28">
        <v>44034</v>
      </c>
      <c r="E196" s="22" t="s">
        <v>365</v>
      </c>
      <c r="F196" s="15">
        <v>28.220372</v>
      </c>
      <c r="G196" s="15">
        <v>59.676021</v>
      </c>
      <c r="I196" s="31"/>
      <c r="K196" s="31"/>
      <c r="L196" s="22">
        <v>1</v>
      </c>
      <c r="M196" s="22">
        <v>1</v>
      </c>
      <c r="O196" s="22">
        <v>20.9</v>
      </c>
      <c r="R196" s="22">
        <v>2.8</v>
      </c>
      <c r="T196" s="22">
        <v>5</v>
      </c>
      <c r="AB196" s="22" t="s">
        <v>684</v>
      </c>
      <c r="AE196" s="22" t="s">
        <v>122</v>
      </c>
      <c r="AF196" s="22" t="s">
        <v>685</v>
      </c>
      <c r="AG196" s="22" t="s">
        <v>121</v>
      </c>
      <c r="AL196" s="22" t="s">
        <v>122</v>
      </c>
      <c r="AN196" s="23">
        <v>0</v>
      </c>
      <c r="AO196" s="22">
        <v>0</v>
      </c>
      <c r="AP196" s="23">
        <v>1</v>
      </c>
      <c r="AQ196" s="23">
        <v>0</v>
      </c>
      <c r="AR196" s="23">
        <v>0</v>
      </c>
      <c r="AS196" s="23">
        <v>1</v>
      </c>
      <c r="AT196" s="22">
        <v>0</v>
      </c>
      <c r="AU196" s="22">
        <v>0</v>
      </c>
      <c r="AV196" s="23">
        <v>0</v>
      </c>
      <c r="AW196" s="22">
        <v>0</v>
      </c>
      <c r="AX196" s="23">
        <v>0</v>
      </c>
      <c r="AY196" s="23">
        <v>0</v>
      </c>
      <c r="AZ196" s="22">
        <v>0</v>
      </c>
      <c r="BA196" s="22">
        <v>0</v>
      </c>
      <c r="BB196" s="23">
        <v>0</v>
      </c>
      <c r="BC196" s="23">
        <v>0</v>
      </c>
      <c r="BD196" s="22">
        <v>0</v>
      </c>
      <c r="BE196" s="22">
        <v>0</v>
      </c>
      <c r="BF196" s="22">
        <v>0</v>
      </c>
      <c r="BG196" s="23">
        <v>0</v>
      </c>
      <c r="BH196" s="22">
        <v>0</v>
      </c>
      <c r="BI196" s="22">
        <v>0</v>
      </c>
      <c r="BJ196" s="22">
        <v>2</v>
      </c>
      <c r="BK196" s="22">
        <v>1</v>
      </c>
      <c r="BL196" s="22">
        <v>2</v>
      </c>
      <c r="BM196" s="22">
        <v>2</v>
      </c>
      <c r="BN196" s="22">
        <v>1</v>
      </c>
      <c r="BO196" s="22">
        <v>1</v>
      </c>
      <c r="BP196" s="22">
        <v>1</v>
      </c>
      <c r="BQ196" s="22">
        <v>1</v>
      </c>
      <c r="BR196" s="22">
        <v>2</v>
      </c>
      <c r="BS196" s="22">
        <v>2</v>
      </c>
      <c r="BT196" s="22">
        <v>0</v>
      </c>
      <c r="BU196" s="22">
        <v>0</v>
      </c>
      <c r="BV196" s="23">
        <f t="shared" si="23"/>
        <v>7</v>
      </c>
    </row>
    <row r="197" spans="1:74">
      <c r="A197" s="22">
        <f t="shared" si="22"/>
        <v>185</v>
      </c>
      <c r="B197" s="22">
        <v>2</v>
      </c>
      <c r="C197" s="14" t="s">
        <v>686</v>
      </c>
      <c r="D197" s="28">
        <v>44034</v>
      </c>
      <c r="E197" s="22" t="s">
        <v>365</v>
      </c>
      <c r="F197" s="15">
        <v>28.22109</v>
      </c>
      <c r="G197" s="58">
        <v>59.675766</v>
      </c>
      <c r="I197" s="31"/>
      <c r="K197" s="31"/>
      <c r="AG197" s="22" t="s">
        <v>121</v>
      </c>
      <c r="AL197" s="22" t="s">
        <v>122</v>
      </c>
      <c r="AN197" s="23">
        <v>0</v>
      </c>
      <c r="AO197" s="22">
        <v>0</v>
      </c>
      <c r="AP197" s="23">
        <v>1</v>
      </c>
      <c r="AQ197" s="23">
        <v>0</v>
      </c>
      <c r="AR197" s="23">
        <v>0</v>
      </c>
      <c r="AS197" s="23">
        <v>1</v>
      </c>
      <c r="AT197" s="22">
        <v>0</v>
      </c>
      <c r="AU197" s="22">
        <v>0</v>
      </c>
      <c r="AV197" s="23">
        <v>0</v>
      </c>
      <c r="AW197" s="22">
        <v>0</v>
      </c>
      <c r="AX197" s="23">
        <v>0</v>
      </c>
      <c r="AY197" s="23">
        <v>0</v>
      </c>
      <c r="AZ197" s="22">
        <v>0</v>
      </c>
      <c r="BA197" s="22">
        <v>0</v>
      </c>
      <c r="BB197" s="23">
        <v>0</v>
      </c>
      <c r="BC197" s="23">
        <v>1</v>
      </c>
      <c r="BD197" s="22">
        <v>0</v>
      </c>
      <c r="BE197" s="22">
        <v>0</v>
      </c>
      <c r="BF197" s="22">
        <v>0</v>
      </c>
      <c r="BG197" s="23">
        <v>0</v>
      </c>
      <c r="BH197" s="22">
        <v>0</v>
      </c>
      <c r="BI197" s="22">
        <v>0</v>
      </c>
      <c r="BJ197" s="22">
        <v>3</v>
      </c>
      <c r="BK197" s="22">
        <v>1</v>
      </c>
      <c r="BL197" s="22">
        <v>2</v>
      </c>
      <c r="BM197" s="22">
        <v>2</v>
      </c>
      <c r="BN197" s="22">
        <v>1</v>
      </c>
      <c r="BO197" s="22">
        <v>1</v>
      </c>
      <c r="BP197" s="22">
        <v>1</v>
      </c>
      <c r="BQ197" s="22">
        <v>1</v>
      </c>
      <c r="BR197" s="22">
        <v>2</v>
      </c>
      <c r="BS197" s="22">
        <v>2</v>
      </c>
      <c r="BT197" s="22">
        <v>0</v>
      </c>
      <c r="BU197" s="22">
        <v>0</v>
      </c>
      <c r="BV197" s="23">
        <f t="shared" si="23"/>
        <v>8</v>
      </c>
    </row>
    <row r="198" spans="1:74">
      <c r="A198" s="22">
        <f t="shared" si="22"/>
        <v>186</v>
      </c>
      <c r="B198" s="22">
        <v>2</v>
      </c>
      <c r="C198" s="14" t="s">
        <v>687</v>
      </c>
      <c r="D198" s="28">
        <v>44034</v>
      </c>
      <c r="E198" s="22" t="s">
        <v>688</v>
      </c>
      <c r="F198" s="15">
        <v>28.257208</v>
      </c>
      <c r="G198" s="15">
        <v>59.653508</v>
      </c>
      <c r="I198" s="31"/>
      <c r="K198" s="31"/>
      <c r="L198" s="22">
        <v>3.5</v>
      </c>
      <c r="M198" s="22">
        <v>1</v>
      </c>
      <c r="O198" s="22">
        <v>19.7</v>
      </c>
      <c r="R198" s="22">
        <v>1.72</v>
      </c>
      <c r="T198" s="22">
        <v>4.7</v>
      </c>
      <c r="AE198" s="22" t="s">
        <v>122</v>
      </c>
      <c r="AF198" s="22" t="s">
        <v>685</v>
      </c>
      <c r="AG198" s="22" t="s">
        <v>689</v>
      </c>
      <c r="AL198" s="22" t="s">
        <v>122</v>
      </c>
      <c r="AN198" s="23">
        <v>0</v>
      </c>
      <c r="AO198" s="22">
        <v>0</v>
      </c>
      <c r="AP198" s="23">
        <v>0</v>
      </c>
      <c r="AQ198" s="23">
        <v>1</v>
      </c>
      <c r="AR198" s="23">
        <v>0</v>
      </c>
      <c r="AS198" s="23">
        <v>1</v>
      </c>
      <c r="AT198" s="22">
        <v>0</v>
      </c>
      <c r="AU198" s="22">
        <v>0</v>
      </c>
      <c r="AV198" s="23">
        <v>0</v>
      </c>
      <c r="AW198" s="22">
        <v>0</v>
      </c>
      <c r="AX198" s="23">
        <v>1</v>
      </c>
      <c r="AY198" s="23">
        <v>0</v>
      </c>
      <c r="AZ198" s="22">
        <v>0</v>
      </c>
      <c r="BA198" s="22">
        <v>0</v>
      </c>
      <c r="BB198" s="23">
        <v>0</v>
      </c>
      <c r="BC198" s="23">
        <v>0</v>
      </c>
      <c r="BD198" s="22">
        <v>0</v>
      </c>
      <c r="BE198" s="22">
        <v>0</v>
      </c>
      <c r="BF198" s="22">
        <v>0</v>
      </c>
      <c r="BG198" s="23">
        <v>0</v>
      </c>
      <c r="BH198" s="22">
        <v>0</v>
      </c>
      <c r="BI198" s="22">
        <v>0</v>
      </c>
      <c r="BJ198" s="22">
        <v>3</v>
      </c>
      <c r="BK198" s="22">
        <v>1</v>
      </c>
      <c r="BL198" s="22">
        <v>2</v>
      </c>
      <c r="BM198" s="22">
        <v>2</v>
      </c>
      <c r="BN198" s="22">
        <v>1</v>
      </c>
      <c r="BO198" s="22">
        <v>0</v>
      </c>
      <c r="BP198" s="22">
        <v>2</v>
      </c>
      <c r="BQ198" s="22">
        <v>3</v>
      </c>
      <c r="BR198" s="22">
        <v>0</v>
      </c>
      <c r="BS198" s="22">
        <v>0</v>
      </c>
      <c r="BT198" s="22">
        <v>1</v>
      </c>
      <c r="BU198" s="22">
        <v>0</v>
      </c>
      <c r="BV198" s="23">
        <f t="shared" si="23"/>
        <v>13</v>
      </c>
    </row>
    <row r="199" spans="1:74">
      <c r="A199" s="22">
        <f t="shared" si="22"/>
        <v>187</v>
      </c>
      <c r="B199" s="22">
        <v>2</v>
      </c>
      <c r="C199" s="14" t="s">
        <v>690</v>
      </c>
      <c r="D199" s="28">
        <v>44034</v>
      </c>
      <c r="E199" s="22" t="s">
        <v>517</v>
      </c>
      <c r="F199" s="15">
        <v>28.256816</v>
      </c>
      <c r="G199" s="15">
        <v>59.653662</v>
      </c>
      <c r="I199" s="31"/>
      <c r="K199" s="31"/>
      <c r="L199" s="22">
        <v>3</v>
      </c>
      <c r="AG199" s="22" t="s">
        <v>121</v>
      </c>
      <c r="AL199" s="22" t="s">
        <v>122</v>
      </c>
      <c r="AN199" s="23">
        <v>0</v>
      </c>
      <c r="AO199" s="22">
        <v>0</v>
      </c>
      <c r="AP199" s="23">
        <v>0</v>
      </c>
      <c r="AQ199" s="23">
        <v>1</v>
      </c>
      <c r="AR199" s="23">
        <v>0</v>
      </c>
      <c r="AS199" s="23">
        <v>1</v>
      </c>
      <c r="AT199" s="22">
        <v>0</v>
      </c>
      <c r="AU199" s="22">
        <v>0</v>
      </c>
      <c r="AV199" s="23">
        <v>0</v>
      </c>
      <c r="AW199" s="22">
        <v>0</v>
      </c>
      <c r="AX199" s="23">
        <v>1</v>
      </c>
      <c r="AY199" s="23">
        <v>0</v>
      </c>
      <c r="AZ199" s="22">
        <v>0</v>
      </c>
      <c r="BA199" s="22">
        <v>0</v>
      </c>
      <c r="BB199" s="23">
        <v>0</v>
      </c>
      <c r="BC199" s="23">
        <v>0</v>
      </c>
      <c r="BD199" s="22">
        <v>0</v>
      </c>
      <c r="BE199" s="22">
        <v>0</v>
      </c>
      <c r="BF199" s="22">
        <v>0</v>
      </c>
      <c r="BG199" s="23">
        <v>0</v>
      </c>
      <c r="BH199" s="22">
        <v>0</v>
      </c>
      <c r="BI199" s="22">
        <v>0</v>
      </c>
      <c r="BJ199" s="22">
        <v>3</v>
      </c>
      <c r="BK199" s="22">
        <v>1</v>
      </c>
      <c r="BL199" s="22">
        <v>2</v>
      </c>
      <c r="BM199" s="22">
        <v>2</v>
      </c>
      <c r="BN199" s="22">
        <v>1</v>
      </c>
      <c r="BO199" s="22">
        <v>0</v>
      </c>
      <c r="BP199" s="22">
        <v>2</v>
      </c>
      <c r="BQ199" s="22">
        <v>3</v>
      </c>
      <c r="BR199" s="22">
        <v>0</v>
      </c>
      <c r="BS199" s="22">
        <v>0</v>
      </c>
      <c r="BT199" s="22">
        <v>1</v>
      </c>
      <c r="BU199" s="22">
        <v>0</v>
      </c>
      <c r="BV199" s="23">
        <f t="shared" si="23"/>
        <v>13</v>
      </c>
    </row>
    <row r="200" spans="1:74">
      <c r="A200" s="22">
        <f t="shared" si="22"/>
        <v>188</v>
      </c>
      <c r="B200" s="22">
        <v>3</v>
      </c>
      <c r="C200" s="14" t="s">
        <v>691</v>
      </c>
      <c r="D200" s="28">
        <v>44036</v>
      </c>
      <c r="E200" s="22" t="s">
        <v>692</v>
      </c>
      <c r="F200" s="15">
        <v>29.093293</v>
      </c>
      <c r="G200" s="15">
        <v>59.884889</v>
      </c>
      <c r="I200" s="31"/>
      <c r="K200" s="31"/>
      <c r="L200" s="22">
        <v>2</v>
      </c>
      <c r="M200" s="22">
        <v>1.5</v>
      </c>
      <c r="O200" s="22">
        <v>18.8</v>
      </c>
      <c r="R200" s="22">
        <v>0.21</v>
      </c>
      <c r="T200" s="22">
        <v>8.8</v>
      </c>
      <c r="AD200" s="22" t="s">
        <v>693</v>
      </c>
      <c r="AE200" s="22" t="s">
        <v>122</v>
      </c>
      <c r="AF200" s="22" t="s">
        <v>122</v>
      </c>
      <c r="AG200" s="22" t="s">
        <v>152</v>
      </c>
      <c r="AL200" s="22" t="s">
        <v>122</v>
      </c>
      <c r="AN200" s="23">
        <v>0</v>
      </c>
      <c r="AO200" s="22">
        <v>0</v>
      </c>
      <c r="AP200" s="23">
        <v>0</v>
      </c>
      <c r="AQ200" s="23">
        <v>0</v>
      </c>
      <c r="AR200" s="23">
        <v>0</v>
      </c>
      <c r="AS200" s="23">
        <v>0</v>
      </c>
      <c r="AT200" s="22">
        <v>0</v>
      </c>
      <c r="AU200" s="22">
        <v>0</v>
      </c>
      <c r="AV200" s="23">
        <v>0</v>
      </c>
      <c r="AW200" s="22">
        <v>0</v>
      </c>
      <c r="AX200" s="23">
        <v>0</v>
      </c>
      <c r="AY200" s="23">
        <v>0</v>
      </c>
      <c r="AZ200" s="22">
        <v>0</v>
      </c>
      <c r="BA200" s="22">
        <v>0</v>
      </c>
      <c r="BB200" s="23">
        <v>0</v>
      </c>
      <c r="BC200" s="23">
        <v>0</v>
      </c>
      <c r="BD200" s="22">
        <v>0</v>
      </c>
      <c r="BE200" s="22">
        <v>0</v>
      </c>
      <c r="BF200" s="22">
        <v>0</v>
      </c>
      <c r="BG200" s="23">
        <v>0</v>
      </c>
      <c r="BH200" s="22">
        <v>0</v>
      </c>
      <c r="BI200" s="22">
        <v>0</v>
      </c>
      <c r="BJ200" s="22">
        <v>0</v>
      </c>
      <c r="BK200" s="22">
        <v>0</v>
      </c>
      <c r="BL200" s="22">
        <v>0</v>
      </c>
      <c r="BM200" s="22">
        <v>1</v>
      </c>
      <c r="BN200" s="22">
        <v>0</v>
      </c>
      <c r="BO200" s="22">
        <v>0</v>
      </c>
      <c r="BP200" s="22">
        <v>1</v>
      </c>
      <c r="BQ200" s="22">
        <v>0</v>
      </c>
      <c r="BR200" s="22">
        <v>0</v>
      </c>
      <c r="BS200" s="22">
        <v>0</v>
      </c>
      <c r="BT200" s="22">
        <v>1</v>
      </c>
      <c r="BU200" s="22">
        <v>0</v>
      </c>
      <c r="BV200" s="23">
        <f t="shared" si="23"/>
        <v>1</v>
      </c>
    </row>
    <row r="201" spans="1:74">
      <c r="A201" s="22">
        <f t="shared" si="22"/>
        <v>189</v>
      </c>
      <c r="B201" s="22">
        <v>3</v>
      </c>
      <c r="C201" s="14" t="s">
        <v>694</v>
      </c>
      <c r="D201" s="28">
        <v>44036</v>
      </c>
      <c r="E201" s="22" t="s">
        <v>365</v>
      </c>
      <c r="F201" s="15">
        <v>28.816237</v>
      </c>
      <c r="G201" s="15">
        <v>59.754462</v>
      </c>
      <c r="H201" s="59"/>
      <c r="I201" s="31"/>
      <c r="K201" s="31"/>
      <c r="L201" s="22">
        <v>1.2</v>
      </c>
      <c r="M201" s="22">
        <v>1.2</v>
      </c>
      <c r="O201" s="22">
        <v>16.4</v>
      </c>
      <c r="R201" s="22">
        <v>0.26</v>
      </c>
      <c r="T201" s="22">
        <v>7.46</v>
      </c>
      <c r="AB201" s="22" t="s">
        <v>695</v>
      </c>
      <c r="AD201" s="22" t="s">
        <v>696</v>
      </c>
      <c r="AE201" s="22" t="s">
        <v>122</v>
      </c>
      <c r="AF201" s="22" t="s">
        <v>685</v>
      </c>
      <c r="AG201" s="22" t="s">
        <v>121</v>
      </c>
      <c r="AL201" s="22" t="s">
        <v>122</v>
      </c>
      <c r="AN201" s="23">
        <v>0</v>
      </c>
      <c r="AO201" s="22">
        <v>0</v>
      </c>
      <c r="AP201" s="23">
        <v>0</v>
      </c>
      <c r="AQ201" s="23">
        <v>0</v>
      </c>
      <c r="AR201" s="23">
        <v>0</v>
      </c>
      <c r="AS201" s="23">
        <v>0</v>
      </c>
      <c r="AT201" s="22">
        <v>0</v>
      </c>
      <c r="AU201" s="22">
        <v>0</v>
      </c>
      <c r="AV201" s="23">
        <v>0</v>
      </c>
      <c r="AW201" s="22">
        <v>0</v>
      </c>
      <c r="AX201" s="23">
        <v>0</v>
      </c>
      <c r="AY201" s="23">
        <v>0</v>
      </c>
      <c r="AZ201" s="22">
        <v>0</v>
      </c>
      <c r="BA201" s="22">
        <v>0</v>
      </c>
      <c r="BB201" s="23">
        <v>0</v>
      </c>
      <c r="BC201" s="23">
        <v>0</v>
      </c>
      <c r="BD201" s="22">
        <v>0</v>
      </c>
      <c r="BE201" s="22">
        <v>0</v>
      </c>
      <c r="BF201" s="22">
        <v>0</v>
      </c>
      <c r="BG201" s="23">
        <v>0</v>
      </c>
      <c r="BH201" s="22">
        <v>0</v>
      </c>
      <c r="BI201" s="22">
        <v>0</v>
      </c>
      <c r="BJ201" s="22">
        <v>0</v>
      </c>
      <c r="BK201" s="22">
        <v>0</v>
      </c>
      <c r="BL201" s="22">
        <v>0</v>
      </c>
      <c r="BM201" s="22">
        <v>1</v>
      </c>
      <c r="BN201" s="22">
        <v>0</v>
      </c>
      <c r="BO201" s="22">
        <v>0</v>
      </c>
      <c r="BP201" s="22">
        <v>1</v>
      </c>
      <c r="BQ201" s="22">
        <v>0</v>
      </c>
      <c r="BR201" s="22">
        <v>0</v>
      </c>
      <c r="BS201" s="22">
        <v>0</v>
      </c>
      <c r="BT201" s="22">
        <v>1</v>
      </c>
      <c r="BU201" s="22">
        <v>0</v>
      </c>
      <c r="BV201" s="23">
        <f t="shared" si="23"/>
        <v>1</v>
      </c>
    </row>
    <row r="202" spans="1:74">
      <c r="A202" s="22">
        <f t="shared" si="22"/>
        <v>190</v>
      </c>
      <c r="B202" s="22">
        <v>3</v>
      </c>
      <c r="C202" s="14" t="s">
        <v>697</v>
      </c>
      <c r="D202" s="28">
        <v>44036</v>
      </c>
      <c r="E202" s="22" t="s">
        <v>517</v>
      </c>
      <c r="F202" s="15">
        <v>28.12481</v>
      </c>
      <c r="G202" s="15">
        <v>59.805958</v>
      </c>
      <c r="I202" s="31"/>
      <c r="K202" s="31"/>
      <c r="L202" s="22">
        <v>3</v>
      </c>
      <c r="M202" s="22">
        <v>2.1</v>
      </c>
      <c r="O202" s="22">
        <v>17.9</v>
      </c>
      <c r="R202" s="22">
        <v>0.29</v>
      </c>
      <c r="T202" s="22">
        <v>7.9</v>
      </c>
      <c r="AB202" s="22" t="s">
        <v>698</v>
      </c>
      <c r="AD202" s="22" t="s">
        <v>699</v>
      </c>
      <c r="AE202" s="22" t="s">
        <v>122</v>
      </c>
      <c r="AF202" s="22" t="s">
        <v>122</v>
      </c>
      <c r="AG202" s="22" t="s">
        <v>121</v>
      </c>
      <c r="AL202" s="22" t="s">
        <v>122</v>
      </c>
      <c r="AN202" s="23">
        <v>0</v>
      </c>
      <c r="AO202" s="22">
        <v>0</v>
      </c>
      <c r="AP202" s="23">
        <v>0</v>
      </c>
      <c r="AQ202" s="23">
        <v>0</v>
      </c>
      <c r="AR202" s="23">
        <v>0</v>
      </c>
      <c r="AS202" s="23">
        <v>0</v>
      </c>
      <c r="AT202" s="22">
        <v>0</v>
      </c>
      <c r="AU202" s="22">
        <v>0</v>
      </c>
      <c r="AV202" s="23">
        <v>0</v>
      </c>
      <c r="AW202" s="22">
        <v>0</v>
      </c>
      <c r="AX202" s="23">
        <v>0</v>
      </c>
      <c r="AY202" s="23">
        <v>0</v>
      </c>
      <c r="AZ202" s="22">
        <v>0</v>
      </c>
      <c r="BA202" s="22">
        <v>0</v>
      </c>
      <c r="BB202" s="23">
        <v>0</v>
      </c>
      <c r="BC202" s="23">
        <v>0</v>
      </c>
      <c r="BD202" s="22">
        <v>0</v>
      </c>
      <c r="BE202" s="22">
        <v>0</v>
      </c>
      <c r="BF202" s="22">
        <v>0</v>
      </c>
      <c r="BG202" s="23">
        <v>0</v>
      </c>
      <c r="BH202" s="22">
        <v>0</v>
      </c>
      <c r="BI202" s="22">
        <v>0</v>
      </c>
      <c r="BJ202" s="22">
        <v>0</v>
      </c>
      <c r="BK202" s="22">
        <v>0</v>
      </c>
      <c r="BL202" s="22">
        <v>0</v>
      </c>
      <c r="BM202" s="22">
        <v>1</v>
      </c>
      <c r="BN202" s="22">
        <v>0</v>
      </c>
      <c r="BO202" s="22">
        <v>0</v>
      </c>
      <c r="BP202" s="22">
        <v>1</v>
      </c>
      <c r="BQ202" s="22">
        <v>0</v>
      </c>
      <c r="BR202" s="22">
        <v>0</v>
      </c>
      <c r="BS202" s="22">
        <v>0</v>
      </c>
      <c r="BT202" s="22">
        <v>1</v>
      </c>
      <c r="BU202" s="22">
        <v>0</v>
      </c>
      <c r="BV202" s="23">
        <f t="shared" si="23"/>
        <v>1</v>
      </c>
    </row>
    <row r="203" spans="1:35">
      <c r="A203" s="22">
        <f t="shared" si="22"/>
        <v>191</v>
      </c>
      <c r="B203" s="49">
        <v>2</v>
      </c>
      <c r="C203" s="49" t="s">
        <v>700</v>
      </c>
      <c r="D203" s="60">
        <v>44068</v>
      </c>
      <c r="E203" s="49" t="s">
        <v>688</v>
      </c>
      <c r="F203" s="48">
        <v>59.66803</v>
      </c>
      <c r="G203" s="48">
        <v>28.38014</v>
      </c>
      <c r="L203" s="22">
        <v>1.2</v>
      </c>
      <c r="N203" s="22">
        <v>0.6</v>
      </c>
      <c r="O203" s="22">
        <v>19.3</v>
      </c>
      <c r="R203" s="22">
        <v>2.7</v>
      </c>
      <c r="AC203" s="22" t="s">
        <v>701</v>
      </c>
      <c r="AD203" s="22" t="s">
        <v>702</v>
      </c>
      <c r="AI203" s="87" t="s">
        <v>703</v>
      </c>
    </row>
    <row r="204" spans="1:35">
      <c r="A204" s="22">
        <f t="shared" si="22"/>
        <v>192</v>
      </c>
      <c r="B204" s="49">
        <v>2</v>
      </c>
      <c r="C204" s="49" t="s">
        <v>704</v>
      </c>
      <c r="D204" s="60">
        <v>44068</v>
      </c>
      <c r="E204" s="49" t="s">
        <v>654</v>
      </c>
      <c r="F204" s="48">
        <v>59.83057</v>
      </c>
      <c r="G204" s="48">
        <v>28.49679</v>
      </c>
      <c r="L204" s="22">
        <v>1.2</v>
      </c>
      <c r="N204" s="22">
        <v>0.1</v>
      </c>
      <c r="O204" s="22">
        <v>19.2</v>
      </c>
      <c r="R204" s="22">
        <v>2.8</v>
      </c>
      <c r="AC204" s="22" t="s">
        <v>705</v>
      </c>
      <c r="AD204" s="22" t="s">
        <v>706</v>
      </c>
      <c r="AI204" s="87" t="s">
        <v>703</v>
      </c>
    </row>
    <row r="205" spans="1:35">
      <c r="A205" s="22">
        <f t="shared" si="22"/>
        <v>193</v>
      </c>
      <c r="B205" s="49">
        <v>2</v>
      </c>
      <c r="C205" s="49" t="s">
        <v>707</v>
      </c>
      <c r="D205" s="60">
        <v>44068</v>
      </c>
      <c r="E205" s="49" t="s">
        <v>708</v>
      </c>
      <c r="F205" s="48">
        <v>59.8401</v>
      </c>
      <c r="G205" s="48">
        <v>28.52029</v>
      </c>
      <c r="L205" s="22">
        <v>1.2</v>
      </c>
      <c r="N205" s="22">
        <v>1.2</v>
      </c>
      <c r="O205" s="22">
        <v>19</v>
      </c>
      <c r="R205" s="22">
        <v>2.4</v>
      </c>
      <c r="AC205" s="22" t="s">
        <v>709</v>
      </c>
      <c r="AD205" s="22" t="s">
        <v>710</v>
      </c>
      <c r="AI205" s="87" t="s">
        <v>703</v>
      </c>
    </row>
    <row r="206" spans="1:35">
      <c r="A206" s="22">
        <f t="shared" si="22"/>
        <v>194</v>
      </c>
      <c r="B206" s="49">
        <v>3</v>
      </c>
      <c r="C206" s="49" t="s">
        <v>711</v>
      </c>
      <c r="D206" s="60">
        <v>44069</v>
      </c>
      <c r="E206" s="61" t="s">
        <v>468</v>
      </c>
      <c r="F206" s="62">
        <v>59.80637</v>
      </c>
      <c r="G206" s="62">
        <v>28.90877</v>
      </c>
      <c r="L206" s="22">
        <v>1</v>
      </c>
      <c r="N206" s="22">
        <v>0.5</v>
      </c>
      <c r="O206" s="22">
        <v>20</v>
      </c>
      <c r="R206" s="22">
        <v>2.2</v>
      </c>
      <c r="AC206" s="22" t="s">
        <v>709</v>
      </c>
      <c r="AD206" s="22" t="s">
        <v>712</v>
      </c>
      <c r="AI206" s="87" t="s">
        <v>703</v>
      </c>
    </row>
    <row r="207" spans="1:35">
      <c r="A207" s="22">
        <f t="shared" si="22"/>
        <v>195</v>
      </c>
      <c r="B207" s="49">
        <v>3</v>
      </c>
      <c r="C207" s="49" t="s">
        <v>711</v>
      </c>
      <c r="D207" s="60">
        <v>44069</v>
      </c>
      <c r="E207" s="61" t="s">
        <v>688</v>
      </c>
      <c r="F207" s="62">
        <v>59.80638</v>
      </c>
      <c r="G207" s="62">
        <v>28.90878</v>
      </c>
      <c r="L207" s="22">
        <v>0.9</v>
      </c>
      <c r="N207" s="22">
        <v>0.9</v>
      </c>
      <c r="O207" s="22">
        <v>20</v>
      </c>
      <c r="R207" s="22">
        <v>2.2</v>
      </c>
      <c r="AC207" s="22" t="s">
        <v>713</v>
      </c>
      <c r="AD207" s="22" t="s">
        <v>714</v>
      </c>
      <c r="AI207" s="87" t="s">
        <v>703</v>
      </c>
    </row>
    <row r="208" spans="1:35">
      <c r="A208" s="22">
        <f t="shared" si="22"/>
        <v>196</v>
      </c>
      <c r="B208" s="49">
        <v>2</v>
      </c>
      <c r="C208" s="49" t="s">
        <v>715</v>
      </c>
      <c r="D208" s="60">
        <v>44069</v>
      </c>
      <c r="E208" s="49" t="s">
        <v>654</v>
      </c>
      <c r="F208" s="48">
        <v>59.77475</v>
      </c>
      <c r="G208" s="48" t="s">
        <v>716</v>
      </c>
      <c r="L208" s="22">
        <v>0.8</v>
      </c>
      <c r="N208" s="22">
        <v>0.8</v>
      </c>
      <c r="O208" s="22">
        <v>20.5</v>
      </c>
      <c r="R208" s="22">
        <v>2.4</v>
      </c>
      <c r="AB208" s="22" t="s">
        <v>717</v>
      </c>
      <c r="AC208" s="22" t="s">
        <v>718</v>
      </c>
      <c r="AD208" s="22" t="s">
        <v>719</v>
      </c>
      <c r="AI208" s="87" t="s">
        <v>703</v>
      </c>
    </row>
    <row r="209" spans="1:35">
      <c r="A209" s="22">
        <f t="shared" si="22"/>
        <v>197</v>
      </c>
      <c r="B209" s="49">
        <v>2</v>
      </c>
      <c r="C209" s="49" t="s">
        <v>720</v>
      </c>
      <c r="D209" s="60">
        <v>44069</v>
      </c>
      <c r="E209" s="49" t="s">
        <v>721</v>
      </c>
      <c r="F209" s="48">
        <v>59.84845</v>
      </c>
      <c r="G209" s="48">
        <v>28.54427</v>
      </c>
      <c r="L209" s="22">
        <v>1.1</v>
      </c>
      <c r="N209" s="22">
        <v>1</v>
      </c>
      <c r="O209" s="22">
        <v>19.2</v>
      </c>
      <c r="R209" s="22">
        <v>2.4</v>
      </c>
      <c r="AC209" s="22" t="s">
        <v>722</v>
      </c>
      <c r="AD209" s="22" t="s">
        <v>723</v>
      </c>
      <c r="AI209" s="87" t="s">
        <v>703</v>
      </c>
    </row>
    <row r="210" spans="1:35">
      <c r="A210" s="22">
        <f t="shared" si="22"/>
        <v>198</v>
      </c>
      <c r="B210" s="49">
        <v>2</v>
      </c>
      <c r="C210" s="49" t="s">
        <v>724</v>
      </c>
      <c r="D210" s="60">
        <v>44070</v>
      </c>
      <c r="E210" s="61" t="s">
        <v>468</v>
      </c>
      <c r="F210" s="48">
        <v>59.66695</v>
      </c>
      <c r="G210" s="48">
        <v>28.37101</v>
      </c>
      <c r="L210" s="22">
        <v>1</v>
      </c>
      <c r="N210" s="22">
        <v>1</v>
      </c>
      <c r="O210" s="22">
        <v>17</v>
      </c>
      <c r="R210" s="22">
        <v>2.7</v>
      </c>
      <c r="AC210" s="22" t="s">
        <v>725</v>
      </c>
      <c r="AD210" s="22" t="s">
        <v>726</v>
      </c>
      <c r="AI210" s="87" t="s">
        <v>703</v>
      </c>
    </row>
    <row r="211" spans="1:35">
      <c r="A211" s="22">
        <f t="shared" si="22"/>
        <v>199</v>
      </c>
      <c r="B211" s="49">
        <v>2</v>
      </c>
      <c r="C211" s="49" t="s">
        <v>727</v>
      </c>
      <c r="D211" s="60">
        <v>44070</v>
      </c>
      <c r="E211" s="49" t="s">
        <v>517</v>
      </c>
      <c r="F211" s="48">
        <v>59.677318</v>
      </c>
      <c r="G211" s="48">
        <v>28.308478</v>
      </c>
      <c r="L211" s="22">
        <v>0.6</v>
      </c>
      <c r="N211" s="22">
        <v>0.6</v>
      </c>
      <c r="O211" s="22">
        <v>17</v>
      </c>
      <c r="R211" s="22">
        <v>2.5</v>
      </c>
      <c r="AC211" s="22" t="s">
        <v>728</v>
      </c>
      <c r="AD211" s="22" t="s">
        <v>729</v>
      </c>
      <c r="AI211" s="87" t="s">
        <v>703</v>
      </c>
    </row>
    <row r="212" spans="1:35">
      <c r="A212" s="22">
        <f t="shared" si="22"/>
        <v>200</v>
      </c>
      <c r="B212" s="49">
        <v>1</v>
      </c>
      <c r="C212" s="49" t="s">
        <v>730</v>
      </c>
      <c r="D212" s="60">
        <v>44070</v>
      </c>
      <c r="E212" s="49" t="s">
        <v>692</v>
      </c>
      <c r="F212" s="48">
        <v>59.68024</v>
      </c>
      <c r="G212" s="48">
        <v>28.23784</v>
      </c>
      <c r="L212" s="22">
        <v>1</v>
      </c>
      <c r="N212" s="22">
        <v>0.8</v>
      </c>
      <c r="O212" s="76">
        <v>16.9</v>
      </c>
      <c r="R212" s="22">
        <v>3</v>
      </c>
      <c r="AC212" s="22" t="s">
        <v>731</v>
      </c>
      <c r="AD212" s="22" t="s">
        <v>732</v>
      </c>
      <c r="AI212" s="87" t="s">
        <v>703</v>
      </c>
    </row>
    <row r="213" spans="1:35">
      <c r="A213" s="22">
        <f t="shared" si="22"/>
        <v>201</v>
      </c>
      <c r="B213" s="49">
        <v>1</v>
      </c>
      <c r="C213" s="49" t="s">
        <v>733</v>
      </c>
      <c r="D213" s="60">
        <v>44077</v>
      </c>
      <c r="E213" s="61" t="s">
        <v>516</v>
      </c>
      <c r="F213" s="48">
        <v>59.47889</v>
      </c>
      <c r="G213" s="48">
        <v>28.04631</v>
      </c>
      <c r="L213" s="22">
        <v>1.1</v>
      </c>
      <c r="N213" s="22">
        <v>1.1</v>
      </c>
      <c r="O213" s="22">
        <v>16.8</v>
      </c>
      <c r="R213" s="22">
        <v>0.95</v>
      </c>
      <c r="AC213" s="22" t="s">
        <v>734</v>
      </c>
      <c r="AD213" s="22" t="s">
        <v>735</v>
      </c>
      <c r="AI213" s="87" t="s">
        <v>703</v>
      </c>
    </row>
    <row r="214" spans="1:35">
      <c r="A214" s="22">
        <f t="shared" si="22"/>
        <v>202</v>
      </c>
      <c r="B214" s="49">
        <v>1</v>
      </c>
      <c r="C214" s="49" t="s">
        <v>736</v>
      </c>
      <c r="D214" s="60">
        <v>44077</v>
      </c>
      <c r="E214" s="49" t="s">
        <v>365</v>
      </c>
      <c r="F214" s="48" t="s">
        <v>737</v>
      </c>
      <c r="G214" s="48" t="s">
        <v>738</v>
      </c>
      <c r="L214" s="22">
        <v>1.1</v>
      </c>
      <c r="N214" s="22">
        <v>1.1</v>
      </c>
      <c r="AC214" s="22" t="s">
        <v>739</v>
      </c>
      <c r="AD214" s="22" t="s">
        <v>740</v>
      </c>
      <c r="AI214" s="87" t="s">
        <v>703</v>
      </c>
    </row>
    <row r="215" spans="1:35">
      <c r="A215" s="22">
        <f t="shared" si="22"/>
        <v>203</v>
      </c>
      <c r="B215" s="49">
        <v>1</v>
      </c>
      <c r="C215" s="49" t="s">
        <v>741</v>
      </c>
      <c r="D215" s="60">
        <v>44077</v>
      </c>
      <c r="E215" s="49" t="s">
        <v>688</v>
      </c>
      <c r="F215" s="62">
        <v>59.6562222</v>
      </c>
      <c r="G215" s="62">
        <v>28.0240256</v>
      </c>
      <c r="L215" s="22">
        <v>1.1</v>
      </c>
      <c r="N215" s="22">
        <v>0.8</v>
      </c>
      <c r="O215" s="22">
        <v>16.2</v>
      </c>
      <c r="R215" s="22">
        <v>3.1</v>
      </c>
      <c r="AC215" s="22" t="s">
        <v>742</v>
      </c>
      <c r="AD215" s="22" t="s">
        <v>743</v>
      </c>
      <c r="AI215" s="87" t="s">
        <v>703</v>
      </c>
    </row>
    <row r="216" spans="1:35">
      <c r="A216" s="22">
        <f t="shared" si="22"/>
        <v>204</v>
      </c>
      <c r="B216" s="49">
        <v>1</v>
      </c>
      <c r="C216" s="49" t="s">
        <v>744</v>
      </c>
      <c r="D216" s="60">
        <v>44077</v>
      </c>
      <c r="E216" s="49" t="s">
        <v>745</v>
      </c>
      <c r="F216" s="48">
        <v>59.6869</v>
      </c>
      <c r="G216" s="48">
        <v>28.0055</v>
      </c>
      <c r="L216" s="22">
        <v>1</v>
      </c>
      <c r="N216" s="22">
        <v>1</v>
      </c>
      <c r="O216" s="22">
        <v>17.4</v>
      </c>
      <c r="R216" s="22">
        <v>3.2</v>
      </c>
      <c r="AC216" s="22" t="s">
        <v>746</v>
      </c>
      <c r="AD216" s="22" t="s">
        <v>747</v>
      </c>
      <c r="AI216" s="87" t="s">
        <v>703</v>
      </c>
    </row>
    <row r="217" spans="1:35">
      <c r="A217" s="22">
        <f t="shared" si="22"/>
        <v>205</v>
      </c>
      <c r="B217" s="49">
        <v>1</v>
      </c>
      <c r="C217" s="49" t="s">
        <v>748</v>
      </c>
      <c r="D217" s="60">
        <v>44078</v>
      </c>
      <c r="E217" s="49" t="s">
        <v>749</v>
      </c>
      <c r="F217" s="48">
        <v>59.81536</v>
      </c>
      <c r="G217" s="48">
        <v>28.08831</v>
      </c>
      <c r="L217" s="22">
        <v>0.5</v>
      </c>
      <c r="N217" s="22">
        <v>0.5</v>
      </c>
      <c r="O217" s="22">
        <v>16.5</v>
      </c>
      <c r="R217" s="22">
        <v>3.1</v>
      </c>
      <c r="AC217" s="22" t="s">
        <v>750</v>
      </c>
      <c r="AD217" s="22" t="s">
        <v>751</v>
      </c>
      <c r="AI217" s="87" t="s">
        <v>703</v>
      </c>
    </row>
    <row r="218" spans="1:35">
      <c r="A218" s="22">
        <f t="shared" si="22"/>
        <v>206</v>
      </c>
      <c r="B218" s="49">
        <v>1</v>
      </c>
      <c r="C218" s="49" t="s">
        <v>752</v>
      </c>
      <c r="D218" s="60">
        <v>44078</v>
      </c>
      <c r="E218" s="49" t="s">
        <v>753</v>
      </c>
      <c r="F218" s="48">
        <v>59.79135</v>
      </c>
      <c r="G218" s="48">
        <v>28.11912</v>
      </c>
      <c r="L218" s="22">
        <v>0.7</v>
      </c>
      <c r="N218" s="22">
        <v>0.7</v>
      </c>
      <c r="O218" s="22">
        <v>18.3</v>
      </c>
      <c r="R218" s="22">
        <v>3.2</v>
      </c>
      <c r="AC218" s="22" t="s">
        <v>734</v>
      </c>
      <c r="AD218" s="22" t="s">
        <v>754</v>
      </c>
      <c r="AI218" s="87" t="s">
        <v>703</v>
      </c>
    </row>
    <row r="219" spans="1:35">
      <c r="A219" s="22">
        <f t="shared" si="22"/>
        <v>207</v>
      </c>
      <c r="B219" s="29"/>
      <c r="C219" s="29" t="s">
        <v>755</v>
      </c>
      <c r="D219" s="63">
        <v>44086</v>
      </c>
      <c r="E219" s="64" t="s">
        <v>756</v>
      </c>
      <c r="F219" s="65">
        <v>59.8989682</v>
      </c>
      <c r="G219" s="65">
        <v>29.8666763</v>
      </c>
      <c r="L219" s="22">
        <v>1.2</v>
      </c>
      <c r="N219" s="22">
        <v>0.6</v>
      </c>
      <c r="O219" s="22">
        <v>13.4</v>
      </c>
      <c r="R219" s="22">
        <v>0.08</v>
      </c>
      <c r="AC219" s="22" t="s">
        <v>757</v>
      </c>
      <c r="AD219" s="22" t="s">
        <v>758</v>
      </c>
      <c r="AI219" s="87" t="s">
        <v>703</v>
      </c>
    </row>
    <row r="220" spans="1:35">
      <c r="A220" s="22">
        <f t="shared" si="22"/>
        <v>208</v>
      </c>
      <c r="B220" s="49">
        <v>4</v>
      </c>
      <c r="C220" s="49" t="s">
        <v>759</v>
      </c>
      <c r="D220" s="60">
        <v>44086</v>
      </c>
      <c r="E220" s="49" t="s">
        <v>749</v>
      </c>
      <c r="F220" s="66">
        <v>59.93028</v>
      </c>
      <c r="G220" s="66">
        <v>29.64917</v>
      </c>
      <c r="L220" s="22">
        <v>1.2</v>
      </c>
      <c r="N220" s="22">
        <v>0.1</v>
      </c>
      <c r="O220" s="22">
        <v>13.4</v>
      </c>
      <c r="R220" s="22">
        <v>1</v>
      </c>
      <c r="AC220" s="22" t="s">
        <v>760</v>
      </c>
      <c r="AD220" s="22" t="s">
        <v>761</v>
      </c>
      <c r="AI220" s="87" t="s">
        <v>703</v>
      </c>
    </row>
    <row r="221" spans="1:35">
      <c r="A221" s="22">
        <f t="shared" si="22"/>
        <v>209</v>
      </c>
      <c r="B221" s="29"/>
      <c r="C221" s="29" t="s">
        <v>762</v>
      </c>
      <c r="D221" s="63">
        <v>44086</v>
      </c>
      <c r="E221" s="29" t="s">
        <v>753</v>
      </c>
      <c r="F221" s="9" t="s">
        <v>763</v>
      </c>
      <c r="G221" s="9" t="s">
        <v>764</v>
      </c>
      <c r="L221" s="22">
        <v>1.1</v>
      </c>
      <c r="N221" s="22">
        <v>0.1</v>
      </c>
      <c r="O221" s="22">
        <v>14.4</v>
      </c>
      <c r="R221" s="22">
        <v>0.05</v>
      </c>
      <c r="AC221" s="22" t="s">
        <v>765</v>
      </c>
      <c r="AD221" s="22" t="s">
        <v>740</v>
      </c>
      <c r="AI221" s="87" t="s">
        <v>703</v>
      </c>
    </row>
    <row r="222" s="18" customFormat="1" spans="1:74">
      <c r="A222" s="24">
        <v>1</v>
      </c>
      <c r="B222" s="14" t="s">
        <v>766</v>
      </c>
      <c r="C222" s="14"/>
      <c r="D222" s="67">
        <v>43657</v>
      </c>
      <c r="E222" s="172" t="s">
        <v>749</v>
      </c>
      <c r="F222" s="68">
        <v>60.362779</v>
      </c>
      <c r="G222" s="69">
        <v>28.610621</v>
      </c>
      <c r="H222" s="70">
        <v>60</v>
      </c>
      <c r="I222" s="77">
        <f>(F222-H222)*60</f>
        <v>21.7667400000002</v>
      </c>
      <c r="J222" s="70">
        <v>28</v>
      </c>
      <c r="K222" s="77">
        <f>(G222-J222)*60</f>
        <v>36.6372599999999</v>
      </c>
      <c r="L222" s="78">
        <v>3</v>
      </c>
      <c r="M222" s="14">
        <v>2.1</v>
      </c>
      <c r="N222" s="14"/>
      <c r="O222" s="14">
        <v>15.8</v>
      </c>
      <c r="P222" s="14">
        <v>15.6</v>
      </c>
      <c r="Q222" s="14"/>
      <c r="R222" s="14">
        <v>2.14</v>
      </c>
      <c r="S222" s="14">
        <v>2.08</v>
      </c>
      <c r="T222" s="14">
        <v>7.63</v>
      </c>
      <c r="U222" s="80">
        <v>7.68</v>
      </c>
      <c r="V222" s="81"/>
      <c r="W222" s="81"/>
      <c r="X222" s="81"/>
      <c r="Y222" s="81"/>
      <c r="Z222" s="81"/>
      <c r="AA222" s="81"/>
      <c r="AB222" s="81"/>
      <c r="AC222" s="81" t="s">
        <v>767</v>
      </c>
      <c r="AD222" s="84" t="s">
        <v>768</v>
      </c>
      <c r="AE222" s="84" t="s">
        <v>122</v>
      </c>
      <c r="AF222" s="84" t="s">
        <v>122</v>
      </c>
      <c r="AG222" s="84" t="s">
        <v>769</v>
      </c>
      <c r="AH222" s="84" t="s">
        <v>205</v>
      </c>
      <c r="AI222" s="88"/>
      <c r="AJ222" s="84"/>
      <c r="AK222" s="84" t="s">
        <v>205</v>
      </c>
      <c r="AL222" s="84" t="s">
        <v>205</v>
      </c>
      <c r="AM222" s="89" t="s">
        <v>770</v>
      </c>
      <c r="AN222" s="90">
        <v>0</v>
      </c>
      <c r="AO222" s="18">
        <v>0</v>
      </c>
      <c r="AP222" s="44">
        <v>0</v>
      </c>
      <c r="AQ222" s="44">
        <v>1</v>
      </c>
      <c r="AR222" s="44">
        <v>0</v>
      </c>
      <c r="AS222" s="44">
        <v>0</v>
      </c>
      <c r="AT222" s="18">
        <v>0</v>
      </c>
      <c r="AU222" s="18">
        <v>0</v>
      </c>
      <c r="AV222" s="44">
        <v>0</v>
      </c>
      <c r="AW222" s="18">
        <v>0</v>
      </c>
      <c r="AX222" s="44">
        <v>1</v>
      </c>
      <c r="AY222" s="44">
        <v>0</v>
      </c>
      <c r="AZ222" s="18">
        <v>0</v>
      </c>
      <c r="BA222" s="18">
        <v>0</v>
      </c>
      <c r="BB222" s="44">
        <v>0</v>
      </c>
      <c r="BC222" s="44">
        <v>1</v>
      </c>
      <c r="BD222" s="18">
        <v>0</v>
      </c>
      <c r="BE222" s="18">
        <v>0</v>
      </c>
      <c r="BF222" s="18">
        <v>0</v>
      </c>
      <c r="BG222" s="44">
        <v>0</v>
      </c>
      <c r="BH222" s="18">
        <v>0</v>
      </c>
      <c r="BI222" s="18">
        <v>0</v>
      </c>
      <c r="BJ222" s="18">
        <v>2</v>
      </c>
      <c r="BK222" s="18">
        <v>1</v>
      </c>
      <c r="BL222" s="18">
        <v>2</v>
      </c>
      <c r="BM222" s="18">
        <v>1</v>
      </c>
      <c r="BN222" s="18">
        <v>0</v>
      </c>
      <c r="BO222" s="18">
        <v>0</v>
      </c>
      <c r="BP222" s="18">
        <v>2</v>
      </c>
      <c r="BQ222" s="18">
        <v>3</v>
      </c>
      <c r="BR222" s="18">
        <v>0</v>
      </c>
      <c r="BS222" s="18">
        <v>0</v>
      </c>
      <c r="BT222" s="18">
        <v>0</v>
      </c>
      <c r="BU222" s="18">
        <v>0</v>
      </c>
      <c r="BV222" s="23">
        <f t="shared" ref="BV222:BV285" si="24">(BJ222+BK222+BL222+BM222+BN222+BO222+BP222+BQ222)-(BR222+BS222+BT222+BU222)</f>
        <v>11</v>
      </c>
    </row>
    <row r="223" s="18" customFormat="1" spans="1:74">
      <c r="A223" s="24">
        <v>2</v>
      </c>
      <c r="B223" s="14" t="s">
        <v>771</v>
      </c>
      <c r="C223" s="14"/>
      <c r="D223" s="67">
        <v>43658</v>
      </c>
      <c r="E223" s="71"/>
      <c r="F223" s="68">
        <v>60.01705</v>
      </c>
      <c r="G223" s="69">
        <v>27.85384</v>
      </c>
      <c r="H223" s="70">
        <f>ROUNDDOWN(F223,0)</f>
        <v>60</v>
      </c>
      <c r="I223" s="77">
        <f t="shared" ref="I223:I273" si="25">(F223-H223)*60</f>
        <v>1.02299999999985</v>
      </c>
      <c r="J223" s="70">
        <f>ROUNDDOWN(G223,0)</f>
        <v>27</v>
      </c>
      <c r="K223" s="77">
        <f t="shared" ref="K223:K273" si="26">(G223-J223)*60</f>
        <v>51.2304000000001</v>
      </c>
      <c r="L223" s="78">
        <v>5.5</v>
      </c>
      <c r="M223" s="14">
        <v>2.5</v>
      </c>
      <c r="N223" s="14"/>
      <c r="O223" s="14">
        <v>16.5</v>
      </c>
      <c r="P223" s="14">
        <v>15.7</v>
      </c>
      <c r="Q223" s="14"/>
      <c r="R223" s="14">
        <v>3.52</v>
      </c>
      <c r="S223" s="14">
        <v>3.25</v>
      </c>
      <c r="T223" s="14">
        <v>8.53</v>
      </c>
      <c r="U223" s="80">
        <v>8.12</v>
      </c>
      <c r="V223" s="81"/>
      <c r="W223" s="81"/>
      <c r="X223" s="81"/>
      <c r="Y223" s="81">
        <v>170</v>
      </c>
      <c r="Z223" s="81">
        <v>182</v>
      </c>
      <c r="AA223" s="81"/>
      <c r="AB223" s="81"/>
      <c r="AC223" s="81" t="s">
        <v>772</v>
      </c>
      <c r="AD223" s="81" t="s">
        <v>773</v>
      </c>
      <c r="AE223" s="84" t="s">
        <v>122</v>
      </c>
      <c r="AF223" s="84" t="s">
        <v>122</v>
      </c>
      <c r="AG223" s="84" t="s">
        <v>774</v>
      </c>
      <c r="AH223" s="84" t="s">
        <v>205</v>
      </c>
      <c r="AI223" s="88"/>
      <c r="AJ223" s="84"/>
      <c r="AK223" s="84" t="s">
        <v>122</v>
      </c>
      <c r="AL223" s="84" t="s">
        <v>775</v>
      </c>
      <c r="AM223" s="89" t="s">
        <v>770</v>
      </c>
      <c r="AN223" s="90">
        <v>1</v>
      </c>
      <c r="AO223" s="18">
        <v>0</v>
      </c>
      <c r="AP223" s="44">
        <v>1</v>
      </c>
      <c r="AQ223" s="44">
        <v>1</v>
      </c>
      <c r="AR223" s="44">
        <v>0</v>
      </c>
      <c r="AS223" s="44">
        <v>1</v>
      </c>
      <c r="AT223" s="18">
        <v>0</v>
      </c>
      <c r="AU223" s="18">
        <v>0</v>
      </c>
      <c r="AV223" s="44">
        <v>0</v>
      </c>
      <c r="AW223" s="18">
        <v>0</v>
      </c>
      <c r="AX223" s="44">
        <v>0</v>
      </c>
      <c r="AY223" s="44">
        <v>0</v>
      </c>
      <c r="AZ223" s="18">
        <v>0</v>
      </c>
      <c r="BA223" s="18">
        <v>0</v>
      </c>
      <c r="BB223" s="44">
        <v>0</v>
      </c>
      <c r="BC223" s="44">
        <v>0</v>
      </c>
      <c r="BD223" s="18">
        <v>0</v>
      </c>
      <c r="BE223" s="18">
        <v>0</v>
      </c>
      <c r="BF223" s="18">
        <v>0</v>
      </c>
      <c r="BG223" s="44">
        <v>0</v>
      </c>
      <c r="BH223" s="18">
        <v>0</v>
      </c>
      <c r="BI223" s="18">
        <v>0</v>
      </c>
      <c r="BJ223" s="18">
        <v>4</v>
      </c>
      <c r="BK223" s="18">
        <v>1</v>
      </c>
      <c r="BL223" s="18">
        <v>3</v>
      </c>
      <c r="BM223" s="18">
        <v>2</v>
      </c>
      <c r="BN223" s="18">
        <v>1</v>
      </c>
      <c r="BO223" s="18">
        <v>2</v>
      </c>
      <c r="BP223" s="18">
        <v>3</v>
      </c>
      <c r="BQ223" s="18">
        <v>3</v>
      </c>
      <c r="BR223" s="18">
        <v>2</v>
      </c>
      <c r="BS223" s="18">
        <v>0</v>
      </c>
      <c r="BT223" s="18">
        <v>0</v>
      </c>
      <c r="BU223" s="18">
        <v>0</v>
      </c>
      <c r="BV223" s="23">
        <f t="shared" si="24"/>
        <v>17</v>
      </c>
    </row>
    <row r="224" s="18" customFormat="1" spans="1:74">
      <c r="A224" s="24"/>
      <c r="B224" s="14" t="s">
        <v>776</v>
      </c>
      <c r="C224" s="14"/>
      <c r="D224" s="67">
        <v>43658</v>
      </c>
      <c r="E224" s="71"/>
      <c r="F224" s="68">
        <v>60.01705</v>
      </c>
      <c r="G224" s="69">
        <v>27.85384</v>
      </c>
      <c r="H224" s="70">
        <f t="shared" ref="H224:H227" si="27">ROUNDDOWN(F224,0)</f>
        <v>60</v>
      </c>
      <c r="I224" s="77">
        <f t="shared" si="25"/>
        <v>1.02299999999985</v>
      </c>
      <c r="J224" s="70">
        <f t="shared" ref="J224:J274" si="28">ROUNDDOWN(G224,0)</f>
        <v>27</v>
      </c>
      <c r="K224" s="77">
        <f t="shared" si="26"/>
        <v>51.2304000000001</v>
      </c>
      <c r="L224" s="78">
        <v>4</v>
      </c>
      <c r="M224" s="14">
        <v>2.5</v>
      </c>
      <c r="N224" s="14"/>
      <c r="O224" s="14">
        <v>16.5</v>
      </c>
      <c r="P224" s="14">
        <v>15.7</v>
      </c>
      <c r="Q224" s="14"/>
      <c r="R224" s="14">
        <v>3.52</v>
      </c>
      <c r="S224" s="14">
        <v>3.25</v>
      </c>
      <c r="T224" s="14">
        <v>8.53</v>
      </c>
      <c r="U224" s="80">
        <v>8.12</v>
      </c>
      <c r="V224" s="81"/>
      <c r="W224" s="81"/>
      <c r="X224" s="81"/>
      <c r="Y224" s="81">
        <v>170</v>
      </c>
      <c r="Z224" s="81">
        <v>182</v>
      </c>
      <c r="AA224" s="81"/>
      <c r="AB224" s="81"/>
      <c r="AC224" s="81" t="s">
        <v>777</v>
      </c>
      <c r="AD224" s="84" t="s">
        <v>776</v>
      </c>
      <c r="AE224" s="84" t="s">
        <v>205</v>
      </c>
      <c r="AF224" s="84" t="s">
        <v>205</v>
      </c>
      <c r="AG224" s="84" t="s">
        <v>205</v>
      </c>
      <c r="AH224" s="84" t="s">
        <v>778</v>
      </c>
      <c r="AI224" s="88"/>
      <c r="AJ224" s="84"/>
      <c r="AK224" s="84" t="s">
        <v>205</v>
      </c>
      <c r="AL224" s="84" t="s">
        <v>779</v>
      </c>
      <c r="AM224" s="89" t="s">
        <v>770</v>
      </c>
      <c r="AN224" s="90">
        <v>2</v>
      </c>
      <c r="AO224" s="18">
        <v>1</v>
      </c>
      <c r="AP224" s="44">
        <v>3</v>
      </c>
      <c r="AQ224" s="44">
        <v>5</v>
      </c>
      <c r="AR224" s="44">
        <v>0</v>
      </c>
      <c r="AS224" s="44">
        <v>1</v>
      </c>
      <c r="AT224" s="18">
        <v>0</v>
      </c>
      <c r="AU224" s="18">
        <v>0</v>
      </c>
      <c r="AV224" s="44">
        <v>0</v>
      </c>
      <c r="AW224" s="18">
        <v>0</v>
      </c>
      <c r="AX224" s="44">
        <v>0</v>
      </c>
      <c r="AY224" s="44">
        <v>0</v>
      </c>
      <c r="AZ224" s="18">
        <v>0</v>
      </c>
      <c r="BA224" s="18">
        <v>0</v>
      </c>
      <c r="BB224" s="44">
        <v>0</v>
      </c>
      <c r="BC224" s="44">
        <v>0</v>
      </c>
      <c r="BD224" s="18">
        <v>0</v>
      </c>
      <c r="BE224" s="18">
        <v>0</v>
      </c>
      <c r="BF224" s="18">
        <v>0</v>
      </c>
      <c r="BG224" s="44">
        <v>0</v>
      </c>
      <c r="BH224" s="18">
        <v>0</v>
      </c>
      <c r="BI224" s="18">
        <v>0</v>
      </c>
      <c r="BJ224" s="18">
        <v>5</v>
      </c>
      <c r="BK224" s="18">
        <v>3</v>
      </c>
      <c r="BL224" s="18">
        <v>3</v>
      </c>
      <c r="BM224" s="18">
        <v>1</v>
      </c>
      <c r="BN224" s="18">
        <v>1</v>
      </c>
      <c r="BO224" s="18">
        <v>2</v>
      </c>
      <c r="BP224" s="18">
        <v>3</v>
      </c>
      <c r="BQ224" s="18">
        <v>3</v>
      </c>
      <c r="BR224" s="18">
        <v>2</v>
      </c>
      <c r="BS224" s="18">
        <v>0</v>
      </c>
      <c r="BT224" s="18">
        <v>2</v>
      </c>
      <c r="BU224" s="18">
        <v>0</v>
      </c>
      <c r="BV224" s="23">
        <f t="shared" si="24"/>
        <v>17</v>
      </c>
    </row>
    <row r="225" s="18" customFormat="1" spans="1:74">
      <c r="A225" s="24"/>
      <c r="B225" s="14" t="s">
        <v>780</v>
      </c>
      <c r="C225" s="14"/>
      <c r="D225" s="67">
        <v>43658</v>
      </c>
      <c r="E225" s="71"/>
      <c r="F225" s="68">
        <v>60.01714</v>
      </c>
      <c r="G225" s="69">
        <v>27.85575</v>
      </c>
      <c r="H225" s="70">
        <f t="shared" si="27"/>
        <v>60</v>
      </c>
      <c r="I225" s="77">
        <f t="shared" si="25"/>
        <v>1.02839999999986</v>
      </c>
      <c r="J225" s="70">
        <f t="shared" si="28"/>
        <v>27</v>
      </c>
      <c r="K225" s="77">
        <f t="shared" si="26"/>
        <v>51.345</v>
      </c>
      <c r="L225" s="78"/>
      <c r="M225" s="14"/>
      <c r="N225" s="14"/>
      <c r="O225" s="14"/>
      <c r="P225" s="14"/>
      <c r="Q225" s="14"/>
      <c r="R225" s="14"/>
      <c r="S225" s="14"/>
      <c r="T225" s="14"/>
      <c r="U225" s="80"/>
      <c r="V225" s="81"/>
      <c r="W225" s="81"/>
      <c r="X225" s="81"/>
      <c r="Y225" s="81"/>
      <c r="Z225" s="81"/>
      <c r="AA225" s="81"/>
      <c r="AB225" s="81"/>
      <c r="AC225" s="81" t="s">
        <v>777</v>
      </c>
      <c r="AD225" s="84" t="s">
        <v>780</v>
      </c>
      <c r="AE225" s="84" t="s">
        <v>205</v>
      </c>
      <c r="AF225" s="84" t="s">
        <v>205</v>
      </c>
      <c r="AG225" s="84" t="s">
        <v>205</v>
      </c>
      <c r="AH225" s="84" t="s">
        <v>778</v>
      </c>
      <c r="AI225" s="88"/>
      <c r="AJ225" s="84"/>
      <c r="AK225" s="84" t="s">
        <v>205</v>
      </c>
      <c r="AL225" s="84" t="s">
        <v>779</v>
      </c>
      <c r="AM225" s="89" t="s">
        <v>770</v>
      </c>
      <c r="AN225" s="90">
        <v>1</v>
      </c>
      <c r="AO225" s="18">
        <v>1</v>
      </c>
      <c r="AP225" s="44">
        <v>1</v>
      </c>
      <c r="AQ225" s="44">
        <v>5</v>
      </c>
      <c r="AR225" s="44">
        <v>0</v>
      </c>
      <c r="AS225" s="44">
        <v>1</v>
      </c>
      <c r="AT225" s="18">
        <v>0</v>
      </c>
      <c r="AU225" s="18">
        <v>0</v>
      </c>
      <c r="AV225" s="44">
        <v>0</v>
      </c>
      <c r="AW225" s="18">
        <v>0</v>
      </c>
      <c r="AX225" s="44">
        <v>0</v>
      </c>
      <c r="AY225" s="44">
        <v>0</v>
      </c>
      <c r="AZ225" s="18">
        <v>0</v>
      </c>
      <c r="BA225" s="18">
        <v>0</v>
      </c>
      <c r="BB225" s="44">
        <v>0</v>
      </c>
      <c r="BC225" s="44">
        <v>1</v>
      </c>
      <c r="BD225" s="18">
        <v>0</v>
      </c>
      <c r="BE225" s="18">
        <v>0</v>
      </c>
      <c r="BF225" s="18">
        <v>0</v>
      </c>
      <c r="BG225" s="44">
        <v>0</v>
      </c>
      <c r="BH225" s="18">
        <v>0</v>
      </c>
      <c r="BI225" s="18">
        <v>0</v>
      </c>
      <c r="BJ225" s="18">
        <v>5</v>
      </c>
      <c r="BK225" s="18">
        <v>2</v>
      </c>
      <c r="BL225" s="18">
        <v>3</v>
      </c>
      <c r="BM225" s="18">
        <v>1</v>
      </c>
      <c r="BN225" s="18">
        <v>1</v>
      </c>
      <c r="BO225" s="18">
        <v>2</v>
      </c>
      <c r="BP225" s="18">
        <v>3</v>
      </c>
      <c r="BQ225" s="18">
        <v>3</v>
      </c>
      <c r="BR225" s="18">
        <v>2</v>
      </c>
      <c r="BS225" s="18">
        <v>0</v>
      </c>
      <c r="BT225" s="18">
        <v>0</v>
      </c>
      <c r="BV225" s="23">
        <f t="shared" si="24"/>
        <v>18</v>
      </c>
    </row>
    <row r="226" s="18" customFormat="1" spans="1:74">
      <c r="A226" s="24">
        <v>3</v>
      </c>
      <c r="B226" s="14" t="s">
        <v>781</v>
      </c>
      <c r="C226" s="14"/>
      <c r="D226" s="67">
        <v>43658</v>
      </c>
      <c r="E226" s="14"/>
      <c r="F226" s="68">
        <v>60.03056</v>
      </c>
      <c r="G226" s="69">
        <v>27.0078</v>
      </c>
      <c r="H226" s="70">
        <f t="shared" si="27"/>
        <v>60</v>
      </c>
      <c r="I226" s="77">
        <f t="shared" si="25"/>
        <v>1.83360000000008</v>
      </c>
      <c r="J226" s="70">
        <f t="shared" si="28"/>
        <v>27</v>
      </c>
      <c r="K226" s="77">
        <f t="shared" si="26"/>
        <v>0.467999999999975</v>
      </c>
      <c r="L226" s="78">
        <v>1.5</v>
      </c>
      <c r="M226" s="14">
        <v>1.5</v>
      </c>
      <c r="N226" s="14"/>
      <c r="O226" s="14">
        <v>15</v>
      </c>
      <c r="P226" s="14"/>
      <c r="Q226" s="14"/>
      <c r="R226" s="14">
        <v>3.16</v>
      </c>
      <c r="S226" s="14"/>
      <c r="T226" s="14">
        <v>8.64</v>
      </c>
      <c r="U226" s="80"/>
      <c r="V226" s="81"/>
      <c r="W226" s="81"/>
      <c r="X226" s="81"/>
      <c r="Y226" s="81">
        <v>242</v>
      </c>
      <c r="Z226" s="81"/>
      <c r="AA226" s="81"/>
      <c r="AB226" s="81"/>
      <c r="AC226" s="81" t="s">
        <v>782</v>
      </c>
      <c r="AD226" s="84" t="s">
        <v>783</v>
      </c>
      <c r="AE226" s="84" t="s">
        <v>784</v>
      </c>
      <c r="AF226" s="84" t="s">
        <v>784</v>
      </c>
      <c r="AG226" s="84" t="s">
        <v>784</v>
      </c>
      <c r="AH226" s="84" t="s">
        <v>784</v>
      </c>
      <c r="AI226" s="88"/>
      <c r="AJ226" s="84"/>
      <c r="AK226" s="84" t="s">
        <v>784</v>
      </c>
      <c r="AL226" s="84" t="s">
        <v>784</v>
      </c>
      <c r="AM226" s="89" t="s">
        <v>770</v>
      </c>
      <c r="AN226" s="90"/>
      <c r="AP226" s="44"/>
      <c r="AQ226" s="44"/>
      <c r="AR226" s="44"/>
      <c r="AS226" s="44"/>
      <c r="AV226" s="44"/>
      <c r="AX226" s="44"/>
      <c r="AY226" s="44"/>
      <c r="BB226" s="44"/>
      <c r="BC226" s="44"/>
      <c r="BG226" s="44"/>
      <c r="BV226" s="23"/>
    </row>
    <row r="227" s="18" customFormat="1" spans="1:74">
      <c r="A227" s="24">
        <v>4</v>
      </c>
      <c r="B227" s="14" t="s">
        <v>785</v>
      </c>
      <c r="C227" s="14"/>
      <c r="D227" s="67">
        <v>43659</v>
      </c>
      <c r="E227" s="173" t="s">
        <v>786</v>
      </c>
      <c r="F227" s="68">
        <v>59.93364</v>
      </c>
      <c r="G227" s="69">
        <v>29.87067</v>
      </c>
      <c r="H227" s="70">
        <f t="shared" si="27"/>
        <v>59</v>
      </c>
      <c r="I227" s="77">
        <f t="shared" si="25"/>
        <v>56.0183999999998</v>
      </c>
      <c r="J227" s="70">
        <f t="shared" si="28"/>
        <v>29</v>
      </c>
      <c r="K227" s="77">
        <f t="shared" si="26"/>
        <v>52.2402</v>
      </c>
      <c r="L227" s="78">
        <v>30.7</v>
      </c>
      <c r="M227" s="14">
        <v>1.3</v>
      </c>
      <c r="N227" s="14"/>
      <c r="O227" s="14">
        <v>17.3</v>
      </c>
      <c r="P227" s="14">
        <v>13.3</v>
      </c>
      <c r="Q227" s="14">
        <v>8.3</v>
      </c>
      <c r="R227" s="14">
        <v>0.93</v>
      </c>
      <c r="S227" s="14">
        <v>1.94</v>
      </c>
      <c r="T227" s="14">
        <v>8.34</v>
      </c>
      <c r="U227" s="80">
        <v>8.33</v>
      </c>
      <c r="V227" s="81">
        <v>7.4</v>
      </c>
      <c r="W227" s="81"/>
      <c r="X227" s="81"/>
      <c r="Y227" s="81">
        <v>218</v>
      </c>
      <c r="Z227" s="81">
        <v>221</v>
      </c>
      <c r="AA227" s="81"/>
      <c r="AB227" s="81"/>
      <c r="AC227" s="81" t="s">
        <v>767</v>
      </c>
      <c r="AD227" s="81" t="s">
        <v>787</v>
      </c>
      <c r="AE227" s="84" t="s">
        <v>122</v>
      </c>
      <c r="AF227" s="84" t="s">
        <v>122</v>
      </c>
      <c r="AG227" s="84" t="s">
        <v>788</v>
      </c>
      <c r="AH227" s="84" t="s">
        <v>205</v>
      </c>
      <c r="AI227" s="88"/>
      <c r="AJ227" s="84"/>
      <c r="AK227" s="84" t="s">
        <v>122</v>
      </c>
      <c r="AL227" s="81" t="s">
        <v>789</v>
      </c>
      <c r="AM227" s="89" t="s">
        <v>770</v>
      </c>
      <c r="AN227" s="90">
        <v>0</v>
      </c>
      <c r="AO227" s="18">
        <v>0</v>
      </c>
      <c r="AP227" s="44">
        <v>0</v>
      </c>
      <c r="AQ227" s="44">
        <v>0</v>
      </c>
      <c r="AR227" s="44">
        <v>0</v>
      </c>
      <c r="AS227" s="44">
        <v>0</v>
      </c>
      <c r="AT227" s="18">
        <v>0</v>
      </c>
      <c r="AU227" s="18">
        <v>0</v>
      </c>
      <c r="AV227" s="44">
        <v>0</v>
      </c>
      <c r="AW227" s="18">
        <v>0</v>
      </c>
      <c r="AX227" s="44">
        <v>0</v>
      </c>
      <c r="AY227" s="44">
        <v>0</v>
      </c>
      <c r="AZ227" s="18">
        <v>0</v>
      </c>
      <c r="BA227" s="18">
        <v>0</v>
      </c>
      <c r="BB227" s="44">
        <v>0</v>
      </c>
      <c r="BC227" s="44">
        <v>0</v>
      </c>
      <c r="BD227" s="18">
        <v>0</v>
      </c>
      <c r="BE227" s="18">
        <v>0</v>
      </c>
      <c r="BF227" s="18">
        <v>0</v>
      </c>
      <c r="BG227" s="44">
        <v>0</v>
      </c>
      <c r="BH227" s="18">
        <v>0</v>
      </c>
      <c r="BI227" s="18">
        <v>0</v>
      </c>
      <c r="BJ227" s="18">
        <v>0</v>
      </c>
      <c r="BK227" s="18">
        <v>0</v>
      </c>
      <c r="BL227" s="18">
        <v>1</v>
      </c>
      <c r="BM227" s="18">
        <v>1</v>
      </c>
      <c r="BN227" s="18">
        <v>0</v>
      </c>
      <c r="BO227" s="18">
        <v>0</v>
      </c>
      <c r="BP227" s="18">
        <v>1</v>
      </c>
      <c r="BQ227" s="18">
        <v>1</v>
      </c>
      <c r="BR227" s="18">
        <v>0</v>
      </c>
      <c r="BS227" s="18">
        <v>0</v>
      </c>
      <c r="BT227" s="18">
        <v>0</v>
      </c>
      <c r="BU227" s="18">
        <v>0</v>
      </c>
      <c r="BV227" s="23">
        <f t="shared" si="24"/>
        <v>4</v>
      </c>
    </row>
    <row r="228" s="18" customFormat="1" spans="1:74">
      <c r="A228" s="24">
        <v>5</v>
      </c>
      <c r="B228" s="14" t="s">
        <v>790</v>
      </c>
      <c r="C228" s="14"/>
      <c r="D228" s="67">
        <v>43659</v>
      </c>
      <c r="E228" s="173" t="s">
        <v>791</v>
      </c>
      <c r="F228" s="68">
        <v>59.98675</v>
      </c>
      <c r="G228" s="69">
        <v>29.00142</v>
      </c>
      <c r="H228" s="70">
        <f t="shared" ref="H228:H278" si="29">ROUNDDOWN(F228,0)</f>
        <v>59</v>
      </c>
      <c r="I228" s="77">
        <f t="shared" si="25"/>
        <v>59.205</v>
      </c>
      <c r="J228" s="70">
        <f t="shared" si="28"/>
        <v>29</v>
      </c>
      <c r="K228" s="77">
        <f t="shared" si="26"/>
        <v>0.085199999999972</v>
      </c>
      <c r="L228" s="78">
        <v>29.6</v>
      </c>
      <c r="M228" s="14">
        <v>1.4</v>
      </c>
      <c r="N228" s="24"/>
      <c r="O228" s="14">
        <v>17.1</v>
      </c>
      <c r="P228" s="14">
        <v>15.2</v>
      </c>
      <c r="Q228" s="14">
        <v>4.5</v>
      </c>
      <c r="R228" s="14">
        <v>1.03</v>
      </c>
      <c r="S228" s="14">
        <v>1.43</v>
      </c>
      <c r="T228" s="14">
        <v>8.21</v>
      </c>
      <c r="U228" s="80">
        <v>8.31</v>
      </c>
      <c r="V228" s="81">
        <v>7.5</v>
      </c>
      <c r="W228" s="81"/>
      <c r="X228" s="81"/>
      <c r="Y228" s="81">
        <v>233</v>
      </c>
      <c r="Z228" s="81">
        <v>233</v>
      </c>
      <c r="AA228" s="81"/>
      <c r="AB228" s="81"/>
      <c r="AC228" s="81" t="s">
        <v>767</v>
      </c>
      <c r="AD228" s="81"/>
      <c r="AE228" s="84" t="s">
        <v>205</v>
      </c>
      <c r="AF228" s="84" t="s">
        <v>205</v>
      </c>
      <c r="AG228" s="84" t="s">
        <v>774</v>
      </c>
      <c r="AH228" s="84" t="s">
        <v>205</v>
      </c>
      <c r="AI228" s="88"/>
      <c r="AJ228" s="84"/>
      <c r="AK228" s="84" t="s">
        <v>122</v>
      </c>
      <c r="AL228" s="81" t="s">
        <v>789</v>
      </c>
      <c r="AM228" s="89" t="s">
        <v>770</v>
      </c>
      <c r="AN228" s="90">
        <v>0</v>
      </c>
      <c r="AO228" s="18">
        <v>0</v>
      </c>
      <c r="AP228" s="44">
        <v>0</v>
      </c>
      <c r="AQ228" s="44">
        <v>0</v>
      </c>
      <c r="AR228" s="44">
        <v>0</v>
      </c>
      <c r="AS228" s="44">
        <v>0</v>
      </c>
      <c r="AT228" s="18">
        <v>0</v>
      </c>
      <c r="AU228" s="18">
        <v>0</v>
      </c>
      <c r="AV228" s="44">
        <v>0</v>
      </c>
      <c r="AW228" s="18">
        <v>0</v>
      </c>
      <c r="AX228" s="44">
        <v>0</v>
      </c>
      <c r="AY228" s="44">
        <v>0</v>
      </c>
      <c r="AZ228" s="18">
        <v>0</v>
      </c>
      <c r="BA228" s="18">
        <v>0</v>
      </c>
      <c r="BB228" s="44">
        <v>0</v>
      </c>
      <c r="BC228" s="44">
        <v>0</v>
      </c>
      <c r="BD228" s="18">
        <v>0</v>
      </c>
      <c r="BE228" s="18">
        <v>0</v>
      </c>
      <c r="BF228" s="18">
        <v>0</v>
      </c>
      <c r="BG228" s="44">
        <v>0</v>
      </c>
      <c r="BH228" s="18">
        <v>0</v>
      </c>
      <c r="BI228" s="18">
        <v>0</v>
      </c>
      <c r="BJ228" s="18">
        <v>0</v>
      </c>
      <c r="BK228" s="18">
        <v>0</v>
      </c>
      <c r="BL228" s="18">
        <v>1</v>
      </c>
      <c r="BM228" s="18">
        <v>1</v>
      </c>
      <c r="BN228" s="18">
        <v>0</v>
      </c>
      <c r="BO228" s="18">
        <v>0</v>
      </c>
      <c r="BP228" s="18">
        <v>1</v>
      </c>
      <c r="BQ228" s="18">
        <v>1</v>
      </c>
      <c r="BR228" s="18">
        <v>0</v>
      </c>
      <c r="BS228" s="18">
        <v>0</v>
      </c>
      <c r="BT228" s="18">
        <v>0</v>
      </c>
      <c r="BU228" s="18">
        <v>0</v>
      </c>
      <c r="BV228" s="23">
        <f t="shared" si="24"/>
        <v>4</v>
      </c>
    </row>
    <row r="229" s="18" customFormat="1" spans="1:74">
      <c r="A229" s="24">
        <v>6</v>
      </c>
      <c r="B229" s="14" t="s">
        <v>792</v>
      </c>
      <c r="C229" s="14"/>
      <c r="D229" s="67">
        <v>43659</v>
      </c>
      <c r="E229" s="24"/>
      <c r="F229" s="68">
        <v>59.98481</v>
      </c>
      <c r="G229" s="69">
        <v>28.998</v>
      </c>
      <c r="H229" s="70">
        <f t="shared" si="29"/>
        <v>59</v>
      </c>
      <c r="I229" s="77">
        <f t="shared" si="25"/>
        <v>59.0886000000002</v>
      </c>
      <c r="J229" s="70">
        <f t="shared" si="28"/>
        <v>28</v>
      </c>
      <c r="K229" s="77">
        <f t="shared" si="26"/>
        <v>59.8800000000001</v>
      </c>
      <c r="L229" s="78">
        <v>28.2</v>
      </c>
      <c r="M229" s="14">
        <v>1.3</v>
      </c>
      <c r="N229" s="24"/>
      <c r="O229" s="14">
        <v>16.8</v>
      </c>
      <c r="P229" s="14">
        <v>16.1</v>
      </c>
      <c r="Q229" s="14">
        <v>6.5</v>
      </c>
      <c r="R229" s="14">
        <v>1.01</v>
      </c>
      <c r="S229" s="14">
        <v>0.99</v>
      </c>
      <c r="T229" s="14">
        <v>8.7</v>
      </c>
      <c r="U229" s="80">
        <v>8.64</v>
      </c>
      <c r="V229" s="81">
        <v>7.8</v>
      </c>
      <c r="W229" s="82"/>
      <c r="X229" s="82"/>
      <c r="Y229" s="81">
        <v>225</v>
      </c>
      <c r="Z229" s="81">
        <v>211</v>
      </c>
      <c r="AA229" s="81"/>
      <c r="AB229" s="81"/>
      <c r="AC229" s="81" t="s">
        <v>793</v>
      </c>
      <c r="AD229" s="81" t="s">
        <v>794</v>
      </c>
      <c r="AE229" s="84" t="s">
        <v>205</v>
      </c>
      <c r="AF229" s="84" t="s">
        <v>205</v>
      </c>
      <c r="AG229" s="84" t="s">
        <v>774</v>
      </c>
      <c r="AH229" s="82"/>
      <c r="AI229" s="91"/>
      <c r="AJ229" s="82"/>
      <c r="AK229" s="84" t="s">
        <v>122</v>
      </c>
      <c r="AL229" s="81" t="s">
        <v>789</v>
      </c>
      <c r="AM229" s="89" t="s">
        <v>770</v>
      </c>
      <c r="AN229" s="90">
        <v>0</v>
      </c>
      <c r="AO229" s="18">
        <v>0</v>
      </c>
      <c r="AP229" s="44">
        <v>0</v>
      </c>
      <c r="AQ229" s="44">
        <v>0</v>
      </c>
      <c r="AR229" s="44">
        <v>0</v>
      </c>
      <c r="AS229" s="44">
        <v>0</v>
      </c>
      <c r="AT229" s="18">
        <v>0</v>
      </c>
      <c r="AU229" s="18">
        <v>0</v>
      </c>
      <c r="AV229" s="44">
        <v>0</v>
      </c>
      <c r="AW229" s="18">
        <v>0</v>
      </c>
      <c r="AX229" s="44">
        <v>1</v>
      </c>
      <c r="AY229" s="44">
        <v>0</v>
      </c>
      <c r="AZ229" s="18">
        <v>0</v>
      </c>
      <c r="BA229" s="18">
        <v>0</v>
      </c>
      <c r="BB229" s="44">
        <v>0</v>
      </c>
      <c r="BC229" s="44">
        <v>0</v>
      </c>
      <c r="BD229" s="18">
        <v>0</v>
      </c>
      <c r="BE229" s="18">
        <v>0</v>
      </c>
      <c r="BF229" s="18">
        <v>0</v>
      </c>
      <c r="BG229" s="44">
        <v>0</v>
      </c>
      <c r="BH229" s="18">
        <v>0</v>
      </c>
      <c r="BI229" s="18">
        <v>0</v>
      </c>
      <c r="BJ229" s="18">
        <v>1</v>
      </c>
      <c r="BK229" s="18">
        <v>1</v>
      </c>
      <c r="BL229" s="18">
        <v>1</v>
      </c>
      <c r="BM229" s="18">
        <v>1</v>
      </c>
      <c r="BN229" s="18">
        <v>0</v>
      </c>
      <c r="BO229" s="18">
        <v>0</v>
      </c>
      <c r="BP229" s="18">
        <v>1</v>
      </c>
      <c r="BQ229" s="18">
        <v>1</v>
      </c>
      <c r="BR229" s="18">
        <v>0</v>
      </c>
      <c r="BS229" s="18">
        <v>0</v>
      </c>
      <c r="BT229" s="18">
        <v>0</v>
      </c>
      <c r="BU229" s="18">
        <v>0</v>
      </c>
      <c r="BV229" s="23">
        <f t="shared" si="24"/>
        <v>6</v>
      </c>
    </row>
    <row r="230" s="18" customFormat="1" spans="1:74">
      <c r="A230" s="24">
        <v>7</v>
      </c>
      <c r="B230" s="14" t="s">
        <v>795</v>
      </c>
      <c r="C230" s="14"/>
      <c r="D230" s="67">
        <v>43659</v>
      </c>
      <c r="E230" s="24"/>
      <c r="F230" s="68">
        <v>59.97916</v>
      </c>
      <c r="G230" s="69">
        <v>28.98975</v>
      </c>
      <c r="H230" s="70">
        <f t="shared" si="29"/>
        <v>59</v>
      </c>
      <c r="I230" s="77">
        <f t="shared" si="25"/>
        <v>58.7496</v>
      </c>
      <c r="J230" s="70">
        <f t="shared" si="28"/>
        <v>28</v>
      </c>
      <c r="K230" s="77">
        <f t="shared" si="26"/>
        <v>59.385</v>
      </c>
      <c r="L230" s="78">
        <v>26.1</v>
      </c>
      <c r="M230" s="14">
        <v>1.5</v>
      </c>
      <c r="N230" s="24"/>
      <c r="O230" s="14">
        <v>16.8</v>
      </c>
      <c r="P230" s="14">
        <v>16.2</v>
      </c>
      <c r="Q230" s="24"/>
      <c r="R230" s="14">
        <v>0.97</v>
      </c>
      <c r="S230" s="14">
        <v>1.06</v>
      </c>
      <c r="T230" s="14">
        <v>8.64</v>
      </c>
      <c r="U230" s="80">
        <v>8.84</v>
      </c>
      <c r="V230" s="82"/>
      <c r="W230" s="82"/>
      <c r="X230" s="82"/>
      <c r="Y230" s="81">
        <v>223</v>
      </c>
      <c r="Z230" s="81">
        <v>225</v>
      </c>
      <c r="AA230" s="81"/>
      <c r="AB230" s="81"/>
      <c r="AC230" s="81" t="s">
        <v>793</v>
      </c>
      <c r="AD230" s="81" t="s">
        <v>794</v>
      </c>
      <c r="AE230" s="84" t="s">
        <v>205</v>
      </c>
      <c r="AF230" s="84" t="s">
        <v>205</v>
      </c>
      <c r="AG230" s="84" t="s">
        <v>788</v>
      </c>
      <c r="AH230" s="82"/>
      <c r="AI230" s="91"/>
      <c r="AJ230" s="82"/>
      <c r="AK230" s="84" t="s">
        <v>122</v>
      </c>
      <c r="AL230" s="81" t="s">
        <v>789</v>
      </c>
      <c r="AM230" s="89" t="s">
        <v>770</v>
      </c>
      <c r="AN230" s="90">
        <v>0</v>
      </c>
      <c r="AO230" s="18">
        <v>0</v>
      </c>
      <c r="AP230" s="44">
        <v>0</v>
      </c>
      <c r="AQ230" s="44">
        <v>0</v>
      </c>
      <c r="AR230" s="44">
        <v>0</v>
      </c>
      <c r="AS230" s="44">
        <v>0</v>
      </c>
      <c r="AT230" s="18">
        <v>0</v>
      </c>
      <c r="AU230" s="18">
        <v>0</v>
      </c>
      <c r="AV230" s="44">
        <v>0</v>
      </c>
      <c r="AW230" s="18">
        <v>0</v>
      </c>
      <c r="AX230" s="44">
        <v>0</v>
      </c>
      <c r="AY230" s="44">
        <v>0</v>
      </c>
      <c r="AZ230" s="18">
        <v>0</v>
      </c>
      <c r="BA230" s="18">
        <v>0</v>
      </c>
      <c r="BB230" s="44">
        <v>0</v>
      </c>
      <c r="BC230" s="44">
        <v>0</v>
      </c>
      <c r="BD230" s="18">
        <v>0</v>
      </c>
      <c r="BE230" s="18">
        <v>0</v>
      </c>
      <c r="BF230" s="18">
        <v>0</v>
      </c>
      <c r="BG230" s="44">
        <v>0</v>
      </c>
      <c r="BH230" s="18">
        <v>0</v>
      </c>
      <c r="BI230" s="18">
        <v>0</v>
      </c>
      <c r="BJ230" s="18">
        <v>0</v>
      </c>
      <c r="BK230" s="18">
        <v>0</v>
      </c>
      <c r="BL230" s="18">
        <v>1</v>
      </c>
      <c r="BM230" s="18">
        <v>1</v>
      </c>
      <c r="BN230" s="18">
        <v>0</v>
      </c>
      <c r="BO230" s="18">
        <v>0</v>
      </c>
      <c r="BP230" s="18">
        <v>1</v>
      </c>
      <c r="BQ230" s="18">
        <v>1</v>
      </c>
      <c r="BR230" s="18">
        <v>0</v>
      </c>
      <c r="BS230" s="18">
        <v>0</v>
      </c>
      <c r="BT230" s="18">
        <v>0</v>
      </c>
      <c r="BU230" s="18">
        <v>0</v>
      </c>
      <c r="BV230" s="23">
        <f t="shared" si="24"/>
        <v>4</v>
      </c>
    </row>
    <row r="231" s="18" customFormat="1" spans="1:74">
      <c r="A231" s="24">
        <v>8</v>
      </c>
      <c r="B231" s="14" t="s">
        <v>796</v>
      </c>
      <c r="C231" s="14"/>
      <c r="D231" s="67">
        <v>43659</v>
      </c>
      <c r="E231" s="24"/>
      <c r="F231" s="68">
        <v>59.975768</v>
      </c>
      <c r="G231" s="69">
        <v>28.989011</v>
      </c>
      <c r="H231" s="70">
        <f t="shared" si="29"/>
        <v>59</v>
      </c>
      <c r="I231" s="77">
        <f t="shared" si="25"/>
        <v>58.5460800000001</v>
      </c>
      <c r="J231" s="70">
        <f t="shared" si="28"/>
        <v>28</v>
      </c>
      <c r="K231" s="77">
        <f t="shared" si="26"/>
        <v>59.3406600000001</v>
      </c>
      <c r="L231" s="78">
        <v>27.2</v>
      </c>
      <c r="M231" s="14">
        <v>1.2</v>
      </c>
      <c r="N231" s="24"/>
      <c r="O231" s="14">
        <v>16.7</v>
      </c>
      <c r="P231" s="14">
        <v>11.2</v>
      </c>
      <c r="Q231" s="14">
        <v>7.2</v>
      </c>
      <c r="R231" s="14">
        <v>0.99</v>
      </c>
      <c r="S231" s="14">
        <v>2.95</v>
      </c>
      <c r="T231" s="14">
        <v>8.71</v>
      </c>
      <c r="U231" s="80">
        <v>8.2</v>
      </c>
      <c r="V231" s="81">
        <v>7.41</v>
      </c>
      <c r="W231" s="82"/>
      <c r="X231" s="82"/>
      <c r="Y231" s="81">
        <v>232</v>
      </c>
      <c r="Z231" s="81">
        <v>245</v>
      </c>
      <c r="AA231" s="81"/>
      <c r="AB231" s="81"/>
      <c r="AC231" s="81" t="s">
        <v>767</v>
      </c>
      <c r="AD231" s="81" t="s">
        <v>797</v>
      </c>
      <c r="AE231" s="84" t="s">
        <v>122</v>
      </c>
      <c r="AF231" s="84" t="s">
        <v>122</v>
      </c>
      <c r="AG231" s="84" t="s">
        <v>774</v>
      </c>
      <c r="AH231" s="84" t="s">
        <v>205</v>
      </c>
      <c r="AI231" s="88"/>
      <c r="AJ231" s="84"/>
      <c r="AK231" s="84" t="s">
        <v>122</v>
      </c>
      <c r="AL231" s="81" t="s">
        <v>789</v>
      </c>
      <c r="AM231" s="89" t="s">
        <v>770</v>
      </c>
      <c r="AN231" s="90">
        <v>0</v>
      </c>
      <c r="AO231" s="18">
        <v>0</v>
      </c>
      <c r="AP231" s="44">
        <v>0</v>
      </c>
      <c r="AQ231" s="44">
        <v>0</v>
      </c>
      <c r="AR231" s="44">
        <v>0</v>
      </c>
      <c r="AS231" s="44">
        <v>0</v>
      </c>
      <c r="AT231" s="18">
        <v>0</v>
      </c>
      <c r="AU231" s="18">
        <v>0</v>
      </c>
      <c r="AV231" s="44">
        <v>0</v>
      </c>
      <c r="AW231" s="18">
        <v>0</v>
      </c>
      <c r="AX231" s="44">
        <v>0</v>
      </c>
      <c r="AY231" s="44">
        <v>0</v>
      </c>
      <c r="AZ231" s="18">
        <v>0</v>
      </c>
      <c r="BA231" s="18">
        <v>0</v>
      </c>
      <c r="BB231" s="44">
        <v>0</v>
      </c>
      <c r="BC231" s="44">
        <v>0</v>
      </c>
      <c r="BD231" s="18">
        <v>0</v>
      </c>
      <c r="BE231" s="18">
        <v>0</v>
      </c>
      <c r="BF231" s="18">
        <v>0</v>
      </c>
      <c r="BG231" s="44">
        <v>0</v>
      </c>
      <c r="BH231" s="18">
        <v>0</v>
      </c>
      <c r="BI231" s="18">
        <v>0</v>
      </c>
      <c r="BJ231" s="18">
        <v>0</v>
      </c>
      <c r="BK231" s="18">
        <v>0</v>
      </c>
      <c r="BL231" s="18">
        <v>1</v>
      </c>
      <c r="BM231" s="18">
        <v>1</v>
      </c>
      <c r="BN231" s="18">
        <v>0</v>
      </c>
      <c r="BO231" s="18">
        <v>0</v>
      </c>
      <c r="BP231" s="18">
        <v>1</v>
      </c>
      <c r="BQ231" s="18">
        <v>1</v>
      </c>
      <c r="BR231" s="18">
        <v>0</v>
      </c>
      <c r="BS231" s="18">
        <v>0</v>
      </c>
      <c r="BT231" s="18">
        <v>0</v>
      </c>
      <c r="BU231" s="18">
        <v>0</v>
      </c>
      <c r="BV231" s="23">
        <f t="shared" si="24"/>
        <v>4</v>
      </c>
    </row>
    <row r="232" s="18" customFormat="1" spans="1:74">
      <c r="A232" s="24">
        <v>9</v>
      </c>
      <c r="B232" s="14" t="s">
        <v>798</v>
      </c>
      <c r="C232" s="14"/>
      <c r="D232" s="67">
        <v>43659</v>
      </c>
      <c r="E232" s="24"/>
      <c r="F232" s="68">
        <v>59.98067</v>
      </c>
      <c r="G232" s="69">
        <v>28.97064</v>
      </c>
      <c r="H232" s="70">
        <f t="shared" si="29"/>
        <v>59</v>
      </c>
      <c r="I232" s="77">
        <f t="shared" si="25"/>
        <v>58.8402000000002</v>
      </c>
      <c r="J232" s="70">
        <f t="shared" si="28"/>
        <v>28</v>
      </c>
      <c r="K232" s="77">
        <f t="shared" si="26"/>
        <v>58.2384</v>
      </c>
      <c r="L232" s="78">
        <v>26.6</v>
      </c>
      <c r="M232" s="14">
        <v>1.4</v>
      </c>
      <c r="N232" s="24"/>
      <c r="O232" s="14">
        <v>17</v>
      </c>
      <c r="P232" s="14">
        <v>15.8</v>
      </c>
      <c r="Q232" s="24"/>
      <c r="R232" s="14">
        <v>1.25</v>
      </c>
      <c r="S232" s="14">
        <v>1.47</v>
      </c>
      <c r="T232" s="14">
        <v>8.49</v>
      </c>
      <c r="U232" s="80">
        <v>8.57</v>
      </c>
      <c r="V232" s="82"/>
      <c r="W232" s="82"/>
      <c r="X232" s="82"/>
      <c r="Y232" s="81">
        <v>226</v>
      </c>
      <c r="Z232" s="81">
        <v>222</v>
      </c>
      <c r="AA232" s="81"/>
      <c r="AB232" s="81"/>
      <c r="AC232" s="81" t="s">
        <v>793</v>
      </c>
      <c r="AD232" s="81" t="s">
        <v>799</v>
      </c>
      <c r="AE232" s="84" t="s">
        <v>205</v>
      </c>
      <c r="AF232" s="84" t="s">
        <v>205</v>
      </c>
      <c r="AG232" s="84" t="s">
        <v>774</v>
      </c>
      <c r="AH232" s="82"/>
      <c r="AI232" s="91"/>
      <c r="AJ232" s="82"/>
      <c r="AK232" s="84" t="s">
        <v>122</v>
      </c>
      <c r="AL232" s="81" t="s">
        <v>789</v>
      </c>
      <c r="AM232" s="89" t="s">
        <v>770</v>
      </c>
      <c r="AN232" s="90">
        <v>0</v>
      </c>
      <c r="AO232" s="18">
        <v>0</v>
      </c>
      <c r="AP232" s="44">
        <v>0</v>
      </c>
      <c r="AQ232" s="44">
        <v>0</v>
      </c>
      <c r="AR232" s="44">
        <v>0</v>
      </c>
      <c r="AS232" s="44">
        <v>0</v>
      </c>
      <c r="AT232" s="18">
        <v>0</v>
      </c>
      <c r="AU232" s="18">
        <v>0</v>
      </c>
      <c r="AV232" s="44">
        <v>0</v>
      </c>
      <c r="AW232" s="18">
        <v>0</v>
      </c>
      <c r="AX232" s="44">
        <v>0</v>
      </c>
      <c r="AY232" s="44">
        <v>0</v>
      </c>
      <c r="AZ232" s="18">
        <v>0</v>
      </c>
      <c r="BA232" s="18">
        <v>0</v>
      </c>
      <c r="BB232" s="44">
        <v>0</v>
      </c>
      <c r="BC232" s="44">
        <v>0</v>
      </c>
      <c r="BD232" s="18">
        <v>0</v>
      </c>
      <c r="BE232" s="18">
        <v>0</v>
      </c>
      <c r="BF232" s="18">
        <v>0</v>
      </c>
      <c r="BG232" s="44">
        <v>0</v>
      </c>
      <c r="BH232" s="18">
        <v>0</v>
      </c>
      <c r="BI232" s="18">
        <v>0</v>
      </c>
      <c r="BJ232" s="18">
        <v>0</v>
      </c>
      <c r="BK232" s="18">
        <v>0</v>
      </c>
      <c r="BL232" s="18">
        <v>1</v>
      </c>
      <c r="BM232" s="18">
        <v>1</v>
      </c>
      <c r="BN232" s="18">
        <v>0</v>
      </c>
      <c r="BO232" s="18">
        <v>0</v>
      </c>
      <c r="BP232" s="18">
        <v>1</v>
      </c>
      <c r="BQ232" s="18">
        <v>1</v>
      </c>
      <c r="BR232" s="18">
        <v>0</v>
      </c>
      <c r="BS232" s="18">
        <v>0</v>
      </c>
      <c r="BT232" s="18">
        <v>0</v>
      </c>
      <c r="BU232" s="18">
        <v>0</v>
      </c>
      <c r="BV232" s="23">
        <f t="shared" si="24"/>
        <v>4</v>
      </c>
    </row>
    <row r="233" s="18" customFormat="1" spans="1:74">
      <c r="A233" s="24">
        <v>11</v>
      </c>
      <c r="B233" s="14" t="s">
        <v>800</v>
      </c>
      <c r="C233" s="14"/>
      <c r="D233" s="67">
        <v>43659</v>
      </c>
      <c r="E233" s="24"/>
      <c r="F233" s="68">
        <v>59.98388</v>
      </c>
      <c r="G233" s="69">
        <v>28.96708</v>
      </c>
      <c r="H233" s="70">
        <f t="shared" si="29"/>
        <v>59</v>
      </c>
      <c r="I233" s="77">
        <f t="shared" si="25"/>
        <v>59.0328</v>
      </c>
      <c r="J233" s="70">
        <f t="shared" si="28"/>
        <v>28</v>
      </c>
      <c r="K233" s="77">
        <f t="shared" si="26"/>
        <v>58.0248</v>
      </c>
      <c r="L233" s="78">
        <v>30</v>
      </c>
      <c r="M233" s="14">
        <v>1.4</v>
      </c>
      <c r="N233" s="24"/>
      <c r="O233" s="14">
        <v>17.4</v>
      </c>
      <c r="P233" s="14">
        <v>10.3</v>
      </c>
      <c r="Q233" s="14">
        <v>5.4</v>
      </c>
      <c r="R233" s="14">
        <v>1.26</v>
      </c>
      <c r="S233" s="14">
        <v>4.97</v>
      </c>
      <c r="T233" s="14">
        <v>8.46</v>
      </c>
      <c r="U233" s="80">
        <v>7.82</v>
      </c>
      <c r="V233" s="81">
        <v>7.52</v>
      </c>
      <c r="W233" s="82"/>
      <c r="X233" s="82"/>
      <c r="Y233" s="81">
        <v>213</v>
      </c>
      <c r="Z233" s="81">
        <v>223</v>
      </c>
      <c r="AA233" s="81"/>
      <c r="AB233" s="81"/>
      <c r="AC233" s="81" t="s">
        <v>767</v>
      </c>
      <c r="AD233" s="82"/>
      <c r="AE233" s="84" t="s">
        <v>205</v>
      </c>
      <c r="AF233" s="84" t="s">
        <v>205</v>
      </c>
      <c r="AG233" s="84" t="s">
        <v>774</v>
      </c>
      <c r="AH233" s="82"/>
      <c r="AI233" s="91"/>
      <c r="AJ233" s="82"/>
      <c r="AK233" s="84" t="s">
        <v>122</v>
      </c>
      <c r="AL233" s="81" t="s">
        <v>789</v>
      </c>
      <c r="AM233" s="89" t="s">
        <v>770</v>
      </c>
      <c r="AN233" s="90">
        <v>0</v>
      </c>
      <c r="AO233" s="18">
        <v>0</v>
      </c>
      <c r="AP233" s="44">
        <v>0</v>
      </c>
      <c r="AQ233" s="44">
        <v>0</v>
      </c>
      <c r="AR233" s="44">
        <v>0</v>
      </c>
      <c r="AS233" s="44">
        <v>0</v>
      </c>
      <c r="AT233" s="18">
        <v>0</v>
      </c>
      <c r="AU233" s="18">
        <v>0</v>
      </c>
      <c r="AV233" s="44">
        <v>0</v>
      </c>
      <c r="AW233" s="18">
        <v>0</v>
      </c>
      <c r="AX233" s="44">
        <v>1</v>
      </c>
      <c r="AY233" s="44">
        <v>0</v>
      </c>
      <c r="AZ233" s="18">
        <v>0</v>
      </c>
      <c r="BA233" s="18">
        <v>0</v>
      </c>
      <c r="BB233" s="44">
        <v>0</v>
      </c>
      <c r="BC233" s="44">
        <v>0</v>
      </c>
      <c r="BD233" s="18">
        <v>0</v>
      </c>
      <c r="BE233" s="18">
        <v>0</v>
      </c>
      <c r="BF233" s="18">
        <v>0</v>
      </c>
      <c r="BG233" s="44">
        <v>0</v>
      </c>
      <c r="BH233" s="18">
        <v>0</v>
      </c>
      <c r="BI233" s="18">
        <v>0</v>
      </c>
      <c r="BJ233" s="18">
        <v>1</v>
      </c>
      <c r="BK233" s="18">
        <v>1</v>
      </c>
      <c r="BL233" s="18">
        <v>1</v>
      </c>
      <c r="BM233" s="18">
        <v>1</v>
      </c>
      <c r="BN233" s="18">
        <v>0</v>
      </c>
      <c r="BO233" s="18">
        <v>0</v>
      </c>
      <c r="BP233" s="18">
        <v>1</v>
      </c>
      <c r="BQ233" s="18">
        <v>1</v>
      </c>
      <c r="BR233" s="18">
        <v>0</v>
      </c>
      <c r="BS233" s="18">
        <v>0</v>
      </c>
      <c r="BT233" s="18">
        <v>0</v>
      </c>
      <c r="BU233" s="18">
        <v>0</v>
      </c>
      <c r="BV233" s="23">
        <f t="shared" si="24"/>
        <v>6</v>
      </c>
    </row>
    <row r="234" s="18" customFormat="1" spans="1:74">
      <c r="A234" s="24">
        <v>12</v>
      </c>
      <c r="B234" s="14" t="s">
        <v>801</v>
      </c>
      <c r="C234" s="14"/>
      <c r="D234" s="67">
        <v>43659</v>
      </c>
      <c r="E234" s="24"/>
      <c r="F234" s="68">
        <v>59.98444</v>
      </c>
      <c r="G234" s="69">
        <v>28.9638</v>
      </c>
      <c r="H234" s="70">
        <f t="shared" si="29"/>
        <v>59</v>
      </c>
      <c r="I234" s="77">
        <f t="shared" si="25"/>
        <v>59.0664</v>
      </c>
      <c r="J234" s="70">
        <f t="shared" si="28"/>
        <v>28</v>
      </c>
      <c r="K234" s="77">
        <f t="shared" si="26"/>
        <v>57.8279999999999</v>
      </c>
      <c r="L234" s="78">
        <v>29.8</v>
      </c>
      <c r="M234" s="14">
        <v>1.7</v>
      </c>
      <c r="N234" s="24"/>
      <c r="O234" s="14">
        <v>16.8</v>
      </c>
      <c r="P234" s="14">
        <v>10.1</v>
      </c>
      <c r="Q234" s="14">
        <v>8</v>
      </c>
      <c r="R234" s="14">
        <v>1.21</v>
      </c>
      <c r="S234" s="14">
        <v>3.44</v>
      </c>
      <c r="T234" s="14">
        <v>8.46</v>
      </c>
      <c r="U234" s="80">
        <v>7.95</v>
      </c>
      <c r="V234" s="81">
        <v>7.2</v>
      </c>
      <c r="W234" s="82"/>
      <c r="X234" s="82"/>
      <c r="Y234" s="81">
        <v>217</v>
      </c>
      <c r="Z234" s="81">
        <v>224</v>
      </c>
      <c r="AA234" s="81"/>
      <c r="AB234" s="81"/>
      <c r="AC234" s="81" t="s">
        <v>802</v>
      </c>
      <c r="AD234" s="81" t="s">
        <v>803</v>
      </c>
      <c r="AE234" s="84" t="s">
        <v>122</v>
      </c>
      <c r="AF234" s="84" t="s">
        <v>122</v>
      </c>
      <c r="AG234" s="84" t="s">
        <v>774</v>
      </c>
      <c r="AH234" s="84" t="s">
        <v>205</v>
      </c>
      <c r="AI234" s="88"/>
      <c r="AJ234" s="84"/>
      <c r="AK234" s="84" t="s">
        <v>122</v>
      </c>
      <c r="AL234" s="81" t="s">
        <v>789</v>
      </c>
      <c r="AM234" s="89" t="s">
        <v>770</v>
      </c>
      <c r="AN234" s="90">
        <v>0</v>
      </c>
      <c r="AO234" s="18">
        <v>0</v>
      </c>
      <c r="AP234" s="44">
        <v>0</v>
      </c>
      <c r="AQ234" s="44">
        <v>0</v>
      </c>
      <c r="AR234" s="44">
        <v>0</v>
      </c>
      <c r="AS234" s="44">
        <v>0</v>
      </c>
      <c r="AT234" s="18">
        <v>0</v>
      </c>
      <c r="AU234" s="18">
        <v>0</v>
      </c>
      <c r="AV234" s="44">
        <v>0</v>
      </c>
      <c r="AW234" s="18">
        <v>0</v>
      </c>
      <c r="AX234" s="44">
        <v>0</v>
      </c>
      <c r="AY234" s="44">
        <v>0</v>
      </c>
      <c r="AZ234" s="18">
        <v>0</v>
      </c>
      <c r="BA234" s="18">
        <v>0</v>
      </c>
      <c r="BB234" s="44">
        <v>0</v>
      </c>
      <c r="BC234" s="44">
        <v>0</v>
      </c>
      <c r="BD234" s="18">
        <v>0</v>
      </c>
      <c r="BE234" s="18">
        <v>0</v>
      </c>
      <c r="BF234" s="18">
        <v>0</v>
      </c>
      <c r="BG234" s="44">
        <v>0</v>
      </c>
      <c r="BH234" s="18">
        <v>0</v>
      </c>
      <c r="BI234" s="18">
        <v>0</v>
      </c>
      <c r="BJ234" s="18">
        <v>0</v>
      </c>
      <c r="BK234" s="18">
        <v>0</v>
      </c>
      <c r="BL234" s="18">
        <v>1</v>
      </c>
      <c r="BM234" s="18">
        <v>1</v>
      </c>
      <c r="BN234" s="18">
        <v>0</v>
      </c>
      <c r="BO234" s="18">
        <v>0</v>
      </c>
      <c r="BP234" s="18">
        <v>1</v>
      </c>
      <c r="BQ234" s="18">
        <v>1</v>
      </c>
      <c r="BR234" s="18">
        <v>0</v>
      </c>
      <c r="BS234" s="18">
        <v>0</v>
      </c>
      <c r="BT234" s="18">
        <v>0</v>
      </c>
      <c r="BU234" s="18">
        <v>0</v>
      </c>
      <c r="BV234" s="23">
        <f t="shared" si="24"/>
        <v>4</v>
      </c>
    </row>
    <row r="235" s="18" customFormat="1" spans="1:74">
      <c r="A235" s="24">
        <v>13</v>
      </c>
      <c r="B235" s="14" t="s">
        <v>804</v>
      </c>
      <c r="C235" s="14"/>
      <c r="D235" s="67">
        <v>43659</v>
      </c>
      <c r="E235" s="24"/>
      <c r="F235" s="68">
        <v>59.9904</v>
      </c>
      <c r="G235" s="69">
        <v>28.96348</v>
      </c>
      <c r="H235" s="70">
        <f t="shared" si="29"/>
        <v>59</v>
      </c>
      <c r="I235" s="77">
        <f t="shared" si="25"/>
        <v>59.4240000000001</v>
      </c>
      <c r="J235" s="70">
        <f t="shared" si="28"/>
        <v>28</v>
      </c>
      <c r="K235" s="77">
        <f t="shared" si="26"/>
        <v>57.8088</v>
      </c>
      <c r="L235" s="78">
        <v>31</v>
      </c>
      <c r="M235" s="14">
        <v>1.7</v>
      </c>
      <c r="N235" s="24"/>
      <c r="O235" s="14">
        <v>16.8</v>
      </c>
      <c r="P235" s="14">
        <v>10.7</v>
      </c>
      <c r="Q235" s="14">
        <v>4</v>
      </c>
      <c r="R235" s="14">
        <v>2.56</v>
      </c>
      <c r="S235" s="14">
        <v>4.84</v>
      </c>
      <c r="T235" s="14">
        <v>8.47</v>
      </c>
      <c r="U235" s="80">
        <v>7.81</v>
      </c>
      <c r="V235" s="81">
        <v>7.46</v>
      </c>
      <c r="W235" s="82"/>
      <c r="X235" s="82"/>
      <c r="Y235" s="81">
        <v>209</v>
      </c>
      <c r="Z235" s="81">
        <v>230</v>
      </c>
      <c r="AA235" s="81"/>
      <c r="AB235" s="81"/>
      <c r="AC235" s="81" t="s">
        <v>805</v>
      </c>
      <c r="AD235" s="82"/>
      <c r="AE235" s="84" t="s">
        <v>205</v>
      </c>
      <c r="AF235" s="84" t="s">
        <v>205</v>
      </c>
      <c r="AG235" s="84" t="s">
        <v>774</v>
      </c>
      <c r="AH235" s="82"/>
      <c r="AI235" s="91"/>
      <c r="AJ235" s="82"/>
      <c r="AK235" s="84" t="s">
        <v>122</v>
      </c>
      <c r="AL235" s="81" t="s">
        <v>789</v>
      </c>
      <c r="AM235" s="89" t="s">
        <v>770</v>
      </c>
      <c r="AN235" s="90">
        <v>0</v>
      </c>
      <c r="AO235" s="18">
        <v>0</v>
      </c>
      <c r="AP235" s="44">
        <v>0</v>
      </c>
      <c r="AQ235" s="44">
        <v>0</v>
      </c>
      <c r="AR235" s="44">
        <v>0</v>
      </c>
      <c r="AS235" s="44">
        <v>0</v>
      </c>
      <c r="AT235" s="18">
        <v>0</v>
      </c>
      <c r="AU235" s="18">
        <v>0</v>
      </c>
      <c r="AV235" s="44">
        <v>0</v>
      </c>
      <c r="AW235" s="18">
        <v>0</v>
      </c>
      <c r="AX235" s="44">
        <v>0</v>
      </c>
      <c r="AY235" s="44">
        <v>0</v>
      </c>
      <c r="AZ235" s="18">
        <v>0</v>
      </c>
      <c r="BA235" s="18">
        <v>0</v>
      </c>
      <c r="BB235" s="44">
        <v>0</v>
      </c>
      <c r="BC235" s="44">
        <v>0</v>
      </c>
      <c r="BD235" s="18">
        <v>0</v>
      </c>
      <c r="BE235" s="18">
        <v>0</v>
      </c>
      <c r="BF235" s="18">
        <v>0</v>
      </c>
      <c r="BG235" s="44">
        <v>0</v>
      </c>
      <c r="BH235" s="18">
        <v>0</v>
      </c>
      <c r="BI235" s="18">
        <v>0</v>
      </c>
      <c r="BJ235" s="18">
        <v>0</v>
      </c>
      <c r="BK235" s="18">
        <v>0</v>
      </c>
      <c r="BL235" s="18">
        <v>4</v>
      </c>
      <c r="BM235" s="18">
        <v>1</v>
      </c>
      <c r="BN235" s="18">
        <v>0</v>
      </c>
      <c r="BO235" s="18">
        <v>0</v>
      </c>
      <c r="BP235" s="18">
        <v>1</v>
      </c>
      <c r="BQ235" s="18">
        <v>1</v>
      </c>
      <c r="BR235" s="18">
        <v>0</v>
      </c>
      <c r="BS235" s="18">
        <v>0</v>
      </c>
      <c r="BT235" s="18">
        <v>0</v>
      </c>
      <c r="BU235" s="18">
        <v>0</v>
      </c>
      <c r="BV235" s="23">
        <f t="shared" si="24"/>
        <v>7</v>
      </c>
    </row>
    <row r="236" s="18" customFormat="1" spans="1:74">
      <c r="A236" s="24">
        <v>14</v>
      </c>
      <c r="B236" s="14" t="s">
        <v>806</v>
      </c>
      <c r="C236" s="14"/>
      <c r="D236" s="67">
        <v>43659</v>
      </c>
      <c r="E236" s="24"/>
      <c r="F236" s="68">
        <v>59.99149</v>
      </c>
      <c r="G236" s="69">
        <v>28.97821</v>
      </c>
      <c r="H236" s="70">
        <f t="shared" si="29"/>
        <v>59</v>
      </c>
      <c r="I236" s="77">
        <f t="shared" si="25"/>
        <v>59.4893999999999</v>
      </c>
      <c r="J236" s="70">
        <f t="shared" si="28"/>
        <v>28</v>
      </c>
      <c r="K236" s="77">
        <f t="shared" si="26"/>
        <v>58.6926</v>
      </c>
      <c r="L236" s="78">
        <v>29.2</v>
      </c>
      <c r="M236" s="14">
        <v>1.6</v>
      </c>
      <c r="N236" s="24"/>
      <c r="O236" s="14">
        <v>17.1</v>
      </c>
      <c r="P236" s="14">
        <v>14.7</v>
      </c>
      <c r="Q236" s="24"/>
      <c r="R236" s="14">
        <v>1.23</v>
      </c>
      <c r="S236" s="14">
        <v>1.93</v>
      </c>
      <c r="T236" s="14">
        <v>8.62</v>
      </c>
      <c r="U236" s="80">
        <v>8.31</v>
      </c>
      <c r="V236" s="82"/>
      <c r="W236" s="82"/>
      <c r="X236" s="82"/>
      <c r="Y236" s="81">
        <v>220</v>
      </c>
      <c r="Z236" s="81">
        <v>193</v>
      </c>
      <c r="AA236" s="81"/>
      <c r="AB236" s="81"/>
      <c r="AC236" s="82"/>
      <c r="AD236" s="82"/>
      <c r="AE236" s="84" t="s">
        <v>205</v>
      </c>
      <c r="AF236" s="84" t="s">
        <v>205</v>
      </c>
      <c r="AG236" s="84" t="s">
        <v>774</v>
      </c>
      <c r="AH236" s="82"/>
      <c r="AI236" s="91"/>
      <c r="AJ236" s="82"/>
      <c r="AK236" s="84" t="s">
        <v>122</v>
      </c>
      <c r="AL236" s="81" t="s">
        <v>789</v>
      </c>
      <c r="AM236" s="89" t="s">
        <v>770</v>
      </c>
      <c r="AN236" s="90">
        <v>0</v>
      </c>
      <c r="AO236" s="18">
        <v>0</v>
      </c>
      <c r="AP236" s="44">
        <v>0</v>
      </c>
      <c r="AQ236" s="44">
        <v>0</v>
      </c>
      <c r="AR236" s="44">
        <v>0</v>
      </c>
      <c r="AS236" s="44">
        <v>0</v>
      </c>
      <c r="AT236" s="18">
        <v>0</v>
      </c>
      <c r="AU236" s="18">
        <v>0</v>
      </c>
      <c r="AV236" s="44">
        <v>0</v>
      </c>
      <c r="AW236" s="18">
        <v>0</v>
      </c>
      <c r="AX236" s="44">
        <v>1</v>
      </c>
      <c r="AY236" s="44">
        <v>0</v>
      </c>
      <c r="AZ236" s="18">
        <v>0</v>
      </c>
      <c r="BA236" s="18">
        <v>0</v>
      </c>
      <c r="BB236" s="44">
        <v>0</v>
      </c>
      <c r="BC236" s="44">
        <v>0</v>
      </c>
      <c r="BD236" s="18">
        <v>0</v>
      </c>
      <c r="BE236" s="18">
        <v>0</v>
      </c>
      <c r="BF236" s="18">
        <v>0</v>
      </c>
      <c r="BG236" s="44">
        <v>0</v>
      </c>
      <c r="BH236" s="18">
        <v>0</v>
      </c>
      <c r="BI236" s="18">
        <v>0</v>
      </c>
      <c r="BJ236" s="18">
        <v>1</v>
      </c>
      <c r="BK236" s="18">
        <v>1</v>
      </c>
      <c r="BL236" s="18">
        <v>1</v>
      </c>
      <c r="BM236" s="18">
        <v>1</v>
      </c>
      <c r="BN236" s="18">
        <v>0</v>
      </c>
      <c r="BO236" s="18">
        <v>0</v>
      </c>
      <c r="BP236" s="18">
        <v>1</v>
      </c>
      <c r="BQ236" s="18">
        <v>1</v>
      </c>
      <c r="BR236" s="18">
        <v>0</v>
      </c>
      <c r="BS236" s="18">
        <v>0</v>
      </c>
      <c r="BT236" s="18">
        <v>0</v>
      </c>
      <c r="BU236" s="18">
        <v>0</v>
      </c>
      <c r="BV236" s="23">
        <f t="shared" si="24"/>
        <v>6</v>
      </c>
    </row>
    <row r="237" s="18" customFormat="1" spans="1:74">
      <c r="A237" s="24">
        <v>15</v>
      </c>
      <c r="B237" s="14" t="s">
        <v>807</v>
      </c>
      <c r="C237" s="14"/>
      <c r="D237" s="67">
        <v>43711</v>
      </c>
      <c r="E237" s="24"/>
      <c r="F237" s="68">
        <v>59.8583333333333</v>
      </c>
      <c r="G237" s="69">
        <v>28.0068481848185</v>
      </c>
      <c r="H237" s="70">
        <f t="shared" si="29"/>
        <v>59</v>
      </c>
      <c r="I237" s="77">
        <f t="shared" si="25"/>
        <v>51.5000000000001</v>
      </c>
      <c r="J237" s="70">
        <f t="shared" si="28"/>
        <v>28</v>
      </c>
      <c r="K237" s="77">
        <f t="shared" si="26"/>
        <v>0.410891089108816</v>
      </c>
      <c r="L237" s="78">
        <v>26</v>
      </c>
      <c r="M237" s="14">
        <v>3</v>
      </c>
      <c r="N237" s="24"/>
      <c r="O237" s="14">
        <v>19</v>
      </c>
      <c r="P237" s="14"/>
      <c r="Q237" s="24"/>
      <c r="R237" s="14">
        <v>3.46</v>
      </c>
      <c r="S237" s="14"/>
      <c r="T237" s="14">
        <v>7.56</v>
      </c>
      <c r="U237" s="80"/>
      <c r="V237" s="82"/>
      <c r="W237" s="82"/>
      <c r="X237" s="82"/>
      <c r="Y237" s="81"/>
      <c r="Z237" s="81"/>
      <c r="AA237" s="81" t="s">
        <v>808</v>
      </c>
      <c r="AB237" s="81" t="s">
        <v>809</v>
      </c>
      <c r="AC237" s="82" t="s">
        <v>767</v>
      </c>
      <c r="AD237" s="82"/>
      <c r="AE237" s="84" t="s">
        <v>810</v>
      </c>
      <c r="AF237" s="84" t="s">
        <v>810</v>
      </c>
      <c r="AG237" s="84" t="s">
        <v>811</v>
      </c>
      <c r="AH237" s="82" t="s">
        <v>205</v>
      </c>
      <c r="AI237" s="91"/>
      <c r="AJ237" s="82" t="s">
        <v>205</v>
      </c>
      <c r="AK237" s="84" t="s">
        <v>122</v>
      </c>
      <c r="AL237" s="81" t="s">
        <v>205</v>
      </c>
      <c r="AM237" s="89" t="s">
        <v>770</v>
      </c>
      <c r="AN237" s="90">
        <v>0</v>
      </c>
      <c r="AO237" s="18">
        <v>0</v>
      </c>
      <c r="AP237" s="44">
        <v>0</v>
      </c>
      <c r="AQ237" s="44">
        <v>0</v>
      </c>
      <c r="AR237" s="44">
        <v>0</v>
      </c>
      <c r="AS237" s="44">
        <v>0</v>
      </c>
      <c r="AT237" s="18">
        <v>0</v>
      </c>
      <c r="AU237" s="18">
        <v>0</v>
      </c>
      <c r="AV237" s="44">
        <v>0</v>
      </c>
      <c r="AW237" s="18">
        <v>0</v>
      </c>
      <c r="AX237" s="44">
        <v>0</v>
      </c>
      <c r="AY237" s="44">
        <v>0</v>
      </c>
      <c r="AZ237" s="18">
        <v>0</v>
      </c>
      <c r="BA237" s="18">
        <v>0</v>
      </c>
      <c r="BB237" s="44">
        <v>0</v>
      </c>
      <c r="BC237" s="44">
        <v>0</v>
      </c>
      <c r="BD237" s="18">
        <v>0</v>
      </c>
      <c r="BE237" s="18">
        <v>0</v>
      </c>
      <c r="BF237" s="18">
        <v>0</v>
      </c>
      <c r="BG237" s="44">
        <v>0</v>
      </c>
      <c r="BH237" s="18">
        <v>0</v>
      </c>
      <c r="BI237" s="18">
        <v>0</v>
      </c>
      <c r="BJ237" s="18">
        <v>0</v>
      </c>
      <c r="BK237" s="18">
        <v>0</v>
      </c>
      <c r="BL237" s="18">
        <v>1</v>
      </c>
      <c r="BM237" s="18">
        <v>1</v>
      </c>
      <c r="BN237" s="18">
        <v>0</v>
      </c>
      <c r="BO237" s="18">
        <v>0</v>
      </c>
      <c r="BP237" s="18">
        <v>1</v>
      </c>
      <c r="BQ237" s="18">
        <v>1</v>
      </c>
      <c r="BR237" s="18">
        <v>0</v>
      </c>
      <c r="BS237" s="18">
        <v>0</v>
      </c>
      <c r="BT237" s="18">
        <v>0</v>
      </c>
      <c r="BU237" s="18">
        <v>0</v>
      </c>
      <c r="BV237" s="23">
        <f t="shared" si="24"/>
        <v>4</v>
      </c>
    </row>
    <row r="238" s="18" customFormat="1" spans="1:74">
      <c r="A238" s="24">
        <v>16</v>
      </c>
      <c r="B238" s="14" t="s">
        <v>812</v>
      </c>
      <c r="C238" s="14" t="s">
        <v>813</v>
      </c>
      <c r="D238" s="67">
        <v>43711</v>
      </c>
      <c r="E238" s="24"/>
      <c r="F238" s="68">
        <v>59.8093166666667</v>
      </c>
      <c r="G238" s="69">
        <v>28.0080297029703</v>
      </c>
      <c r="H238" s="70">
        <f t="shared" si="29"/>
        <v>59</v>
      </c>
      <c r="I238" s="77">
        <f t="shared" si="25"/>
        <v>48.5590000000001</v>
      </c>
      <c r="J238" s="70">
        <f t="shared" si="28"/>
        <v>28</v>
      </c>
      <c r="K238" s="77">
        <f t="shared" si="26"/>
        <v>0.481782178217856</v>
      </c>
      <c r="L238" s="78">
        <v>4</v>
      </c>
      <c r="M238" s="14">
        <v>2.2</v>
      </c>
      <c r="N238" s="24"/>
      <c r="O238" s="14">
        <v>18</v>
      </c>
      <c r="P238" s="14"/>
      <c r="Q238" s="24"/>
      <c r="R238" s="14">
        <v>3.19</v>
      </c>
      <c r="S238" s="14"/>
      <c r="T238" s="14">
        <v>8.12</v>
      </c>
      <c r="U238" s="80"/>
      <c r="V238" s="82"/>
      <c r="W238" s="82"/>
      <c r="X238" s="82"/>
      <c r="Y238" s="81"/>
      <c r="Z238" s="81"/>
      <c r="AA238" s="81"/>
      <c r="AB238" s="81"/>
      <c r="AC238" s="82" t="s">
        <v>814</v>
      </c>
      <c r="AD238" s="82" t="s">
        <v>815</v>
      </c>
      <c r="AE238" s="84" t="s">
        <v>205</v>
      </c>
      <c r="AF238" s="84" t="s">
        <v>205</v>
      </c>
      <c r="AG238" s="92" t="s">
        <v>205</v>
      </c>
      <c r="AH238" s="84" t="s">
        <v>816</v>
      </c>
      <c r="AI238" s="88"/>
      <c r="AJ238" s="84" t="s">
        <v>817</v>
      </c>
      <c r="AK238" s="84" t="s">
        <v>818</v>
      </c>
      <c r="AL238" s="81" t="s">
        <v>819</v>
      </c>
      <c r="AM238" s="89" t="s">
        <v>820</v>
      </c>
      <c r="AN238" s="44">
        <v>2</v>
      </c>
      <c r="AO238" s="18">
        <v>1</v>
      </c>
      <c r="AP238" s="44">
        <v>2</v>
      </c>
      <c r="AQ238" s="44">
        <v>5</v>
      </c>
      <c r="AR238" s="44">
        <v>0</v>
      </c>
      <c r="AS238" s="44">
        <v>1</v>
      </c>
      <c r="AT238" s="18">
        <v>0</v>
      </c>
      <c r="AU238" s="18">
        <v>0</v>
      </c>
      <c r="AV238" s="44">
        <v>0</v>
      </c>
      <c r="AW238" s="18">
        <v>0</v>
      </c>
      <c r="AX238" s="44">
        <v>0</v>
      </c>
      <c r="AY238" s="44">
        <v>1</v>
      </c>
      <c r="AZ238" s="18">
        <v>0</v>
      </c>
      <c r="BA238" s="18">
        <v>0</v>
      </c>
      <c r="BB238" s="44">
        <v>0</v>
      </c>
      <c r="BC238" s="44">
        <v>2</v>
      </c>
      <c r="BD238" s="18">
        <v>0</v>
      </c>
      <c r="BE238" s="18">
        <v>0</v>
      </c>
      <c r="BF238" s="18">
        <v>0</v>
      </c>
      <c r="BG238" s="44">
        <v>0</v>
      </c>
      <c r="BH238" s="18">
        <v>0</v>
      </c>
      <c r="BI238" s="18">
        <v>0</v>
      </c>
      <c r="BJ238" s="18">
        <v>6</v>
      </c>
      <c r="BK238" s="18">
        <v>3</v>
      </c>
      <c r="BL238" s="18">
        <v>3</v>
      </c>
      <c r="BM238" s="18">
        <v>2</v>
      </c>
      <c r="BN238" s="18">
        <v>1</v>
      </c>
      <c r="BO238" s="18">
        <v>1</v>
      </c>
      <c r="BP238" s="18">
        <v>1</v>
      </c>
      <c r="BQ238" s="18">
        <v>2</v>
      </c>
      <c r="BR238" s="18">
        <v>0</v>
      </c>
      <c r="BS238" s="18">
        <v>0</v>
      </c>
      <c r="BT238" s="18">
        <v>0</v>
      </c>
      <c r="BU238" s="18">
        <v>0</v>
      </c>
      <c r="BV238" s="23">
        <f t="shared" si="24"/>
        <v>19</v>
      </c>
    </row>
    <row r="239" s="18" customFormat="1" spans="1:74">
      <c r="A239" s="24">
        <v>17</v>
      </c>
      <c r="B239" s="14" t="s">
        <v>821</v>
      </c>
      <c r="C239" s="14" t="s">
        <v>822</v>
      </c>
      <c r="D239" s="67">
        <v>43711</v>
      </c>
      <c r="E239" s="24"/>
      <c r="F239" s="68">
        <v>59.827</v>
      </c>
      <c r="G239" s="69">
        <v>28.921</v>
      </c>
      <c r="H239" s="70">
        <f t="shared" si="29"/>
        <v>59</v>
      </c>
      <c r="I239" s="77">
        <f t="shared" si="25"/>
        <v>49.6199999999999</v>
      </c>
      <c r="J239" s="70">
        <f t="shared" si="28"/>
        <v>28</v>
      </c>
      <c r="K239" s="77">
        <f t="shared" si="26"/>
        <v>55.26</v>
      </c>
      <c r="L239" s="78">
        <v>5.8</v>
      </c>
      <c r="M239" s="14">
        <v>2.4</v>
      </c>
      <c r="N239" s="24"/>
      <c r="O239" s="14">
        <v>19</v>
      </c>
      <c r="P239" s="14"/>
      <c r="Q239" s="24"/>
      <c r="R239" s="14">
        <v>3.3</v>
      </c>
      <c r="S239" s="14"/>
      <c r="T239" s="14">
        <v>8.3</v>
      </c>
      <c r="U239" s="80"/>
      <c r="V239" s="82"/>
      <c r="W239" s="82"/>
      <c r="X239" s="82"/>
      <c r="Y239" s="81"/>
      <c r="Z239" s="81"/>
      <c r="AA239" s="81"/>
      <c r="AB239" s="81"/>
      <c r="AC239" s="82" t="s">
        <v>823</v>
      </c>
      <c r="AD239" s="82" t="s">
        <v>824</v>
      </c>
      <c r="AE239" s="84" t="s">
        <v>205</v>
      </c>
      <c r="AF239" s="84" t="s">
        <v>205</v>
      </c>
      <c r="AG239" s="84" t="s">
        <v>205</v>
      </c>
      <c r="AH239" s="84" t="s">
        <v>825</v>
      </c>
      <c r="AI239" s="88"/>
      <c r="AJ239" s="82"/>
      <c r="AK239" s="84" t="s">
        <v>205</v>
      </c>
      <c r="AL239" s="81" t="s">
        <v>819</v>
      </c>
      <c r="AM239" s="89" t="s">
        <v>820</v>
      </c>
      <c r="AN239" s="44">
        <v>3</v>
      </c>
      <c r="AO239" s="18">
        <v>1</v>
      </c>
      <c r="AP239" s="44">
        <v>1</v>
      </c>
      <c r="AQ239" s="44">
        <v>3</v>
      </c>
      <c r="AR239" s="44">
        <v>0</v>
      </c>
      <c r="AS239" s="44">
        <v>0</v>
      </c>
      <c r="AT239" s="18">
        <v>0</v>
      </c>
      <c r="AU239" s="18">
        <v>0</v>
      </c>
      <c r="AV239" s="44">
        <v>0</v>
      </c>
      <c r="AW239" s="18">
        <v>0</v>
      </c>
      <c r="AX239" s="44">
        <v>0</v>
      </c>
      <c r="AY239" s="44">
        <v>1</v>
      </c>
      <c r="AZ239" s="18">
        <v>0</v>
      </c>
      <c r="BA239" s="18">
        <v>0</v>
      </c>
      <c r="BB239" s="44">
        <v>0</v>
      </c>
      <c r="BC239" s="44">
        <v>1</v>
      </c>
      <c r="BD239" s="18">
        <v>0</v>
      </c>
      <c r="BE239" s="18">
        <v>0</v>
      </c>
      <c r="BF239" s="18">
        <v>0</v>
      </c>
      <c r="BG239" s="44">
        <v>0</v>
      </c>
      <c r="BH239" s="18">
        <v>0</v>
      </c>
      <c r="BI239" s="18">
        <v>0</v>
      </c>
      <c r="BJ239" s="18">
        <v>6</v>
      </c>
      <c r="BK239" s="18">
        <v>2</v>
      </c>
      <c r="BL239" s="18">
        <v>3</v>
      </c>
      <c r="BM239" s="18">
        <v>2</v>
      </c>
      <c r="BN239" s="18">
        <v>1</v>
      </c>
      <c r="BO239" s="18">
        <v>1</v>
      </c>
      <c r="BP239" s="18">
        <v>1</v>
      </c>
      <c r="BQ239" s="18">
        <v>2</v>
      </c>
      <c r="BR239" s="18">
        <v>0</v>
      </c>
      <c r="BS239" s="18">
        <v>0</v>
      </c>
      <c r="BT239" s="18">
        <v>0</v>
      </c>
      <c r="BU239" s="18">
        <v>0</v>
      </c>
      <c r="BV239" s="23">
        <f t="shared" si="24"/>
        <v>18</v>
      </c>
    </row>
    <row r="240" s="18" customFormat="1" spans="1:74">
      <c r="A240" s="24">
        <v>18</v>
      </c>
      <c r="B240" s="72" t="s">
        <v>826</v>
      </c>
      <c r="C240" s="72" t="s">
        <v>822</v>
      </c>
      <c r="D240" s="73">
        <v>43697</v>
      </c>
      <c r="E240" s="74" t="s">
        <v>827</v>
      </c>
      <c r="F240" s="68">
        <v>59.806277</v>
      </c>
      <c r="G240" s="69">
        <v>28.908699</v>
      </c>
      <c r="H240" s="70">
        <f t="shared" si="29"/>
        <v>59</v>
      </c>
      <c r="I240" s="77">
        <f t="shared" si="25"/>
        <v>48.3766200000001</v>
      </c>
      <c r="J240" s="70">
        <f t="shared" si="28"/>
        <v>28</v>
      </c>
      <c r="K240" s="77">
        <f t="shared" si="26"/>
        <v>54.5219399999999</v>
      </c>
      <c r="L240" s="79">
        <v>0.5</v>
      </c>
      <c r="M240" s="24">
        <v>0.5</v>
      </c>
      <c r="N240" s="24"/>
      <c r="O240" s="24">
        <v>21</v>
      </c>
      <c r="P240" s="14"/>
      <c r="Q240" s="24"/>
      <c r="R240" s="24">
        <v>2.67</v>
      </c>
      <c r="S240" s="14"/>
      <c r="T240" s="14"/>
      <c r="U240" s="80"/>
      <c r="V240" s="82"/>
      <c r="W240" s="82"/>
      <c r="X240" s="82"/>
      <c r="Y240" s="81"/>
      <c r="Z240" s="81"/>
      <c r="AA240" s="81"/>
      <c r="AB240" s="81"/>
      <c r="AC240" s="85" t="s">
        <v>828</v>
      </c>
      <c r="AD240" s="85" t="s">
        <v>829</v>
      </c>
      <c r="AE240" s="86" t="s">
        <v>205</v>
      </c>
      <c r="AF240" s="86" t="s">
        <v>205</v>
      </c>
      <c r="AG240" s="86" t="s">
        <v>672</v>
      </c>
      <c r="AH240" s="86" t="s">
        <v>830</v>
      </c>
      <c r="AI240" s="86" t="s">
        <v>205</v>
      </c>
      <c r="AJ240" s="85" t="s">
        <v>122</v>
      </c>
      <c r="AK240" s="86" t="s">
        <v>205</v>
      </c>
      <c r="AL240" s="93" t="s">
        <v>831</v>
      </c>
      <c r="AM240" s="89" t="s">
        <v>820</v>
      </c>
      <c r="AN240" s="44">
        <v>3</v>
      </c>
      <c r="AO240" s="18">
        <v>1</v>
      </c>
      <c r="AP240" s="44">
        <v>1</v>
      </c>
      <c r="AQ240" s="44">
        <v>1</v>
      </c>
      <c r="AR240" s="44">
        <v>0</v>
      </c>
      <c r="AS240" s="44">
        <v>1</v>
      </c>
      <c r="AT240" s="18">
        <v>0</v>
      </c>
      <c r="AU240" s="18">
        <v>0</v>
      </c>
      <c r="AV240" s="44">
        <v>0</v>
      </c>
      <c r="AW240" s="18">
        <v>0</v>
      </c>
      <c r="AX240" s="44">
        <v>0</v>
      </c>
      <c r="AY240" s="44">
        <v>0</v>
      </c>
      <c r="AZ240" s="18">
        <v>0</v>
      </c>
      <c r="BA240" s="18">
        <v>0</v>
      </c>
      <c r="BB240" s="44">
        <v>0</v>
      </c>
      <c r="BC240" s="44">
        <v>1</v>
      </c>
      <c r="BD240" s="18">
        <v>0</v>
      </c>
      <c r="BE240" s="18">
        <v>0</v>
      </c>
      <c r="BF240" s="18">
        <v>0</v>
      </c>
      <c r="BG240" s="44">
        <v>0</v>
      </c>
      <c r="BH240" s="18">
        <v>0</v>
      </c>
      <c r="BI240" s="18">
        <v>0</v>
      </c>
      <c r="BJ240" s="18">
        <v>5</v>
      </c>
      <c r="BK240" s="18">
        <v>1</v>
      </c>
      <c r="BL240" s="18">
        <v>3</v>
      </c>
      <c r="BM240" s="18">
        <v>2</v>
      </c>
      <c r="BN240" s="18">
        <v>1</v>
      </c>
      <c r="BO240" s="18">
        <v>1</v>
      </c>
      <c r="BP240" s="18">
        <v>1</v>
      </c>
      <c r="BQ240" s="18">
        <v>2</v>
      </c>
      <c r="BR240" s="18">
        <v>0</v>
      </c>
      <c r="BS240" s="18">
        <v>0</v>
      </c>
      <c r="BT240" s="18">
        <v>0</v>
      </c>
      <c r="BU240" s="18">
        <v>0</v>
      </c>
      <c r="BV240" s="23">
        <f t="shared" si="24"/>
        <v>16</v>
      </c>
    </row>
    <row r="241" s="18" customFormat="1" spans="1:74">
      <c r="A241" s="24">
        <v>19</v>
      </c>
      <c r="B241" s="14" t="s">
        <v>832</v>
      </c>
      <c r="C241" s="14" t="s">
        <v>833</v>
      </c>
      <c r="D241" s="67">
        <v>43711</v>
      </c>
      <c r="E241" s="24"/>
      <c r="F241" s="68">
        <v>59.8666666666667</v>
      </c>
      <c r="G241" s="69">
        <v>28.4333333333333</v>
      </c>
      <c r="H241" s="70">
        <f t="shared" si="29"/>
        <v>59</v>
      </c>
      <c r="I241" s="77">
        <f t="shared" si="25"/>
        <v>52</v>
      </c>
      <c r="J241" s="70">
        <f t="shared" si="28"/>
        <v>28</v>
      </c>
      <c r="K241" s="77">
        <f t="shared" si="26"/>
        <v>26</v>
      </c>
      <c r="L241" s="78">
        <v>12.7</v>
      </c>
      <c r="M241" s="14">
        <v>3</v>
      </c>
      <c r="N241" s="24"/>
      <c r="O241" s="14">
        <v>18.2</v>
      </c>
      <c r="P241" s="14"/>
      <c r="Q241" s="24"/>
      <c r="R241" s="14">
        <v>3.26</v>
      </c>
      <c r="S241" s="14"/>
      <c r="T241" s="14">
        <v>8.27</v>
      </c>
      <c r="U241" s="80"/>
      <c r="V241" s="82"/>
      <c r="W241" s="82"/>
      <c r="X241" s="82"/>
      <c r="Y241" s="81"/>
      <c r="Z241" s="81"/>
      <c r="AA241" s="81" t="s">
        <v>834</v>
      </c>
      <c r="AB241" s="81" t="s">
        <v>809</v>
      </c>
      <c r="AC241" s="82" t="s">
        <v>835</v>
      </c>
      <c r="AD241" s="82"/>
      <c r="AE241" s="84" t="s">
        <v>810</v>
      </c>
      <c r="AF241" s="84" t="s">
        <v>810</v>
      </c>
      <c r="AG241" s="84" t="s">
        <v>811</v>
      </c>
      <c r="AH241" s="82" t="s">
        <v>205</v>
      </c>
      <c r="AI241" s="91"/>
      <c r="AJ241" s="82" t="s">
        <v>205</v>
      </c>
      <c r="AK241" s="84" t="s">
        <v>122</v>
      </c>
      <c r="AL241" s="81" t="s">
        <v>205</v>
      </c>
      <c r="AM241" s="89" t="s">
        <v>820</v>
      </c>
      <c r="AN241" s="44">
        <v>1</v>
      </c>
      <c r="AO241" s="18">
        <v>0</v>
      </c>
      <c r="AP241" s="44">
        <v>0</v>
      </c>
      <c r="AQ241" s="44">
        <v>0</v>
      </c>
      <c r="AR241" s="44">
        <v>0</v>
      </c>
      <c r="AS241" s="44">
        <v>0</v>
      </c>
      <c r="AT241" s="18">
        <v>0</v>
      </c>
      <c r="AU241" s="18">
        <v>0</v>
      </c>
      <c r="AV241" s="44">
        <v>0</v>
      </c>
      <c r="AW241" s="18">
        <v>0</v>
      </c>
      <c r="AX241" s="44">
        <v>1</v>
      </c>
      <c r="AY241" s="44">
        <v>0</v>
      </c>
      <c r="AZ241" s="18">
        <v>0</v>
      </c>
      <c r="BA241" s="18">
        <v>0</v>
      </c>
      <c r="BB241" s="44">
        <v>0</v>
      </c>
      <c r="BC241" s="44">
        <v>0</v>
      </c>
      <c r="BD241" s="18">
        <v>0</v>
      </c>
      <c r="BE241" s="18">
        <v>0</v>
      </c>
      <c r="BF241" s="18">
        <v>0</v>
      </c>
      <c r="BG241" s="44">
        <v>0</v>
      </c>
      <c r="BH241" s="18">
        <v>0</v>
      </c>
      <c r="BI241" s="18">
        <v>0</v>
      </c>
      <c r="BJ241" s="18">
        <v>2</v>
      </c>
      <c r="BK241" s="18">
        <v>1</v>
      </c>
      <c r="BL241" s="18">
        <v>3</v>
      </c>
      <c r="BM241" s="18">
        <v>2</v>
      </c>
      <c r="BN241" s="18">
        <v>1</v>
      </c>
      <c r="BO241" s="18">
        <v>0</v>
      </c>
      <c r="BP241" s="18">
        <v>1</v>
      </c>
      <c r="BQ241" s="18">
        <v>2</v>
      </c>
      <c r="BR241" s="18">
        <v>0</v>
      </c>
      <c r="BS241" s="18">
        <v>0</v>
      </c>
      <c r="BT241" s="18">
        <v>0</v>
      </c>
      <c r="BU241" s="18">
        <v>0</v>
      </c>
      <c r="BV241" s="23">
        <f t="shared" si="24"/>
        <v>12</v>
      </c>
    </row>
    <row r="242" s="18" customFormat="1" spans="1:74">
      <c r="A242" s="24">
        <f t="shared" ref="A242:A248" si="30">A241+1</f>
        <v>20</v>
      </c>
      <c r="B242" s="14" t="s">
        <v>836</v>
      </c>
      <c r="C242" s="14" t="s">
        <v>837</v>
      </c>
      <c r="D242" s="67">
        <v>43711</v>
      </c>
      <c r="E242" s="24"/>
      <c r="F242" s="68">
        <v>59.8930666666667</v>
      </c>
      <c r="G242" s="69">
        <v>28.9983666666667</v>
      </c>
      <c r="H242" s="70">
        <f t="shared" si="29"/>
        <v>59</v>
      </c>
      <c r="I242" s="77">
        <f t="shared" si="25"/>
        <v>53.5840000000002</v>
      </c>
      <c r="J242" s="70">
        <f t="shared" si="28"/>
        <v>28</v>
      </c>
      <c r="K242" s="77">
        <f t="shared" si="26"/>
        <v>59.9019999999999</v>
      </c>
      <c r="L242" s="78">
        <v>5.5</v>
      </c>
      <c r="M242" s="14">
        <v>2.6</v>
      </c>
      <c r="N242" s="24"/>
      <c r="O242" s="14">
        <v>19.2</v>
      </c>
      <c r="P242" s="14">
        <v>17</v>
      </c>
      <c r="Q242" s="24"/>
      <c r="R242" s="14">
        <v>3.17</v>
      </c>
      <c r="S242" s="14"/>
      <c r="T242" s="14">
        <v>8.22</v>
      </c>
      <c r="U242" s="80"/>
      <c r="V242" s="82"/>
      <c r="W242" s="82"/>
      <c r="X242" s="82"/>
      <c r="Y242" s="81"/>
      <c r="Z242" s="81"/>
      <c r="AA242" s="81"/>
      <c r="AB242" s="81" t="s">
        <v>838</v>
      </c>
      <c r="AC242" s="82" t="s">
        <v>839</v>
      </c>
      <c r="AD242" s="82" t="s">
        <v>840</v>
      </c>
      <c r="AE242" s="84" t="s">
        <v>205</v>
      </c>
      <c r="AF242" s="84" t="s">
        <v>205</v>
      </c>
      <c r="AG242" s="84" t="s">
        <v>841</v>
      </c>
      <c r="AH242" s="82" t="s">
        <v>842</v>
      </c>
      <c r="AI242" s="91"/>
      <c r="AJ242" s="82" t="s">
        <v>205</v>
      </c>
      <c r="AK242" s="84" t="s">
        <v>818</v>
      </c>
      <c r="AL242" s="81" t="s">
        <v>819</v>
      </c>
      <c r="AM242" s="89" t="s">
        <v>820</v>
      </c>
      <c r="AN242" s="44">
        <v>3</v>
      </c>
      <c r="AO242" s="18">
        <v>2</v>
      </c>
      <c r="AP242" s="44">
        <v>2</v>
      </c>
      <c r="AQ242" s="44">
        <v>5</v>
      </c>
      <c r="AR242" s="44">
        <v>0</v>
      </c>
      <c r="AS242" s="44">
        <v>1</v>
      </c>
      <c r="AT242" s="18">
        <v>0</v>
      </c>
      <c r="AU242" s="18">
        <v>0</v>
      </c>
      <c r="AV242" s="44">
        <v>0</v>
      </c>
      <c r="AW242" s="18">
        <v>0</v>
      </c>
      <c r="AX242" s="44">
        <v>0</v>
      </c>
      <c r="AY242" s="44">
        <v>1</v>
      </c>
      <c r="AZ242" s="18">
        <v>0</v>
      </c>
      <c r="BA242" s="18">
        <v>0</v>
      </c>
      <c r="BB242" s="44">
        <v>0</v>
      </c>
      <c r="BC242" s="44">
        <v>1</v>
      </c>
      <c r="BD242" s="18">
        <v>0</v>
      </c>
      <c r="BE242" s="18">
        <v>0</v>
      </c>
      <c r="BF242" s="18">
        <v>0</v>
      </c>
      <c r="BG242" s="44">
        <v>0</v>
      </c>
      <c r="BH242" s="18">
        <v>0</v>
      </c>
      <c r="BI242" s="18">
        <v>0</v>
      </c>
      <c r="BJ242" s="18">
        <v>6</v>
      </c>
      <c r="BK242" s="18">
        <v>3</v>
      </c>
      <c r="BL242" s="18">
        <v>3</v>
      </c>
      <c r="BM242" s="18">
        <v>2</v>
      </c>
      <c r="BN242" s="18">
        <v>1</v>
      </c>
      <c r="BO242" s="18">
        <v>1</v>
      </c>
      <c r="BP242" s="18">
        <v>1</v>
      </c>
      <c r="BQ242" s="18">
        <v>4</v>
      </c>
      <c r="BR242" s="18">
        <v>0</v>
      </c>
      <c r="BS242" s="18">
        <v>0</v>
      </c>
      <c r="BT242" s="18">
        <v>0</v>
      </c>
      <c r="BU242" s="18">
        <v>0</v>
      </c>
      <c r="BV242" s="23">
        <f t="shared" si="24"/>
        <v>21</v>
      </c>
    </row>
    <row r="243" s="18" customFormat="1" spans="1:74">
      <c r="A243" s="24">
        <f t="shared" si="30"/>
        <v>21</v>
      </c>
      <c r="B243" s="14" t="s">
        <v>843</v>
      </c>
      <c r="C243" s="14" t="s">
        <v>844</v>
      </c>
      <c r="D243" s="67">
        <v>43738</v>
      </c>
      <c r="E243" s="24"/>
      <c r="F243" s="68">
        <v>59.8331333333333</v>
      </c>
      <c r="G243" s="69">
        <v>28.9759666666667</v>
      </c>
      <c r="H243" s="70">
        <f t="shared" si="29"/>
        <v>59</v>
      </c>
      <c r="I243" s="77">
        <f t="shared" si="25"/>
        <v>49.9880000000002</v>
      </c>
      <c r="J243" s="70">
        <f t="shared" si="28"/>
        <v>28</v>
      </c>
      <c r="K243" s="77">
        <f t="shared" si="26"/>
        <v>58.5580000000001</v>
      </c>
      <c r="L243" s="78">
        <v>0.375</v>
      </c>
      <c r="M243" s="14">
        <v>2.3</v>
      </c>
      <c r="N243" s="24"/>
      <c r="O243" s="14">
        <v>14</v>
      </c>
      <c r="P243" s="14"/>
      <c r="Q243" s="24"/>
      <c r="R243" s="14"/>
      <c r="S243" s="14"/>
      <c r="T243" s="14"/>
      <c r="U243" s="80"/>
      <c r="V243" s="82"/>
      <c r="W243" s="82"/>
      <c r="X243" s="82"/>
      <c r="Y243" s="81"/>
      <c r="Z243" s="81"/>
      <c r="AA243" s="81"/>
      <c r="AB243" s="81"/>
      <c r="AC243" s="82" t="s">
        <v>823</v>
      </c>
      <c r="AD243" s="82" t="s">
        <v>845</v>
      </c>
      <c r="AE243" s="84" t="s">
        <v>205</v>
      </c>
      <c r="AF243" s="84" t="s">
        <v>205</v>
      </c>
      <c r="AG243" s="84" t="s">
        <v>205</v>
      </c>
      <c r="AH243" s="82" t="s">
        <v>846</v>
      </c>
      <c r="AI243" s="91"/>
      <c r="AJ243" s="82" t="s">
        <v>847</v>
      </c>
      <c r="AK243" s="84" t="s">
        <v>205</v>
      </c>
      <c r="AL243" s="81" t="s">
        <v>819</v>
      </c>
      <c r="AM243" s="89" t="s">
        <v>820</v>
      </c>
      <c r="AN243" s="44">
        <v>1</v>
      </c>
      <c r="AO243" s="18">
        <v>1</v>
      </c>
      <c r="AP243" s="44">
        <v>2</v>
      </c>
      <c r="AQ243" s="44">
        <v>4</v>
      </c>
      <c r="AR243" s="44">
        <v>0</v>
      </c>
      <c r="AS243" s="44">
        <v>1</v>
      </c>
      <c r="AT243" s="18">
        <v>0</v>
      </c>
      <c r="AU243" s="18">
        <v>0</v>
      </c>
      <c r="AV243" s="44">
        <v>0</v>
      </c>
      <c r="AW243" s="18">
        <v>0</v>
      </c>
      <c r="AX243" s="44">
        <v>0</v>
      </c>
      <c r="AY243" s="44">
        <v>6</v>
      </c>
      <c r="AZ243" s="18">
        <v>0</v>
      </c>
      <c r="BA243" s="18">
        <v>0</v>
      </c>
      <c r="BB243" s="44">
        <v>1</v>
      </c>
      <c r="BC243" s="44">
        <v>5</v>
      </c>
      <c r="BD243" s="18">
        <v>0</v>
      </c>
      <c r="BE243" s="18">
        <v>0</v>
      </c>
      <c r="BF243" s="18">
        <v>0</v>
      </c>
      <c r="BG243" s="44">
        <v>2</v>
      </c>
      <c r="BH243" s="18">
        <v>0</v>
      </c>
      <c r="BI243" s="18">
        <v>0</v>
      </c>
      <c r="BJ243" s="18">
        <v>8</v>
      </c>
      <c r="BK243" s="18">
        <v>3</v>
      </c>
      <c r="BL243" s="18">
        <v>3</v>
      </c>
      <c r="BM243" s="18">
        <v>2</v>
      </c>
      <c r="BN243" s="18">
        <v>1</v>
      </c>
      <c r="BO243" s="18">
        <v>1</v>
      </c>
      <c r="BP243" s="18">
        <v>1</v>
      </c>
      <c r="BQ243" s="18">
        <v>4</v>
      </c>
      <c r="BR243" s="18">
        <v>0</v>
      </c>
      <c r="BS243" s="18">
        <v>0</v>
      </c>
      <c r="BT243" s="18">
        <v>0</v>
      </c>
      <c r="BU243" s="18">
        <v>0</v>
      </c>
      <c r="BV243" s="23">
        <f t="shared" si="24"/>
        <v>23</v>
      </c>
    </row>
    <row r="244" s="18" customFormat="1" spans="1:74">
      <c r="A244" s="24">
        <f t="shared" si="30"/>
        <v>22</v>
      </c>
      <c r="B244" s="75" t="s">
        <v>848</v>
      </c>
      <c r="C244" s="14" t="s">
        <v>849</v>
      </c>
      <c r="D244" s="67">
        <v>43738</v>
      </c>
      <c r="E244" s="24"/>
      <c r="F244" s="68">
        <v>59.8339166666667</v>
      </c>
      <c r="G244" s="69">
        <v>29.0136666666667</v>
      </c>
      <c r="H244" s="70">
        <f t="shared" si="29"/>
        <v>59</v>
      </c>
      <c r="I244" s="77">
        <f t="shared" si="25"/>
        <v>50.035</v>
      </c>
      <c r="J244" s="70">
        <f t="shared" si="28"/>
        <v>29</v>
      </c>
      <c r="K244" s="77">
        <f t="shared" si="26"/>
        <v>0.819999999999936</v>
      </c>
      <c r="L244" s="78">
        <v>0.5</v>
      </c>
      <c r="M244" s="14">
        <v>2.3</v>
      </c>
      <c r="N244" s="24"/>
      <c r="O244" s="14">
        <v>21</v>
      </c>
      <c r="P244" s="14"/>
      <c r="Q244" s="24"/>
      <c r="R244" s="14"/>
      <c r="S244" s="14"/>
      <c r="T244" s="14"/>
      <c r="U244" s="80"/>
      <c r="V244" s="82"/>
      <c r="W244" s="82"/>
      <c r="X244" s="82"/>
      <c r="Y244" s="81"/>
      <c r="Z244" s="81"/>
      <c r="AA244" s="81"/>
      <c r="AB244" s="81"/>
      <c r="AC244" s="82" t="s">
        <v>850</v>
      </c>
      <c r="AD244" s="82" t="s">
        <v>850</v>
      </c>
      <c r="AE244" s="84" t="s">
        <v>205</v>
      </c>
      <c r="AF244" s="84" t="s">
        <v>205</v>
      </c>
      <c r="AG244" s="84" t="s">
        <v>205</v>
      </c>
      <c r="AH244" s="82" t="s">
        <v>851</v>
      </c>
      <c r="AI244" s="91"/>
      <c r="AJ244" s="82" t="s">
        <v>847</v>
      </c>
      <c r="AK244" s="84" t="s">
        <v>205</v>
      </c>
      <c r="AL244" s="81" t="s">
        <v>819</v>
      </c>
      <c r="AM244" s="89" t="s">
        <v>852</v>
      </c>
      <c r="AN244" s="44">
        <v>0</v>
      </c>
      <c r="AO244" s="18">
        <v>2</v>
      </c>
      <c r="AP244" s="44">
        <v>10</v>
      </c>
      <c r="AQ244" s="44">
        <v>1</v>
      </c>
      <c r="AR244" s="44">
        <v>0</v>
      </c>
      <c r="AS244" s="44">
        <v>10</v>
      </c>
      <c r="AT244" s="18">
        <v>0</v>
      </c>
      <c r="AU244" s="18">
        <v>0</v>
      </c>
      <c r="AV244" s="44">
        <v>0</v>
      </c>
      <c r="AW244" s="18">
        <v>0</v>
      </c>
      <c r="AX244" s="44">
        <v>0</v>
      </c>
      <c r="AY244" s="44">
        <v>10</v>
      </c>
      <c r="AZ244" s="18">
        <v>0</v>
      </c>
      <c r="BA244" s="18">
        <v>0</v>
      </c>
      <c r="BB244" s="44">
        <v>1</v>
      </c>
      <c r="BC244" s="44">
        <v>2</v>
      </c>
      <c r="BD244" s="18">
        <v>0</v>
      </c>
      <c r="BE244" s="18">
        <v>0</v>
      </c>
      <c r="BF244" s="18">
        <v>0</v>
      </c>
      <c r="BG244" s="44">
        <v>2</v>
      </c>
      <c r="BH244" s="18">
        <v>0</v>
      </c>
      <c r="BI244" s="18">
        <v>0</v>
      </c>
      <c r="BJ244" s="18">
        <v>9</v>
      </c>
      <c r="BK244" s="18">
        <v>10</v>
      </c>
      <c r="BL244" s="18">
        <v>3</v>
      </c>
      <c r="BM244" s="18">
        <v>1</v>
      </c>
      <c r="BN244" s="18">
        <v>1</v>
      </c>
      <c r="BO244" s="18">
        <v>1</v>
      </c>
      <c r="BP244" s="18">
        <v>2</v>
      </c>
      <c r="BQ244" s="18">
        <v>4</v>
      </c>
      <c r="BR244" s="18">
        <v>2</v>
      </c>
      <c r="BS244" s="18">
        <v>0</v>
      </c>
      <c r="BT244" s="18">
        <v>0</v>
      </c>
      <c r="BU244" s="18">
        <v>0</v>
      </c>
      <c r="BV244" s="23">
        <f t="shared" si="24"/>
        <v>29</v>
      </c>
    </row>
    <row r="245" s="18" customFormat="1" spans="1:74">
      <c r="A245" s="24">
        <f t="shared" si="30"/>
        <v>23</v>
      </c>
      <c r="B245" s="75" t="s">
        <v>853</v>
      </c>
      <c r="C245" s="14" t="s">
        <v>854</v>
      </c>
      <c r="D245" s="67">
        <v>43738</v>
      </c>
      <c r="E245" s="24"/>
      <c r="F245" s="68">
        <v>59.8339166666667</v>
      </c>
      <c r="G245" s="69">
        <v>29.0136666666667</v>
      </c>
      <c r="H245" s="70">
        <f t="shared" si="29"/>
        <v>59</v>
      </c>
      <c r="I245" s="77">
        <f t="shared" si="25"/>
        <v>50.035</v>
      </c>
      <c r="J245" s="70">
        <f t="shared" si="28"/>
        <v>29</v>
      </c>
      <c r="K245" s="77">
        <f t="shared" si="26"/>
        <v>0.819999999999936</v>
      </c>
      <c r="L245" s="78">
        <v>2.3</v>
      </c>
      <c r="M245" s="14">
        <v>2.3</v>
      </c>
      <c r="N245" s="24"/>
      <c r="O245" s="14">
        <v>20</v>
      </c>
      <c r="P245" s="14"/>
      <c r="Q245" s="24"/>
      <c r="R245" s="14"/>
      <c r="S245" s="14"/>
      <c r="T245" s="14"/>
      <c r="U245" s="80"/>
      <c r="V245" s="82"/>
      <c r="W245" s="82"/>
      <c r="X245" s="82"/>
      <c r="Y245" s="81"/>
      <c r="Z245" s="81"/>
      <c r="AA245" s="81"/>
      <c r="AB245" s="81"/>
      <c r="AC245" s="82" t="s">
        <v>855</v>
      </c>
      <c r="AD245" s="82" t="s">
        <v>856</v>
      </c>
      <c r="AE245" s="84" t="s">
        <v>122</v>
      </c>
      <c r="AF245" s="84" t="s">
        <v>122</v>
      </c>
      <c r="AG245" s="84" t="s">
        <v>857</v>
      </c>
      <c r="AH245" s="82" t="s">
        <v>846</v>
      </c>
      <c r="AI245" s="91"/>
      <c r="AJ245" s="82" t="s">
        <v>847</v>
      </c>
      <c r="AK245" s="84" t="s">
        <v>205</v>
      </c>
      <c r="AL245" s="81" t="s">
        <v>819</v>
      </c>
      <c r="AM245" s="89" t="s">
        <v>852</v>
      </c>
      <c r="AN245" s="44">
        <v>0</v>
      </c>
      <c r="AO245" s="18">
        <v>1</v>
      </c>
      <c r="AP245" s="44">
        <v>6</v>
      </c>
      <c r="AQ245" s="44">
        <v>0</v>
      </c>
      <c r="AR245" s="44">
        <v>0</v>
      </c>
      <c r="AS245" s="44">
        <v>5</v>
      </c>
      <c r="AT245" s="18">
        <v>0</v>
      </c>
      <c r="AU245" s="18">
        <v>0</v>
      </c>
      <c r="AV245" s="44">
        <v>5</v>
      </c>
      <c r="AW245" s="18">
        <v>0</v>
      </c>
      <c r="AX245" s="44">
        <v>0</v>
      </c>
      <c r="AY245" s="44">
        <v>10</v>
      </c>
      <c r="AZ245" s="18">
        <v>0</v>
      </c>
      <c r="BA245" s="18">
        <v>0</v>
      </c>
      <c r="BB245" s="44">
        <v>2</v>
      </c>
      <c r="BC245" s="44">
        <v>10</v>
      </c>
      <c r="BD245" s="18">
        <v>0</v>
      </c>
      <c r="BE245" s="18">
        <v>0</v>
      </c>
      <c r="BF245" s="18">
        <v>2</v>
      </c>
      <c r="BG245" s="44">
        <v>10</v>
      </c>
      <c r="BH245" s="18">
        <v>0</v>
      </c>
      <c r="BI245" s="18">
        <v>0</v>
      </c>
      <c r="BJ245" s="18">
        <v>9</v>
      </c>
      <c r="BK245" s="18">
        <v>10</v>
      </c>
      <c r="BL245" s="18">
        <v>3</v>
      </c>
      <c r="BM245" s="18">
        <v>2</v>
      </c>
      <c r="BN245" s="18">
        <v>1</v>
      </c>
      <c r="BO245" s="18">
        <v>1</v>
      </c>
      <c r="BP245" s="18">
        <v>2</v>
      </c>
      <c r="BQ245" s="18">
        <v>3</v>
      </c>
      <c r="BR245" s="18">
        <v>2</v>
      </c>
      <c r="BS245" s="18">
        <v>0</v>
      </c>
      <c r="BT245" s="18">
        <v>0</v>
      </c>
      <c r="BU245" s="18">
        <v>0</v>
      </c>
      <c r="BV245" s="23">
        <f t="shared" si="24"/>
        <v>29</v>
      </c>
    </row>
    <row r="246" s="18" customFormat="1" spans="1:74">
      <c r="A246" s="24">
        <f t="shared" si="30"/>
        <v>24</v>
      </c>
      <c r="B246" s="14" t="s">
        <v>858</v>
      </c>
      <c r="C246" s="14" t="s">
        <v>859</v>
      </c>
      <c r="D246" s="67">
        <v>43738</v>
      </c>
      <c r="E246" s="24"/>
      <c r="F246" s="68">
        <v>59.8322333333333</v>
      </c>
      <c r="G246" s="69">
        <v>29.0108833333333</v>
      </c>
      <c r="H246" s="70">
        <f t="shared" si="29"/>
        <v>59</v>
      </c>
      <c r="I246" s="77">
        <f t="shared" si="25"/>
        <v>49.9340000000001</v>
      </c>
      <c r="J246" s="70">
        <f t="shared" si="28"/>
        <v>29</v>
      </c>
      <c r="K246" s="77">
        <f t="shared" si="26"/>
        <v>0.652999999999935</v>
      </c>
      <c r="L246" s="78">
        <v>2</v>
      </c>
      <c r="M246" s="14">
        <v>2.3</v>
      </c>
      <c r="N246" s="24"/>
      <c r="O246" s="14">
        <v>20</v>
      </c>
      <c r="P246" s="14"/>
      <c r="Q246" s="24"/>
      <c r="R246" s="14"/>
      <c r="S246" s="14"/>
      <c r="T246" s="14"/>
      <c r="U246" s="80"/>
      <c r="V246" s="82"/>
      <c r="W246" s="82"/>
      <c r="X246" s="82"/>
      <c r="Y246" s="81"/>
      <c r="Z246" s="81"/>
      <c r="AA246" s="81"/>
      <c r="AB246" s="81"/>
      <c r="AC246" s="82" t="s">
        <v>855</v>
      </c>
      <c r="AD246" s="82" t="s">
        <v>860</v>
      </c>
      <c r="AE246" s="84" t="s">
        <v>205</v>
      </c>
      <c r="AF246" s="84" t="s">
        <v>205</v>
      </c>
      <c r="AG246" s="84" t="s">
        <v>861</v>
      </c>
      <c r="AH246" s="82" t="s">
        <v>862</v>
      </c>
      <c r="AI246" s="91"/>
      <c r="AJ246" s="82" t="s">
        <v>847</v>
      </c>
      <c r="AK246" s="84" t="s">
        <v>205</v>
      </c>
      <c r="AL246" s="81" t="s">
        <v>819</v>
      </c>
      <c r="AM246" s="89" t="s">
        <v>852</v>
      </c>
      <c r="AN246" s="44">
        <v>0</v>
      </c>
      <c r="AO246" s="18">
        <v>0</v>
      </c>
      <c r="AP246" s="44">
        <v>3</v>
      </c>
      <c r="AQ246" s="44">
        <v>0</v>
      </c>
      <c r="AR246" s="44">
        <v>0</v>
      </c>
      <c r="AS246" s="44">
        <v>3</v>
      </c>
      <c r="AT246" s="18">
        <v>0</v>
      </c>
      <c r="AU246" s="18">
        <v>0</v>
      </c>
      <c r="AV246" s="44">
        <v>5</v>
      </c>
      <c r="AW246" s="18">
        <v>0</v>
      </c>
      <c r="AX246" s="44">
        <v>0</v>
      </c>
      <c r="AY246" s="44">
        <v>4</v>
      </c>
      <c r="AZ246" s="18">
        <v>0</v>
      </c>
      <c r="BA246" s="18">
        <v>0</v>
      </c>
      <c r="BB246" s="44">
        <v>1</v>
      </c>
      <c r="BC246" s="44">
        <v>5</v>
      </c>
      <c r="BD246" s="18">
        <v>0</v>
      </c>
      <c r="BE246" s="18">
        <v>0</v>
      </c>
      <c r="BF246" s="18">
        <v>0</v>
      </c>
      <c r="BG246" s="44">
        <v>10</v>
      </c>
      <c r="BH246" s="18">
        <v>0</v>
      </c>
      <c r="BI246" s="18">
        <v>0</v>
      </c>
      <c r="BJ246" s="18">
        <v>9</v>
      </c>
      <c r="BK246" s="18">
        <v>6</v>
      </c>
      <c r="BL246" s="18">
        <v>3</v>
      </c>
      <c r="BM246" s="18">
        <v>2</v>
      </c>
      <c r="BN246" s="18">
        <v>1</v>
      </c>
      <c r="BO246" s="18">
        <v>1</v>
      </c>
      <c r="BP246" s="18">
        <v>2</v>
      </c>
      <c r="BQ246" s="18">
        <v>3</v>
      </c>
      <c r="BR246" s="18">
        <v>2</v>
      </c>
      <c r="BS246" s="18">
        <v>0</v>
      </c>
      <c r="BT246" s="18">
        <v>0</v>
      </c>
      <c r="BU246" s="18">
        <v>0</v>
      </c>
      <c r="BV246" s="23">
        <f t="shared" si="24"/>
        <v>25</v>
      </c>
    </row>
    <row r="247" s="18" customFormat="1" spans="1:74">
      <c r="A247" s="24">
        <f t="shared" si="30"/>
        <v>25</v>
      </c>
      <c r="B247" s="14" t="s">
        <v>863</v>
      </c>
      <c r="C247" s="14" t="s">
        <v>864</v>
      </c>
      <c r="D247" s="67">
        <v>43738</v>
      </c>
      <c r="E247" s="24"/>
      <c r="F247" s="68">
        <v>59.8393833333333</v>
      </c>
      <c r="G247" s="69">
        <v>29.0233166666667</v>
      </c>
      <c r="H247" s="70">
        <f t="shared" si="29"/>
        <v>59</v>
      </c>
      <c r="I247" s="77">
        <f t="shared" si="25"/>
        <v>50.3629999999998</v>
      </c>
      <c r="J247" s="70">
        <f t="shared" si="28"/>
        <v>29</v>
      </c>
      <c r="K247" s="77">
        <f t="shared" si="26"/>
        <v>1.39899999999997</v>
      </c>
      <c r="L247" s="78">
        <v>4.5</v>
      </c>
      <c r="M247" s="14">
        <v>2.14</v>
      </c>
      <c r="N247" s="24"/>
      <c r="O247" s="14">
        <v>13</v>
      </c>
      <c r="P247" s="14"/>
      <c r="Q247" s="24"/>
      <c r="R247" s="14"/>
      <c r="S247" s="14"/>
      <c r="T247" s="14"/>
      <c r="U247" s="80"/>
      <c r="V247" s="82"/>
      <c r="W247" s="82"/>
      <c r="X247" s="82"/>
      <c r="Y247" s="81"/>
      <c r="Z247" s="81"/>
      <c r="AA247" s="81"/>
      <c r="AB247" s="81"/>
      <c r="AC247" s="82" t="s">
        <v>855</v>
      </c>
      <c r="AD247" s="82" t="s">
        <v>865</v>
      </c>
      <c r="AE247" s="84" t="s">
        <v>205</v>
      </c>
      <c r="AF247" s="84" t="s">
        <v>205</v>
      </c>
      <c r="AG247" s="84" t="s">
        <v>861</v>
      </c>
      <c r="AH247" s="82" t="s">
        <v>866</v>
      </c>
      <c r="AI247" s="91"/>
      <c r="AJ247" s="82" t="s">
        <v>847</v>
      </c>
      <c r="AK247" s="84" t="s">
        <v>205</v>
      </c>
      <c r="AL247" s="81" t="s">
        <v>819</v>
      </c>
      <c r="AM247" s="89" t="s">
        <v>852</v>
      </c>
      <c r="AN247" s="44">
        <v>0</v>
      </c>
      <c r="AO247" s="18">
        <v>3</v>
      </c>
      <c r="AP247" s="44">
        <v>3</v>
      </c>
      <c r="AQ247" s="44">
        <v>0</v>
      </c>
      <c r="AR247" s="44">
        <v>0</v>
      </c>
      <c r="AS247" s="44">
        <v>3</v>
      </c>
      <c r="AT247" s="18">
        <v>0</v>
      </c>
      <c r="AU247" s="18">
        <v>1</v>
      </c>
      <c r="AV247" s="44">
        <v>3</v>
      </c>
      <c r="AW247" s="18">
        <v>0</v>
      </c>
      <c r="AX247" s="44">
        <v>0</v>
      </c>
      <c r="AY247" s="44">
        <v>3</v>
      </c>
      <c r="AZ247" s="18">
        <v>0</v>
      </c>
      <c r="BA247" s="18">
        <v>0</v>
      </c>
      <c r="BB247" s="44">
        <v>1</v>
      </c>
      <c r="BC247" s="44">
        <v>5</v>
      </c>
      <c r="BD247" s="18">
        <v>0</v>
      </c>
      <c r="BE247" s="18">
        <v>0</v>
      </c>
      <c r="BF247" s="18">
        <v>0</v>
      </c>
      <c r="BG247" s="44">
        <v>5</v>
      </c>
      <c r="BH247" s="18">
        <v>0</v>
      </c>
      <c r="BI247" s="18">
        <v>0</v>
      </c>
      <c r="BJ247" s="18">
        <v>8</v>
      </c>
      <c r="BK247" s="18">
        <v>5</v>
      </c>
      <c r="BL247" s="18">
        <v>3</v>
      </c>
      <c r="BM247" s="18">
        <v>2</v>
      </c>
      <c r="BN247" s="18">
        <v>1</v>
      </c>
      <c r="BO247" s="18">
        <v>1</v>
      </c>
      <c r="BP247" s="18">
        <v>2</v>
      </c>
      <c r="BQ247" s="18">
        <v>3</v>
      </c>
      <c r="BR247" s="18">
        <v>2</v>
      </c>
      <c r="BS247" s="18">
        <v>0</v>
      </c>
      <c r="BT247" s="18">
        <v>0</v>
      </c>
      <c r="BU247" s="18">
        <v>0</v>
      </c>
      <c r="BV247" s="23">
        <f t="shared" si="24"/>
        <v>23</v>
      </c>
    </row>
    <row r="248" s="18" customFormat="1" spans="1:74">
      <c r="A248" s="24">
        <f t="shared" si="30"/>
        <v>26</v>
      </c>
      <c r="B248" s="14" t="s">
        <v>867</v>
      </c>
      <c r="C248" s="14" t="s">
        <v>868</v>
      </c>
      <c r="D248" s="67">
        <v>43738</v>
      </c>
      <c r="E248" s="24"/>
      <c r="F248" s="68">
        <v>59.8486833333333</v>
      </c>
      <c r="G248" s="69">
        <v>29.0061</v>
      </c>
      <c r="H248" s="70">
        <f t="shared" si="29"/>
        <v>59</v>
      </c>
      <c r="I248" s="77">
        <f t="shared" si="25"/>
        <v>50.921</v>
      </c>
      <c r="J248" s="70">
        <f t="shared" si="28"/>
        <v>29</v>
      </c>
      <c r="K248" s="77">
        <f t="shared" si="26"/>
        <v>0.366</v>
      </c>
      <c r="L248" s="79">
        <v>0.7</v>
      </c>
      <c r="M248" s="14">
        <v>2.5</v>
      </c>
      <c r="N248" s="24"/>
      <c r="O248" s="14">
        <v>13</v>
      </c>
      <c r="P248" s="14"/>
      <c r="Q248" s="24"/>
      <c r="R248" s="14"/>
      <c r="S248" s="14"/>
      <c r="T248" s="14"/>
      <c r="U248" s="80"/>
      <c r="V248" s="82"/>
      <c r="W248" s="82"/>
      <c r="X248" s="82"/>
      <c r="Y248" s="81"/>
      <c r="Z248" s="81"/>
      <c r="AA248" s="81"/>
      <c r="AB248" s="81"/>
      <c r="AC248" s="82" t="s">
        <v>869</v>
      </c>
      <c r="AD248" s="82"/>
      <c r="AE248" s="84" t="s">
        <v>205</v>
      </c>
      <c r="AF248" s="84" t="s">
        <v>205</v>
      </c>
      <c r="AG248" s="84" t="s">
        <v>205</v>
      </c>
      <c r="AH248" s="82" t="s">
        <v>870</v>
      </c>
      <c r="AI248" s="91"/>
      <c r="AJ248" s="82" t="s">
        <v>847</v>
      </c>
      <c r="AK248" s="84" t="s">
        <v>205</v>
      </c>
      <c r="AL248" s="81" t="s">
        <v>819</v>
      </c>
      <c r="AM248" s="89" t="s">
        <v>852</v>
      </c>
      <c r="AN248" s="44">
        <v>5</v>
      </c>
      <c r="AO248" s="18">
        <v>0</v>
      </c>
      <c r="AP248" s="44">
        <v>5</v>
      </c>
      <c r="AQ248" s="44">
        <v>2</v>
      </c>
      <c r="AR248" s="44">
        <v>0</v>
      </c>
      <c r="AS248" s="44">
        <v>2</v>
      </c>
      <c r="AT248" s="18">
        <v>0</v>
      </c>
      <c r="AU248" s="18">
        <v>0</v>
      </c>
      <c r="AV248" s="44">
        <v>0</v>
      </c>
      <c r="AW248" s="18">
        <v>0</v>
      </c>
      <c r="AX248" s="44">
        <v>0</v>
      </c>
      <c r="AY248" s="44">
        <v>5</v>
      </c>
      <c r="AZ248" s="18">
        <v>0</v>
      </c>
      <c r="BA248" s="18">
        <v>0</v>
      </c>
      <c r="BB248" s="44">
        <v>0</v>
      </c>
      <c r="BC248" s="44">
        <v>0</v>
      </c>
      <c r="BD248" s="18">
        <v>0</v>
      </c>
      <c r="BE248" s="18">
        <v>0</v>
      </c>
      <c r="BF248" s="18">
        <v>0</v>
      </c>
      <c r="BG248" s="44">
        <v>0</v>
      </c>
      <c r="BH248" s="18">
        <v>0</v>
      </c>
      <c r="BI248" s="18">
        <v>0</v>
      </c>
      <c r="BJ248" s="18">
        <v>5</v>
      </c>
      <c r="BK248" s="18">
        <v>3</v>
      </c>
      <c r="BL248" s="18">
        <v>3</v>
      </c>
      <c r="BM248" s="18">
        <v>1</v>
      </c>
      <c r="BN248" s="18">
        <v>1</v>
      </c>
      <c r="BO248" s="18">
        <v>1</v>
      </c>
      <c r="BP248" s="18">
        <v>2</v>
      </c>
      <c r="BQ248" s="18">
        <v>2</v>
      </c>
      <c r="BR248" s="18">
        <v>2</v>
      </c>
      <c r="BS248" s="18">
        <v>0</v>
      </c>
      <c r="BT248" s="18">
        <v>0</v>
      </c>
      <c r="BU248" s="18">
        <v>0</v>
      </c>
      <c r="BV248" s="23">
        <f t="shared" si="24"/>
        <v>16</v>
      </c>
    </row>
    <row r="249" s="18" customFormat="1" spans="1:74">
      <c r="A249" s="24">
        <v>27</v>
      </c>
      <c r="B249" s="14" t="s">
        <v>871</v>
      </c>
      <c r="C249" s="14" t="s">
        <v>872</v>
      </c>
      <c r="D249" s="67">
        <v>43738</v>
      </c>
      <c r="E249" s="24"/>
      <c r="F249" s="68">
        <v>59.8566833333333</v>
      </c>
      <c r="G249" s="69">
        <v>29.0224333333333</v>
      </c>
      <c r="H249" s="70">
        <f t="shared" si="29"/>
        <v>59</v>
      </c>
      <c r="I249" s="77">
        <f t="shared" si="25"/>
        <v>51.4010000000002</v>
      </c>
      <c r="J249" s="70">
        <f t="shared" si="28"/>
        <v>29</v>
      </c>
      <c r="K249" s="77">
        <f t="shared" si="26"/>
        <v>1.34599999999992</v>
      </c>
      <c r="L249" s="78">
        <v>0.7</v>
      </c>
      <c r="M249" s="14">
        <v>2.2</v>
      </c>
      <c r="N249" s="24"/>
      <c r="O249" s="14">
        <v>14</v>
      </c>
      <c r="P249" s="14"/>
      <c r="Q249" s="24"/>
      <c r="R249" s="14"/>
      <c r="S249" s="14"/>
      <c r="T249" s="14"/>
      <c r="U249" s="80"/>
      <c r="V249" s="82"/>
      <c r="W249" s="82"/>
      <c r="X249" s="82"/>
      <c r="Y249" s="81"/>
      <c r="Z249" s="81"/>
      <c r="AA249" s="81"/>
      <c r="AB249" s="81"/>
      <c r="AC249" s="82" t="s">
        <v>869</v>
      </c>
      <c r="AD249" s="82"/>
      <c r="AE249" s="84" t="s">
        <v>205</v>
      </c>
      <c r="AF249" s="84" t="s">
        <v>205</v>
      </c>
      <c r="AG249" s="84" t="s">
        <v>205</v>
      </c>
      <c r="AH249" s="82" t="s">
        <v>870</v>
      </c>
      <c r="AI249" s="91"/>
      <c r="AJ249" s="82" t="s">
        <v>847</v>
      </c>
      <c r="AK249" s="84" t="s">
        <v>205</v>
      </c>
      <c r="AL249" s="81" t="s">
        <v>819</v>
      </c>
      <c r="AM249" s="89" t="s">
        <v>852</v>
      </c>
      <c r="AN249" s="44">
        <v>3</v>
      </c>
      <c r="AO249" s="18">
        <v>0</v>
      </c>
      <c r="AP249" s="44">
        <v>3</v>
      </c>
      <c r="AQ249" s="44">
        <v>2</v>
      </c>
      <c r="AR249" s="44">
        <v>0</v>
      </c>
      <c r="AS249" s="44">
        <v>2</v>
      </c>
      <c r="AT249" s="18">
        <v>0</v>
      </c>
      <c r="AU249" s="18">
        <v>0</v>
      </c>
      <c r="AV249" s="44">
        <v>0</v>
      </c>
      <c r="AW249" s="18">
        <v>0</v>
      </c>
      <c r="AX249" s="44">
        <v>0</v>
      </c>
      <c r="AY249" s="44">
        <v>3</v>
      </c>
      <c r="AZ249" s="18">
        <v>0</v>
      </c>
      <c r="BA249" s="18">
        <v>0</v>
      </c>
      <c r="BB249" s="44">
        <v>1</v>
      </c>
      <c r="BC249" s="44">
        <v>0</v>
      </c>
      <c r="BD249" s="18">
        <v>0</v>
      </c>
      <c r="BE249" s="18">
        <v>0</v>
      </c>
      <c r="BF249" s="18">
        <v>0</v>
      </c>
      <c r="BG249" s="44">
        <v>0</v>
      </c>
      <c r="BH249" s="18">
        <v>0</v>
      </c>
      <c r="BI249" s="18">
        <v>0</v>
      </c>
      <c r="BJ249" s="18">
        <v>6</v>
      </c>
      <c r="BK249" s="18">
        <v>2</v>
      </c>
      <c r="BL249" s="18">
        <v>3</v>
      </c>
      <c r="BM249" s="18">
        <v>1</v>
      </c>
      <c r="BN249" s="18">
        <v>1</v>
      </c>
      <c r="BO249" s="18">
        <v>1</v>
      </c>
      <c r="BP249" s="18">
        <v>2</v>
      </c>
      <c r="BQ249" s="18">
        <v>2</v>
      </c>
      <c r="BR249" s="18">
        <v>2</v>
      </c>
      <c r="BS249" s="18">
        <v>0</v>
      </c>
      <c r="BT249" s="18">
        <v>0</v>
      </c>
      <c r="BU249" s="18">
        <v>0</v>
      </c>
      <c r="BV249" s="23">
        <f t="shared" si="24"/>
        <v>16</v>
      </c>
    </row>
    <row r="250" s="18" customFormat="1" spans="1:74">
      <c r="A250" s="24">
        <v>28</v>
      </c>
      <c r="B250" s="14" t="s">
        <v>873</v>
      </c>
      <c r="C250" s="14" t="s">
        <v>874</v>
      </c>
      <c r="D250" s="67">
        <v>43738</v>
      </c>
      <c r="E250" s="24"/>
      <c r="F250" s="68">
        <v>59.8591333333333</v>
      </c>
      <c r="G250" s="69">
        <v>29.0495833333333</v>
      </c>
      <c r="H250" s="70">
        <f t="shared" si="29"/>
        <v>59</v>
      </c>
      <c r="I250" s="77">
        <f t="shared" si="25"/>
        <v>51.5479999999999</v>
      </c>
      <c r="J250" s="70">
        <f t="shared" si="28"/>
        <v>29</v>
      </c>
      <c r="K250" s="77">
        <f t="shared" si="26"/>
        <v>2.97500000000007</v>
      </c>
      <c r="L250" s="78">
        <v>2.2</v>
      </c>
      <c r="M250" s="14">
        <v>1.7</v>
      </c>
      <c r="N250" s="24"/>
      <c r="O250" s="14">
        <v>17</v>
      </c>
      <c r="P250" s="14"/>
      <c r="Q250" s="24"/>
      <c r="R250" s="14"/>
      <c r="S250" s="14"/>
      <c r="T250" s="14"/>
      <c r="U250" s="80"/>
      <c r="V250" s="82"/>
      <c r="W250" s="82"/>
      <c r="X250" s="82"/>
      <c r="Y250" s="81"/>
      <c r="Z250" s="81"/>
      <c r="AA250" s="81"/>
      <c r="AB250" s="81"/>
      <c r="AC250" s="82" t="s">
        <v>855</v>
      </c>
      <c r="AD250" s="82" t="s">
        <v>875</v>
      </c>
      <c r="AE250" s="84" t="s">
        <v>122</v>
      </c>
      <c r="AF250" s="84" t="s">
        <v>122</v>
      </c>
      <c r="AG250" s="84" t="s">
        <v>857</v>
      </c>
      <c r="AH250" s="82" t="s">
        <v>846</v>
      </c>
      <c r="AI250" s="91"/>
      <c r="AJ250" s="82" t="s">
        <v>847</v>
      </c>
      <c r="AK250" s="84" t="s">
        <v>205</v>
      </c>
      <c r="AL250" s="81" t="s">
        <v>819</v>
      </c>
      <c r="AM250" s="89" t="s">
        <v>852</v>
      </c>
      <c r="AN250" s="44">
        <v>0</v>
      </c>
      <c r="AO250" s="18">
        <v>1</v>
      </c>
      <c r="AP250" s="44">
        <v>5</v>
      </c>
      <c r="AQ250" s="44">
        <v>0</v>
      </c>
      <c r="AR250" s="44">
        <v>0</v>
      </c>
      <c r="AS250" s="44">
        <v>5</v>
      </c>
      <c r="AT250" s="18">
        <v>0</v>
      </c>
      <c r="AU250" s="18">
        <v>0</v>
      </c>
      <c r="AV250" s="44">
        <v>5</v>
      </c>
      <c r="AW250" s="18">
        <v>0</v>
      </c>
      <c r="AX250" s="44">
        <v>0</v>
      </c>
      <c r="AY250" s="44">
        <v>8</v>
      </c>
      <c r="AZ250" s="18">
        <v>0</v>
      </c>
      <c r="BA250" s="18">
        <v>0</v>
      </c>
      <c r="BB250" s="44">
        <v>2</v>
      </c>
      <c r="BC250" s="44">
        <v>10</v>
      </c>
      <c r="BD250" s="18">
        <v>0</v>
      </c>
      <c r="BE250" s="18">
        <v>0</v>
      </c>
      <c r="BF250" s="18">
        <v>0</v>
      </c>
      <c r="BG250" s="44">
        <v>10</v>
      </c>
      <c r="BH250" s="18">
        <v>0</v>
      </c>
      <c r="BI250" s="18">
        <v>0</v>
      </c>
      <c r="BJ250" s="18">
        <v>9</v>
      </c>
      <c r="BK250" s="18">
        <v>7</v>
      </c>
      <c r="BL250" s="18">
        <v>3</v>
      </c>
      <c r="BM250" s="18">
        <v>2</v>
      </c>
      <c r="BN250" s="18">
        <v>1</v>
      </c>
      <c r="BO250" s="18">
        <v>1</v>
      </c>
      <c r="BP250" s="18">
        <v>2</v>
      </c>
      <c r="BQ250" s="18">
        <v>4</v>
      </c>
      <c r="BR250" s="18">
        <v>2</v>
      </c>
      <c r="BS250" s="18">
        <v>0</v>
      </c>
      <c r="BT250" s="18">
        <v>0</v>
      </c>
      <c r="BU250" s="18">
        <v>0</v>
      </c>
      <c r="BV250" s="23">
        <f t="shared" si="24"/>
        <v>27</v>
      </c>
    </row>
    <row r="251" s="18" customFormat="1" spans="1:74">
      <c r="A251" s="24">
        <f t="shared" ref="A251:A257" si="31">A250+1</f>
        <v>29</v>
      </c>
      <c r="B251" s="14" t="s">
        <v>876</v>
      </c>
      <c r="C251" s="14" t="s">
        <v>877</v>
      </c>
      <c r="D251" s="67">
        <v>43738</v>
      </c>
      <c r="E251" s="24"/>
      <c r="F251" s="68">
        <v>59.8706</v>
      </c>
      <c r="G251" s="69">
        <v>29.0401333333333</v>
      </c>
      <c r="H251" s="70">
        <f t="shared" si="29"/>
        <v>59</v>
      </c>
      <c r="I251" s="77">
        <f t="shared" si="25"/>
        <v>52.2360000000002</v>
      </c>
      <c r="J251" s="70">
        <f t="shared" si="28"/>
        <v>29</v>
      </c>
      <c r="K251" s="77">
        <f t="shared" si="26"/>
        <v>2.408</v>
      </c>
      <c r="L251" s="78">
        <v>0.7</v>
      </c>
      <c r="M251" s="14">
        <v>2.2</v>
      </c>
      <c r="N251" s="24"/>
      <c r="O251" s="14">
        <v>18</v>
      </c>
      <c r="P251" s="14"/>
      <c r="Q251" s="24"/>
      <c r="R251" s="14"/>
      <c r="S251" s="14"/>
      <c r="T251" s="14"/>
      <c r="U251" s="80"/>
      <c r="V251" s="82"/>
      <c r="W251" s="82"/>
      <c r="X251" s="82"/>
      <c r="Y251" s="81"/>
      <c r="Z251" s="81"/>
      <c r="AA251" s="81"/>
      <c r="AB251" s="81"/>
      <c r="AC251" s="82" t="s">
        <v>878</v>
      </c>
      <c r="AD251" s="82"/>
      <c r="AE251" s="84" t="s">
        <v>205</v>
      </c>
      <c r="AF251" s="84" t="s">
        <v>205</v>
      </c>
      <c r="AG251" s="84" t="s">
        <v>205</v>
      </c>
      <c r="AH251" s="82" t="s">
        <v>870</v>
      </c>
      <c r="AI251" s="91"/>
      <c r="AJ251" s="82" t="s">
        <v>847</v>
      </c>
      <c r="AK251" s="84" t="s">
        <v>205</v>
      </c>
      <c r="AL251" s="81" t="s">
        <v>819</v>
      </c>
      <c r="AM251" s="89" t="s">
        <v>852</v>
      </c>
      <c r="AN251" s="44">
        <v>3</v>
      </c>
      <c r="AO251" s="18">
        <v>0</v>
      </c>
      <c r="AP251" s="44">
        <v>3</v>
      </c>
      <c r="AQ251" s="44">
        <v>1</v>
      </c>
      <c r="AR251" s="44">
        <v>0</v>
      </c>
      <c r="AS251" s="44">
        <v>3</v>
      </c>
      <c r="AT251" s="18">
        <v>0</v>
      </c>
      <c r="AU251" s="18">
        <v>0</v>
      </c>
      <c r="AV251" s="44">
        <v>0</v>
      </c>
      <c r="AW251" s="18">
        <v>0</v>
      </c>
      <c r="AX251" s="44">
        <v>0</v>
      </c>
      <c r="AY251" s="44">
        <v>2</v>
      </c>
      <c r="AZ251" s="18">
        <v>0</v>
      </c>
      <c r="BA251" s="18">
        <v>0</v>
      </c>
      <c r="BB251" s="44">
        <v>1</v>
      </c>
      <c r="BC251" s="44">
        <v>0</v>
      </c>
      <c r="BD251" s="18">
        <v>0</v>
      </c>
      <c r="BE251" s="18">
        <v>0</v>
      </c>
      <c r="BF251" s="18">
        <v>0</v>
      </c>
      <c r="BG251" s="44">
        <v>0</v>
      </c>
      <c r="BH251" s="18">
        <v>0</v>
      </c>
      <c r="BI251" s="18">
        <v>0</v>
      </c>
      <c r="BJ251" s="18">
        <v>7</v>
      </c>
      <c r="BK251" s="18">
        <v>3</v>
      </c>
      <c r="BL251" s="18">
        <v>3</v>
      </c>
      <c r="BM251" s="18">
        <v>1</v>
      </c>
      <c r="BN251" s="18">
        <v>1</v>
      </c>
      <c r="BO251" s="18">
        <v>1</v>
      </c>
      <c r="BP251" s="18">
        <v>1</v>
      </c>
      <c r="BQ251" s="18">
        <v>1</v>
      </c>
      <c r="BR251" s="18">
        <v>2</v>
      </c>
      <c r="BS251" s="18">
        <v>0</v>
      </c>
      <c r="BT251" s="18">
        <v>0</v>
      </c>
      <c r="BU251" s="18">
        <v>0</v>
      </c>
      <c r="BV251" s="23">
        <f t="shared" si="24"/>
        <v>16</v>
      </c>
    </row>
    <row r="252" s="18" customFormat="1" spans="1:74">
      <c r="A252" s="24">
        <v>30</v>
      </c>
      <c r="B252" s="14" t="s">
        <v>879</v>
      </c>
      <c r="C252" s="14" t="s">
        <v>880</v>
      </c>
      <c r="D252" s="67">
        <v>43738</v>
      </c>
      <c r="E252" s="24"/>
      <c r="F252" s="68">
        <v>59.89785</v>
      </c>
      <c r="G252" s="69">
        <v>29.01915</v>
      </c>
      <c r="H252" s="70">
        <f t="shared" si="29"/>
        <v>59</v>
      </c>
      <c r="I252" s="77">
        <f t="shared" si="25"/>
        <v>53.8709999999999</v>
      </c>
      <c r="J252" s="70">
        <f t="shared" si="28"/>
        <v>29</v>
      </c>
      <c r="K252" s="77">
        <f t="shared" si="26"/>
        <v>1.14899999999999</v>
      </c>
      <c r="L252" s="78">
        <v>4.2</v>
      </c>
      <c r="M252" s="14">
        <v>1.6</v>
      </c>
      <c r="N252" s="24"/>
      <c r="O252" s="14">
        <v>14</v>
      </c>
      <c r="P252" s="14"/>
      <c r="Q252" s="24"/>
      <c r="R252" s="14"/>
      <c r="S252" s="14"/>
      <c r="T252" s="14"/>
      <c r="U252" s="80"/>
      <c r="V252" s="82"/>
      <c r="W252" s="82"/>
      <c r="X252" s="82"/>
      <c r="Y252" s="81"/>
      <c r="Z252" s="81"/>
      <c r="AA252" s="81"/>
      <c r="AB252" s="81"/>
      <c r="AC252" s="82" t="s">
        <v>823</v>
      </c>
      <c r="AD252" s="82" t="s">
        <v>881</v>
      </c>
      <c r="AE252" s="84" t="s">
        <v>205</v>
      </c>
      <c r="AF252" s="84" t="s">
        <v>205</v>
      </c>
      <c r="AG252" s="84" t="s">
        <v>205</v>
      </c>
      <c r="AH252" s="82" t="s">
        <v>846</v>
      </c>
      <c r="AI252" s="91"/>
      <c r="AJ252" s="82" t="s">
        <v>847</v>
      </c>
      <c r="AK252" s="84" t="s">
        <v>205</v>
      </c>
      <c r="AL252" s="81" t="s">
        <v>819</v>
      </c>
      <c r="AM252" s="89" t="s">
        <v>852</v>
      </c>
      <c r="AN252" s="44">
        <v>5</v>
      </c>
      <c r="AO252" s="18">
        <v>4</v>
      </c>
      <c r="AP252" s="44">
        <v>3</v>
      </c>
      <c r="AQ252" s="44">
        <v>4</v>
      </c>
      <c r="AR252" s="44">
        <v>0</v>
      </c>
      <c r="AS252" s="44">
        <v>2</v>
      </c>
      <c r="AT252" s="18">
        <v>0</v>
      </c>
      <c r="AU252" s="18">
        <v>0</v>
      </c>
      <c r="AV252" s="44">
        <v>0</v>
      </c>
      <c r="AW252" s="18">
        <v>0</v>
      </c>
      <c r="AX252" s="44">
        <v>0</v>
      </c>
      <c r="AY252" s="44">
        <v>3</v>
      </c>
      <c r="AZ252" s="18">
        <v>0</v>
      </c>
      <c r="BA252" s="18">
        <v>0</v>
      </c>
      <c r="BB252" s="44">
        <v>2</v>
      </c>
      <c r="BC252" s="44">
        <v>3</v>
      </c>
      <c r="BD252" s="18">
        <v>0</v>
      </c>
      <c r="BE252" s="18">
        <v>0</v>
      </c>
      <c r="BF252" s="18">
        <v>0</v>
      </c>
      <c r="BG252" s="44">
        <v>0</v>
      </c>
      <c r="BH252" s="18">
        <v>0</v>
      </c>
      <c r="BI252" s="18">
        <v>0</v>
      </c>
      <c r="BJ252" s="18">
        <v>8</v>
      </c>
      <c r="BK252" s="18">
        <v>3</v>
      </c>
      <c r="BL252" s="18">
        <v>3</v>
      </c>
      <c r="BM252" s="18">
        <v>2</v>
      </c>
      <c r="BN252" s="18">
        <v>1</v>
      </c>
      <c r="BO252" s="18">
        <v>1</v>
      </c>
      <c r="BP252" s="18">
        <v>1</v>
      </c>
      <c r="BQ252" s="18">
        <v>1</v>
      </c>
      <c r="BR252" s="18">
        <v>0</v>
      </c>
      <c r="BS252" s="18">
        <v>0</v>
      </c>
      <c r="BT252" s="18">
        <v>0</v>
      </c>
      <c r="BU252" s="18">
        <v>0</v>
      </c>
      <c r="BV252" s="23">
        <f t="shared" si="24"/>
        <v>20</v>
      </c>
    </row>
    <row r="253" s="18" customFormat="1" spans="1:74">
      <c r="A253" s="24">
        <f t="shared" si="31"/>
        <v>31</v>
      </c>
      <c r="B253" s="14" t="s">
        <v>882</v>
      </c>
      <c r="C253" s="14" t="s">
        <v>883</v>
      </c>
      <c r="D253" s="67">
        <v>43738</v>
      </c>
      <c r="E253" s="24"/>
      <c r="F253" s="68">
        <v>59.8790833333333</v>
      </c>
      <c r="G253" s="69">
        <v>28.9565166666667</v>
      </c>
      <c r="H253" s="70">
        <f t="shared" si="29"/>
        <v>59</v>
      </c>
      <c r="I253" s="77">
        <f t="shared" si="25"/>
        <v>52.745</v>
      </c>
      <c r="J253" s="70">
        <f t="shared" si="28"/>
        <v>28</v>
      </c>
      <c r="K253" s="77">
        <f t="shared" si="26"/>
        <v>57.3909999999999</v>
      </c>
      <c r="L253" s="78">
        <v>12.8</v>
      </c>
      <c r="M253" s="14">
        <v>2.5</v>
      </c>
      <c r="N253" s="24"/>
      <c r="O253" s="14">
        <v>12</v>
      </c>
      <c r="P253" s="14"/>
      <c r="Q253" s="24"/>
      <c r="R253" s="14"/>
      <c r="S253" s="14"/>
      <c r="T253" s="14"/>
      <c r="U253" s="80"/>
      <c r="V253" s="82"/>
      <c r="W253" s="82"/>
      <c r="X253" s="82"/>
      <c r="Y253" s="81"/>
      <c r="Z253" s="81"/>
      <c r="AA253" s="81"/>
      <c r="AB253" s="81"/>
      <c r="AC253" s="82" t="s">
        <v>884</v>
      </c>
      <c r="AD253" s="82" t="s">
        <v>885</v>
      </c>
      <c r="AE253" s="84" t="s">
        <v>205</v>
      </c>
      <c r="AF253" s="84" t="s">
        <v>205</v>
      </c>
      <c r="AG253" s="84" t="s">
        <v>205</v>
      </c>
      <c r="AH253" s="82" t="s">
        <v>846</v>
      </c>
      <c r="AI253" s="91"/>
      <c r="AJ253" s="82" t="s">
        <v>847</v>
      </c>
      <c r="AK253" s="84" t="s">
        <v>205</v>
      </c>
      <c r="AL253" s="81" t="s">
        <v>819</v>
      </c>
      <c r="AM253" s="89" t="s">
        <v>852</v>
      </c>
      <c r="AN253" s="44">
        <v>1</v>
      </c>
      <c r="AO253" s="18">
        <v>0</v>
      </c>
      <c r="AP253" s="44">
        <v>1</v>
      </c>
      <c r="AQ253" s="44">
        <v>1</v>
      </c>
      <c r="AR253" s="44">
        <v>0</v>
      </c>
      <c r="AS253" s="44">
        <v>0</v>
      </c>
      <c r="AT253" s="18">
        <v>0</v>
      </c>
      <c r="AU253" s="18">
        <v>0</v>
      </c>
      <c r="AV253" s="44">
        <v>0</v>
      </c>
      <c r="AW253" s="18">
        <v>0</v>
      </c>
      <c r="AX253" s="44">
        <v>0</v>
      </c>
      <c r="AY253" s="44">
        <v>0</v>
      </c>
      <c r="AZ253" s="18">
        <v>0</v>
      </c>
      <c r="BA253" s="18">
        <v>0</v>
      </c>
      <c r="BB253" s="44">
        <v>0</v>
      </c>
      <c r="BC253" s="44">
        <v>0</v>
      </c>
      <c r="BD253" s="18">
        <v>0</v>
      </c>
      <c r="BE253" s="18">
        <v>0</v>
      </c>
      <c r="BF253" s="18">
        <v>0</v>
      </c>
      <c r="BG253" s="44">
        <v>0</v>
      </c>
      <c r="BH253" s="18">
        <v>0</v>
      </c>
      <c r="BI253" s="18">
        <v>0</v>
      </c>
      <c r="BJ253" s="18">
        <v>3</v>
      </c>
      <c r="BK253" s="18">
        <v>1</v>
      </c>
      <c r="BL253" s="18">
        <v>3</v>
      </c>
      <c r="BM253" s="18">
        <v>1</v>
      </c>
      <c r="BN253" s="18">
        <v>0</v>
      </c>
      <c r="BO253" s="18">
        <v>0</v>
      </c>
      <c r="BP253" s="18">
        <v>1</v>
      </c>
      <c r="BQ253" s="18">
        <v>2</v>
      </c>
      <c r="BR253" s="18">
        <v>0</v>
      </c>
      <c r="BS253" s="18">
        <v>0</v>
      </c>
      <c r="BT253" s="18">
        <v>0</v>
      </c>
      <c r="BU253" s="18">
        <v>0</v>
      </c>
      <c r="BV253" s="23">
        <f t="shared" si="24"/>
        <v>11</v>
      </c>
    </row>
    <row r="254" s="18" customFormat="1" spans="1:74">
      <c r="A254" s="24">
        <f t="shared" si="31"/>
        <v>32</v>
      </c>
      <c r="B254" s="14" t="s">
        <v>886</v>
      </c>
      <c r="C254" s="14" t="s">
        <v>887</v>
      </c>
      <c r="D254" s="67">
        <v>43738</v>
      </c>
      <c r="E254" s="24"/>
      <c r="F254" s="68">
        <v>59.85235</v>
      </c>
      <c r="G254" s="69">
        <v>29.0404166666667</v>
      </c>
      <c r="H254" s="70">
        <f t="shared" si="29"/>
        <v>59</v>
      </c>
      <c r="I254" s="77">
        <f t="shared" si="25"/>
        <v>51.1410000000001</v>
      </c>
      <c r="J254" s="70">
        <f t="shared" si="28"/>
        <v>29</v>
      </c>
      <c r="K254" s="77">
        <f t="shared" si="26"/>
        <v>2.42499999999993</v>
      </c>
      <c r="L254" s="78">
        <v>5.5</v>
      </c>
      <c r="M254" s="14">
        <v>2</v>
      </c>
      <c r="N254" s="24"/>
      <c r="O254" s="14">
        <v>13</v>
      </c>
      <c r="P254" s="14"/>
      <c r="Q254" s="24"/>
      <c r="R254" s="14"/>
      <c r="S254" s="14"/>
      <c r="T254" s="14"/>
      <c r="U254" s="80"/>
      <c r="V254" s="82"/>
      <c r="W254" s="82"/>
      <c r="X254" s="82"/>
      <c r="Y254" s="81"/>
      <c r="Z254" s="81"/>
      <c r="AA254" s="81"/>
      <c r="AB254" s="81"/>
      <c r="AC254" s="82" t="s">
        <v>884</v>
      </c>
      <c r="AD254" s="82" t="s">
        <v>888</v>
      </c>
      <c r="AE254" s="84" t="s">
        <v>122</v>
      </c>
      <c r="AF254" s="84" t="s">
        <v>122</v>
      </c>
      <c r="AG254" s="84" t="s">
        <v>857</v>
      </c>
      <c r="AH254" s="82" t="s">
        <v>846</v>
      </c>
      <c r="AI254" s="91"/>
      <c r="AJ254" s="82" t="s">
        <v>847</v>
      </c>
      <c r="AK254" s="84" t="s">
        <v>205</v>
      </c>
      <c r="AL254" s="81" t="s">
        <v>819</v>
      </c>
      <c r="AM254" s="89" t="s">
        <v>770</v>
      </c>
      <c r="AN254" s="44">
        <v>0</v>
      </c>
      <c r="AO254" s="18">
        <v>1</v>
      </c>
      <c r="AP254" s="44">
        <v>2</v>
      </c>
      <c r="AQ254" s="44">
        <v>0</v>
      </c>
      <c r="AR254" s="44">
        <v>0</v>
      </c>
      <c r="AS254" s="44">
        <v>1</v>
      </c>
      <c r="AT254" s="18">
        <v>0</v>
      </c>
      <c r="AU254" s="18">
        <v>0</v>
      </c>
      <c r="AV254" s="44">
        <v>1</v>
      </c>
      <c r="AW254" s="18">
        <v>0</v>
      </c>
      <c r="AX254" s="44">
        <v>0</v>
      </c>
      <c r="AY254" s="44">
        <v>3</v>
      </c>
      <c r="AZ254" s="18">
        <v>0</v>
      </c>
      <c r="BA254" s="18">
        <v>0</v>
      </c>
      <c r="BB254" s="44">
        <v>1</v>
      </c>
      <c r="BC254" s="44">
        <v>5</v>
      </c>
      <c r="BD254" s="18">
        <v>0</v>
      </c>
      <c r="BE254" s="18">
        <v>0</v>
      </c>
      <c r="BF254" s="18">
        <v>0</v>
      </c>
      <c r="BG254" s="44">
        <v>2</v>
      </c>
      <c r="BH254" s="18">
        <v>0</v>
      </c>
      <c r="BI254" s="18">
        <v>0</v>
      </c>
      <c r="BJ254" s="18">
        <v>8</v>
      </c>
      <c r="BK254" s="18">
        <v>2</v>
      </c>
      <c r="BL254" s="18">
        <v>3</v>
      </c>
      <c r="BM254" s="18">
        <v>2</v>
      </c>
      <c r="BN254" s="18">
        <v>1</v>
      </c>
      <c r="BO254" s="18">
        <v>1</v>
      </c>
      <c r="BP254" s="18">
        <v>1</v>
      </c>
      <c r="BQ254" s="18">
        <v>3</v>
      </c>
      <c r="BR254" s="18">
        <v>2</v>
      </c>
      <c r="BS254" s="18">
        <v>0</v>
      </c>
      <c r="BT254" s="18">
        <v>0</v>
      </c>
      <c r="BU254" s="18">
        <v>0</v>
      </c>
      <c r="BV254" s="23">
        <f t="shared" si="24"/>
        <v>19</v>
      </c>
    </row>
    <row r="255" s="18" customFormat="1" spans="1:74">
      <c r="A255" s="24">
        <f t="shared" si="31"/>
        <v>33</v>
      </c>
      <c r="B255" s="14" t="s">
        <v>889</v>
      </c>
      <c r="C255" s="24" t="s">
        <v>890</v>
      </c>
      <c r="D255" s="67">
        <v>43661</v>
      </c>
      <c r="E255" s="24"/>
      <c r="F255" s="68">
        <v>59.8558616</v>
      </c>
      <c r="G255" s="69">
        <v>29.0474331</v>
      </c>
      <c r="H255" s="70">
        <f t="shared" si="29"/>
        <v>59</v>
      </c>
      <c r="I255" s="77">
        <f t="shared" si="25"/>
        <v>51.3516959999998</v>
      </c>
      <c r="J255" s="70">
        <f t="shared" si="28"/>
        <v>29</v>
      </c>
      <c r="K255" s="77">
        <f t="shared" si="26"/>
        <v>2.84598599999995</v>
      </c>
      <c r="L255" s="79">
        <v>0.8</v>
      </c>
      <c r="M255" s="24">
        <v>0.8</v>
      </c>
      <c r="N255" s="24"/>
      <c r="O255" s="24">
        <v>24</v>
      </c>
      <c r="P255" s="24"/>
      <c r="Q255" s="24"/>
      <c r="R255" s="24"/>
      <c r="S255" s="24"/>
      <c r="T255" s="24"/>
      <c r="U255" s="83"/>
      <c r="V255" s="82"/>
      <c r="W255" s="82"/>
      <c r="X255" s="82"/>
      <c r="Y255" s="82"/>
      <c r="Z255" s="82"/>
      <c r="AA255" s="82"/>
      <c r="AB255" s="82"/>
      <c r="AC255" s="82" t="s">
        <v>891</v>
      </c>
      <c r="AD255" s="82"/>
      <c r="AE255" s="82"/>
      <c r="AF255" s="82" t="s">
        <v>205</v>
      </c>
      <c r="AG255" s="82" t="s">
        <v>205</v>
      </c>
      <c r="AH255" s="82" t="s">
        <v>205</v>
      </c>
      <c r="AI255" s="82" t="s">
        <v>892</v>
      </c>
      <c r="AJ255" s="82" t="s">
        <v>205</v>
      </c>
      <c r="AK255" s="82" t="s">
        <v>205</v>
      </c>
      <c r="AL255" s="82"/>
      <c r="AM255" s="89" t="s">
        <v>852</v>
      </c>
      <c r="AN255" s="44"/>
      <c r="AP255" s="44"/>
      <c r="AQ255" s="44"/>
      <c r="AR255" s="44"/>
      <c r="AS255" s="44"/>
      <c r="AV255" s="44"/>
      <c r="AX255" s="44"/>
      <c r="AY255" s="44"/>
      <c r="BB255" s="44"/>
      <c r="BC255" s="44"/>
      <c r="BG255" s="44"/>
      <c r="BV255" s="23"/>
    </row>
    <row r="256" s="18" customFormat="1" spans="1:74">
      <c r="A256" s="24">
        <f t="shared" si="31"/>
        <v>34</v>
      </c>
      <c r="B256" s="14" t="s">
        <v>889</v>
      </c>
      <c r="C256" s="24" t="s">
        <v>893</v>
      </c>
      <c r="D256" s="67">
        <v>43718</v>
      </c>
      <c r="E256" s="24"/>
      <c r="F256" s="68">
        <v>59.8558616</v>
      </c>
      <c r="G256" s="69">
        <v>29.0474331</v>
      </c>
      <c r="H256" s="70">
        <f t="shared" si="29"/>
        <v>59</v>
      </c>
      <c r="I256" s="77">
        <f t="shared" si="25"/>
        <v>51.3516959999998</v>
      </c>
      <c r="J256" s="70">
        <f t="shared" si="28"/>
        <v>29</v>
      </c>
      <c r="K256" s="77">
        <f t="shared" si="26"/>
        <v>2.84598599999995</v>
      </c>
      <c r="L256" s="79">
        <v>0.8</v>
      </c>
      <c r="M256" s="24">
        <v>0.8</v>
      </c>
      <c r="N256" s="24"/>
      <c r="O256" s="24">
        <v>27</v>
      </c>
      <c r="P256" s="24"/>
      <c r="Q256" s="24"/>
      <c r="R256" s="24"/>
      <c r="S256" s="24"/>
      <c r="T256" s="24"/>
      <c r="U256" s="83"/>
      <c r="V256" s="82"/>
      <c r="W256" s="82"/>
      <c r="X256" s="82"/>
      <c r="Y256" s="82"/>
      <c r="Z256" s="82"/>
      <c r="AA256" s="82"/>
      <c r="AB256" s="82"/>
      <c r="AC256" s="82" t="s">
        <v>891</v>
      </c>
      <c r="AD256" s="82"/>
      <c r="AE256" s="82" t="s">
        <v>205</v>
      </c>
      <c r="AF256" s="82" t="s">
        <v>205</v>
      </c>
      <c r="AG256" s="82" t="s">
        <v>205</v>
      </c>
      <c r="AH256" s="82" t="s">
        <v>205</v>
      </c>
      <c r="AI256" s="82" t="s">
        <v>892</v>
      </c>
      <c r="AJ256" s="82" t="s">
        <v>205</v>
      </c>
      <c r="AK256" s="82" t="s">
        <v>205</v>
      </c>
      <c r="AL256" s="82"/>
      <c r="AM256" s="89" t="s">
        <v>770</v>
      </c>
      <c r="AN256" s="44"/>
      <c r="AP256" s="44"/>
      <c r="AQ256" s="44"/>
      <c r="AR256" s="44"/>
      <c r="AS256" s="44"/>
      <c r="AV256" s="44"/>
      <c r="AX256" s="44"/>
      <c r="AY256" s="44"/>
      <c r="BB256" s="44"/>
      <c r="BC256" s="44"/>
      <c r="BG256" s="44"/>
      <c r="BV256" s="23"/>
    </row>
    <row r="257" s="18" customFormat="1" spans="1:74">
      <c r="A257" s="24">
        <f t="shared" si="31"/>
        <v>35</v>
      </c>
      <c r="B257" s="14" t="s">
        <v>894</v>
      </c>
      <c r="C257" s="24" t="s">
        <v>895</v>
      </c>
      <c r="D257" s="67">
        <v>43718</v>
      </c>
      <c r="E257" s="24"/>
      <c r="F257" s="68">
        <v>59.859218</v>
      </c>
      <c r="G257" s="69">
        <v>29.053908</v>
      </c>
      <c r="H257" s="70">
        <f t="shared" si="29"/>
        <v>59</v>
      </c>
      <c r="I257" s="77">
        <f t="shared" si="25"/>
        <v>51.5530799999999</v>
      </c>
      <c r="J257" s="70">
        <f t="shared" si="28"/>
        <v>29</v>
      </c>
      <c r="K257" s="77">
        <f t="shared" si="26"/>
        <v>3.23447999999999</v>
      </c>
      <c r="L257" s="79">
        <v>0.6</v>
      </c>
      <c r="M257" s="24">
        <v>0.6</v>
      </c>
      <c r="N257" s="24"/>
      <c r="O257" s="24">
        <v>25</v>
      </c>
      <c r="P257" s="24"/>
      <c r="Q257" s="24"/>
      <c r="R257" s="24"/>
      <c r="S257" s="24"/>
      <c r="T257" s="24"/>
      <c r="U257" s="83"/>
      <c r="V257" s="82"/>
      <c r="W257" s="82"/>
      <c r="X257" s="82"/>
      <c r="Y257" s="82"/>
      <c r="Z257" s="82"/>
      <c r="AA257" s="82"/>
      <c r="AB257" s="82"/>
      <c r="AC257" s="82" t="s">
        <v>896</v>
      </c>
      <c r="AD257" s="82"/>
      <c r="AE257" s="82" t="s">
        <v>205</v>
      </c>
      <c r="AF257" s="82" t="s">
        <v>205</v>
      </c>
      <c r="AG257" s="82" t="s">
        <v>205</v>
      </c>
      <c r="AH257" s="82" t="s">
        <v>205</v>
      </c>
      <c r="AI257" s="82" t="s">
        <v>892</v>
      </c>
      <c r="AJ257" s="82" t="s">
        <v>205</v>
      </c>
      <c r="AK257" s="82" t="s">
        <v>205</v>
      </c>
      <c r="AL257" s="82"/>
      <c r="AM257" s="89" t="s">
        <v>770</v>
      </c>
      <c r="AN257" s="44"/>
      <c r="AP257" s="44"/>
      <c r="AQ257" s="44"/>
      <c r="AR257" s="44"/>
      <c r="AS257" s="44"/>
      <c r="AV257" s="44"/>
      <c r="AX257" s="44"/>
      <c r="AY257" s="44"/>
      <c r="BB257" s="44"/>
      <c r="BC257" s="44"/>
      <c r="BG257" s="44"/>
      <c r="BV257" s="23"/>
    </row>
    <row r="258" s="18" customFormat="1" spans="1:74">
      <c r="A258" s="24">
        <v>36</v>
      </c>
      <c r="B258" s="14" t="s">
        <v>897</v>
      </c>
      <c r="C258" s="14"/>
      <c r="D258" s="67">
        <v>43659</v>
      </c>
      <c r="E258" s="24"/>
      <c r="F258" s="68">
        <v>59.9945</v>
      </c>
      <c r="G258" s="69">
        <v>28.42662</v>
      </c>
      <c r="H258" s="70">
        <f t="shared" si="29"/>
        <v>59</v>
      </c>
      <c r="I258" s="77">
        <f t="shared" si="25"/>
        <v>59.6700000000001</v>
      </c>
      <c r="J258" s="70">
        <f t="shared" si="28"/>
        <v>28</v>
      </c>
      <c r="K258" s="77">
        <f t="shared" si="26"/>
        <v>25.5972</v>
      </c>
      <c r="L258" s="78">
        <v>7</v>
      </c>
      <c r="M258" s="14">
        <v>2</v>
      </c>
      <c r="N258" s="24"/>
      <c r="O258" s="14">
        <v>16</v>
      </c>
      <c r="P258" s="24"/>
      <c r="Q258" s="24"/>
      <c r="R258" s="14">
        <v>1.97</v>
      </c>
      <c r="S258" s="24"/>
      <c r="T258" s="14">
        <v>8.18</v>
      </c>
      <c r="U258" s="83"/>
      <c r="V258" s="82"/>
      <c r="W258" s="82"/>
      <c r="X258" s="82"/>
      <c r="Y258" s="81">
        <v>222</v>
      </c>
      <c r="Z258" s="82"/>
      <c r="AA258" s="82"/>
      <c r="AB258" s="82"/>
      <c r="AC258" s="81" t="s">
        <v>793</v>
      </c>
      <c r="AD258" s="82" t="s">
        <v>172</v>
      </c>
      <c r="AE258" s="84" t="s">
        <v>122</v>
      </c>
      <c r="AF258" s="84" t="s">
        <v>122</v>
      </c>
      <c r="AG258" s="84" t="s">
        <v>774</v>
      </c>
      <c r="AH258" s="84" t="s">
        <v>205</v>
      </c>
      <c r="AI258" s="88"/>
      <c r="AJ258" s="84"/>
      <c r="AK258" s="84" t="s">
        <v>122</v>
      </c>
      <c r="AL258" s="81" t="s">
        <v>789</v>
      </c>
      <c r="AM258" s="89" t="s">
        <v>770</v>
      </c>
      <c r="AN258" s="44">
        <v>0</v>
      </c>
      <c r="AO258" s="18">
        <v>0</v>
      </c>
      <c r="AP258" s="44">
        <v>0</v>
      </c>
      <c r="AQ258" s="44">
        <v>0</v>
      </c>
      <c r="AR258" s="44">
        <v>0</v>
      </c>
      <c r="AS258" s="44">
        <v>0</v>
      </c>
      <c r="AT258" s="18">
        <v>0</v>
      </c>
      <c r="AU258" s="18">
        <v>0</v>
      </c>
      <c r="AV258" s="44">
        <v>0</v>
      </c>
      <c r="AW258" s="18">
        <v>0</v>
      </c>
      <c r="AX258" s="44">
        <v>1</v>
      </c>
      <c r="AY258" s="44">
        <v>0</v>
      </c>
      <c r="AZ258" s="18">
        <v>0</v>
      </c>
      <c r="BA258" s="18">
        <v>0</v>
      </c>
      <c r="BB258" s="44">
        <v>0</v>
      </c>
      <c r="BC258" s="44">
        <v>1</v>
      </c>
      <c r="BD258" s="18">
        <v>0</v>
      </c>
      <c r="BE258" s="18">
        <v>0</v>
      </c>
      <c r="BF258" s="18">
        <v>0</v>
      </c>
      <c r="BG258" s="44">
        <v>0</v>
      </c>
      <c r="BH258" s="18">
        <v>0</v>
      </c>
      <c r="BI258" s="18">
        <v>0</v>
      </c>
      <c r="BJ258" s="18">
        <v>2</v>
      </c>
      <c r="BK258" s="18">
        <v>1</v>
      </c>
      <c r="BL258" s="18">
        <v>1</v>
      </c>
      <c r="BM258" s="18">
        <v>1</v>
      </c>
      <c r="BN258" s="18">
        <v>1</v>
      </c>
      <c r="BO258" s="18">
        <v>1</v>
      </c>
      <c r="BP258" s="18">
        <v>1</v>
      </c>
      <c r="BQ258" s="18">
        <v>2</v>
      </c>
      <c r="BR258" s="18">
        <v>0</v>
      </c>
      <c r="BS258" s="18">
        <v>0</v>
      </c>
      <c r="BT258" s="18">
        <v>0</v>
      </c>
      <c r="BU258" s="18">
        <v>0</v>
      </c>
      <c r="BV258" s="23">
        <f t="shared" si="24"/>
        <v>10</v>
      </c>
    </row>
    <row r="259" s="18" customFormat="1" spans="1:74">
      <c r="A259" s="24">
        <f>A258+1</f>
        <v>37</v>
      </c>
      <c r="B259" s="14" t="s">
        <v>898</v>
      </c>
      <c r="C259" s="14"/>
      <c r="D259" s="67">
        <v>43659</v>
      </c>
      <c r="E259" s="24"/>
      <c r="F259" s="68">
        <v>59.994</v>
      </c>
      <c r="G259" s="69">
        <v>28.4353</v>
      </c>
      <c r="H259" s="70">
        <f t="shared" si="29"/>
        <v>59</v>
      </c>
      <c r="I259" s="77">
        <f t="shared" si="25"/>
        <v>59.64</v>
      </c>
      <c r="J259" s="70">
        <f t="shared" si="28"/>
        <v>28</v>
      </c>
      <c r="K259" s="77">
        <f t="shared" si="26"/>
        <v>26.1180000000001</v>
      </c>
      <c r="L259" s="78">
        <v>26.7</v>
      </c>
      <c r="M259" s="14">
        <v>1.8</v>
      </c>
      <c r="N259" s="24"/>
      <c r="O259" s="14">
        <v>16.1</v>
      </c>
      <c r="P259" s="14">
        <v>14</v>
      </c>
      <c r="Q259" s="14">
        <v>5.3</v>
      </c>
      <c r="R259" s="14">
        <v>1.96</v>
      </c>
      <c r="S259" s="14">
        <v>1.96</v>
      </c>
      <c r="T259" s="14">
        <v>8.27</v>
      </c>
      <c r="U259" s="80">
        <v>7.95</v>
      </c>
      <c r="V259" s="81">
        <v>7.06</v>
      </c>
      <c r="W259" s="82"/>
      <c r="X259" s="82"/>
      <c r="Y259" s="81">
        <v>222</v>
      </c>
      <c r="Z259" s="81">
        <v>225</v>
      </c>
      <c r="AA259" s="81"/>
      <c r="AB259" s="81"/>
      <c r="AC259" s="81" t="s">
        <v>767</v>
      </c>
      <c r="AD259" s="82" t="s">
        <v>899</v>
      </c>
      <c r="AE259" s="84" t="s">
        <v>205</v>
      </c>
      <c r="AF259" s="84" t="s">
        <v>205</v>
      </c>
      <c r="AG259" s="84" t="s">
        <v>774</v>
      </c>
      <c r="AH259" s="82"/>
      <c r="AI259" s="91"/>
      <c r="AJ259" s="82"/>
      <c r="AK259" s="84" t="s">
        <v>122</v>
      </c>
      <c r="AL259" s="81" t="s">
        <v>789</v>
      </c>
      <c r="AM259" s="89" t="s">
        <v>770</v>
      </c>
      <c r="AN259" s="44">
        <v>0</v>
      </c>
      <c r="AO259" s="18">
        <v>0</v>
      </c>
      <c r="AP259" s="44">
        <v>0</v>
      </c>
      <c r="AQ259" s="44">
        <v>0</v>
      </c>
      <c r="AR259" s="44">
        <v>0</v>
      </c>
      <c r="AS259" s="44">
        <v>0</v>
      </c>
      <c r="AT259" s="18">
        <v>0</v>
      </c>
      <c r="AU259" s="18">
        <v>0</v>
      </c>
      <c r="AV259" s="44">
        <v>0</v>
      </c>
      <c r="AW259" s="18">
        <v>0</v>
      </c>
      <c r="AX259" s="44">
        <v>5</v>
      </c>
      <c r="AY259" s="44">
        <v>0</v>
      </c>
      <c r="AZ259" s="18">
        <v>0</v>
      </c>
      <c r="BA259" s="18">
        <v>0</v>
      </c>
      <c r="BB259" s="44">
        <v>0</v>
      </c>
      <c r="BC259" s="44">
        <v>0</v>
      </c>
      <c r="BD259" s="18">
        <v>0</v>
      </c>
      <c r="BE259" s="18">
        <v>0</v>
      </c>
      <c r="BF259" s="18">
        <v>0</v>
      </c>
      <c r="BG259" s="44">
        <v>0</v>
      </c>
      <c r="BH259" s="18">
        <v>0</v>
      </c>
      <c r="BI259" s="18">
        <v>0</v>
      </c>
      <c r="BJ259" s="18">
        <v>1</v>
      </c>
      <c r="BK259" s="18">
        <v>3</v>
      </c>
      <c r="BL259" s="18">
        <v>2</v>
      </c>
      <c r="BM259" s="18">
        <v>1</v>
      </c>
      <c r="BN259" s="18">
        <v>0</v>
      </c>
      <c r="BO259" s="18">
        <v>0</v>
      </c>
      <c r="BP259" s="18">
        <v>1</v>
      </c>
      <c r="BQ259" s="18">
        <v>2</v>
      </c>
      <c r="BR259" s="18">
        <v>0</v>
      </c>
      <c r="BS259" s="18">
        <v>0</v>
      </c>
      <c r="BT259" s="18">
        <v>0</v>
      </c>
      <c r="BU259" s="18">
        <v>0</v>
      </c>
      <c r="BV259" s="23">
        <f t="shared" si="24"/>
        <v>10</v>
      </c>
    </row>
    <row r="260" s="18" customFormat="1" spans="1:74">
      <c r="A260" s="24">
        <f>A259+1</f>
        <v>38</v>
      </c>
      <c r="B260" s="14" t="s">
        <v>900</v>
      </c>
      <c r="C260" s="14"/>
      <c r="D260" s="67">
        <v>43660</v>
      </c>
      <c r="E260" s="174" t="s">
        <v>901</v>
      </c>
      <c r="F260" s="68">
        <v>59.98239</v>
      </c>
      <c r="G260" s="69">
        <v>28.39179</v>
      </c>
      <c r="H260" s="70">
        <f t="shared" si="29"/>
        <v>59</v>
      </c>
      <c r="I260" s="77">
        <f t="shared" si="25"/>
        <v>58.9434000000001</v>
      </c>
      <c r="J260" s="70">
        <f t="shared" si="28"/>
        <v>28</v>
      </c>
      <c r="K260" s="77">
        <f t="shared" si="26"/>
        <v>23.5074</v>
      </c>
      <c r="L260" s="78">
        <v>9</v>
      </c>
      <c r="M260" s="14">
        <v>2</v>
      </c>
      <c r="N260" s="24"/>
      <c r="O260" s="14">
        <v>15.9</v>
      </c>
      <c r="P260" s="14">
        <v>15.7</v>
      </c>
      <c r="Q260" s="24"/>
      <c r="R260" s="14">
        <v>3.03</v>
      </c>
      <c r="S260" s="14">
        <v>2.43</v>
      </c>
      <c r="T260" s="14">
        <v>8.27</v>
      </c>
      <c r="U260" s="80">
        <v>8.17</v>
      </c>
      <c r="V260" s="82"/>
      <c r="W260" s="82"/>
      <c r="X260" s="82"/>
      <c r="Y260" s="81">
        <v>246</v>
      </c>
      <c r="Z260" s="81">
        <v>247</v>
      </c>
      <c r="AA260" s="81"/>
      <c r="AB260" s="81"/>
      <c r="AC260" s="81" t="s">
        <v>793</v>
      </c>
      <c r="AD260" s="82" t="s">
        <v>902</v>
      </c>
      <c r="AE260" s="84" t="s">
        <v>122</v>
      </c>
      <c r="AF260" s="84" t="s">
        <v>122</v>
      </c>
      <c r="AG260" s="84" t="s">
        <v>774</v>
      </c>
      <c r="AH260" s="84" t="s">
        <v>205</v>
      </c>
      <c r="AI260" s="88"/>
      <c r="AJ260" s="84"/>
      <c r="AK260" s="84" t="s">
        <v>122</v>
      </c>
      <c r="AL260" s="81" t="s">
        <v>789</v>
      </c>
      <c r="AM260" s="89" t="s">
        <v>770</v>
      </c>
      <c r="AN260" s="44">
        <v>0</v>
      </c>
      <c r="AO260" s="18">
        <v>0</v>
      </c>
      <c r="AP260" s="44">
        <v>0</v>
      </c>
      <c r="AQ260" s="44">
        <v>0</v>
      </c>
      <c r="AR260" s="44">
        <v>0</v>
      </c>
      <c r="AS260" s="44">
        <v>0</v>
      </c>
      <c r="AT260" s="18">
        <v>0</v>
      </c>
      <c r="AU260" s="18">
        <v>0</v>
      </c>
      <c r="AV260" s="44">
        <v>0</v>
      </c>
      <c r="AW260" s="18">
        <v>0</v>
      </c>
      <c r="AX260" s="44">
        <v>1</v>
      </c>
      <c r="AY260" s="44">
        <v>0</v>
      </c>
      <c r="AZ260" s="18">
        <v>0</v>
      </c>
      <c r="BA260" s="18">
        <v>0</v>
      </c>
      <c r="BB260" s="44">
        <v>0</v>
      </c>
      <c r="BC260" s="44">
        <v>0</v>
      </c>
      <c r="BD260" s="18">
        <v>0</v>
      </c>
      <c r="BE260" s="18">
        <v>0</v>
      </c>
      <c r="BF260" s="18">
        <v>0</v>
      </c>
      <c r="BG260" s="44">
        <v>0</v>
      </c>
      <c r="BH260" s="18">
        <v>0</v>
      </c>
      <c r="BI260" s="18">
        <v>0</v>
      </c>
      <c r="BJ260" s="18">
        <v>1</v>
      </c>
      <c r="BK260" s="18">
        <v>1</v>
      </c>
      <c r="BL260" s="18">
        <v>3</v>
      </c>
      <c r="BM260" s="18">
        <v>1</v>
      </c>
      <c r="BN260" s="18">
        <v>0</v>
      </c>
      <c r="BO260" s="18">
        <v>0</v>
      </c>
      <c r="BP260" s="18">
        <v>1</v>
      </c>
      <c r="BQ260" s="18">
        <v>2</v>
      </c>
      <c r="BR260" s="18">
        <v>0</v>
      </c>
      <c r="BS260" s="18">
        <v>0</v>
      </c>
      <c r="BT260" s="18">
        <v>0</v>
      </c>
      <c r="BU260" s="18">
        <v>0</v>
      </c>
      <c r="BV260" s="23">
        <f t="shared" si="24"/>
        <v>9</v>
      </c>
    </row>
    <row r="261" s="18" customFormat="1" spans="1:74">
      <c r="A261" s="94">
        <v>39</v>
      </c>
      <c r="B261" s="95" t="s">
        <v>903</v>
      </c>
      <c r="C261" s="96" t="s">
        <v>904</v>
      </c>
      <c r="D261" s="97">
        <v>43697</v>
      </c>
      <c r="E261" s="94" t="s">
        <v>905</v>
      </c>
      <c r="F261" s="98">
        <v>59.981407</v>
      </c>
      <c r="G261" s="99">
        <v>29.206259</v>
      </c>
      <c r="H261" s="70">
        <f t="shared" si="29"/>
        <v>59</v>
      </c>
      <c r="I261" s="77">
        <f t="shared" si="25"/>
        <v>58.8844199999998</v>
      </c>
      <c r="J261" s="70">
        <f t="shared" si="28"/>
        <v>29</v>
      </c>
      <c r="K261" s="77">
        <f t="shared" si="26"/>
        <v>12.37554</v>
      </c>
      <c r="L261" s="79"/>
      <c r="M261" s="24"/>
      <c r="N261" s="24"/>
      <c r="O261" s="24"/>
      <c r="P261" s="24"/>
      <c r="Q261" s="24"/>
      <c r="R261" s="24"/>
      <c r="S261" s="24"/>
      <c r="T261" s="24"/>
      <c r="U261" s="83"/>
      <c r="V261" s="82"/>
      <c r="W261" s="82"/>
      <c r="X261" s="82"/>
      <c r="Y261" s="82"/>
      <c r="Z261" s="82"/>
      <c r="AA261" s="82"/>
      <c r="AB261" s="82"/>
      <c r="AC261" s="85" t="s">
        <v>906</v>
      </c>
      <c r="AD261" s="85" t="s">
        <v>907</v>
      </c>
      <c r="AE261" s="86" t="s">
        <v>205</v>
      </c>
      <c r="AF261" s="86" t="s">
        <v>205</v>
      </c>
      <c r="AG261" s="86" t="s">
        <v>205</v>
      </c>
      <c r="AH261" s="86" t="s">
        <v>205</v>
      </c>
      <c r="AI261" s="86" t="s">
        <v>205</v>
      </c>
      <c r="AJ261" s="82" t="s">
        <v>122</v>
      </c>
      <c r="AK261" s="86" t="s">
        <v>205</v>
      </c>
      <c r="AL261" s="93" t="s">
        <v>831</v>
      </c>
      <c r="AM261" s="89" t="s">
        <v>770</v>
      </c>
      <c r="AN261" s="44"/>
      <c r="AP261" s="44"/>
      <c r="AQ261" s="44"/>
      <c r="AR261" s="44"/>
      <c r="AS261" s="44"/>
      <c r="AV261" s="44"/>
      <c r="AX261" s="44"/>
      <c r="AY261" s="44"/>
      <c r="BB261" s="44"/>
      <c r="BC261" s="44"/>
      <c r="BG261" s="44"/>
      <c r="BV261" s="23"/>
    </row>
    <row r="262" s="18" customFormat="1" spans="1:74">
      <c r="A262" s="24"/>
      <c r="B262" s="100" t="s">
        <v>908</v>
      </c>
      <c r="C262" s="24"/>
      <c r="D262" s="67">
        <v>43697</v>
      </c>
      <c r="E262" s="24"/>
      <c r="F262" s="68">
        <v>59.9825235</v>
      </c>
      <c r="G262" s="69">
        <v>29.2054796</v>
      </c>
      <c r="H262" s="70">
        <f t="shared" si="29"/>
        <v>59</v>
      </c>
      <c r="I262" s="77">
        <f t="shared" si="25"/>
        <v>58.95141</v>
      </c>
      <c r="J262" s="70">
        <f t="shared" si="28"/>
        <v>29</v>
      </c>
      <c r="K262" s="77">
        <f t="shared" si="26"/>
        <v>12.328776</v>
      </c>
      <c r="L262" s="79">
        <v>0.9</v>
      </c>
      <c r="M262" s="24">
        <v>0.9</v>
      </c>
      <c r="N262" s="24"/>
      <c r="O262" s="24">
        <v>20.6</v>
      </c>
      <c r="P262" s="24"/>
      <c r="Q262" s="24"/>
      <c r="R262" s="24">
        <v>3.02</v>
      </c>
      <c r="S262" s="24"/>
      <c r="T262" s="24"/>
      <c r="U262" s="83"/>
      <c r="V262" s="82"/>
      <c r="W262" s="82"/>
      <c r="X262" s="82"/>
      <c r="Y262" s="82"/>
      <c r="Z262" s="82"/>
      <c r="AA262" s="82"/>
      <c r="AB262" s="82"/>
      <c r="AC262" s="82" t="s">
        <v>909</v>
      </c>
      <c r="AD262" s="82"/>
      <c r="AE262" s="82" t="s">
        <v>205</v>
      </c>
      <c r="AF262" s="82" t="s">
        <v>205</v>
      </c>
      <c r="AG262" s="82" t="s">
        <v>910</v>
      </c>
      <c r="AH262" s="82" t="s">
        <v>184</v>
      </c>
      <c r="AI262" s="82" t="s">
        <v>911</v>
      </c>
      <c r="AJ262" s="82" t="s">
        <v>122</v>
      </c>
      <c r="AK262" s="82" t="s">
        <v>912</v>
      </c>
      <c r="AL262" s="82" t="s">
        <v>184</v>
      </c>
      <c r="AM262" s="89" t="s">
        <v>770</v>
      </c>
      <c r="AN262" s="44">
        <v>0</v>
      </c>
      <c r="AO262" s="18">
        <v>0</v>
      </c>
      <c r="AP262" s="44">
        <v>0</v>
      </c>
      <c r="AQ262" s="44">
        <v>0</v>
      </c>
      <c r="AR262" s="44">
        <v>1</v>
      </c>
      <c r="AS262" s="44">
        <v>0</v>
      </c>
      <c r="AT262" s="18">
        <v>0</v>
      </c>
      <c r="AU262" s="18">
        <v>0</v>
      </c>
      <c r="AV262" s="44">
        <v>0</v>
      </c>
      <c r="AW262" s="18">
        <v>0</v>
      </c>
      <c r="AX262" s="44">
        <v>0</v>
      </c>
      <c r="AY262" s="44">
        <v>0</v>
      </c>
      <c r="AZ262" s="18">
        <v>0</v>
      </c>
      <c r="BA262" s="18">
        <v>0</v>
      </c>
      <c r="BB262" s="44">
        <v>0</v>
      </c>
      <c r="BC262" s="44">
        <v>1</v>
      </c>
      <c r="BD262" s="18">
        <v>0</v>
      </c>
      <c r="BE262" s="18">
        <v>0</v>
      </c>
      <c r="BF262" s="18">
        <v>0</v>
      </c>
      <c r="BG262" s="44">
        <v>0</v>
      </c>
      <c r="BH262" s="18">
        <v>0</v>
      </c>
      <c r="BI262" s="18">
        <v>0</v>
      </c>
      <c r="BJ262" s="18">
        <v>2</v>
      </c>
      <c r="BK262" s="18">
        <v>1</v>
      </c>
      <c r="BL262" s="18">
        <v>2</v>
      </c>
      <c r="BM262" s="18">
        <v>1</v>
      </c>
      <c r="BN262" s="18">
        <v>1</v>
      </c>
      <c r="BO262" s="18">
        <v>1</v>
      </c>
      <c r="BP262" s="18">
        <v>1</v>
      </c>
      <c r="BQ262" s="18">
        <v>3</v>
      </c>
      <c r="BR262" s="18">
        <v>0</v>
      </c>
      <c r="BS262" s="18">
        <v>0</v>
      </c>
      <c r="BT262" s="18">
        <v>0</v>
      </c>
      <c r="BU262" s="18">
        <v>0</v>
      </c>
      <c r="BV262" s="23">
        <f t="shared" si="24"/>
        <v>12</v>
      </c>
    </row>
    <row r="263" s="18" customFormat="1" spans="1:74">
      <c r="A263" s="94">
        <f>A261+1</f>
        <v>40</v>
      </c>
      <c r="B263" s="95" t="s">
        <v>903</v>
      </c>
      <c r="C263" s="96" t="s">
        <v>904</v>
      </c>
      <c r="D263" s="97">
        <v>43711</v>
      </c>
      <c r="E263" s="94" t="s">
        <v>913</v>
      </c>
      <c r="F263" s="98">
        <v>59.981407</v>
      </c>
      <c r="G263" s="99">
        <v>29.206259</v>
      </c>
      <c r="H263" s="70">
        <f t="shared" si="29"/>
        <v>59</v>
      </c>
      <c r="I263" s="77">
        <f t="shared" si="25"/>
        <v>58.8844199999998</v>
      </c>
      <c r="J263" s="70">
        <f t="shared" si="28"/>
        <v>29</v>
      </c>
      <c r="K263" s="77">
        <f t="shared" si="26"/>
        <v>12.37554</v>
      </c>
      <c r="L263" s="79"/>
      <c r="M263" s="24"/>
      <c r="N263" s="24"/>
      <c r="O263" s="24"/>
      <c r="P263" s="24"/>
      <c r="Q263" s="24"/>
      <c r="R263" s="24"/>
      <c r="S263" s="24"/>
      <c r="T263" s="24"/>
      <c r="U263" s="83"/>
      <c r="V263" s="82"/>
      <c r="W263" s="82"/>
      <c r="X263" s="82"/>
      <c r="Y263" s="82"/>
      <c r="Z263" s="82"/>
      <c r="AA263" s="82"/>
      <c r="AB263" s="82"/>
      <c r="AC263" s="85" t="s">
        <v>914</v>
      </c>
      <c r="AD263" s="85" t="s">
        <v>915</v>
      </c>
      <c r="AE263" s="86" t="s">
        <v>205</v>
      </c>
      <c r="AF263" s="86" t="s">
        <v>205</v>
      </c>
      <c r="AG263" s="86" t="s">
        <v>205</v>
      </c>
      <c r="AH263" s="86" t="s">
        <v>205</v>
      </c>
      <c r="AI263" s="86" t="s">
        <v>205</v>
      </c>
      <c r="AJ263" s="82" t="s">
        <v>122</v>
      </c>
      <c r="AK263" s="86" t="s">
        <v>205</v>
      </c>
      <c r="AL263" s="93" t="s">
        <v>831</v>
      </c>
      <c r="AM263" s="89" t="s">
        <v>770</v>
      </c>
      <c r="AN263" s="44"/>
      <c r="AP263" s="44"/>
      <c r="AQ263" s="44"/>
      <c r="AR263" s="44"/>
      <c r="AS263" s="44"/>
      <c r="AV263" s="44"/>
      <c r="AX263" s="44"/>
      <c r="AY263" s="44"/>
      <c r="BB263" s="44"/>
      <c r="BC263" s="44"/>
      <c r="BG263" s="44"/>
      <c r="BV263" s="23"/>
    </row>
    <row r="264" s="18" customFormat="1" spans="1:74">
      <c r="A264" s="94">
        <f>A263+1</f>
        <v>41</v>
      </c>
      <c r="B264" s="95" t="s">
        <v>916</v>
      </c>
      <c r="C264" s="96" t="s">
        <v>917</v>
      </c>
      <c r="D264" s="97">
        <v>43711</v>
      </c>
      <c r="E264" s="94" t="s">
        <v>918</v>
      </c>
      <c r="F264" s="98">
        <v>59.982248</v>
      </c>
      <c r="G264" s="99">
        <v>29.205652</v>
      </c>
      <c r="H264" s="70">
        <f t="shared" si="29"/>
        <v>59</v>
      </c>
      <c r="I264" s="77">
        <f t="shared" si="25"/>
        <v>58.9348799999999</v>
      </c>
      <c r="J264" s="70">
        <f t="shared" si="28"/>
        <v>29</v>
      </c>
      <c r="K264" s="77">
        <f t="shared" si="26"/>
        <v>12.33912</v>
      </c>
      <c r="L264" s="79"/>
      <c r="M264" s="24"/>
      <c r="N264" s="24"/>
      <c r="O264" s="24"/>
      <c r="P264" s="24"/>
      <c r="Q264" s="24"/>
      <c r="R264" s="24"/>
      <c r="S264" s="24"/>
      <c r="T264" s="24"/>
      <c r="U264" s="83"/>
      <c r="V264" s="82"/>
      <c r="W264" s="82"/>
      <c r="X264" s="82"/>
      <c r="Y264" s="82"/>
      <c r="Z264" s="82"/>
      <c r="AA264" s="82"/>
      <c r="AB264" s="82"/>
      <c r="AC264" s="85" t="s">
        <v>919</v>
      </c>
      <c r="AD264" s="85" t="s">
        <v>920</v>
      </c>
      <c r="AE264" s="86" t="s">
        <v>205</v>
      </c>
      <c r="AF264" s="86" t="s">
        <v>205</v>
      </c>
      <c r="AG264" s="86" t="s">
        <v>205</v>
      </c>
      <c r="AH264" s="86" t="s">
        <v>205</v>
      </c>
      <c r="AI264" s="86" t="s">
        <v>205</v>
      </c>
      <c r="AJ264" s="82" t="s">
        <v>122</v>
      </c>
      <c r="AK264" s="86" t="s">
        <v>205</v>
      </c>
      <c r="AL264" s="93" t="s">
        <v>831</v>
      </c>
      <c r="AM264" s="89" t="s">
        <v>770</v>
      </c>
      <c r="AN264" s="44"/>
      <c r="AP264" s="44"/>
      <c r="AQ264" s="44"/>
      <c r="AR264" s="44"/>
      <c r="AS264" s="44"/>
      <c r="AV264" s="44"/>
      <c r="AX264" s="44"/>
      <c r="AY264" s="44"/>
      <c r="BB264" s="44"/>
      <c r="BC264" s="44"/>
      <c r="BG264" s="44"/>
      <c r="BV264" s="23"/>
    </row>
    <row r="265" s="18" customFormat="1" spans="1:74">
      <c r="A265" s="101">
        <v>42</v>
      </c>
      <c r="B265" s="102" t="s">
        <v>921</v>
      </c>
      <c r="C265" s="102" t="s">
        <v>922</v>
      </c>
      <c r="D265" s="103">
        <v>43711</v>
      </c>
      <c r="E265" s="104" t="s">
        <v>923</v>
      </c>
      <c r="F265" s="105">
        <v>59.931396</v>
      </c>
      <c r="G265" s="106">
        <v>29.705561</v>
      </c>
      <c r="H265" s="70">
        <f t="shared" si="29"/>
        <v>59</v>
      </c>
      <c r="I265" s="77">
        <f t="shared" si="25"/>
        <v>55.88376</v>
      </c>
      <c r="J265" s="70">
        <f t="shared" si="28"/>
        <v>29</v>
      </c>
      <c r="K265" s="77">
        <f t="shared" si="26"/>
        <v>42.33366</v>
      </c>
      <c r="L265" s="79">
        <v>0.5</v>
      </c>
      <c r="M265" s="24">
        <v>0.5</v>
      </c>
      <c r="N265" s="24"/>
      <c r="O265" s="24" t="s">
        <v>205</v>
      </c>
      <c r="P265" s="24"/>
      <c r="Q265" s="24"/>
      <c r="R265" s="24" t="s">
        <v>205</v>
      </c>
      <c r="S265" s="24"/>
      <c r="T265" s="24" t="s">
        <v>205</v>
      </c>
      <c r="U265" s="83" t="s">
        <v>205</v>
      </c>
      <c r="V265" s="82"/>
      <c r="W265" s="82"/>
      <c r="X265" s="82"/>
      <c r="Y265" s="82"/>
      <c r="Z265" s="82"/>
      <c r="AA265" s="82"/>
      <c r="AB265" s="82"/>
      <c r="AC265" s="85" t="s">
        <v>924</v>
      </c>
      <c r="AD265" s="85" t="s">
        <v>925</v>
      </c>
      <c r="AE265" s="86" t="s">
        <v>205</v>
      </c>
      <c r="AF265" s="86" t="s">
        <v>205</v>
      </c>
      <c r="AG265" s="86" t="s">
        <v>205</v>
      </c>
      <c r="AH265" s="86" t="s">
        <v>205</v>
      </c>
      <c r="AI265" s="86" t="s">
        <v>205</v>
      </c>
      <c r="AJ265" s="82" t="s">
        <v>122</v>
      </c>
      <c r="AK265" s="86" t="s">
        <v>205</v>
      </c>
      <c r="AL265" s="93" t="s">
        <v>831</v>
      </c>
      <c r="AM265" s="89" t="s">
        <v>770</v>
      </c>
      <c r="AN265" s="44"/>
      <c r="AP265" s="44"/>
      <c r="AQ265" s="44"/>
      <c r="AR265" s="44"/>
      <c r="AS265" s="44"/>
      <c r="AV265" s="44"/>
      <c r="AX265" s="44"/>
      <c r="AY265" s="44"/>
      <c r="BB265" s="44"/>
      <c r="BC265" s="44"/>
      <c r="BG265" s="44"/>
      <c r="BV265" s="23"/>
    </row>
    <row r="266" s="18" customFormat="1" spans="1:74">
      <c r="A266" s="101">
        <f>A265+1</f>
        <v>43</v>
      </c>
      <c r="B266" s="107" t="s">
        <v>926</v>
      </c>
      <c r="C266" s="24" t="s">
        <v>927</v>
      </c>
      <c r="D266" s="67">
        <v>43710</v>
      </c>
      <c r="E266" s="24"/>
      <c r="F266" s="68">
        <v>59.93028</v>
      </c>
      <c r="G266" s="69">
        <v>29.64917</v>
      </c>
      <c r="H266" s="70">
        <f t="shared" si="29"/>
        <v>59</v>
      </c>
      <c r="I266" s="77">
        <f t="shared" si="25"/>
        <v>55.8168000000002</v>
      </c>
      <c r="J266" s="70">
        <f t="shared" si="28"/>
        <v>29</v>
      </c>
      <c r="K266" s="77">
        <f t="shared" si="26"/>
        <v>38.9502000000001</v>
      </c>
      <c r="L266" s="79">
        <v>0.9</v>
      </c>
      <c r="M266" s="24">
        <v>0.9</v>
      </c>
      <c r="N266" s="24"/>
      <c r="O266" s="24">
        <v>20.1</v>
      </c>
      <c r="P266" s="24"/>
      <c r="Q266" s="24"/>
      <c r="R266" s="24">
        <v>0.54</v>
      </c>
      <c r="S266" s="24"/>
      <c r="T266" s="24"/>
      <c r="U266" s="83"/>
      <c r="V266" s="82"/>
      <c r="W266" s="82"/>
      <c r="X266" s="82"/>
      <c r="Y266" s="82"/>
      <c r="Z266" s="82"/>
      <c r="AA266" s="82"/>
      <c r="AB266" s="82"/>
      <c r="AC266" s="82"/>
      <c r="AD266" s="82"/>
      <c r="AE266" s="82" t="s">
        <v>205</v>
      </c>
      <c r="AF266" s="82" t="s">
        <v>205</v>
      </c>
      <c r="AG266" s="82" t="s">
        <v>205</v>
      </c>
      <c r="AH266" s="82" t="s">
        <v>205</v>
      </c>
      <c r="AI266" s="82" t="s">
        <v>928</v>
      </c>
      <c r="AJ266" s="82" t="s">
        <v>205</v>
      </c>
      <c r="AK266" s="82" t="s">
        <v>205</v>
      </c>
      <c r="AL266" s="82" t="s">
        <v>205</v>
      </c>
      <c r="AM266" s="89" t="s">
        <v>770</v>
      </c>
      <c r="AN266" s="44"/>
      <c r="AP266" s="44"/>
      <c r="AQ266" s="44"/>
      <c r="AR266" s="44"/>
      <c r="AS266" s="44"/>
      <c r="AV266" s="44"/>
      <c r="AX266" s="44"/>
      <c r="AY266" s="44"/>
      <c r="BB266" s="44"/>
      <c r="BC266" s="44"/>
      <c r="BG266" s="44"/>
      <c r="BV266" s="23"/>
    </row>
    <row r="267" s="18" customFormat="1" spans="1:74">
      <c r="A267" s="101">
        <f t="shared" ref="A267:A269" si="32">A266+1</f>
        <v>44</v>
      </c>
      <c r="B267" s="108" t="s">
        <v>929</v>
      </c>
      <c r="C267" s="24" t="s">
        <v>930</v>
      </c>
      <c r="D267" s="67">
        <v>43710</v>
      </c>
      <c r="E267" s="24"/>
      <c r="F267" s="68">
        <v>60.04639</v>
      </c>
      <c r="G267" s="69">
        <v>29.96333</v>
      </c>
      <c r="H267" s="70">
        <f t="shared" si="29"/>
        <v>60</v>
      </c>
      <c r="I267" s="77">
        <f t="shared" si="25"/>
        <v>2.78340000000014</v>
      </c>
      <c r="J267" s="70">
        <f t="shared" si="28"/>
        <v>29</v>
      </c>
      <c r="K267" s="77">
        <f t="shared" si="26"/>
        <v>57.7997999999999</v>
      </c>
      <c r="L267" s="79">
        <v>0.6</v>
      </c>
      <c r="M267" s="24">
        <v>0.6</v>
      </c>
      <c r="N267" s="24"/>
      <c r="O267" s="24">
        <v>22.3</v>
      </c>
      <c r="P267" s="24"/>
      <c r="Q267" s="24"/>
      <c r="R267" s="24">
        <v>0.07</v>
      </c>
      <c r="S267" s="24"/>
      <c r="T267" s="24"/>
      <c r="U267" s="83"/>
      <c r="V267" s="82"/>
      <c r="W267" s="82"/>
      <c r="X267" s="82"/>
      <c r="Y267" s="82"/>
      <c r="Z267" s="82"/>
      <c r="AA267" s="82"/>
      <c r="AB267" s="82"/>
      <c r="AC267" s="82" t="s">
        <v>931</v>
      </c>
      <c r="AD267" s="82"/>
      <c r="AE267" s="82" t="s">
        <v>205</v>
      </c>
      <c r="AF267" s="82" t="s">
        <v>205</v>
      </c>
      <c r="AG267" s="82" t="s">
        <v>205</v>
      </c>
      <c r="AH267" s="82" t="s">
        <v>205</v>
      </c>
      <c r="AI267" s="82" t="s">
        <v>928</v>
      </c>
      <c r="AJ267" s="82" t="s">
        <v>205</v>
      </c>
      <c r="AK267" s="82" t="s">
        <v>205</v>
      </c>
      <c r="AL267" s="82" t="s">
        <v>205</v>
      </c>
      <c r="AM267" s="89" t="s">
        <v>770</v>
      </c>
      <c r="AN267" s="44"/>
      <c r="AP267" s="44"/>
      <c r="AQ267" s="44"/>
      <c r="AR267" s="44"/>
      <c r="AS267" s="44"/>
      <c r="AV267" s="44"/>
      <c r="AX267" s="44"/>
      <c r="AY267" s="44"/>
      <c r="BB267" s="44"/>
      <c r="BC267" s="44"/>
      <c r="BG267" s="44"/>
      <c r="BV267" s="23"/>
    </row>
    <row r="268" s="18" customFormat="1" spans="1:74">
      <c r="A268" s="101">
        <f t="shared" si="32"/>
        <v>45</v>
      </c>
      <c r="B268" s="107" t="s">
        <v>932</v>
      </c>
      <c r="C268" s="24" t="s">
        <v>933</v>
      </c>
      <c r="D268" s="67">
        <v>43710</v>
      </c>
      <c r="E268" s="24"/>
      <c r="F268" s="68">
        <v>59.9885826</v>
      </c>
      <c r="G268" s="69">
        <v>30.1370323</v>
      </c>
      <c r="H268" s="70">
        <f t="shared" si="29"/>
        <v>59</v>
      </c>
      <c r="I268" s="77">
        <f t="shared" si="25"/>
        <v>59.3149560000001</v>
      </c>
      <c r="J268" s="70">
        <f t="shared" si="28"/>
        <v>30</v>
      </c>
      <c r="K268" s="77">
        <f t="shared" si="26"/>
        <v>8.22193800000008</v>
      </c>
      <c r="L268" s="79">
        <v>0.4</v>
      </c>
      <c r="M268" s="24">
        <v>0.4</v>
      </c>
      <c r="N268" s="24"/>
      <c r="O268" s="24">
        <v>23.9</v>
      </c>
      <c r="P268" s="24"/>
      <c r="Q268" s="24"/>
      <c r="R268" s="24">
        <v>0.07</v>
      </c>
      <c r="S268" s="24"/>
      <c r="T268" s="24"/>
      <c r="U268" s="83"/>
      <c r="V268" s="82"/>
      <c r="W268" s="82"/>
      <c r="X268" s="82"/>
      <c r="Y268" s="82"/>
      <c r="Z268" s="82"/>
      <c r="AA268" s="82"/>
      <c r="AB268" s="82"/>
      <c r="AC268" s="82" t="s">
        <v>934</v>
      </c>
      <c r="AD268" s="82"/>
      <c r="AE268" s="82" t="s">
        <v>205</v>
      </c>
      <c r="AF268" s="82" t="s">
        <v>205</v>
      </c>
      <c r="AG268" s="82" t="s">
        <v>205</v>
      </c>
      <c r="AH268" s="82" t="s">
        <v>205</v>
      </c>
      <c r="AI268" s="82" t="s">
        <v>928</v>
      </c>
      <c r="AJ268" s="82" t="s">
        <v>205</v>
      </c>
      <c r="AK268" s="82" t="s">
        <v>205</v>
      </c>
      <c r="AL268" s="82" t="s">
        <v>205</v>
      </c>
      <c r="AM268" s="89" t="s">
        <v>770</v>
      </c>
      <c r="AN268" s="44"/>
      <c r="AP268" s="44"/>
      <c r="AQ268" s="44"/>
      <c r="AR268" s="44"/>
      <c r="AS268" s="44"/>
      <c r="AV268" s="44"/>
      <c r="AX268" s="44"/>
      <c r="AY268" s="44"/>
      <c r="BB268" s="44"/>
      <c r="BC268" s="44"/>
      <c r="BG268" s="44"/>
      <c r="BV268" s="23"/>
    </row>
    <row r="269" s="18" customFormat="1" spans="1:74">
      <c r="A269" s="101">
        <f t="shared" si="32"/>
        <v>46</v>
      </c>
      <c r="B269" s="109" t="s">
        <v>935</v>
      </c>
      <c r="C269" s="109" t="s">
        <v>936</v>
      </c>
      <c r="D269" s="110">
        <v>43711</v>
      </c>
      <c r="E269" s="111" t="s">
        <v>937</v>
      </c>
      <c r="F269" s="112">
        <v>59.930071</v>
      </c>
      <c r="G269" s="113">
        <v>29.648159</v>
      </c>
      <c r="H269" s="70">
        <f t="shared" si="29"/>
        <v>59</v>
      </c>
      <c r="I269" s="77">
        <f t="shared" si="25"/>
        <v>55.8042599999999</v>
      </c>
      <c r="J269" s="70">
        <f t="shared" si="28"/>
        <v>29</v>
      </c>
      <c r="K269" s="77">
        <f t="shared" si="26"/>
        <v>38.88954</v>
      </c>
      <c r="L269" s="79">
        <v>0.5</v>
      </c>
      <c r="M269" s="24">
        <v>0.5</v>
      </c>
      <c r="N269" s="24"/>
      <c r="O269" s="24" t="s">
        <v>205</v>
      </c>
      <c r="P269" s="24"/>
      <c r="Q269" s="24"/>
      <c r="R269" s="24" t="s">
        <v>205</v>
      </c>
      <c r="S269" s="24"/>
      <c r="T269" s="24" t="s">
        <v>205</v>
      </c>
      <c r="U269" s="83" t="s">
        <v>205</v>
      </c>
      <c r="V269" s="82"/>
      <c r="W269" s="82"/>
      <c r="X269" s="82"/>
      <c r="Y269" s="82"/>
      <c r="Z269" s="82"/>
      <c r="AA269" s="82"/>
      <c r="AB269" s="82"/>
      <c r="AC269" s="85" t="s">
        <v>938</v>
      </c>
      <c r="AD269" s="85" t="s">
        <v>939</v>
      </c>
      <c r="AE269" s="86" t="s">
        <v>205</v>
      </c>
      <c r="AF269" s="86" t="s">
        <v>205</v>
      </c>
      <c r="AG269" s="86" t="s">
        <v>205</v>
      </c>
      <c r="AH269" s="86" t="s">
        <v>205</v>
      </c>
      <c r="AI269" s="86" t="s">
        <v>205</v>
      </c>
      <c r="AJ269" s="82" t="s">
        <v>122</v>
      </c>
      <c r="AK269" s="86" t="s">
        <v>205</v>
      </c>
      <c r="AL269" s="93" t="s">
        <v>831</v>
      </c>
      <c r="AM269" s="89" t="s">
        <v>770</v>
      </c>
      <c r="AN269" s="44"/>
      <c r="AP269" s="44"/>
      <c r="AQ269" s="44"/>
      <c r="AR269" s="44"/>
      <c r="AS269" s="44"/>
      <c r="AV269" s="44"/>
      <c r="AX269" s="44"/>
      <c r="AY269" s="44"/>
      <c r="BB269" s="44"/>
      <c r="BC269" s="44"/>
      <c r="BG269" s="44"/>
      <c r="BV269" s="23"/>
    </row>
    <row r="270" s="18" customFormat="1" spans="1:74">
      <c r="A270" s="114">
        <v>47</v>
      </c>
      <c r="B270" s="115" t="s">
        <v>940</v>
      </c>
      <c r="C270" s="115" t="s">
        <v>941</v>
      </c>
      <c r="D270" s="116">
        <v>43711</v>
      </c>
      <c r="E270" s="117" t="s">
        <v>942</v>
      </c>
      <c r="F270" s="118">
        <v>59.930836</v>
      </c>
      <c r="G270" s="119">
        <v>29.626578</v>
      </c>
      <c r="H270" s="70">
        <f t="shared" si="29"/>
        <v>59</v>
      </c>
      <c r="I270" s="77">
        <f t="shared" si="25"/>
        <v>55.85016</v>
      </c>
      <c r="J270" s="70">
        <f t="shared" si="28"/>
        <v>29</v>
      </c>
      <c r="K270" s="77">
        <f t="shared" si="26"/>
        <v>37.5946799999999</v>
      </c>
      <c r="L270" s="79">
        <v>0.5</v>
      </c>
      <c r="M270" s="24">
        <v>0.5</v>
      </c>
      <c r="N270" s="24"/>
      <c r="O270" s="24" t="s">
        <v>205</v>
      </c>
      <c r="P270" s="24"/>
      <c r="Q270" s="24"/>
      <c r="R270" s="24" t="s">
        <v>205</v>
      </c>
      <c r="S270" s="24"/>
      <c r="T270" s="24" t="s">
        <v>205</v>
      </c>
      <c r="U270" s="83" t="s">
        <v>205</v>
      </c>
      <c r="V270" s="82"/>
      <c r="W270" s="82"/>
      <c r="X270" s="82"/>
      <c r="Y270" s="82"/>
      <c r="Z270" s="82"/>
      <c r="AA270" s="82"/>
      <c r="AB270" s="82"/>
      <c r="AC270" s="85" t="s">
        <v>943</v>
      </c>
      <c r="AD270" s="85" t="s">
        <v>944</v>
      </c>
      <c r="AE270" s="86" t="s">
        <v>205</v>
      </c>
      <c r="AF270" s="86" t="s">
        <v>205</v>
      </c>
      <c r="AG270" s="86" t="s">
        <v>205</v>
      </c>
      <c r="AH270" s="86" t="s">
        <v>205</v>
      </c>
      <c r="AI270" s="86" t="s">
        <v>205</v>
      </c>
      <c r="AJ270" s="82" t="s">
        <v>122</v>
      </c>
      <c r="AK270" s="86" t="s">
        <v>205</v>
      </c>
      <c r="AL270" s="93" t="s">
        <v>831</v>
      </c>
      <c r="AM270" s="89" t="s">
        <v>770</v>
      </c>
      <c r="AN270" s="44"/>
      <c r="AP270" s="44"/>
      <c r="AQ270" s="44"/>
      <c r="AR270" s="44"/>
      <c r="AS270" s="44"/>
      <c r="AV270" s="44"/>
      <c r="AX270" s="44"/>
      <c r="AY270" s="44"/>
      <c r="BB270" s="44"/>
      <c r="BC270" s="44"/>
      <c r="BG270" s="44"/>
      <c r="BV270" s="23"/>
    </row>
    <row r="271" s="18" customFormat="1" spans="1:74">
      <c r="A271" s="120">
        <v>48</v>
      </c>
      <c r="B271" s="121" t="s">
        <v>945</v>
      </c>
      <c r="C271" s="121" t="s">
        <v>946</v>
      </c>
      <c r="D271" s="122">
        <v>43711</v>
      </c>
      <c r="E271" s="123" t="s">
        <v>947</v>
      </c>
      <c r="F271" s="124">
        <v>59.957427</v>
      </c>
      <c r="G271" s="125">
        <v>29.487566</v>
      </c>
      <c r="H271" s="70">
        <f t="shared" si="29"/>
        <v>59</v>
      </c>
      <c r="I271" s="77">
        <f t="shared" si="25"/>
        <v>57.4456200000002</v>
      </c>
      <c r="J271" s="70">
        <f t="shared" si="28"/>
        <v>29</v>
      </c>
      <c r="K271" s="77">
        <f t="shared" si="26"/>
        <v>29.2539600000001</v>
      </c>
      <c r="L271" s="79">
        <v>0.5</v>
      </c>
      <c r="M271" s="24">
        <v>0.5</v>
      </c>
      <c r="N271" s="24"/>
      <c r="O271" s="24" t="s">
        <v>205</v>
      </c>
      <c r="P271" s="24"/>
      <c r="Q271" s="24"/>
      <c r="R271" s="24" t="s">
        <v>205</v>
      </c>
      <c r="S271" s="24"/>
      <c r="T271" s="24" t="s">
        <v>205</v>
      </c>
      <c r="U271" s="83" t="s">
        <v>205</v>
      </c>
      <c r="V271" s="82"/>
      <c r="W271" s="82"/>
      <c r="X271" s="82"/>
      <c r="Y271" s="82"/>
      <c r="Z271" s="82"/>
      <c r="AA271" s="82"/>
      <c r="AB271" s="82"/>
      <c r="AC271" s="85" t="s">
        <v>948</v>
      </c>
      <c r="AD271" s="85" t="s">
        <v>949</v>
      </c>
      <c r="AE271" s="86" t="s">
        <v>205</v>
      </c>
      <c r="AF271" s="86" t="s">
        <v>205</v>
      </c>
      <c r="AG271" s="86" t="s">
        <v>205</v>
      </c>
      <c r="AH271" s="86" t="s">
        <v>205</v>
      </c>
      <c r="AI271" s="86" t="s">
        <v>205</v>
      </c>
      <c r="AJ271" s="82" t="s">
        <v>122</v>
      </c>
      <c r="AK271" s="86" t="s">
        <v>205</v>
      </c>
      <c r="AL271" s="93" t="s">
        <v>831</v>
      </c>
      <c r="AM271" s="89" t="s">
        <v>770</v>
      </c>
      <c r="AN271" s="44"/>
      <c r="AP271" s="44"/>
      <c r="AQ271" s="44"/>
      <c r="AR271" s="44"/>
      <c r="AS271" s="44"/>
      <c r="AV271" s="44"/>
      <c r="AX271" s="44"/>
      <c r="AY271" s="44"/>
      <c r="BB271" s="44"/>
      <c r="BC271" s="44"/>
      <c r="BG271" s="44"/>
      <c r="BV271" s="23"/>
    </row>
    <row r="272" s="18" customFormat="1" spans="1:74">
      <c r="A272" s="126">
        <v>49</v>
      </c>
      <c r="B272" s="127" t="s">
        <v>950</v>
      </c>
      <c r="C272" s="127" t="s">
        <v>951</v>
      </c>
      <c r="D272" s="128">
        <v>43711</v>
      </c>
      <c r="E272" s="129" t="s">
        <v>952</v>
      </c>
      <c r="F272" s="130">
        <v>59.984332</v>
      </c>
      <c r="G272" s="131">
        <v>29.13213</v>
      </c>
      <c r="H272" s="70">
        <f t="shared" si="29"/>
        <v>59</v>
      </c>
      <c r="I272" s="77">
        <f t="shared" si="25"/>
        <v>59.0599200000001</v>
      </c>
      <c r="J272" s="70">
        <f t="shared" si="28"/>
        <v>29</v>
      </c>
      <c r="K272" s="77">
        <f t="shared" si="26"/>
        <v>7.9278</v>
      </c>
      <c r="L272" s="79">
        <v>0.5</v>
      </c>
      <c r="M272" s="24">
        <v>0.5</v>
      </c>
      <c r="N272" s="24"/>
      <c r="O272" s="24" t="s">
        <v>205</v>
      </c>
      <c r="P272" s="24"/>
      <c r="Q272" s="24"/>
      <c r="R272" s="24" t="s">
        <v>205</v>
      </c>
      <c r="S272" s="24"/>
      <c r="T272" s="24" t="s">
        <v>205</v>
      </c>
      <c r="U272" s="83" t="s">
        <v>205</v>
      </c>
      <c r="V272" s="82"/>
      <c r="W272" s="82"/>
      <c r="X272" s="82"/>
      <c r="Y272" s="82"/>
      <c r="Z272" s="82"/>
      <c r="AA272" s="82"/>
      <c r="AB272" s="82"/>
      <c r="AC272" s="85" t="s">
        <v>953</v>
      </c>
      <c r="AD272" s="85" t="s">
        <v>954</v>
      </c>
      <c r="AE272" s="86" t="s">
        <v>205</v>
      </c>
      <c r="AF272" s="86" t="s">
        <v>205</v>
      </c>
      <c r="AG272" s="86" t="s">
        <v>205</v>
      </c>
      <c r="AH272" s="86" t="s">
        <v>205</v>
      </c>
      <c r="AI272" s="86" t="s">
        <v>205</v>
      </c>
      <c r="AJ272" s="85" t="s">
        <v>122</v>
      </c>
      <c r="AK272" s="86" t="s">
        <v>205</v>
      </c>
      <c r="AL272" s="93" t="s">
        <v>831</v>
      </c>
      <c r="AM272" s="89" t="s">
        <v>770</v>
      </c>
      <c r="AN272" s="44"/>
      <c r="AP272" s="44"/>
      <c r="AQ272" s="44"/>
      <c r="AR272" s="44"/>
      <c r="AS272" s="44"/>
      <c r="AV272" s="44"/>
      <c r="AX272" s="44"/>
      <c r="AY272" s="44"/>
      <c r="BB272" s="44"/>
      <c r="BC272" s="44"/>
      <c r="BG272" s="44"/>
      <c r="BV272" s="23"/>
    </row>
    <row r="273" s="18" customFormat="1" spans="1:74">
      <c r="A273" s="24">
        <v>50</v>
      </c>
      <c r="B273" s="14" t="s">
        <v>955</v>
      </c>
      <c r="C273" s="14"/>
      <c r="D273" s="67">
        <v>43660</v>
      </c>
      <c r="E273" s="24"/>
      <c r="F273" s="68">
        <v>59.84544</v>
      </c>
      <c r="G273" s="69">
        <v>28.27909</v>
      </c>
      <c r="H273" s="70">
        <f t="shared" si="29"/>
        <v>59</v>
      </c>
      <c r="I273" s="77">
        <f t="shared" si="25"/>
        <v>50.7264000000002</v>
      </c>
      <c r="J273" s="70">
        <f t="shared" si="28"/>
        <v>28</v>
      </c>
      <c r="K273" s="77">
        <f t="shared" si="26"/>
        <v>16.7454</v>
      </c>
      <c r="L273" s="78">
        <v>26.3</v>
      </c>
      <c r="M273" s="14">
        <v>2</v>
      </c>
      <c r="N273" s="24"/>
      <c r="O273" s="14">
        <v>17.2</v>
      </c>
      <c r="P273" s="14">
        <v>13.9</v>
      </c>
      <c r="Q273" s="14">
        <v>6.4</v>
      </c>
      <c r="R273" s="14">
        <v>2.18</v>
      </c>
      <c r="S273" s="14">
        <v>3.21</v>
      </c>
      <c r="T273" s="14">
        <v>8.17</v>
      </c>
      <c r="U273" s="80">
        <v>7.88</v>
      </c>
      <c r="V273" s="81">
        <v>7.07</v>
      </c>
      <c r="W273" s="82"/>
      <c r="X273" s="82"/>
      <c r="Y273" s="81">
        <v>245</v>
      </c>
      <c r="Z273" s="81">
        <v>209</v>
      </c>
      <c r="AA273" s="81"/>
      <c r="AB273" s="81"/>
      <c r="AC273" s="82" t="s">
        <v>956</v>
      </c>
      <c r="AD273" s="82"/>
      <c r="AE273" s="84" t="s">
        <v>122</v>
      </c>
      <c r="AF273" s="84" t="s">
        <v>122</v>
      </c>
      <c r="AG273" s="84" t="s">
        <v>774</v>
      </c>
      <c r="AH273" s="84" t="s">
        <v>205</v>
      </c>
      <c r="AI273" s="88"/>
      <c r="AJ273" s="84"/>
      <c r="AK273" s="84" t="s">
        <v>122</v>
      </c>
      <c r="AL273" s="81" t="s">
        <v>789</v>
      </c>
      <c r="AM273" s="89" t="s">
        <v>957</v>
      </c>
      <c r="AN273" s="44">
        <v>0</v>
      </c>
      <c r="AO273" s="18">
        <v>0</v>
      </c>
      <c r="AP273" s="44">
        <v>0</v>
      </c>
      <c r="AQ273" s="44">
        <v>0</v>
      </c>
      <c r="AR273" s="44">
        <v>0</v>
      </c>
      <c r="AS273" s="44">
        <v>0</v>
      </c>
      <c r="AT273" s="18">
        <v>0</v>
      </c>
      <c r="AU273" s="18">
        <v>0</v>
      </c>
      <c r="AV273" s="44">
        <v>0</v>
      </c>
      <c r="AW273" s="18">
        <v>0</v>
      </c>
      <c r="AX273" s="44">
        <v>3</v>
      </c>
      <c r="AY273" s="44">
        <v>0</v>
      </c>
      <c r="AZ273" s="18">
        <v>0</v>
      </c>
      <c r="BA273" s="18">
        <v>0</v>
      </c>
      <c r="BB273" s="44">
        <v>0</v>
      </c>
      <c r="BC273" s="44">
        <v>1</v>
      </c>
      <c r="BD273" s="18">
        <v>0</v>
      </c>
      <c r="BE273" s="18">
        <v>0</v>
      </c>
      <c r="BF273" s="18">
        <v>0</v>
      </c>
      <c r="BG273" s="44">
        <v>0</v>
      </c>
      <c r="BH273" s="18">
        <v>0</v>
      </c>
      <c r="BI273" s="18">
        <v>0</v>
      </c>
      <c r="BJ273" s="18">
        <v>2</v>
      </c>
      <c r="BK273" s="18">
        <v>1</v>
      </c>
      <c r="BL273" s="18">
        <v>2</v>
      </c>
      <c r="BM273" s="18">
        <v>1</v>
      </c>
      <c r="BN273" s="18">
        <v>1</v>
      </c>
      <c r="BO273" s="18">
        <v>1</v>
      </c>
      <c r="BP273" s="18">
        <v>1</v>
      </c>
      <c r="BQ273" s="18">
        <v>4</v>
      </c>
      <c r="BR273" s="18">
        <v>1</v>
      </c>
      <c r="BS273" s="18">
        <v>0</v>
      </c>
      <c r="BT273" s="18">
        <v>0</v>
      </c>
      <c r="BU273" s="18">
        <v>0</v>
      </c>
      <c r="BV273" s="23">
        <f t="shared" si="24"/>
        <v>12</v>
      </c>
    </row>
    <row r="274" s="18" customFormat="1" spans="1:74">
      <c r="A274" s="24">
        <f>A273+1</f>
        <v>51</v>
      </c>
      <c r="B274" s="14" t="s">
        <v>958</v>
      </c>
      <c r="C274" s="14"/>
      <c r="D274" s="67">
        <v>43660</v>
      </c>
      <c r="E274" s="24"/>
      <c r="F274" s="68">
        <v>59.8457</v>
      </c>
      <c r="G274" s="69">
        <v>28.30174</v>
      </c>
      <c r="H274" s="70">
        <f t="shared" si="29"/>
        <v>59</v>
      </c>
      <c r="I274" s="77">
        <f t="shared" ref="I274:I330" si="33">(F274-H274)*60</f>
        <v>50.742</v>
      </c>
      <c r="J274" s="70">
        <f t="shared" si="28"/>
        <v>28</v>
      </c>
      <c r="K274" s="77">
        <f t="shared" ref="K274:K330" si="34">(G274-J274)*60</f>
        <v>18.1043999999999</v>
      </c>
      <c r="L274" s="78">
        <v>26.7</v>
      </c>
      <c r="M274" s="14">
        <v>2.2</v>
      </c>
      <c r="N274" s="24"/>
      <c r="O274" s="14">
        <v>17.1</v>
      </c>
      <c r="P274" s="14">
        <v>16</v>
      </c>
      <c r="Q274" s="14">
        <v>6.3</v>
      </c>
      <c r="R274" s="14">
        <v>2.16</v>
      </c>
      <c r="S274" s="14">
        <v>2.35</v>
      </c>
      <c r="T274" s="14">
        <v>8.17</v>
      </c>
      <c r="U274" s="80">
        <v>8.13</v>
      </c>
      <c r="V274" s="81">
        <v>7.15</v>
      </c>
      <c r="W274" s="82"/>
      <c r="X274" s="82"/>
      <c r="Y274" s="81">
        <v>230</v>
      </c>
      <c r="Z274" s="81">
        <v>203</v>
      </c>
      <c r="AA274" s="81"/>
      <c r="AB274" s="81"/>
      <c r="AC274" s="81" t="s">
        <v>767</v>
      </c>
      <c r="AD274" s="82"/>
      <c r="AE274" s="84" t="s">
        <v>205</v>
      </c>
      <c r="AF274" s="84" t="s">
        <v>205</v>
      </c>
      <c r="AG274" s="84" t="s">
        <v>774</v>
      </c>
      <c r="AH274" s="82"/>
      <c r="AI274" s="91"/>
      <c r="AJ274" s="82"/>
      <c r="AK274" s="84" t="s">
        <v>122</v>
      </c>
      <c r="AL274" s="81" t="s">
        <v>789</v>
      </c>
      <c r="AM274" s="89" t="s">
        <v>957</v>
      </c>
      <c r="AN274" s="44">
        <v>0</v>
      </c>
      <c r="AO274" s="18">
        <v>0</v>
      </c>
      <c r="AP274" s="44">
        <v>0</v>
      </c>
      <c r="AQ274" s="44">
        <v>0</v>
      </c>
      <c r="AR274" s="44">
        <v>0</v>
      </c>
      <c r="AS274" s="44">
        <v>0</v>
      </c>
      <c r="AT274" s="18">
        <v>0</v>
      </c>
      <c r="AU274" s="18">
        <v>0</v>
      </c>
      <c r="AV274" s="44">
        <v>0</v>
      </c>
      <c r="AW274" s="18">
        <v>0</v>
      </c>
      <c r="AX274" s="44">
        <v>3</v>
      </c>
      <c r="AY274" s="44">
        <v>0</v>
      </c>
      <c r="AZ274" s="18">
        <v>0</v>
      </c>
      <c r="BA274" s="18">
        <v>0</v>
      </c>
      <c r="BB274" s="44">
        <v>0</v>
      </c>
      <c r="BC274" s="44">
        <v>1</v>
      </c>
      <c r="BD274" s="18">
        <v>0</v>
      </c>
      <c r="BE274" s="18">
        <v>0</v>
      </c>
      <c r="BF274" s="18">
        <v>0</v>
      </c>
      <c r="BG274" s="44">
        <v>0</v>
      </c>
      <c r="BH274" s="18">
        <v>0</v>
      </c>
      <c r="BI274" s="18">
        <v>0</v>
      </c>
      <c r="BJ274" s="18">
        <v>2</v>
      </c>
      <c r="BK274" s="18">
        <v>1</v>
      </c>
      <c r="BL274" s="18">
        <v>2</v>
      </c>
      <c r="BM274" s="18">
        <v>1</v>
      </c>
      <c r="BN274" s="18">
        <v>1</v>
      </c>
      <c r="BO274" s="18">
        <v>1</v>
      </c>
      <c r="BP274" s="18">
        <v>1</v>
      </c>
      <c r="BQ274" s="18">
        <v>4</v>
      </c>
      <c r="BR274" s="18">
        <v>1</v>
      </c>
      <c r="BS274" s="18">
        <v>0</v>
      </c>
      <c r="BT274" s="18">
        <v>0</v>
      </c>
      <c r="BU274" s="18">
        <v>0</v>
      </c>
      <c r="BV274" s="23">
        <f t="shared" si="24"/>
        <v>12</v>
      </c>
    </row>
    <row r="275" s="18" customFormat="1" spans="1:74">
      <c r="A275" s="24">
        <f>A274+1</f>
        <v>52</v>
      </c>
      <c r="B275" s="14" t="s">
        <v>959</v>
      </c>
      <c r="C275" s="14"/>
      <c r="D275" s="67">
        <v>43660</v>
      </c>
      <c r="E275" s="24"/>
      <c r="F275" s="68">
        <v>59.80515</v>
      </c>
      <c r="G275" s="69">
        <v>28.27945</v>
      </c>
      <c r="H275" s="70">
        <f t="shared" si="29"/>
        <v>59</v>
      </c>
      <c r="I275" s="77">
        <f t="shared" si="33"/>
        <v>48.3089999999999</v>
      </c>
      <c r="J275" s="70">
        <f t="shared" ref="J275:J331" si="35">ROUNDDOWN(G275,0)</f>
        <v>28</v>
      </c>
      <c r="K275" s="77">
        <f t="shared" si="34"/>
        <v>16.767</v>
      </c>
      <c r="L275" s="78">
        <v>25</v>
      </c>
      <c r="M275" s="14">
        <v>1.5</v>
      </c>
      <c r="N275" s="24"/>
      <c r="O275" s="14">
        <v>17.1</v>
      </c>
      <c r="P275" s="14">
        <v>14.2</v>
      </c>
      <c r="Q275" s="14">
        <v>6.1</v>
      </c>
      <c r="R275" s="14">
        <v>2.13</v>
      </c>
      <c r="S275" s="14">
        <v>3.17</v>
      </c>
      <c r="T275" s="14">
        <v>8.56</v>
      </c>
      <c r="U275" s="80">
        <v>8.28</v>
      </c>
      <c r="V275" s="81">
        <v>7.1</v>
      </c>
      <c r="W275" s="82"/>
      <c r="X275" s="82"/>
      <c r="Y275" s="81">
        <v>198</v>
      </c>
      <c r="Z275" s="81">
        <v>129</v>
      </c>
      <c r="AA275" s="81"/>
      <c r="AB275" s="82"/>
      <c r="AC275" s="81" t="s">
        <v>767</v>
      </c>
      <c r="AD275" s="82" t="s">
        <v>960</v>
      </c>
      <c r="AE275" s="84" t="s">
        <v>205</v>
      </c>
      <c r="AF275" s="84" t="s">
        <v>205</v>
      </c>
      <c r="AG275" s="84" t="s">
        <v>961</v>
      </c>
      <c r="AH275" s="84" t="s">
        <v>205</v>
      </c>
      <c r="AI275" s="88"/>
      <c r="AJ275" s="84"/>
      <c r="AK275" s="84" t="s">
        <v>122</v>
      </c>
      <c r="AL275" s="81" t="s">
        <v>789</v>
      </c>
      <c r="AM275" s="89" t="s">
        <v>957</v>
      </c>
      <c r="AN275" s="44">
        <v>0</v>
      </c>
      <c r="AO275" s="18">
        <v>0</v>
      </c>
      <c r="AP275" s="44">
        <v>0</v>
      </c>
      <c r="AQ275" s="44">
        <v>0</v>
      </c>
      <c r="AR275" s="44">
        <v>0</v>
      </c>
      <c r="AS275" s="44">
        <v>0</v>
      </c>
      <c r="AT275" s="18">
        <v>0</v>
      </c>
      <c r="AU275" s="18">
        <v>0</v>
      </c>
      <c r="AV275" s="44">
        <v>0</v>
      </c>
      <c r="AW275" s="18">
        <v>0</v>
      </c>
      <c r="AX275" s="44">
        <v>3</v>
      </c>
      <c r="AY275" s="44">
        <v>0</v>
      </c>
      <c r="AZ275" s="18">
        <v>0</v>
      </c>
      <c r="BA275" s="18">
        <v>0</v>
      </c>
      <c r="BB275" s="44">
        <v>0</v>
      </c>
      <c r="BC275" s="44">
        <v>1</v>
      </c>
      <c r="BD275" s="18">
        <v>0</v>
      </c>
      <c r="BE275" s="18">
        <v>0</v>
      </c>
      <c r="BF275" s="18">
        <v>0</v>
      </c>
      <c r="BG275" s="44">
        <v>0</v>
      </c>
      <c r="BH275" s="18">
        <v>0</v>
      </c>
      <c r="BI275" s="18">
        <v>0</v>
      </c>
      <c r="BJ275" s="18">
        <v>2</v>
      </c>
      <c r="BK275" s="18">
        <v>1</v>
      </c>
      <c r="BL275" s="18">
        <v>2</v>
      </c>
      <c r="BM275" s="18">
        <v>1</v>
      </c>
      <c r="BN275" s="18">
        <v>1</v>
      </c>
      <c r="BO275" s="18">
        <v>1</v>
      </c>
      <c r="BP275" s="18">
        <v>1</v>
      </c>
      <c r="BQ275" s="18">
        <v>4</v>
      </c>
      <c r="BR275" s="18">
        <v>1</v>
      </c>
      <c r="BS275" s="18">
        <v>0</v>
      </c>
      <c r="BT275" s="18">
        <v>0</v>
      </c>
      <c r="BU275" s="18">
        <v>0</v>
      </c>
      <c r="BV275" s="23">
        <f t="shared" si="24"/>
        <v>12</v>
      </c>
    </row>
    <row r="276" s="18" customFormat="1" spans="1:74">
      <c r="A276" s="24">
        <f>A275+1</f>
        <v>53</v>
      </c>
      <c r="B276" s="14" t="s">
        <v>962</v>
      </c>
      <c r="C276" s="14"/>
      <c r="D276" s="67">
        <v>43660</v>
      </c>
      <c r="E276" s="24"/>
      <c r="F276" s="68">
        <v>59.80526</v>
      </c>
      <c r="G276" s="69">
        <v>28.2959</v>
      </c>
      <c r="H276" s="70">
        <f t="shared" si="29"/>
        <v>59</v>
      </c>
      <c r="I276" s="77">
        <f t="shared" si="33"/>
        <v>48.3155999999998</v>
      </c>
      <c r="J276" s="70">
        <f t="shared" si="35"/>
        <v>28</v>
      </c>
      <c r="K276" s="77">
        <f t="shared" si="34"/>
        <v>17.754</v>
      </c>
      <c r="L276" s="78">
        <v>25</v>
      </c>
      <c r="M276" s="14">
        <v>1.5</v>
      </c>
      <c r="N276" s="24"/>
      <c r="O276" s="14">
        <v>17.4</v>
      </c>
      <c r="P276" s="14">
        <v>13.3</v>
      </c>
      <c r="Q276" s="14">
        <v>6.8</v>
      </c>
      <c r="R276" s="14">
        <v>2.11</v>
      </c>
      <c r="S276" s="14">
        <v>3.19</v>
      </c>
      <c r="T276" s="14">
        <v>8.44</v>
      </c>
      <c r="U276" s="80">
        <v>8.19</v>
      </c>
      <c r="V276" s="81">
        <v>7.1</v>
      </c>
      <c r="W276" s="82"/>
      <c r="X276" s="82"/>
      <c r="Y276" s="82"/>
      <c r="Z276" s="82"/>
      <c r="AA276" s="82"/>
      <c r="AB276" s="82"/>
      <c r="AC276" s="81" t="s">
        <v>767</v>
      </c>
      <c r="AD276" s="82" t="s">
        <v>960</v>
      </c>
      <c r="AE276" s="84" t="s">
        <v>205</v>
      </c>
      <c r="AF276" s="84" t="s">
        <v>205</v>
      </c>
      <c r="AG276" s="84" t="s">
        <v>774</v>
      </c>
      <c r="AH276" s="84" t="s">
        <v>205</v>
      </c>
      <c r="AI276" s="88"/>
      <c r="AJ276" s="84"/>
      <c r="AK276" s="84" t="s">
        <v>122</v>
      </c>
      <c r="AL276" s="81" t="s">
        <v>789</v>
      </c>
      <c r="AM276" s="89" t="s">
        <v>957</v>
      </c>
      <c r="AN276" s="44">
        <v>0</v>
      </c>
      <c r="AO276" s="18">
        <v>0</v>
      </c>
      <c r="AP276" s="44">
        <v>0</v>
      </c>
      <c r="AQ276" s="44">
        <v>0</v>
      </c>
      <c r="AR276" s="44">
        <v>0</v>
      </c>
      <c r="AS276" s="44">
        <v>0</v>
      </c>
      <c r="AT276" s="18">
        <v>0</v>
      </c>
      <c r="AU276" s="18">
        <v>0</v>
      </c>
      <c r="AV276" s="44">
        <v>0</v>
      </c>
      <c r="AW276" s="18">
        <v>0</v>
      </c>
      <c r="AX276" s="44">
        <v>3</v>
      </c>
      <c r="AY276" s="44">
        <v>0</v>
      </c>
      <c r="AZ276" s="18">
        <v>0</v>
      </c>
      <c r="BA276" s="18">
        <v>0</v>
      </c>
      <c r="BB276" s="44">
        <v>0</v>
      </c>
      <c r="BC276" s="44">
        <v>1</v>
      </c>
      <c r="BD276" s="18">
        <v>0</v>
      </c>
      <c r="BE276" s="18">
        <v>0</v>
      </c>
      <c r="BF276" s="18">
        <v>0</v>
      </c>
      <c r="BG276" s="44">
        <v>0</v>
      </c>
      <c r="BH276" s="18">
        <v>0</v>
      </c>
      <c r="BI276" s="18">
        <v>0</v>
      </c>
      <c r="BJ276" s="18">
        <v>2</v>
      </c>
      <c r="BK276" s="18">
        <v>1</v>
      </c>
      <c r="BL276" s="18">
        <v>2</v>
      </c>
      <c r="BM276" s="18">
        <v>1</v>
      </c>
      <c r="BN276" s="18">
        <v>1</v>
      </c>
      <c r="BO276" s="18">
        <v>1</v>
      </c>
      <c r="BP276" s="18">
        <v>1</v>
      </c>
      <c r="BQ276" s="18">
        <v>4</v>
      </c>
      <c r="BR276" s="18">
        <v>1</v>
      </c>
      <c r="BS276" s="18">
        <v>0</v>
      </c>
      <c r="BT276" s="18">
        <v>0</v>
      </c>
      <c r="BU276" s="18">
        <v>0</v>
      </c>
      <c r="BV276" s="23">
        <f t="shared" si="24"/>
        <v>12</v>
      </c>
    </row>
    <row r="277" s="18" customFormat="1" spans="1:74">
      <c r="A277" s="24">
        <f>A276+1</f>
        <v>54</v>
      </c>
      <c r="B277" s="14" t="s">
        <v>963</v>
      </c>
      <c r="C277" s="14"/>
      <c r="D277" s="67">
        <v>43660</v>
      </c>
      <c r="E277" s="172" t="s">
        <v>964</v>
      </c>
      <c r="F277" s="68">
        <v>59.82398</v>
      </c>
      <c r="G277" s="69">
        <v>28.31581</v>
      </c>
      <c r="H277" s="70">
        <f t="shared" si="29"/>
        <v>59</v>
      </c>
      <c r="I277" s="77">
        <f t="shared" si="33"/>
        <v>49.4387999999999</v>
      </c>
      <c r="J277" s="70">
        <f t="shared" si="35"/>
        <v>28</v>
      </c>
      <c r="K277" s="77">
        <f t="shared" si="34"/>
        <v>18.9485999999999</v>
      </c>
      <c r="L277" s="78">
        <v>25.3</v>
      </c>
      <c r="M277" s="14">
        <v>1.7</v>
      </c>
      <c r="N277" s="24"/>
      <c r="O277" s="14">
        <v>17.5</v>
      </c>
      <c r="P277" s="14">
        <v>16.9</v>
      </c>
      <c r="Q277" s="14">
        <v>8.3</v>
      </c>
      <c r="R277" s="14">
        <v>2.19</v>
      </c>
      <c r="S277" s="14">
        <v>2.05</v>
      </c>
      <c r="T277" s="14">
        <v>8.33</v>
      </c>
      <c r="U277" s="80">
        <v>8.15</v>
      </c>
      <c r="V277" s="81">
        <v>7.15</v>
      </c>
      <c r="W277" s="82"/>
      <c r="X277" s="82"/>
      <c r="Y277" s="81">
        <v>199</v>
      </c>
      <c r="Z277" s="81">
        <v>195</v>
      </c>
      <c r="AA277" s="81"/>
      <c r="AB277" s="82"/>
      <c r="AC277" s="81" t="s">
        <v>767</v>
      </c>
      <c r="AD277" s="82" t="s">
        <v>960</v>
      </c>
      <c r="AE277" s="84" t="s">
        <v>205</v>
      </c>
      <c r="AF277" s="84" t="s">
        <v>205</v>
      </c>
      <c r="AG277" s="84" t="s">
        <v>774</v>
      </c>
      <c r="AH277" s="84" t="s">
        <v>205</v>
      </c>
      <c r="AI277" s="88"/>
      <c r="AJ277" s="84"/>
      <c r="AK277" s="84" t="s">
        <v>122</v>
      </c>
      <c r="AL277" s="81" t="s">
        <v>789</v>
      </c>
      <c r="AM277" s="89" t="s">
        <v>957</v>
      </c>
      <c r="AN277" s="44">
        <v>0</v>
      </c>
      <c r="AO277" s="18">
        <v>0</v>
      </c>
      <c r="AP277" s="44">
        <v>0</v>
      </c>
      <c r="AQ277" s="44">
        <v>0</v>
      </c>
      <c r="AR277" s="44">
        <v>0</v>
      </c>
      <c r="AS277" s="44">
        <v>0</v>
      </c>
      <c r="AT277" s="18">
        <v>0</v>
      </c>
      <c r="AU277" s="18">
        <v>0</v>
      </c>
      <c r="AV277" s="44">
        <v>0</v>
      </c>
      <c r="AW277" s="18">
        <v>0</v>
      </c>
      <c r="AX277" s="44">
        <v>3</v>
      </c>
      <c r="AY277" s="44">
        <v>0</v>
      </c>
      <c r="AZ277" s="18">
        <v>0</v>
      </c>
      <c r="BA277" s="18">
        <v>0</v>
      </c>
      <c r="BB277" s="44">
        <v>0</v>
      </c>
      <c r="BC277" s="44">
        <v>1</v>
      </c>
      <c r="BD277" s="18">
        <v>0</v>
      </c>
      <c r="BE277" s="18">
        <v>0</v>
      </c>
      <c r="BF277" s="18">
        <v>0</v>
      </c>
      <c r="BG277" s="44">
        <v>0</v>
      </c>
      <c r="BH277" s="18">
        <v>0</v>
      </c>
      <c r="BI277" s="18">
        <v>0</v>
      </c>
      <c r="BJ277" s="18">
        <v>2</v>
      </c>
      <c r="BK277" s="18">
        <v>1</v>
      </c>
      <c r="BL277" s="18">
        <v>2</v>
      </c>
      <c r="BM277" s="18">
        <v>1</v>
      </c>
      <c r="BN277" s="18">
        <v>1</v>
      </c>
      <c r="BO277" s="18">
        <v>1</v>
      </c>
      <c r="BP277" s="18">
        <v>1</v>
      </c>
      <c r="BQ277" s="18">
        <v>4</v>
      </c>
      <c r="BR277" s="18">
        <v>1</v>
      </c>
      <c r="BS277" s="18">
        <v>0</v>
      </c>
      <c r="BT277" s="18">
        <v>0</v>
      </c>
      <c r="BU277" s="18">
        <v>0</v>
      </c>
      <c r="BV277" s="23">
        <f t="shared" si="24"/>
        <v>12</v>
      </c>
    </row>
    <row r="278" s="18" customFormat="1" spans="1:74">
      <c r="A278" s="24">
        <f>A277+1</f>
        <v>55</v>
      </c>
      <c r="B278" s="14" t="s">
        <v>965</v>
      </c>
      <c r="C278" s="14"/>
      <c r="D278" s="67">
        <v>43660</v>
      </c>
      <c r="E278" s="24"/>
      <c r="F278" s="68">
        <v>59.8331</v>
      </c>
      <c r="G278" s="69">
        <v>28.31542</v>
      </c>
      <c r="H278" s="70">
        <f t="shared" si="29"/>
        <v>59</v>
      </c>
      <c r="I278" s="77">
        <f t="shared" si="33"/>
        <v>49.9860000000001</v>
      </c>
      <c r="J278" s="70">
        <f t="shared" si="35"/>
        <v>28</v>
      </c>
      <c r="K278" s="77">
        <f t="shared" si="34"/>
        <v>18.9252</v>
      </c>
      <c r="L278" s="78">
        <v>24.4</v>
      </c>
      <c r="M278" s="14">
        <v>2</v>
      </c>
      <c r="N278" s="24"/>
      <c r="O278" s="14">
        <v>17.8</v>
      </c>
      <c r="P278" s="14">
        <v>17.4</v>
      </c>
      <c r="Q278" s="14">
        <v>5.4</v>
      </c>
      <c r="R278" s="14">
        <v>1.82</v>
      </c>
      <c r="S278" s="14">
        <v>1.92</v>
      </c>
      <c r="T278" s="14">
        <v>8.73</v>
      </c>
      <c r="U278" s="80">
        <v>8.8</v>
      </c>
      <c r="V278" s="81">
        <v>7.2</v>
      </c>
      <c r="W278" s="82"/>
      <c r="X278" s="82"/>
      <c r="Y278" s="81">
        <v>200</v>
      </c>
      <c r="Z278" s="81">
        <v>180</v>
      </c>
      <c r="AA278" s="81"/>
      <c r="AB278" s="82"/>
      <c r="AC278" s="81" t="s">
        <v>802</v>
      </c>
      <c r="AD278" s="82" t="s">
        <v>966</v>
      </c>
      <c r="AE278" s="84" t="s">
        <v>205</v>
      </c>
      <c r="AF278" s="84" t="s">
        <v>205</v>
      </c>
      <c r="AG278" s="84" t="s">
        <v>774</v>
      </c>
      <c r="AH278" s="84" t="s">
        <v>205</v>
      </c>
      <c r="AI278" s="88"/>
      <c r="AJ278" s="84"/>
      <c r="AK278" s="84" t="s">
        <v>122</v>
      </c>
      <c r="AL278" s="81" t="s">
        <v>789</v>
      </c>
      <c r="AM278" s="89" t="s">
        <v>957</v>
      </c>
      <c r="AN278" s="44">
        <v>0</v>
      </c>
      <c r="AO278" s="18">
        <v>0</v>
      </c>
      <c r="AP278" s="44">
        <v>0</v>
      </c>
      <c r="AQ278" s="44">
        <v>0</v>
      </c>
      <c r="AR278" s="44">
        <v>0</v>
      </c>
      <c r="AS278" s="44">
        <v>0</v>
      </c>
      <c r="AT278" s="18">
        <v>0</v>
      </c>
      <c r="AU278" s="18">
        <v>0</v>
      </c>
      <c r="AV278" s="44">
        <v>0</v>
      </c>
      <c r="AW278" s="18">
        <v>0</v>
      </c>
      <c r="AX278" s="44">
        <v>3</v>
      </c>
      <c r="AY278" s="44">
        <v>0</v>
      </c>
      <c r="AZ278" s="18">
        <v>0</v>
      </c>
      <c r="BA278" s="18">
        <v>0</v>
      </c>
      <c r="BB278" s="44">
        <v>0</v>
      </c>
      <c r="BC278" s="44">
        <v>1</v>
      </c>
      <c r="BD278" s="18">
        <v>0</v>
      </c>
      <c r="BE278" s="18">
        <v>0</v>
      </c>
      <c r="BF278" s="18">
        <v>0</v>
      </c>
      <c r="BG278" s="44">
        <v>0</v>
      </c>
      <c r="BH278" s="18">
        <v>0</v>
      </c>
      <c r="BI278" s="18">
        <v>0</v>
      </c>
      <c r="BJ278" s="18">
        <v>2</v>
      </c>
      <c r="BK278" s="18">
        <v>1</v>
      </c>
      <c r="BL278" s="18">
        <v>2</v>
      </c>
      <c r="BM278" s="18">
        <v>1</v>
      </c>
      <c r="BN278" s="18">
        <v>1</v>
      </c>
      <c r="BO278" s="18">
        <v>1</v>
      </c>
      <c r="BP278" s="18">
        <v>1</v>
      </c>
      <c r="BQ278" s="18">
        <v>4</v>
      </c>
      <c r="BR278" s="18">
        <v>1</v>
      </c>
      <c r="BS278" s="18">
        <v>0</v>
      </c>
      <c r="BT278" s="18">
        <v>0</v>
      </c>
      <c r="BU278" s="18">
        <v>0</v>
      </c>
      <c r="BV278" s="23">
        <f t="shared" si="24"/>
        <v>12</v>
      </c>
    </row>
    <row r="279" s="18" customFormat="1" spans="1:74">
      <c r="A279" s="24">
        <v>56</v>
      </c>
      <c r="B279" s="14" t="s">
        <v>967</v>
      </c>
      <c r="C279" s="14"/>
      <c r="D279" s="67">
        <v>43660</v>
      </c>
      <c r="E279" s="24"/>
      <c r="F279" s="68">
        <v>59.75315</v>
      </c>
      <c r="G279" s="69">
        <v>28.4353</v>
      </c>
      <c r="H279" s="70">
        <f t="shared" ref="H279:H333" si="36">ROUNDDOWN(F279,0)</f>
        <v>59</v>
      </c>
      <c r="I279" s="77">
        <f t="shared" si="33"/>
        <v>45.1889999999999</v>
      </c>
      <c r="J279" s="70">
        <f t="shared" si="35"/>
        <v>28</v>
      </c>
      <c r="K279" s="77">
        <f t="shared" si="34"/>
        <v>26.1180000000001</v>
      </c>
      <c r="L279" s="78">
        <v>7.9</v>
      </c>
      <c r="M279" s="14">
        <v>1</v>
      </c>
      <c r="N279" s="24"/>
      <c r="O279" s="14">
        <v>17.1</v>
      </c>
      <c r="P279" s="14">
        <v>16.9</v>
      </c>
      <c r="Q279" s="24"/>
      <c r="R279" s="133">
        <v>3.06</v>
      </c>
      <c r="S279" s="133">
        <v>3.04</v>
      </c>
      <c r="T279" s="14">
        <v>8.11</v>
      </c>
      <c r="U279" s="83">
        <v>8.01</v>
      </c>
      <c r="V279" s="82"/>
      <c r="W279" s="82"/>
      <c r="X279" s="82"/>
      <c r="Y279" s="81">
        <v>230</v>
      </c>
      <c r="Z279" s="81">
        <v>216</v>
      </c>
      <c r="AA279" s="81"/>
      <c r="AB279" s="148" t="s">
        <v>968</v>
      </c>
      <c r="AC279" s="81" t="s">
        <v>793</v>
      </c>
      <c r="AD279" s="82" t="s">
        <v>172</v>
      </c>
      <c r="AE279" s="84" t="s">
        <v>122</v>
      </c>
      <c r="AF279" s="84" t="s">
        <v>122</v>
      </c>
      <c r="AG279" s="84" t="s">
        <v>774</v>
      </c>
      <c r="AH279" s="84" t="s">
        <v>205</v>
      </c>
      <c r="AI279" s="88"/>
      <c r="AJ279" s="84"/>
      <c r="AK279" s="84" t="s">
        <v>122</v>
      </c>
      <c r="AL279" s="81" t="s">
        <v>789</v>
      </c>
      <c r="AM279" s="89" t="s">
        <v>852</v>
      </c>
      <c r="AN279" s="44">
        <v>0</v>
      </c>
      <c r="AO279" s="18">
        <v>0</v>
      </c>
      <c r="AP279" s="44">
        <v>0</v>
      </c>
      <c r="AQ279" s="44">
        <v>0</v>
      </c>
      <c r="AR279" s="44">
        <v>0</v>
      </c>
      <c r="AS279" s="44">
        <v>0</v>
      </c>
      <c r="AT279" s="18">
        <v>0</v>
      </c>
      <c r="AU279" s="18">
        <v>0</v>
      </c>
      <c r="AV279" s="44">
        <v>0</v>
      </c>
      <c r="AW279" s="18">
        <v>0</v>
      </c>
      <c r="AX279" s="44">
        <v>3</v>
      </c>
      <c r="AY279" s="44">
        <v>0</v>
      </c>
      <c r="AZ279" s="18">
        <v>0</v>
      </c>
      <c r="BA279" s="18">
        <v>0</v>
      </c>
      <c r="BB279" s="44">
        <v>0</v>
      </c>
      <c r="BC279" s="44">
        <v>1</v>
      </c>
      <c r="BD279" s="18">
        <v>0</v>
      </c>
      <c r="BE279" s="18">
        <v>0</v>
      </c>
      <c r="BF279" s="18">
        <v>0</v>
      </c>
      <c r="BG279" s="44">
        <v>0</v>
      </c>
      <c r="BH279" s="18">
        <v>0</v>
      </c>
      <c r="BI279" s="18">
        <v>0</v>
      </c>
      <c r="BJ279" s="18">
        <v>2</v>
      </c>
      <c r="BK279" s="18">
        <v>1</v>
      </c>
      <c r="BL279" s="18">
        <v>2</v>
      </c>
      <c r="BM279" s="18">
        <v>1</v>
      </c>
      <c r="BN279" s="18">
        <v>1</v>
      </c>
      <c r="BO279" s="18">
        <v>1</v>
      </c>
      <c r="BP279" s="18">
        <v>1</v>
      </c>
      <c r="BQ279" s="18">
        <v>3</v>
      </c>
      <c r="BR279" s="18">
        <v>1</v>
      </c>
      <c r="BS279" s="18">
        <v>0</v>
      </c>
      <c r="BT279" s="18">
        <v>0</v>
      </c>
      <c r="BU279" s="18">
        <v>0</v>
      </c>
      <c r="BV279" s="23">
        <f t="shared" si="24"/>
        <v>11</v>
      </c>
    </row>
    <row r="280" s="19" customFormat="1" spans="1:74">
      <c r="A280" s="132"/>
      <c r="B280" s="133" t="s">
        <v>967</v>
      </c>
      <c r="C280" s="134"/>
      <c r="D280" s="135">
        <v>43707</v>
      </c>
      <c r="E280" s="132"/>
      <c r="F280" s="68">
        <v>59.75315</v>
      </c>
      <c r="G280" s="69">
        <v>28.4353</v>
      </c>
      <c r="H280" s="70">
        <f t="shared" si="36"/>
        <v>59</v>
      </c>
      <c r="I280" s="77">
        <f t="shared" si="33"/>
        <v>45.1889999999999</v>
      </c>
      <c r="J280" s="70">
        <f t="shared" si="35"/>
        <v>28</v>
      </c>
      <c r="K280" s="77">
        <f t="shared" si="34"/>
        <v>26.1180000000001</v>
      </c>
      <c r="L280" s="78">
        <v>7.9</v>
      </c>
      <c r="M280" s="14">
        <v>2.1</v>
      </c>
      <c r="N280" s="24"/>
      <c r="O280" s="14">
        <v>18.9</v>
      </c>
      <c r="P280" s="14">
        <v>18.4</v>
      </c>
      <c r="Q280" s="24"/>
      <c r="R280" s="133">
        <v>3.13</v>
      </c>
      <c r="S280" s="133">
        <v>3.15</v>
      </c>
      <c r="T280" s="14">
        <v>8.55</v>
      </c>
      <c r="U280" s="83">
        <v>8.55</v>
      </c>
      <c r="V280" s="82"/>
      <c r="W280" s="82"/>
      <c r="X280" s="82"/>
      <c r="Y280" s="81"/>
      <c r="Z280" s="81"/>
      <c r="AA280" s="81" t="s">
        <v>969</v>
      </c>
      <c r="AB280" s="148" t="s">
        <v>970</v>
      </c>
      <c r="AC280" s="81" t="s">
        <v>172</v>
      </c>
      <c r="AD280" s="82"/>
      <c r="AE280" s="84" t="s">
        <v>122</v>
      </c>
      <c r="AF280" s="84" t="s">
        <v>971</v>
      </c>
      <c r="AG280" s="84" t="s">
        <v>774</v>
      </c>
      <c r="AH280" s="84"/>
      <c r="AI280" s="88"/>
      <c r="AJ280" s="84"/>
      <c r="AK280" s="84" t="s">
        <v>122</v>
      </c>
      <c r="AL280" s="81" t="s">
        <v>205</v>
      </c>
      <c r="AM280" s="89" t="s">
        <v>770</v>
      </c>
      <c r="AN280" s="44">
        <v>0</v>
      </c>
      <c r="AO280" s="18">
        <v>0</v>
      </c>
      <c r="AP280" s="44">
        <v>0</v>
      </c>
      <c r="AQ280" s="44">
        <v>0</v>
      </c>
      <c r="AR280" s="44">
        <v>0</v>
      </c>
      <c r="AS280" s="44">
        <v>0</v>
      </c>
      <c r="AT280" s="18">
        <v>0</v>
      </c>
      <c r="AU280" s="18">
        <v>0</v>
      </c>
      <c r="AV280" s="44">
        <v>0</v>
      </c>
      <c r="AW280" s="18">
        <v>0</v>
      </c>
      <c r="AX280" s="44">
        <v>3</v>
      </c>
      <c r="AY280" s="44">
        <v>0</v>
      </c>
      <c r="AZ280" s="18">
        <v>0</v>
      </c>
      <c r="BA280" s="18">
        <v>0</v>
      </c>
      <c r="BB280" s="152">
        <v>0</v>
      </c>
      <c r="BC280" s="152">
        <v>0</v>
      </c>
      <c r="BD280" s="19">
        <v>0</v>
      </c>
      <c r="BE280" s="19">
        <v>0</v>
      </c>
      <c r="BF280" s="19">
        <v>0</v>
      </c>
      <c r="BG280" s="152">
        <v>0</v>
      </c>
      <c r="BH280" s="18">
        <v>0</v>
      </c>
      <c r="BI280" s="18">
        <v>0</v>
      </c>
      <c r="BJ280" s="18">
        <v>2</v>
      </c>
      <c r="BK280" s="18">
        <v>1</v>
      </c>
      <c r="BL280" s="18">
        <v>2</v>
      </c>
      <c r="BM280" s="18">
        <v>1</v>
      </c>
      <c r="BN280" s="18">
        <v>1</v>
      </c>
      <c r="BO280" s="18">
        <v>1</v>
      </c>
      <c r="BP280" s="18">
        <v>1</v>
      </c>
      <c r="BQ280" s="18">
        <v>3</v>
      </c>
      <c r="BR280" s="18">
        <v>1</v>
      </c>
      <c r="BS280" s="18">
        <v>0</v>
      </c>
      <c r="BT280" s="18">
        <v>0</v>
      </c>
      <c r="BU280" s="18">
        <v>0</v>
      </c>
      <c r="BV280" s="23">
        <f t="shared" si="24"/>
        <v>11</v>
      </c>
    </row>
    <row r="281" s="18" customFormat="1" spans="1:74">
      <c r="A281" s="24">
        <v>57</v>
      </c>
      <c r="B281" s="14" t="s">
        <v>972</v>
      </c>
      <c r="C281" s="14"/>
      <c r="D281" s="67">
        <v>43660</v>
      </c>
      <c r="E281" s="172" t="s">
        <v>365</v>
      </c>
      <c r="F281" s="68">
        <v>59.77092</v>
      </c>
      <c r="G281" s="69">
        <v>28.36428</v>
      </c>
      <c r="H281" s="70">
        <f t="shared" si="36"/>
        <v>59</v>
      </c>
      <c r="I281" s="77">
        <f t="shared" si="33"/>
        <v>46.2551999999998</v>
      </c>
      <c r="J281" s="70">
        <f t="shared" si="35"/>
        <v>28</v>
      </c>
      <c r="K281" s="77">
        <f t="shared" si="34"/>
        <v>21.8568</v>
      </c>
      <c r="L281" s="78">
        <v>9.6</v>
      </c>
      <c r="M281" s="14">
        <v>2</v>
      </c>
      <c r="N281" s="24"/>
      <c r="O281" s="14">
        <v>17.8</v>
      </c>
      <c r="P281" s="14">
        <v>16.2</v>
      </c>
      <c r="Q281" s="24"/>
      <c r="R281" s="14">
        <v>2.18</v>
      </c>
      <c r="S281" s="14">
        <v>2.37</v>
      </c>
      <c r="T281" s="14">
        <v>8.18</v>
      </c>
      <c r="U281" s="80">
        <v>8.25</v>
      </c>
      <c r="V281" s="82"/>
      <c r="W281" s="82"/>
      <c r="X281" s="82"/>
      <c r="Y281" s="81">
        <v>211</v>
      </c>
      <c r="Z281" s="81">
        <v>204</v>
      </c>
      <c r="AA281" s="81"/>
      <c r="AB281" s="82"/>
      <c r="AC281" s="81" t="s">
        <v>793</v>
      </c>
      <c r="AD281" s="82" t="s">
        <v>973</v>
      </c>
      <c r="AE281" s="84" t="s">
        <v>122</v>
      </c>
      <c r="AF281" s="84" t="s">
        <v>122</v>
      </c>
      <c r="AG281" s="84" t="s">
        <v>774</v>
      </c>
      <c r="AH281" s="84" t="s">
        <v>205</v>
      </c>
      <c r="AI281" s="88"/>
      <c r="AJ281" s="84"/>
      <c r="AK281" s="84" t="s">
        <v>122</v>
      </c>
      <c r="AL281" s="81" t="s">
        <v>789</v>
      </c>
      <c r="AM281" s="89" t="s">
        <v>852</v>
      </c>
      <c r="AN281" s="44">
        <v>0</v>
      </c>
      <c r="AO281" s="18">
        <v>0</v>
      </c>
      <c r="AP281" s="44">
        <v>0</v>
      </c>
      <c r="AQ281" s="44">
        <v>0</v>
      </c>
      <c r="AR281" s="44">
        <v>0</v>
      </c>
      <c r="AS281" s="44">
        <v>0</v>
      </c>
      <c r="AT281" s="18">
        <v>0</v>
      </c>
      <c r="AU281" s="18">
        <v>0</v>
      </c>
      <c r="AV281" s="44">
        <v>0</v>
      </c>
      <c r="AW281" s="18">
        <v>0</v>
      </c>
      <c r="AX281" s="44">
        <v>3</v>
      </c>
      <c r="AY281" s="44">
        <v>0</v>
      </c>
      <c r="AZ281" s="18">
        <v>0</v>
      </c>
      <c r="BA281" s="18">
        <v>0</v>
      </c>
      <c r="BB281" s="44">
        <v>0</v>
      </c>
      <c r="BC281" s="44">
        <v>0</v>
      </c>
      <c r="BD281" s="18">
        <v>0</v>
      </c>
      <c r="BE281" s="18">
        <v>0</v>
      </c>
      <c r="BF281" s="18">
        <v>0</v>
      </c>
      <c r="BG281" s="44">
        <v>0</v>
      </c>
      <c r="BH281" s="18">
        <v>0</v>
      </c>
      <c r="BI281" s="18">
        <v>0</v>
      </c>
      <c r="BJ281" s="18">
        <v>2</v>
      </c>
      <c r="BK281" s="18">
        <v>1</v>
      </c>
      <c r="BL281" s="18">
        <v>2</v>
      </c>
      <c r="BM281" s="18">
        <v>1</v>
      </c>
      <c r="BN281" s="18">
        <v>1</v>
      </c>
      <c r="BO281" s="18">
        <v>1</v>
      </c>
      <c r="BP281" s="18">
        <v>1</v>
      </c>
      <c r="BQ281" s="18">
        <v>3</v>
      </c>
      <c r="BR281" s="18">
        <v>1</v>
      </c>
      <c r="BS281" s="18">
        <v>0</v>
      </c>
      <c r="BT281" s="18">
        <v>0</v>
      </c>
      <c r="BU281" s="18">
        <v>0</v>
      </c>
      <c r="BV281" s="23">
        <f t="shared" si="24"/>
        <v>11</v>
      </c>
    </row>
    <row r="282" s="18" customFormat="1" spans="1:74">
      <c r="A282" s="24">
        <f>A281+1</f>
        <v>58</v>
      </c>
      <c r="B282" s="14" t="s">
        <v>974</v>
      </c>
      <c r="C282" s="14"/>
      <c r="D282" s="67">
        <v>43660</v>
      </c>
      <c r="E282" s="24"/>
      <c r="F282" s="68">
        <v>59.7821</v>
      </c>
      <c r="G282" s="69">
        <v>28.33576</v>
      </c>
      <c r="H282" s="70">
        <f t="shared" si="36"/>
        <v>59</v>
      </c>
      <c r="I282" s="77">
        <f t="shared" si="33"/>
        <v>46.926</v>
      </c>
      <c r="J282" s="70">
        <f t="shared" si="35"/>
        <v>28</v>
      </c>
      <c r="K282" s="77">
        <f t="shared" si="34"/>
        <v>20.1456</v>
      </c>
      <c r="L282" s="78">
        <v>16.7</v>
      </c>
      <c r="M282" s="14">
        <v>2</v>
      </c>
      <c r="N282" s="24"/>
      <c r="O282" s="14">
        <v>17.1</v>
      </c>
      <c r="P282" s="14">
        <v>16.3</v>
      </c>
      <c r="Q282" s="14">
        <v>7.16</v>
      </c>
      <c r="R282" s="14">
        <v>2.1</v>
      </c>
      <c r="S282" s="14">
        <v>2.08</v>
      </c>
      <c r="T282" s="14">
        <v>8.33</v>
      </c>
      <c r="U282" s="80">
        <v>8.25</v>
      </c>
      <c r="V282" s="81">
        <v>7.16</v>
      </c>
      <c r="W282" s="82"/>
      <c r="X282" s="82"/>
      <c r="Y282" s="81">
        <v>207</v>
      </c>
      <c r="Z282" s="81">
        <v>196</v>
      </c>
      <c r="AA282" s="81"/>
      <c r="AB282" s="149" t="s">
        <v>975</v>
      </c>
      <c r="AC282" s="81" t="s">
        <v>976</v>
      </c>
      <c r="AD282" s="82" t="s">
        <v>977</v>
      </c>
      <c r="AE282" s="84" t="s">
        <v>205</v>
      </c>
      <c r="AF282" s="84" t="s">
        <v>205</v>
      </c>
      <c r="AG282" s="84" t="s">
        <v>774</v>
      </c>
      <c r="AH282" s="84" t="s">
        <v>205</v>
      </c>
      <c r="AI282" s="88"/>
      <c r="AJ282" s="84"/>
      <c r="AK282" s="84" t="s">
        <v>122</v>
      </c>
      <c r="AL282" s="81" t="s">
        <v>789</v>
      </c>
      <c r="AM282" s="89" t="s">
        <v>852</v>
      </c>
      <c r="AN282" s="44">
        <v>0</v>
      </c>
      <c r="AO282" s="18">
        <v>0</v>
      </c>
      <c r="AP282" s="44">
        <v>0</v>
      </c>
      <c r="AQ282" s="44">
        <v>0</v>
      </c>
      <c r="AR282" s="44">
        <v>0</v>
      </c>
      <c r="AS282" s="44">
        <v>0</v>
      </c>
      <c r="AT282" s="18">
        <v>0</v>
      </c>
      <c r="AU282" s="18">
        <v>0</v>
      </c>
      <c r="AV282" s="44">
        <v>0</v>
      </c>
      <c r="AW282" s="18">
        <v>0</v>
      </c>
      <c r="AX282" s="44">
        <v>3</v>
      </c>
      <c r="AY282" s="44">
        <v>0</v>
      </c>
      <c r="AZ282" s="18">
        <v>0</v>
      </c>
      <c r="BA282" s="18">
        <v>0</v>
      </c>
      <c r="BB282" s="44">
        <v>0</v>
      </c>
      <c r="BC282" s="44">
        <v>0</v>
      </c>
      <c r="BD282" s="18">
        <v>0</v>
      </c>
      <c r="BE282" s="18">
        <v>0</v>
      </c>
      <c r="BF282" s="18">
        <v>0</v>
      </c>
      <c r="BG282" s="44">
        <v>0</v>
      </c>
      <c r="BH282" s="18">
        <v>0</v>
      </c>
      <c r="BI282" s="18">
        <v>0</v>
      </c>
      <c r="BJ282" s="18">
        <v>2</v>
      </c>
      <c r="BK282" s="18">
        <v>1</v>
      </c>
      <c r="BL282" s="18">
        <v>2</v>
      </c>
      <c r="BM282" s="18">
        <v>1</v>
      </c>
      <c r="BN282" s="18">
        <v>1</v>
      </c>
      <c r="BO282" s="18">
        <v>1</v>
      </c>
      <c r="BP282" s="18">
        <v>1</v>
      </c>
      <c r="BQ282" s="18">
        <v>3</v>
      </c>
      <c r="BR282" s="18">
        <v>1</v>
      </c>
      <c r="BS282" s="18">
        <v>0</v>
      </c>
      <c r="BT282" s="18">
        <v>0</v>
      </c>
      <c r="BU282" s="18">
        <v>0</v>
      </c>
      <c r="BV282" s="23">
        <f t="shared" si="24"/>
        <v>11</v>
      </c>
    </row>
    <row r="283" s="18" customFormat="1" spans="1:74">
      <c r="A283" s="24">
        <f t="shared" ref="A283:A292" si="37">A282+1</f>
        <v>59</v>
      </c>
      <c r="B283" s="14" t="s">
        <v>978</v>
      </c>
      <c r="C283" s="14"/>
      <c r="D283" s="67">
        <v>43660</v>
      </c>
      <c r="E283" s="24"/>
      <c r="F283" s="68">
        <v>59.79832</v>
      </c>
      <c r="G283" s="69">
        <v>28.30813</v>
      </c>
      <c r="H283" s="70">
        <f t="shared" si="36"/>
        <v>59</v>
      </c>
      <c r="I283" s="77">
        <f t="shared" si="33"/>
        <v>47.8991999999998</v>
      </c>
      <c r="J283" s="70">
        <f t="shared" si="35"/>
        <v>28</v>
      </c>
      <c r="K283" s="77">
        <f t="shared" si="34"/>
        <v>18.4877999999999</v>
      </c>
      <c r="L283" s="78">
        <v>20.8</v>
      </c>
      <c r="M283" s="14">
        <v>1.7</v>
      </c>
      <c r="N283" s="24"/>
      <c r="O283" s="14">
        <v>17.3</v>
      </c>
      <c r="P283" s="14">
        <v>16</v>
      </c>
      <c r="Q283" s="24"/>
      <c r="R283" s="14">
        <v>2.09</v>
      </c>
      <c r="S283" s="14">
        <v>2.48</v>
      </c>
      <c r="T283" s="14">
        <v>8.57</v>
      </c>
      <c r="U283" s="80">
        <v>8.27</v>
      </c>
      <c r="V283" s="81">
        <v>7.01</v>
      </c>
      <c r="W283" s="82"/>
      <c r="X283" s="82"/>
      <c r="Y283" s="81">
        <v>206</v>
      </c>
      <c r="Z283" s="81">
        <v>187</v>
      </c>
      <c r="AA283" s="81"/>
      <c r="AB283" s="82"/>
      <c r="AC283" s="82"/>
      <c r="AD283" s="82"/>
      <c r="AE283" s="84" t="s">
        <v>205</v>
      </c>
      <c r="AF283" s="84" t="s">
        <v>205</v>
      </c>
      <c r="AG283" s="84" t="s">
        <v>961</v>
      </c>
      <c r="AH283" s="84" t="s">
        <v>205</v>
      </c>
      <c r="AI283" s="88"/>
      <c r="AJ283" s="84"/>
      <c r="AK283" s="84" t="s">
        <v>122</v>
      </c>
      <c r="AL283" s="81" t="s">
        <v>789</v>
      </c>
      <c r="AM283" s="89" t="s">
        <v>852</v>
      </c>
      <c r="AN283" s="44">
        <v>0</v>
      </c>
      <c r="AO283" s="18">
        <v>0</v>
      </c>
      <c r="AP283" s="44">
        <v>0</v>
      </c>
      <c r="AQ283" s="44">
        <v>0</v>
      </c>
      <c r="AR283" s="44">
        <v>0</v>
      </c>
      <c r="AS283" s="44">
        <v>0</v>
      </c>
      <c r="AT283" s="18">
        <v>0</v>
      </c>
      <c r="AU283" s="18">
        <v>0</v>
      </c>
      <c r="AV283" s="44">
        <v>0</v>
      </c>
      <c r="AW283" s="18">
        <v>0</v>
      </c>
      <c r="AX283" s="44">
        <v>3</v>
      </c>
      <c r="AY283" s="44">
        <v>0</v>
      </c>
      <c r="AZ283" s="18">
        <v>0</v>
      </c>
      <c r="BA283" s="18">
        <v>0</v>
      </c>
      <c r="BB283" s="44">
        <v>0</v>
      </c>
      <c r="BC283" s="44">
        <v>0</v>
      </c>
      <c r="BD283" s="18">
        <v>0</v>
      </c>
      <c r="BE283" s="18">
        <v>0</v>
      </c>
      <c r="BF283" s="18">
        <v>0</v>
      </c>
      <c r="BG283" s="44">
        <v>0</v>
      </c>
      <c r="BH283" s="18">
        <v>0</v>
      </c>
      <c r="BI283" s="18">
        <v>0</v>
      </c>
      <c r="BJ283" s="18">
        <v>2</v>
      </c>
      <c r="BK283" s="18">
        <v>1</v>
      </c>
      <c r="BL283" s="18">
        <v>2</v>
      </c>
      <c r="BM283" s="18">
        <v>1</v>
      </c>
      <c r="BN283" s="18">
        <v>1</v>
      </c>
      <c r="BO283" s="18">
        <v>1</v>
      </c>
      <c r="BP283" s="18">
        <v>1</v>
      </c>
      <c r="BQ283" s="18">
        <v>3</v>
      </c>
      <c r="BR283" s="18">
        <v>1</v>
      </c>
      <c r="BS283" s="18">
        <v>0</v>
      </c>
      <c r="BT283" s="18">
        <v>0</v>
      </c>
      <c r="BU283" s="18">
        <v>0</v>
      </c>
      <c r="BV283" s="23">
        <f t="shared" si="24"/>
        <v>11</v>
      </c>
    </row>
    <row r="284" s="18" customFormat="1" spans="1:74">
      <c r="A284" s="24">
        <v>60</v>
      </c>
      <c r="B284" s="14" t="s">
        <v>979</v>
      </c>
      <c r="C284" s="14"/>
      <c r="D284" s="67">
        <v>43660</v>
      </c>
      <c r="E284" s="24"/>
      <c r="F284" s="68">
        <v>59.76648</v>
      </c>
      <c r="G284" s="69">
        <v>28.21653</v>
      </c>
      <c r="H284" s="70">
        <f t="shared" si="36"/>
        <v>59</v>
      </c>
      <c r="I284" s="77">
        <f t="shared" si="33"/>
        <v>45.9888000000001</v>
      </c>
      <c r="J284" s="70">
        <f t="shared" si="35"/>
        <v>28</v>
      </c>
      <c r="K284" s="77">
        <f t="shared" si="34"/>
        <v>12.9917999999999</v>
      </c>
      <c r="L284" s="78">
        <v>17.7</v>
      </c>
      <c r="M284" s="14">
        <v>1.8</v>
      </c>
      <c r="N284" s="24"/>
      <c r="O284" s="14">
        <v>17.2</v>
      </c>
      <c r="P284" s="14">
        <v>16.8</v>
      </c>
      <c r="Q284" s="14">
        <v>9.9</v>
      </c>
      <c r="R284" s="14">
        <v>2.35</v>
      </c>
      <c r="S284" s="14">
        <v>2.55</v>
      </c>
      <c r="T284" s="14">
        <v>8.48</v>
      </c>
      <c r="U284" s="80">
        <v>8.63</v>
      </c>
      <c r="V284" s="81">
        <v>7.07</v>
      </c>
      <c r="W284" s="82"/>
      <c r="X284" s="82"/>
      <c r="Y284" s="81">
        <v>215</v>
      </c>
      <c r="Z284" s="81">
        <v>200</v>
      </c>
      <c r="AA284" s="81"/>
      <c r="AB284" s="82"/>
      <c r="AC284" s="81" t="s">
        <v>767</v>
      </c>
      <c r="AD284" s="82"/>
      <c r="AE284" s="84" t="s">
        <v>122</v>
      </c>
      <c r="AF284" s="84" t="s">
        <v>122</v>
      </c>
      <c r="AG284" s="84" t="s">
        <v>774</v>
      </c>
      <c r="AH284" s="84" t="s">
        <v>205</v>
      </c>
      <c r="AI284" s="88"/>
      <c r="AJ284" s="84"/>
      <c r="AK284" s="84" t="s">
        <v>122</v>
      </c>
      <c r="AL284" s="81" t="s">
        <v>789</v>
      </c>
      <c r="AM284" s="89" t="s">
        <v>852</v>
      </c>
      <c r="AN284" s="44">
        <v>0</v>
      </c>
      <c r="AO284" s="18">
        <v>0</v>
      </c>
      <c r="AP284" s="44">
        <v>0</v>
      </c>
      <c r="AQ284" s="44">
        <v>0</v>
      </c>
      <c r="AR284" s="44">
        <v>0</v>
      </c>
      <c r="AS284" s="44">
        <v>0</v>
      </c>
      <c r="AT284" s="18">
        <v>0</v>
      </c>
      <c r="AU284" s="18">
        <v>0</v>
      </c>
      <c r="AV284" s="44">
        <v>0</v>
      </c>
      <c r="AW284" s="18">
        <v>0</v>
      </c>
      <c r="AX284" s="44">
        <v>3</v>
      </c>
      <c r="AY284" s="44">
        <v>0</v>
      </c>
      <c r="AZ284" s="18">
        <v>0</v>
      </c>
      <c r="BA284" s="18">
        <v>0</v>
      </c>
      <c r="BB284" s="44">
        <v>0</v>
      </c>
      <c r="BC284" s="44">
        <v>0</v>
      </c>
      <c r="BD284" s="18">
        <v>0</v>
      </c>
      <c r="BE284" s="18">
        <v>0</v>
      </c>
      <c r="BF284" s="18">
        <v>0</v>
      </c>
      <c r="BG284" s="44">
        <v>0</v>
      </c>
      <c r="BH284" s="18">
        <v>0</v>
      </c>
      <c r="BI284" s="18">
        <v>0</v>
      </c>
      <c r="BJ284" s="18">
        <v>2</v>
      </c>
      <c r="BK284" s="18">
        <v>1</v>
      </c>
      <c r="BL284" s="18">
        <v>2</v>
      </c>
      <c r="BM284" s="18">
        <v>1</v>
      </c>
      <c r="BN284" s="18">
        <v>1</v>
      </c>
      <c r="BO284" s="18">
        <v>1</v>
      </c>
      <c r="BP284" s="18">
        <v>1</v>
      </c>
      <c r="BQ284" s="18">
        <v>3</v>
      </c>
      <c r="BR284" s="18">
        <v>1</v>
      </c>
      <c r="BS284" s="18">
        <v>2</v>
      </c>
      <c r="BT284" s="18">
        <v>0</v>
      </c>
      <c r="BU284" s="18">
        <v>0</v>
      </c>
      <c r="BV284" s="23">
        <f t="shared" si="24"/>
        <v>9</v>
      </c>
    </row>
    <row r="285" s="18" customFormat="1" spans="1:74">
      <c r="A285" s="24">
        <f t="shared" si="37"/>
        <v>61</v>
      </c>
      <c r="B285" s="14" t="s">
        <v>980</v>
      </c>
      <c r="C285" s="14"/>
      <c r="D285" s="67">
        <v>43660</v>
      </c>
      <c r="E285" s="24"/>
      <c r="F285" s="68">
        <v>59.76654</v>
      </c>
      <c r="G285" s="69">
        <v>28.21035</v>
      </c>
      <c r="H285" s="70">
        <f t="shared" si="36"/>
        <v>59</v>
      </c>
      <c r="I285" s="77">
        <f t="shared" si="33"/>
        <v>45.9923999999999</v>
      </c>
      <c r="J285" s="70">
        <f t="shared" si="35"/>
        <v>28</v>
      </c>
      <c r="K285" s="77">
        <f t="shared" si="34"/>
        <v>12.6209999999999</v>
      </c>
      <c r="L285" s="78">
        <v>8</v>
      </c>
      <c r="M285" s="14">
        <v>1.5</v>
      </c>
      <c r="N285" s="24"/>
      <c r="O285" s="14">
        <v>17.3</v>
      </c>
      <c r="P285" s="24"/>
      <c r="Q285" s="24"/>
      <c r="R285" s="14">
        <v>2.41</v>
      </c>
      <c r="S285" s="24"/>
      <c r="T285" s="14">
        <v>8.69</v>
      </c>
      <c r="U285" s="83"/>
      <c r="V285" s="82"/>
      <c r="W285" s="82"/>
      <c r="X285" s="82"/>
      <c r="Y285" s="81">
        <v>207</v>
      </c>
      <c r="Z285" s="82"/>
      <c r="AA285" s="82"/>
      <c r="AB285" s="82"/>
      <c r="AC285" s="81" t="s">
        <v>793</v>
      </c>
      <c r="AD285" s="82" t="s">
        <v>981</v>
      </c>
      <c r="AE285" s="84" t="s">
        <v>122</v>
      </c>
      <c r="AF285" s="84" t="s">
        <v>122</v>
      </c>
      <c r="AG285" s="84" t="s">
        <v>774</v>
      </c>
      <c r="AH285" s="84" t="s">
        <v>205</v>
      </c>
      <c r="AI285" s="88"/>
      <c r="AJ285" s="84"/>
      <c r="AK285" s="84" t="s">
        <v>122</v>
      </c>
      <c r="AL285" s="81" t="s">
        <v>789</v>
      </c>
      <c r="AM285" s="89" t="s">
        <v>852</v>
      </c>
      <c r="AN285" s="44">
        <v>0</v>
      </c>
      <c r="AO285" s="18">
        <v>0</v>
      </c>
      <c r="AP285" s="44">
        <v>0</v>
      </c>
      <c r="AQ285" s="44">
        <v>0</v>
      </c>
      <c r="AR285" s="44">
        <v>0</v>
      </c>
      <c r="AS285" s="44">
        <v>0</v>
      </c>
      <c r="AT285" s="18">
        <v>0</v>
      </c>
      <c r="AU285" s="18">
        <v>0</v>
      </c>
      <c r="AV285" s="44">
        <v>0</v>
      </c>
      <c r="AW285" s="18">
        <v>0</v>
      </c>
      <c r="AX285" s="44">
        <v>3</v>
      </c>
      <c r="AY285" s="44">
        <v>0</v>
      </c>
      <c r="AZ285" s="18">
        <v>0</v>
      </c>
      <c r="BA285" s="18">
        <v>0</v>
      </c>
      <c r="BB285" s="44">
        <v>0</v>
      </c>
      <c r="BC285" s="44">
        <v>1</v>
      </c>
      <c r="BD285" s="18">
        <v>0</v>
      </c>
      <c r="BE285" s="18">
        <v>0</v>
      </c>
      <c r="BF285" s="18">
        <v>0</v>
      </c>
      <c r="BG285" s="44">
        <v>0</v>
      </c>
      <c r="BH285" s="18">
        <v>0</v>
      </c>
      <c r="BI285" s="18">
        <v>0</v>
      </c>
      <c r="BJ285" s="18">
        <v>2</v>
      </c>
      <c r="BK285" s="18">
        <v>1</v>
      </c>
      <c r="BL285" s="18">
        <v>2</v>
      </c>
      <c r="BM285" s="18">
        <v>2</v>
      </c>
      <c r="BN285" s="18">
        <v>1</v>
      </c>
      <c r="BO285" s="18">
        <v>1</v>
      </c>
      <c r="BP285" s="18">
        <v>1</v>
      </c>
      <c r="BQ285" s="18">
        <v>3</v>
      </c>
      <c r="BR285" s="18">
        <v>1</v>
      </c>
      <c r="BS285" s="18">
        <v>2</v>
      </c>
      <c r="BT285" s="18">
        <v>0</v>
      </c>
      <c r="BU285" s="18">
        <v>0</v>
      </c>
      <c r="BV285" s="23">
        <f t="shared" si="24"/>
        <v>10</v>
      </c>
    </row>
    <row r="286" s="18" customFormat="1" spans="1:74">
      <c r="A286" s="24">
        <f t="shared" si="37"/>
        <v>62</v>
      </c>
      <c r="B286" s="14" t="s">
        <v>982</v>
      </c>
      <c r="C286" s="14"/>
      <c r="D286" s="67">
        <v>43660</v>
      </c>
      <c r="E286" s="24"/>
      <c r="F286" s="68">
        <v>59.74205</v>
      </c>
      <c r="G286" s="69">
        <v>28.21973</v>
      </c>
      <c r="H286" s="70">
        <f t="shared" si="36"/>
        <v>59</v>
      </c>
      <c r="I286" s="77">
        <f t="shared" si="33"/>
        <v>44.5229999999999</v>
      </c>
      <c r="J286" s="70">
        <f t="shared" si="35"/>
        <v>28</v>
      </c>
      <c r="K286" s="77">
        <f t="shared" si="34"/>
        <v>13.1837999999999</v>
      </c>
      <c r="L286" s="78">
        <v>7.7</v>
      </c>
      <c r="M286" s="14">
        <v>1.5</v>
      </c>
      <c r="N286" s="24"/>
      <c r="O286" s="14">
        <v>17.2</v>
      </c>
      <c r="P286" s="24"/>
      <c r="Q286" s="24"/>
      <c r="R286" s="14">
        <v>2.59</v>
      </c>
      <c r="S286" s="24"/>
      <c r="T286" s="14">
        <v>8.58</v>
      </c>
      <c r="U286" s="83"/>
      <c r="V286" s="82"/>
      <c r="W286" s="82"/>
      <c r="X286" s="82"/>
      <c r="Y286" s="81">
        <v>210</v>
      </c>
      <c r="Z286" s="82"/>
      <c r="AA286" s="82"/>
      <c r="AB286" s="82"/>
      <c r="AC286" s="81" t="s">
        <v>983</v>
      </c>
      <c r="AD286" s="82" t="s">
        <v>353</v>
      </c>
      <c r="AE286" s="84" t="s">
        <v>205</v>
      </c>
      <c r="AF286" s="84" t="s">
        <v>205</v>
      </c>
      <c r="AG286" s="84" t="s">
        <v>774</v>
      </c>
      <c r="AH286" s="84" t="s">
        <v>205</v>
      </c>
      <c r="AI286" s="88"/>
      <c r="AJ286" s="84"/>
      <c r="AK286" s="84" t="s">
        <v>122</v>
      </c>
      <c r="AL286" s="81" t="s">
        <v>789</v>
      </c>
      <c r="AM286" s="89" t="s">
        <v>852</v>
      </c>
      <c r="AN286" s="44">
        <v>0</v>
      </c>
      <c r="AO286" s="18">
        <v>0</v>
      </c>
      <c r="AP286" s="44">
        <v>0</v>
      </c>
      <c r="AQ286" s="44">
        <v>0</v>
      </c>
      <c r="AR286" s="44">
        <v>0</v>
      </c>
      <c r="AS286" s="44">
        <v>0</v>
      </c>
      <c r="AT286" s="18">
        <v>0</v>
      </c>
      <c r="AU286" s="18">
        <v>0</v>
      </c>
      <c r="AV286" s="44">
        <v>0</v>
      </c>
      <c r="AW286" s="18">
        <v>0</v>
      </c>
      <c r="AX286" s="44">
        <v>3</v>
      </c>
      <c r="AY286" s="44">
        <v>0</v>
      </c>
      <c r="AZ286" s="18">
        <v>0</v>
      </c>
      <c r="BA286" s="18">
        <v>0</v>
      </c>
      <c r="BB286" s="44">
        <v>0</v>
      </c>
      <c r="BC286" s="44">
        <v>1</v>
      </c>
      <c r="BD286" s="18">
        <v>0</v>
      </c>
      <c r="BE286" s="18">
        <v>0</v>
      </c>
      <c r="BF286" s="18">
        <v>0</v>
      </c>
      <c r="BG286" s="44">
        <v>0</v>
      </c>
      <c r="BH286" s="18">
        <v>0</v>
      </c>
      <c r="BI286" s="18">
        <v>0</v>
      </c>
      <c r="BJ286" s="18">
        <v>2</v>
      </c>
      <c r="BK286" s="18">
        <v>1</v>
      </c>
      <c r="BL286" s="18">
        <v>2</v>
      </c>
      <c r="BM286" s="18">
        <v>2</v>
      </c>
      <c r="BN286" s="18">
        <v>1</v>
      </c>
      <c r="BO286" s="18">
        <v>1</v>
      </c>
      <c r="BP286" s="18">
        <v>1</v>
      </c>
      <c r="BQ286" s="18">
        <v>3</v>
      </c>
      <c r="BR286" s="18">
        <v>1</v>
      </c>
      <c r="BS286" s="18">
        <v>2</v>
      </c>
      <c r="BT286" s="18">
        <v>0</v>
      </c>
      <c r="BU286" s="18">
        <v>0</v>
      </c>
      <c r="BV286" s="23">
        <f t="shared" ref="BV286:BV349" si="38">(BJ286+BK286+BL286+BM286+BN286+BO286+BP286+BQ286)-(BR286+BS286+BT286+BU286)</f>
        <v>10</v>
      </c>
    </row>
    <row r="287" s="18" customFormat="1" spans="1:74">
      <c r="A287" s="24">
        <f t="shared" si="37"/>
        <v>63</v>
      </c>
      <c r="B287" s="14" t="s">
        <v>984</v>
      </c>
      <c r="C287" s="14"/>
      <c r="D287" s="67">
        <v>43660</v>
      </c>
      <c r="E287" s="24"/>
      <c r="F287" s="68">
        <v>59.7416</v>
      </c>
      <c r="G287" s="69">
        <v>28.24169</v>
      </c>
      <c r="H287" s="70">
        <f t="shared" si="36"/>
        <v>59</v>
      </c>
      <c r="I287" s="77">
        <f t="shared" si="33"/>
        <v>44.4959999999999</v>
      </c>
      <c r="J287" s="70">
        <f t="shared" si="35"/>
        <v>28</v>
      </c>
      <c r="K287" s="77">
        <f t="shared" si="34"/>
        <v>14.5013999999999</v>
      </c>
      <c r="L287" s="78">
        <v>17.9</v>
      </c>
      <c r="M287" s="14">
        <v>1.5</v>
      </c>
      <c r="N287" s="24"/>
      <c r="O287" s="14">
        <v>16.3</v>
      </c>
      <c r="P287" s="14">
        <v>13.3</v>
      </c>
      <c r="Q287" s="14">
        <v>9.5</v>
      </c>
      <c r="R287" s="14">
        <v>2.35</v>
      </c>
      <c r="S287" s="14">
        <v>3.49</v>
      </c>
      <c r="T287" s="14">
        <v>8.61</v>
      </c>
      <c r="U287" s="80">
        <v>8.14</v>
      </c>
      <c r="V287" s="81">
        <v>7.19</v>
      </c>
      <c r="W287" s="82"/>
      <c r="X287" s="82"/>
      <c r="Y287" s="81">
        <v>207</v>
      </c>
      <c r="Z287" s="81">
        <v>218</v>
      </c>
      <c r="AA287" s="81"/>
      <c r="AB287" s="82"/>
      <c r="AC287" s="81" t="s">
        <v>767</v>
      </c>
      <c r="AD287" s="82" t="s">
        <v>985</v>
      </c>
      <c r="AE287" s="84" t="s">
        <v>205</v>
      </c>
      <c r="AF287" s="84" t="s">
        <v>205</v>
      </c>
      <c r="AG287" s="84" t="s">
        <v>774</v>
      </c>
      <c r="AH287" s="84" t="s">
        <v>205</v>
      </c>
      <c r="AI287" s="88"/>
      <c r="AJ287" s="84"/>
      <c r="AK287" s="84" t="s">
        <v>122</v>
      </c>
      <c r="AL287" s="81" t="s">
        <v>789</v>
      </c>
      <c r="AM287" s="89" t="s">
        <v>852</v>
      </c>
      <c r="AN287" s="44">
        <v>0</v>
      </c>
      <c r="AO287" s="18">
        <v>0</v>
      </c>
      <c r="AP287" s="44">
        <v>0</v>
      </c>
      <c r="AQ287" s="44">
        <v>0</v>
      </c>
      <c r="AR287" s="44">
        <v>0</v>
      </c>
      <c r="AS287" s="44">
        <v>0</v>
      </c>
      <c r="AT287" s="18">
        <v>0</v>
      </c>
      <c r="AU287" s="18">
        <v>0</v>
      </c>
      <c r="AV287" s="44">
        <v>0</v>
      </c>
      <c r="AW287" s="18">
        <v>0</v>
      </c>
      <c r="AX287" s="44">
        <v>3</v>
      </c>
      <c r="AY287" s="44">
        <v>0</v>
      </c>
      <c r="AZ287" s="18">
        <v>0</v>
      </c>
      <c r="BA287" s="18">
        <v>0</v>
      </c>
      <c r="BB287" s="44">
        <v>0</v>
      </c>
      <c r="BC287" s="44">
        <v>0</v>
      </c>
      <c r="BD287" s="18">
        <v>0</v>
      </c>
      <c r="BE287" s="18">
        <v>0</v>
      </c>
      <c r="BF287" s="18">
        <v>0</v>
      </c>
      <c r="BG287" s="44">
        <v>0</v>
      </c>
      <c r="BH287" s="18">
        <v>0</v>
      </c>
      <c r="BI287" s="18">
        <v>0</v>
      </c>
      <c r="BJ287" s="18">
        <v>2</v>
      </c>
      <c r="BK287" s="18">
        <v>1</v>
      </c>
      <c r="BL287" s="18">
        <v>2</v>
      </c>
      <c r="BM287" s="18">
        <v>1</v>
      </c>
      <c r="BN287" s="18">
        <v>1</v>
      </c>
      <c r="BO287" s="18">
        <v>1</v>
      </c>
      <c r="BP287" s="18">
        <v>1</v>
      </c>
      <c r="BQ287" s="18">
        <v>3</v>
      </c>
      <c r="BR287" s="18">
        <v>1</v>
      </c>
      <c r="BS287" s="18">
        <v>2</v>
      </c>
      <c r="BT287" s="18">
        <v>0</v>
      </c>
      <c r="BU287" s="18">
        <v>0</v>
      </c>
      <c r="BV287" s="23">
        <f t="shared" si="38"/>
        <v>9</v>
      </c>
    </row>
    <row r="288" s="18" customFormat="1" spans="1:74">
      <c r="A288" s="24">
        <f t="shared" si="37"/>
        <v>64</v>
      </c>
      <c r="B288" s="14" t="s">
        <v>986</v>
      </c>
      <c r="C288" s="14"/>
      <c r="D288" s="67">
        <v>43660</v>
      </c>
      <c r="E288" s="24"/>
      <c r="F288" s="68">
        <v>59.71053</v>
      </c>
      <c r="G288" s="69">
        <v>28.24388</v>
      </c>
      <c r="H288" s="70">
        <f t="shared" si="36"/>
        <v>59</v>
      </c>
      <c r="I288" s="77">
        <f t="shared" si="33"/>
        <v>42.6317999999999</v>
      </c>
      <c r="J288" s="70">
        <f t="shared" si="35"/>
        <v>28</v>
      </c>
      <c r="K288" s="77">
        <f t="shared" si="34"/>
        <v>14.6328</v>
      </c>
      <c r="L288" s="78">
        <v>10</v>
      </c>
      <c r="M288" s="14">
        <v>1.4</v>
      </c>
      <c r="N288" s="24"/>
      <c r="O288" s="14">
        <v>17.9</v>
      </c>
      <c r="P288" s="14">
        <v>17.2</v>
      </c>
      <c r="Q288" s="24"/>
      <c r="R288" s="14">
        <v>2.61</v>
      </c>
      <c r="S288" s="14">
        <v>2.9</v>
      </c>
      <c r="T288" s="14">
        <v>8.54</v>
      </c>
      <c r="U288" s="80">
        <v>8.46</v>
      </c>
      <c r="V288" s="82"/>
      <c r="W288" s="82"/>
      <c r="X288" s="82"/>
      <c r="Y288" s="81">
        <v>217</v>
      </c>
      <c r="Z288" s="81">
        <v>200</v>
      </c>
      <c r="AA288" s="81"/>
      <c r="AB288" s="82"/>
      <c r="AC288" s="82"/>
      <c r="AD288" s="82" t="s">
        <v>987</v>
      </c>
      <c r="AE288" s="84" t="s">
        <v>205</v>
      </c>
      <c r="AF288" s="84" t="s">
        <v>205</v>
      </c>
      <c r="AG288" s="84" t="s">
        <v>774</v>
      </c>
      <c r="AH288" s="84" t="s">
        <v>205</v>
      </c>
      <c r="AI288" s="88"/>
      <c r="AJ288" s="84"/>
      <c r="AK288" s="84" t="s">
        <v>122</v>
      </c>
      <c r="AL288" s="81" t="s">
        <v>789</v>
      </c>
      <c r="AM288" s="89" t="s">
        <v>852</v>
      </c>
      <c r="AN288" s="44">
        <v>0</v>
      </c>
      <c r="AO288" s="18">
        <v>0</v>
      </c>
      <c r="AP288" s="44">
        <v>0</v>
      </c>
      <c r="AQ288" s="44">
        <v>0</v>
      </c>
      <c r="AR288" s="44">
        <v>0</v>
      </c>
      <c r="AS288" s="44">
        <v>0</v>
      </c>
      <c r="AT288" s="18">
        <v>0</v>
      </c>
      <c r="AU288" s="18">
        <v>0</v>
      </c>
      <c r="AV288" s="44">
        <v>0</v>
      </c>
      <c r="AW288" s="18">
        <v>0</v>
      </c>
      <c r="AX288" s="44">
        <v>3</v>
      </c>
      <c r="AY288" s="44">
        <v>0</v>
      </c>
      <c r="AZ288" s="18">
        <v>0</v>
      </c>
      <c r="BA288" s="18">
        <v>0</v>
      </c>
      <c r="BB288" s="44">
        <v>0</v>
      </c>
      <c r="BC288" s="44">
        <v>0</v>
      </c>
      <c r="BD288" s="18">
        <v>0</v>
      </c>
      <c r="BE288" s="18">
        <v>0</v>
      </c>
      <c r="BF288" s="18">
        <v>0</v>
      </c>
      <c r="BG288" s="44">
        <v>0</v>
      </c>
      <c r="BH288" s="18">
        <v>0</v>
      </c>
      <c r="BI288" s="18">
        <v>0</v>
      </c>
      <c r="BJ288" s="18">
        <v>2</v>
      </c>
      <c r="BK288" s="18">
        <v>1</v>
      </c>
      <c r="BL288" s="18">
        <v>2</v>
      </c>
      <c r="BM288" s="18">
        <v>1</v>
      </c>
      <c r="BN288" s="18">
        <v>1</v>
      </c>
      <c r="BO288" s="18">
        <v>1</v>
      </c>
      <c r="BP288" s="18">
        <v>1</v>
      </c>
      <c r="BQ288" s="18">
        <v>3</v>
      </c>
      <c r="BR288" s="18">
        <v>1</v>
      </c>
      <c r="BS288" s="18">
        <v>2</v>
      </c>
      <c r="BT288" s="18">
        <v>0</v>
      </c>
      <c r="BU288" s="18">
        <v>0</v>
      </c>
      <c r="BV288" s="23">
        <f t="shared" si="38"/>
        <v>9</v>
      </c>
    </row>
    <row r="289" s="18" customFormat="1" spans="1:74">
      <c r="A289" s="24">
        <f t="shared" si="37"/>
        <v>65</v>
      </c>
      <c r="B289" s="14" t="s">
        <v>988</v>
      </c>
      <c r="C289" s="14"/>
      <c r="D289" s="67">
        <v>43661</v>
      </c>
      <c r="E289" s="24"/>
      <c r="F289" s="68">
        <v>59.76669</v>
      </c>
      <c r="G289" s="69">
        <v>28.21349</v>
      </c>
      <c r="H289" s="70">
        <f t="shared" si="36"/>
        <v>59</v>
      </c>
      <c r="I289" s="77">
        <f t="shared" si="33"/>
        <v>46.0013999999998</v>
      </c>
      <c r="J289" s="70">
        <f t="shared" si="35"/>
        <v>28</v>
      </c>
      <c r="K289" s="77">
        <f t="shared" si="34"/>
        <v>12.8094</v>
      </c>
      <c r="L289" s="78">
        <v>13</v>
      </c>
      <c r="M289" s="14">
        <v>1.6</v>
      </c>
      <c r="N289" s="24"/>
      <c r="O289" s="14">
        <v>17.1</v>
      </c>
      <c r="P289" s="14">
        <v>15.7</v>
      </c>
      <c r="Q289" s="24"/>
      <c r="R289" s="14">
        <v>2.46</v>
      </c>
      <c r="S289" s="14">
        <v>3.28</v>
      </c>
      <c r="T289" s="14">
        <v>8.3</v>
      </c>
      <c r="U289" s="80">
        <v>8.16</v>
      </c>
      <c r="V289" s="82"/>
      <c r="W289" s="82"/>
      <c r="X289" s="82"/>
      <c r="Y289" s="81">
        <v>233</v>
      </c>
      <c r="Z289" s="81">
        <v>232</v>
      </c>
      <c r="AA289" s="81"/>
      <c r="AB289" s="82"/>
      <c r="AC289" s="82"/>
      <c r="AD289" s="82" t="s">
        <v>500</v>
      </c>
      <c r="AE289" s="84" t="s">
        <v>205</v>
      </c>
      <c r="AF289" s="84" t="s">
        <v>205</v>
      </c>
      <c r="AG289" s="84" t="s">
        <v>774</v>
      </c>
      <c r="AH289" s="84" t="s">
        <v>205</v>
      </c>
      <c r="AI289" s="88"/>
      <c r="AJ289" s="84"/>
      <c r="AK289" s="84" t="s">
        <v>122</v>
      </c>
      <c r="AL289" s="81" t="s">
        <v>789</v>
      </c>
      <c r="AM289" s="89" t="s">
        <v>852</v>
      </c>
      <c r="AN289" s="44">
        <v>0</v>
      </c>
      <c r="AO289" s="18">
        <v>0</v>
      </c>
      <c r="AP289" s="44">
        <v>0</v>
      </c>
      <c r="AQ289" s="44">
        <v>0</v>
      </c>
      <c r="AR289" s="44">
        <v>0</v>
      </c>
      <c r="AS289" s="44">
        <v>0</v>
      </c>
      <c r="AT289" s="18">
        <v>0</v>
      </c>
      <c r="AU289" s="18">
        <v>0</v>
      </c>
      <c r="AV289" s="44">
        <v>0</v>
      </c>
      <c r="AW289" s="18">
        <v>0</v>
      </c>
      <c r="AX289" s="44">
        <v>3</v>
      </c>
      <c r="AY289" s="44">
        <v>0</v>
      </c>
      <c r="AZ289" s="18">
        <v>0</v>
      </c>
      <c r="BA289" s="18">
        <v>0</v>
      </c>
      <c r="BB289" s="44">
        <v>0</v>
      </c>
      <c r="BC289" s="44">
        <v>0</v>
      </c>
      <c r="BD289" s="18">
        <v>0</v>
      </c>
      <c r="BE289" s="18">
        <v>0</v>
      </c>
      <c r="BF289" s="18">
        <v>0</v>
      </c>
      <c r="BG289" s="44">
        <v>0</v>
      </c>
      <c r="BH289" s="18">
        <v>0</v>
      </c>
      <c r="BI289" s="18">
        <v>0</v>
      </c>
      <c r="BJ289" s="18">
        <v>2</v>
      </c>
      <c r="BK289" s="18">
        <v>1</v>
      </c>
      <c r="BL289" s="18">
        <v>2</v>
      </c>
      <c r="BM289" s="18">
        <v>1</v>
      </c>
      <c r="BN289" s="18">
        <v>1</v>
      </c>
      <c r="BO289" s="18">
        <v>1</v>
      </c>
      <c r="BP289" s="18">
        <v>1</v>
      </c>
      <c r="BQ289" s="18">
        <v>3</v>
      </c>
      <c r="BR289" s="18">
        <v>1</v>
      </c>
      <c r="BS289" s="18">
        <v>2</v>
      </c>
      <c r="BT289" s="18">
        <v>0</v>
      </c>
      <c r="BU289" s="18">
        <v>0</v>
      </c>
      <c r="BV289" s="23">
        <f t="shared" si="38"/>
        <v>9</v>
      </c>
    </row>
    <row r="290" s="18" customFormat="1" spans="1:74">
      <c r="A290" s="24">
        <f t="shared" si="37"/>
        <v>66</v>
      </c>
      <c r="B290" s="14" t="s">
        <v>989</v>
      </c>
      <c r="C290" s="14"/>
      <c r="D290" s="67">
        <v>43661</v>
      </c>
      <c r="E290" s="24"/>
      <c r="F290" s="68">
        <v>59.76636</v>
      </c>
      <c r="G290" s="69">
        <v>28.21229</v>
      </c>
      <c r="H290" s="70">
        <f t="shared" si="36"/>
        <v>59</v>
      </c>
      <c r="I290" s="77">
        <f t="shared" si="33"/>
        <v>45.9815999999999</v>
      </c>
      <c r="J290" s="70">
        <f t="shared" si="35"/>
        <v>28</v>
      </c>
      <c r="K290" s="77">
        <f t="shared" si="34"/>
        <v>12.7374</v>
      </c>
      <c r="L290" s="78">
        <v>10.08</v>
      </c>
      <c r="M290" s="14">
        <v>1.4</v>
      </c>
      <c r="N290" s="24"/>
      <c r="O290" s="14">
        <v>16.8</v>
      </c>
      <c r="P290" s="14">
        <v>15.9</v>
      </c>
      <c r="Q290" s="24"/>
      <c r="R290" s="14">
        <v>2.49</v>
      </c>
      <c r="S290" s="14">
        <v>3.04</v>
      </c>
      <c r="T290" s="14">
        <v>8.6</v>
      </c>
      <c r="U290" s="80">
        <v>8.31</v>
      </c>
      <c r="V290" s="82"/>
      <c r="W290" s="82"/>
      <c r="X290" s="82"/>
      <c r="Y290" s="81">
        <v>233</v>
      </c>
      <c r="Z290" s="81">
        <v>211</v>
      </c>
      <c r="AA290" s="81"/>
      <c r="AB290" s="82"/>
      <c r="AC290" s="82"/>
      <c r="AD290" s="82"/>
      <c r="AE290" s="84" t="s">
        <v>205</v>
      </c>
      <c r="AF290" s="84" t="s">
        <v>205</v>
      </c>
      <c r="AG290" s="84" t="s">
        <v>774</v>
      </c>
      <c r="AH290" s="84" t="s">
        <v>205</v>
      </c>
      <c r="AI290" s="88"/>
      <c r="AJ290" s="84"/>
      <c r="AK290" s="84" t="s">
        <v>122</v>
      </c>
      <c r="AL290" s="81" t="s">
        <v>789</v>
      </c>
      <c r="AM290" s="89" t="s">
        <v>852</v>
      </c>
      <c r="AN290" s="44">
        <v>0</v>
      </c>
      <c r="AO290" s="18">
        <v>0</v>
      </c>
      <c r="AP290" s="44">
        <v>0</v>
      </c>
      <c r="AQ290" s="44">
        <v>0</v>
      </c>
      <c r="AR290" s="44">
        <v>0</v>
      </c>
      <c r="AS290" s="44">
        <v>0</v>
      </c>
      <c r="AT290" s="18">
        <v>0</v>
      </c>
      <c r="AU290" s="18">
        <v>0</v>
      </c>
      <c r="AV290" s="44">
        <v>0</v>
      </c>
      <c r="AW290" s="18">
        <v>0</v>
      </c>
      <c r="AX290" s="44">
        <v>3</v>
      </c>
      <c r="AY290" s="44">
        <v>0</v>
      </c>
      <c r="AZ290" s="18">
        <v>0</v>
      </c>
      <c r="BA290" s="18">
        <v>0</v>
      </c>
      <c r="BB290" s="44">
        <v>0</v>
      </c>
      <c r="BC290" s="44">
        <v>0</v>
      </c>
      <c r="BD290" s="18">
        <v>0</v>
      </c>
      <c r="BE290" s="18">
        <v>0</v>
      </c>
      <c r="BF290" s="18">
        <v>0</v>
      </c>
      <c r="BG290" s="44">
        <v>0</v>
      </c>
      <c r="BH290" s="18">
        <v>0</v>
      </c>
      <c r="BI290" s="18">
        <v>0</v>
      </c>
      <c r="BJ290" s="18">
        <v>2</v>
      </c>
      <c r="BK290" s="18">
        <v>1</v>
      </c>
      <c r="BL290" s="18">
        <v>2</v>
      </c>
      <c r="BM290" s="18">
        <v>1</v>
      </c>
      <c r="BN290" s="18">
        <v>1</v>
      </c>
      <c r="BO290" s="18">
        <v>1</v>
      </c>
      <c r="BP290" s="18">
        <v>1</v>
      </c>
      <c r="BQ290" s="18">
        <v>3</v>
      </c>
      <c r="BR290" s="18">
        <v>1</v>
      </c>
      <c r="BS290" s="18">
        <v>2</v>
      </c>
      <c r="BT290" s="18">
        <v>0</v>
      </c>
      <c r="BU290" s="18">
        <v>0</v>
      </c>
      <c r="BV290" s="23">
        <f t="shared" si="38"/>
        <v>9</v>
      </c>
    </row>
    <row r="291" s="18" customFormat="1" spans="1:74">
      <c r="A291" s="24">
        <f t="shared" si="37"/>
        <v>67</v>
      </c>
      <c r="B291" s="14" t="s">
        <v>990</v>
      </c>
      <c r="C291" s="14"/>
      <c r="D291" s="67">
        <v>43661</v>
      </c>
      <c r="E291" s="24"/>
      <c r="F291" s="68">
        <v>59.76582</v>
      </c>
      <c r="G291" s="69">
        <v>28.21443</v>
      </c>
      <c r="H291" s="70">
        <f t="shared" si="36"/>
        <v>59</v>
      </c>
      <c r="I291" s="77">
        <f t="shared" si="33"/>
        <v>45.9491999999999</v>
      </c>
      <c r="J291" s="70">
        <f t="shared" si="35"/>
        <v>28</v>
      </c>
      <c r="K291" s="77">
        <f t="shared" si="34"/>
        <v>12.8658</v>
      </c>
      <c r="L291" s="78">
        <v>14.7</v>
      </c>
      <c r="M291" s="14">
        <v>1.9</v>
      </c>
      <c r="N291" s="24"/>
      <c r="O291" s="14">
        <v>16.7</v>
      </c>
      <c r="P291" s="14">
        <v>15.9</v>
      </c>
      <c r="Q291" s="24"/>
      <c r="R291" s="14">
        <v>2.44</v>
      </c>
      <c r="S291" s="14">
        <v>3.02</v>
      </c>
      <c r="T291" s="14">
        <v>8.44</v>
      </c>
      <c r="U291" s="80">
        <v>8.37</v>
      </c>
      <c r="V291" s="82"/>
      <c r="W291" s="82"/>
      <c r="X291" s="82"/>
      <c r="Y291" s="81">
        <v>220</v>
      </c>
      <c r="Z291" s="81">
        <v>214</v>
      </c>
      <c r="AA291" s="81"/>
      <c r="AB291" s="82"/>
      <c r="AC291" s="82"/>
      <c r="AD291" s="82"/>
      <c r="AE291" s="84" t="s">
        <v>205</v>
      </c>
      <c r="AF291" s="84" t="s">
        <v>205</v>
      </c>
      <c r="AG291" s="84" t="s">
        <v>774</v>
      </c>
      <c r="AH291" s="84" t="s">
        <v>205</v>
      </c>
      <c r="AI291" s="88"/>
      <c r="AJ291" s="84"/>
      <c r="AK291" s="84" t="s">
        <v>122</v>
      </c>
      <c r="AL291" s="81" t="s">
        <v>789</v>
      </c>
      <c r="AM291" s="89" t="s">
        <v>852</v>
      </c>
      <c r="AN291" s="44">
        <v>0</v>
      </c>
      <c r="AO291" s="18">
        <v>0</v>
      </c>
      <c r="AP291" s="44">
        <v>0</v>
      </c>
      <c r="AQ291" s="44">
        <v>0</v>
      </c>
      <c r="AR291" s="44">
        <v>0</v>
      </c>
      <c r="AS291" s="44">
        <v>0</v>
      </c>
      <c r="AT291" s="18">
        <v>0</v>
      </c>
      <c r="AU291" s="18">
        <v>0</v>
      </c>
      <c r="AV291" s="44">
        <v>0</v>
      </c>
      <c r="AW291" s="18">
        <v>0</v>
      </c>
      <c r="AX291" s="44">
        <v>3</v>
      </c>
      <c r="AY291" s="44">
        <v>0</v>
      </c>
      <c r="AZ291" s="18">
        <v>0</v>
      </c>
      <c r="BA291" s="18">
        <v>0</v>
      </c>
      <c r="BB291" s="44">
        <v>0</v>
      </c>
      <c r="BC291" s="44">
        <v>0</v>
      </c>
      <c r="BD291" s="18">
        <v>0</v>
      </c>
      <c r="BE291" s="18">
        <v>0</v>
      </c>
      <c r="BF291" s="18">
        <v>0</v>
      </c>
      <c r="BG291" s="44">
        <v>0</v>
      </c>
      <c r="BH291" s="18">
        <v>0</v>
      </c>
      <c r="BI291" s="18">
        <v>0</v>
      </c>
      <c r="BJ291" s="18">
        <v>2</v>
      </c>
      <c r="BK291" s="18">
        <v>1</v>
      </c>
      <c r="BL291" s="18">
        <v>2</v>
      </c>
      <c r="BM291" s="18">
        <v>1</v>
      </c>
      <c r="BN291" s="18">
        <v>1</v>
      </c>
      <c r="BO291" s="18">
        <v>1</v>
      </c>
      <c r="BP291" s="18">
        <v>1</v>
      </c>
      <c r="BQ291" s="18">
        <v>3</v>
      </c>
      <c r="BR291" s="18">
        <v>1</v>
      </c>
      <c r="BS291" s="18">
        <v>2</v>
      </c>
      <c r="BT291" s="18">
        <v>0</v>
      </c>
      <c r="BU291" s="18">
        <v>0</v>
      </c>
      <c r="BV291" s="23">
        <f t="shared" si="38"/>
        <v>9</v>
      </c>
    </row>
    <row r="292" s="18" customFormat="1" spans="1:74">
      <c r="A292" s="24">
        <f t="shared" si="37"/>
        <v>68</v>
      </c>
      <c r="B292" s="136" t="s">
        <v>991</v>
      </c>
      <c r="C292" s="136"/>
      <c r="D292" s="67">
        <v>43661</v>
      </c>
      <c r="E292" s="24"/>
      <c r="F292" s="68">
        <v>59.68739</v>
      </c>
      <c r="G292" s="69">
        <v>28.26087</v>
      </c>
      <c r="H292" s="70">
        <f t="shared" si="36"/>
        <v>59</v>
      </c>
      <c r="I292" s="77">
        <f t="shared" si="33"/>
        <v>41.2434</v>
      </c>
      <c r="J292" s="70">
        <f t="shared" si="35"/>
        <v>28</v>
      </c>
      <c r="K292" s="77">
        <f t="shared" si="34"/>
        <v>15.6522</v>
      </c>
      <c r="L292" s="78">
        <v>7</v>
      </c>
      <c r="M292" s="14">
        <v>1.2</v>
      </c>
      <c r="N292" s="24"/>
      <c r="O292" s="14">
        <v>18</v>
      </c>
      <c r="P292" s="24"/>
      <c r="Q292" s="24"/>
      <c r="R292" s="14">
        <v>2.7</v>
      </c>
      <c r="S292" s="24"/>
      <c r="T292" s="14">
        <v>8.65</v>
      </c>
      <c r="U292" s="83"/>
      <c r="V292" s="82"/>
      <c r="W292" s="82"/>
      <c r="X292" s="82"/>
      <c r="Y292" s="81">
        <v>215</v>
      </c>
      <c r="Z292" s="82"/>
      <c r="AA292" s="82"/>
      <c r="AB292" s="82"/>
      <c r="AC292" s="82"/>
      <c r="AD292" s="82" t="s">
        <v>500</v>
      </c>
      <c r="AE292" s="84" t="s">
        <v>122</v>
      </c>
      <c r="AF292" s="84" t="s">
        <v>122</v>
      </c>
      <c r="AG292" s="84" t="s">
        <v>774</v>
      </c>
      <c r="AH292" s="84" t="s">
        <v>205</v>
      </c>
      <c r="AI292" s="88"/>
      <c r="AJ292" s="84"/>
      <c r="AK292" s="84" t="s">
        <v>122</v>
      </c>
      <c r="AL292" s="81" t="s">
        <v>789</v>
      </c>
      <c r="AM292" s="89" t="s">
        <v>852</v>
      </c>
      <c r="AN292" s="44">
        <v>0</v>
      </c>
      <c r="AO292" s="18">
        <v>0</v>
      </c>
      <c r="AP292" s="44">
        <v>0</v>
      </c>
      <c r="AQ292" s="44">
        <v>0</v>
      </c>
      <c r="AR292" s="44">
        <v>0</v>
      </c>
      <c r="AS292" s="44">
        <v>0</v>
      </c>
      <c r="AT292" s="18">
        <v>0</v>
      </c>
      <c r="AU292" s="18">
        <v>0</v>
      </c>
      <c r="AV292" s="44">
        <v>0</v>
      </c>
      <c r="AW292" s="18">
        <v>0</v>
      </c>
      <c r="AX292" s="44">
        <v>3</v>
      </c>
      <c r="AY292" s="44">
        <v>0</v>
      </c>
      <c r="AZ292" s="18">
        <v>0</v>
      </c>
      <c r="BA292" s="18">
        <v>0</v>
      </c>
      <c r="BB292" s="44">
        <v>0</v>
      </c>
      <c r="BC292" s="44">
        <v>0</v>
      </c>
      <c r="BD292" s="18">
        <v>0</v>
      </c>
      <c r="BE292" s="18">
        <v>0</v>
      </c>
      <c r="BF292" s="18">
        <v>0</v>
      </c>
      <c r="BG292" s="44">
        <v>0</v>
      </c>
      <c r="BH292" s="18">
        <v>0</v>
      </c>
      <c r="BI292" s="18">
        <v>0</v>
      </c>
      <c r="BJ292" s="18">
        <v>2</v>
      </c>
      <c r="BK292" s="18">
        <v>1</v>
      </c>
      <c r="BL292" s="18">
        <v>2</v>
      </c>
      <c r="BM292" s="18">
        <v>1</v>
      </c>
      <c r="BN292" s="18">
        <v>1</v>
      </c>
      <c r="BO292" s="18">
        <v>1</v>
      </c>
      <c r="BP292" s="18">
        <v>1</v>
      </c>
      <c r="BQ292" s="18">
        <v>3</v>
      </c>
      <c r="BR292" s="18">
        <v>1</v>
      </c>
      <c r="BS292" s="18">
        <v>2</v>
      </c>
      <c r="BT292" s="18">
        <v>0</v>
      </c>
      <c r="BU292" s="18">
        <v>0</v>
      </c>
      <c r="BV292" s="23">
        <f t="shared" si="38"/>
        <v>9</v>
      </c>
    </row>
    <row r="293" s="20" customFormat="1" spans="1:74">
      <c r="A293" s="137">
        <v>69</v>
      </c>
      <c r="B293" s="75" t="s">
        <v>992</v>
      </c>
      <c r="C293" s="75"/>
      <c r="D293" s="137"/>
      <c r="E293" s="137"/>
      <c r="F293" s="138"/>
      <c r="G293" s="139"/>
      <c r="H293" s="70"/>
      <c r="I293" s="77"/>
      <c r="J293" s="70"/>
      <c r="K293" s="77"/>
      <c r="L293" s="79"/>
      <c r="M293" s="24"/>
      <c r="N293" s="24"/>
      <c r="O293" s="24"/>
      <c r="P293" s="24"/>
      <c r="Q293" s="24"/>
      <c r="R293" s="24"/>
      <c r="S293" s="24"/>
      <c r="T293" s="24"/>
      <c r="U293" s="83"/>
      <c r="V293" s="82"/>
      <c r="W293" s="82"/>
      <c r="X293" s="82"/>
      <c r="Y293" s="82"/>
      <c r="Z293" s="82"/>
      <c r="AA293" s="82"/>
      <c r="AB293" s="82"/>
      <c r="AC293" s="82" t="s">
        <v>992</v>
      </c>
      <c r="AD293" s="82"/>
      <c r="AE293" s="84" t="s">
        <v>205</v>
      </c>
      <c r="AF293" s="84" t="s">
        <v>205</v>
      </c>
      <c r="AG293" s="84" t="s">
        <v>205</v>
      </c>
      <c r="AH293" s="84" t="s">
        <v>993</v>
      </c>
      <c r="AI293" s="88"/>
      <c r="AJ293" s="84"/>
      <c r="AK293" s="84" t="s">
        <v>205</v>
      </c>
      <c r="AL293" s="81" t="s">
        <v>819</v>
      </c>
      <c r="AM293" s="89" t="s">
        <v>957</v>
      </c>
      <c r="AN293" s="151"/>
      <c r="AP293" s="151"/>
      <c r="AQ293" s="151"/>
      <c r="AR293" s="151"/>
      <c r="AS293" s="151"/>
      <c r="AV293" s="151"/>
      <c r="AX293" s="151"/>
      <c r="AY293" s="151"/>
      <c r="BB293" s="151"/>
      <c r="BC293" s="151"/>
      <c r="BG293" s="151"/>
      <c r="BV293" s="23"/>
    </row>
    <row r="294" s="18" customFormat="1" spans="1:74">
      <c r="A294" s="24">
        <v>70</v>
      </c>
      <c r="B294" s="14" t="s">
        <v>994</v>
      </c>
      <c r="C294" s="24" t="s">
        <v>995</v>
      </c>
      <c r="D294" s="67">
        <v>43661</v>
      </c>
      <c r="E294" s="172" t="s">
        <v>996</v>
      </c>
      <c r="F294" s="68">
        <v>59.68232</v>
      </c>
      <c r="G294" s="69">
        <v>28.26108</v>
      </c>
      <c r="H294" s="70">
        <f t="shared" si="36"/>
        <v>59</v>
      </c>
      <c r="I294" s="77">
        <f t="shared" si="33"/>
        <v>40.9391999999998</v>
      </c>
      <c r="J294" s="70">
        <f t="shared" si="35"/>
        <v>28</v>
      </c>
      <c r="K294" s="77">
        <f t="shared" si="34"/>
        <v>15.6648</v>
      </c>
      <c r="L294" s="78">
        <v>5.9</v>
      </c>
      <c r="M294" s="24">
        <v>1.8</v>
      </c>
      <c r="N294" s="24"/>
      <c r="O294" s="14">
        <v>17</v>
      </c>
      <c r="P294" s="24"/>
      <c r="Q294" s="24"/>
      <c r="R294" s="24"/>
      <c r="S294" s="24"/>
      <c r="T294" s="24"/>
      <c r="U294" s="83"/>
      <c r="V294" s="82"/>
      <c r="W294" s="82"/>
      <c r="X294" s="82"/>
      <c r="Y294" s="82"/>
      <c r="Z294" s="82"/>
      <c r="AA294" s="82"/>
      <c r="AB294" s="82"/>
      <c r="AC294" s="82" t="s">
        <v>997</v>
      </c>
      <c r="AD294" s="82"/>
      <c r="AE294" s="84" t="s">
        <v>205</v>
      </c>
      <c r="AF294" s="84" t="s">
        <v>205</v>
      </c>
      <c r="AG294" s="84" t="s">
        <v>774</v>
      </c>
      <c r="AH294" s="84" t="s">
        <v>205</v>
      </c>
      <c r="AI294" s="88"/>
      <c r="AJ294" s="84"/>
      <c r="AK294" s="84" t="s">
        <v>205</v>
      </c>
      <c r="AL294" s="81" t="s">
        <v>205</v>
      </c>
      <c r="AM294" s="89" t="s">
        <v>852</v>
      </c>
      <c r="AN294" s="44">
        <v>0</v>
      </c>
      <c r="AO294" s="18">
        <v>0</v>
      </c>
      <c r="AP294" s="44">
        <v>0</v>
      </c>
      <c r="AQ294" s="44">
        <v>0</v>
      </c>
      <c r="AR294" s="44">
        <v>0</v>
      </c>
      <c r="AS294" s="44">
        <v>1</v>
      </c>
      <c r="AT294" s="18">
        <v>0</v>
      </c>
      <c r="AU294" s="18">
        <v>1</v>
      </c>
      <c r="AV294" s="44">
        <v>0</v>
      </c>
      <c r="AW294" s="18">
        <v>0</v>
      </c>
      <c r="AX294" s="44">
        <v>0</v>
      </c>
      <c r="AY294" s="44">
        <v>0</v>
      </c>
      <c r="AZ294" s="18">
        <v>0</v>
      </c>
      <c r="BA294" s="18">
        <v>0</v>
      </c>
      <c r="BB294" s="44">
        <v>0</v>
      </c>
      <c r="BC294" s="44">
        <v>1</v>
      </c>
      <c r="BD294" s="18">
        <v>0</v>
      </c>
      <c r="BE294" s="18">
        <v>0</v>
      </c>
      <c r="BF294" s="18">
        <v>0</v>
      </c>
      <c r="BG294" s="44">
        <v>0</v>
      </c>
      <c r="BH294" s="18">
        <v>0</v>
      </c>
      <c r="BI294" s="18">
        <v>0</v>
      </c>
      <c r="BJ294" s="18">
        <v>5</v>
      </c>
      <c r="BK294" s="18">
        <v>1</v>
      </c>
      <c r="BL294" s="18">
        <v>2</v>
      </c>
      <c r="BM294" s="18">
        <v>1</v>
      </c>
      <c r="BN294" s="18">
        <v>1</v>
      </c>
      <c r="BO294" s="18">
        <v>1</v>
      </c>
      <c r="BP294" s="18">
        <v>1</v>
      </c>
      <c r="BQ294" s="18">
        <v>3</v>
      </c>
      <c r="BR294" s="18">
        <v>1</v>
      </c>
      <c r="BS294" s="18">
        <v>2</v>
      </c>
      <c r="BT294" s="18">
        <v>0</v>
      </c>
      <c r="BU294" s="18">
        <v>0</v>
      </c>
      <c r="BV294" s="23">
        <f t="shared" si="38"/>
        <v>12</v>
      </c>
    </row>
    <row r="295" s="18" customFormat="1" spans="1:74">
      <c r="A295" s="24">
        <f>A294+1</f>
        <v>71</v>
      </c>
      <c r="B295" s="14" t="s">
        <v>998</v>
      </c>
      <c r="C295" s="24" t="s">
        <v>999</v>
      </c>
      <c r="D295" s="67">
        <v>43661</v>
      </c>
      <c r="E295" s="172" t="s">
        <v>1000</v>
      </c>
      <c r="F295" s="68">
        <v>59.67993</v>
      </c>
      <c r="G295" s="69">
        <v>28.26049</v>
      </c>
      <c r="H295" s="70">
        <f t="shared" si="36"/>
        <v>59</v>
      </c>
      <c r="I295" s="77">
        <f t="shared" si="33"/>
        <v>40.7957999999999</v>
      </c>
      <c r="J295" s="70">
        <f t="shared" si="35"/>
        <v>28</v>
      </c>
      <c r="K295" s="77">
        <f t="shared" si="34"/>
        <v>15.6294</v>
      </c>
      <c r="L295" s="78">
        <v>3.4</v>
      </c>
      <c r="M295" s="14">
        <v>1.9</v>
      </c>
      <c r="N295" s="24"/>
      <c r="O295" s="14">
        <v>17</v>
      </c>
      <c r="P295" s="24"/>
      <c r="Q295" s="24"/>
      <c r="R295" s="24"/>
      <c r="S295" s="24"/>
      <c r="T295" s="24"/>
      <c r="U295" s="83"/>
      <c r="V295" s="82"/>
      <c r="W295" s="82"/>
      <c r="X295" s="82"/>
      <c r="Y295" s="82"/>
      <c r="Z295" s="82"/>
      <c r="AA295" s="82"/>
      <c r="AB295" s="82"/>
      <c r="AC295" s="82" t="s">
        <v>1001</v>
      </c>
      <c r="AD295" s="82"/>
      <c r="AE295" s="84" t="s">
        <v>205</v>
      </c>
      <c r="AF295" s="84" t="s">
        <v>205</v>
      </c>
      <c r="AG295" s="84" t="s">
        <v>774</v>
      </c>
      <c r="AH295" s="84" t="s">
        <v>205</v>
      </c>
      <c r="AI295" s="88"/>
      <c r="AJ295" s="84"/>
      <c r="AK295" s="84" t="s">
        <v>205</v>
      </c>
      <c r="AL295" s="81" t="s">
        <v>205</v>
      </c>
      <c r="AM295" s="89" t="s">
        <v>852</v>
      </c>
      <c r="AN295" s="44">
        <v>0</v>
      </c>
      <c r="AO295" s="18">
        <v>0</v>
      </c>
      <c r="AP295" s="44">
        <v>0</v>
      </c>
      <c r="AQ295" s="44">
        <v>1</v>
      </c>
      <c r="AR295" s="44">
        <v>0</v>
      </c>
      <c r="AS295" s="44">
        <v>1</v>
      </c>
      <c r="AT295" s="18">
        <v>0</v>
      </c>
      <c r="AU295" s="18">
        <v>1</v>
      </c>
      <c r="AV295" s="44">
        <v>0</v>
      </c>
      <c r="AW295" s="18">
        <v>0</v>
      </c>
      <c r="AX295" s="44">
        <v>0</v>
      </c>
      <c r="AY295" s="44">
        <v>0</v>
      </c>
      <c r="AZ295" s="18">
        <v>0</v>
      </c>
      <c r="BA295" s="18">
        <v>0</v>
      </c>
      <c r="BB295" s="44">
        <v>0</v>
      </c>
      <c r="BC295" s="44">
        <v>1</v>
      </c>
      <c r="BD295" s="18">
        <v>0</v>
      </c>
      <c r="BE295" s="18">
        <v>0</v>
      </c>
      <c r="BF295" s="18">
        <v>0</v>
      </c>
      <c r="BG295" s="44">
        <v>0</v>
      </c>
      <c r="BH295" s="18">
        <v>0</v>
      </c>
      <c r="BI295" s="18">
        <v>0</v>
      </c>
      <c r="BJ295" s="18">
        <v>5</v>
      </c>
      <c r="BK295" s="18">
        <v>1</v>
      </c>
      <c r="BL295" s="18">
        <v>2</v>
      </c>
      <c r="BM295" s="18">
        <v>1</v>
      </c>
      <c r="BN295" s="18">
        <v>1</v>
      </c>
      <c r="BO295" s="18">
        <v>1</v>
      </c>
      <c r="BP295" s="18">
        <v>1</v>
      </c>
      <c r="BQ295" s="18">
        <v>3</v>
      </c>
      <c r="BR295" s="18">
        <v>1</v>
      </c>
      <c r="BS295" s="18">
        <v>2</v>
      </c>
      <c r="BT295" s="18">
        <v>0</v>
      </c>
      <c r="BU295" s="18">
        <v>0</v>
      </c>
      <c r="BV295" s="23">
        <f t="shared" si="38"/>
        <v>12</v>
      </c>
    </row>
    <row r="296" s="18" customFormat="1" ht="10.2" spans="1:74">
      <c r="A296" s="24">
        <f t="shared" ref="A296:A306" si="39">A295+1</f>
        <v>72</v>
      </c>
      <c r="B296" s="14" t="s">
        <v>1002</v>
      </c>
      <c r="C296" s="24" t="s">
        <v>1003</v>
      </c>
      <c r="D296" s="67">
        <v>43661</v>
      </c>
      <c r="E296" s="172" t="s">
        <v>1004</v>
      </c>
      <c r="F296" s="68">
        <v>59.67876</v>
      </c>
      <c r="G296" s="69">
        <v>28.26023</v>
      </c>
      <c r="H296" s="70">
        <f t="shared" si="36"/>
        <v>59</v>
      </c>
      <c r="I296" s="77">
        <f t="shared" si="33"/>
        <v>40.7255999999998</v>
      </c>
      <c r="J296" s="70">
        <f t="shared" si="35"/>
        <v>28</v>
      </c>
      <c r="K296" s="77">
        <f t="shared" si="34"/>
        <v>15.6138</v>
      </c>
      <c r="L296" s="78">
        <v>1.7</v>
      </c>
      <c r="M296" s="14">
        <v>1.7</v>
      </c>
      <c r="N296" s="24"/>
      <c r="O296" s="14">
        <v>17</v>
      </c>
      <c r="P296" s="24"/>
      <c r="Q296" s="24"/>
      <c r="R296" s="24"/>
      <c r="S296" s="24"/>
      <c r="T296" s="24"/>
      <c r="U296" s="83"/>
      <c r="V296" s="82"/>
      <c r="W296" s="82"/>
      <c r="X296" s="82"/>
      <c r="Y296" s="82"/>
      <c r="Z296" s="82"/>
      <c r="AA296" s="82"/>
      <c r="AB296" s="82"/>
      <c r="AC296" s="82" t="s">
        <v>1005</v>
      </c>
      <c r="AD296" s="82"/>
      <c r="AE296" s="84" t="s">
        <v>205</v>
      </c>
      <c r="AF296" s="84" t="s">
        <v>205</v>
      </c>
      <c r="AG296" s="84" t="s">
        <v>774</v>
      </c>
      <c r="AH296" s="84" t="s">
        <v>205</v>
      </c>
      <c r="AI296" s="88"/>
      <c r="AJ296" s="84"/>
      <c r="AK296" s="84" t="s">
        <v>205</v>
      </c>
      <c r="AL296" s="81" t="s">
        <v>205</v>
      </c>
      <c r="AM296" s="89" t="s">
        <v>852</v>
      </c>
      <c r="AN296" s="44">
        <v>0</v>
      </c>
      <c r="AO296" s="18">
        <v>0</v>
      </c>
      <c r="AP296" s="44">
        <v>0</v>
      </c>
      <c r="AQ296" s="44">
        <v>0</v>
      </c>
      <c r="AR296" s="44">
        <v>0</v>
      </c>
      <c r="AS296" s="44">
        <v>1</v>
      </c>
      <c r="AT296" s="18">
        <v>0</v>
      </c>
      <c r="AU296" s="18">
        <v>0</v>
      </c>
      <c r="AV296" s="44">
        <v>0</v>
      </c>
      <c r="AW296" s="18">
        <v>0</v>
      </c>
      <c r="AX296" s="44">
        <v>0</v>
      </c>
      <c r="AY296" s="44">
        <v>0</v>
      </c>
      <c r="AZ296" s="18">
        <v>0</v>
      </c>
      <c r="BA296" s="18">
        <v>0</v>
      </c>
      <c r="BB296" s="44">
        <v>0</v>
      </c>
      <c r="BC296" s="44">
        <v>1</v>
      </c>
      <c r="BD296" s="18">
        <v>0</v>
      </c>
      <c r="BE296" s="18">
        <v>0</v>
      </c>
      <c r="BF296" s="18">
        <v>0</v>
      </c>
      <c r="BG296" s="44">
        <v>0</v>
      </c>
      <c r="BH296" s="18">
        <v>0</v>
      </c>
      <c r="BI296" s="18">
        <v>0</v>
      </c>
      <c r="BJ296" s="18">
        <v>2</v>
      </c>
      <c r="BK296" s="18">
        <v>1</v>
      </c>
      <c r="BL296" s="18">
        <v>2</v>
      </c>
      <c r="BM296" s="18">
        <v>2</v>
      </c>
      <c r="BN296" s="18">
        <v>1</v>
      </c>
      <c r="BO296" s="18">
        <v>1</v>
      </c>
      <c r="BP296" s="18">
        <v>1</v>
      </c>
      <c r="BQ296" s="18">
        <v>2</v>
      </c>
      <c r="BR296" s="18">
        <v>1</v>
      </c>
      <c r="BS296" s="18">
        <v>2</v>
      </c>
      <c r="BT296" s="18">
        <v>1</v>
      </c>
      <c r="BU296" s="18">
        <v>0</v>
      </c>
      <c r="BV296" s="44">
        <f t="shared" si="38"/>
        <v>8</v>
      </c>
    </row>
    <row r="297" s="18" customFormat="1" ht="10.2" spans="1:74">
      <c r="A297" s="24">
        <f t="shared" si="39"/>
        <v>73</v>
      </c>
      <c r="B297" s="136" t="s">
        <v>1006</v>
      </c>
      <c r="C297" s="24" t="s">
        <v>1007</v>
      </c>
      <c r="D297" s="67">
        <v>43661</v>
      </c>
      <c r="E297" s="172" t="s">
        <v>1008</v>
      </c>
      <c r="F297" s="68">
        <v>59.67947</v>
      </c>
      <c r="G297" s="69">
        <v>28.28351</v>
      </c>
      <c r="H297" s="70">
        <f t="shared" si="36"/>
        <v>59</v>
      </c>
      <c r="I297" s="77">
        <f t="shared" si="33"/>
        <v>40.7682000000001</v>
      </c>
      <c r="J297" s="70">
        <f t="shared" si="35"/>
        <v>28</v>
      </c>
      <c r="K297" s="77">
        <f t="shared" si="34"/>
        <v>17.0106</v>
      </c>
      <c r="L297" s="78">
        <v>1.9</v>
      </c>
      <c r="M297" s="14">
        <v>1.8</v>
      </c>
      <c r="N297" s="24"/>
      <c r="O297" s="14">
        <v>17</v>
      </c>
      <c r="P297" s="24"/>
      <c r="Q297" s="24"/>
      <c r="R297" s="24"/>
      <c r="S297" s="24"/>
      <c r="T297" s="24"/>
      <c r="U297" s="83"/>
      <c r="V297" s="82"/>
      <c r="W297" s="82"/>
      <c r="X297" s="82"/>
      <c r="Y297" s="82"/>
      <c r="Z297" s="82"/>
      <c r="AA297" s="82"/>
      <c r="AB297" s="82"/>
      <c r="AC297" s="82" t="s">
        <v>500</v>
      </c>
      <c r="AD297" s="82"/>
      <c r="AE297" s="84" t="s">
        <v>205</v>
      </c>
      <c r="AF297" s="84" t="s">
        <v>205</v>
      </c>
      <c r="AG297" s="84" t="s">
        <v>774</v>
      </c>
      <c r="AH297" s="84" t="s">
        <v>205</v>
      </c>
      <c r="AI297" s="88"/>
      <c r="AJ297" s="84"/>
      <c r="AK297" s="84" t="s">
        <v>205</v>
      </c>
      <c r="AL297" s="81" t="s">
        <v>205</v>
      </c>
      <c r="AM297" s="89" t="s">
        <v>852</v>
      </c>
      <c r="AN297" s="44">
        <v>0</v>
      </c>
      <c r="AO297" s="18">
        <v>0</v>
      </c>
      <c r="AP297" s="44">
        <v>0</v>
      </c>
      <c r="AQ297" s="44">
        <v>0</v>
      </c>
      <c r="AR297" s="44">
        <v>0</v>
      </c>
      <c r="AS297" s="44">
        <v>1</v>
      </c>
      <c r="AT297" s="18">
        <v>0</v>
      </c>
      <c r="AU297" s="18">
        <v>0</v>
      </c>
      <c r="AV297" s="44">
        <v>0</v>
      </c>
      <c r="AW297" s="18">
        <v>0</v>
      </c>
      <c r="AX297" s="44">
        <v>0</v>
      </c>
      <c r="AY297" s="44">
        <v>0</v>
      </c>
      <c r="AZ297" s="18">
        <v>0</v>
      </c>
      <c r="BA297" s="18">
        <v>0</v>
      </c>
      <c r="BB297" s="44">
        <v>0</v>
      </c>
      <c r="BC297" s="44">
        <v>0</v>
      </c>
      <c r="BD297" s="18">
        <v>0</v>
      </c>
      <c r="BE297" s="18">
        <v>0</v>
      </c>
      <c r="BF297" s="18">
        <v>0</v>
      </c>
      <c r="BG297" s="44">
        <v>0</v>
      </c>
      <c r="BH297" s="18">
        <v>0</v>
      </c>
      <c r="BI297" s="18">
        <v>0</v>
      </c>
      <c r="BJ297" s="18">
        <v>1</v>
      </c>
      <c r="BK297" s="18">
        <v>1</v>
      </c>
      <c r="BL297" s="18">
        <v>2</v>
      </c>
      <c r="BM297" s="18">
        <v>1</v>
      </c>
      <c r="BN297" s="18">
        <v>1</v>
      </c>
      <c r="BO297" s="18">
        <v>1</v>
      </c>
      <c r="BP297" s="18">
        <v>1</v>
      </c>
      <c r="BQ297" s="18">
        <v>2</v>
      </c>
      <c r="BR297" s="18">
        <v>0</v>
      </c>
      <c r="BS297" s="18">
        <v>0</v>
      </c>
      <c r="BT297" s="18">
        <v>1</v>
      </c>
      <c r="BU297" s="18">
        <v>0</v>
      </c>
      <c r="BV297" s="44">
        <f t="shared" si="38"/>
        <v>9</v>
      </c>
    </row>
    <row r="298" s="18" customFormat="1" ht="10.2" spans="1:74">
      <c r="A298" s="24">
        <f t="shared" si="39"/>
        <v>74</v>
      </c>
      <c r="B298" s="14" t="s">
        <v>1009</v>
      </c>
      <c r="C298" s="24" t="s">
        <v>1010</v>
      </c>
      <c r="D298" s="67">
        <v>43661</v>
      </c>
      <c r="E298" s="172" t="s">
        <v>1011</v>
      </c>
      <c r="F298" s="68">
        <v>59.6813</v>
      </c>
      <c r="G298" s="69">
        <v>28.28473</v>
      </c>
      <c r="H298" s="70">
        <f t="shared" si="36"/>
        <v>59</v>
      </c>
      <c r="I298" s="77">
        <f t="shared" si="33"/>
        <v>40.878</v>
      </c>
      <c r="J298" s="70">
        <f t="shared" si="35"/>
        <v>28</v>
      </c>
      <c r="K298" s="77">
        <f t="shared" si="34"/>
        <v>17.0838</v>
      </c>
      <c r="L298" s="78">
        <v>3.8</v>
      </c>
      <c r="M298" s="14">
        <v>1.8</v>
      </c>
      <c r="N298" s="24"/>
      <c r="O298" s="14">
        <v>18</v>
      </c>
      <c r="P298" s="24"/>
      <c r="Q298" s="24"/>
      <c r="R298" s="24"/>
      <c r="S298" s="24"/>
      <c r="T298" s="24"/>
      <c r="U298" s="83"/>
      <c r="V298" s="82"/>
      <c r="W298" s="82"/>
      <c r="X298" s="82"/>
      <c r="Y298" s="82"/>
      <c r="Z298" s="82"/>
      <c r="AA298" s="82"/>
      <c r="AB298" s="82"/>
      <c r="AC298" s="82" t="s">
        <v>500</v>
      </c>
      <c r="AD298" s="82"/>
      <c r="AE298" s="84" t="s">
        <v>205</v>
      </c>
      <c r="AF298" s="84" t="s">
        <v>205</v>
      </c>
      <c r="AG298" s="84" t="s">
        <v>774</v>
      </c>
      <c r="AH298" s="84" t="s">
        <v>205</v>
      </c>
      <c r="AI298" s="88"/>
      <c r="AJ298" s="84"/>
      <c r="AK298" s="84" t="s">
        <v>205</v>
      </c>
      <c r="AL298" s="81" t="s">
        <v>205</v>
      </c>
      <c r="AM298" s="89" t="s">
        <v>852</v>
      </c>
      <c r="AN298" s="44">
        <v>0</v>
      </c>
      <c r="AO298" s="18">
        <v>0</v>
      </c>
      <c r="AP298" s="44">
        <v>0</v>
      </c>
      <c r="AQ298" s="44">
        <v>0</v>
      </c>
      <c r="AR298" s="44">
        <v>0</v>
      </c>
      <c r="AS298" s="44">
        <v>1</v>
      </c>
      <c r="AT298" s="18">
        <v>0</v>
      </c>
      <c r="AU298" s="18">
        <v>0</v>
      </c>
      <c r="AV298" s="44">
        <v>0</v>
      </c>
      <c r="AW298" s="18">
        <v>0</v>
      </c>
      <c r="AX298" s="44">
        <v>0</v>
      </c>
      <c r="AY298" s="44">
        <v>0</v>
      </c>
      <c r="AZ298" s="18">
        <v>0</v>
      </c>
      <c r="BA298" s="18">
        <v>0</v>
      </c>
      <c r="BB298" s="44">
        <v>0</v>
      </c>
      <c r="BC298" s="44">
        <v>0</v>
      </c>
      <c r="BD298" s="18">
        <v>0</v>
      </c>
      <c r="BE298" s="18">
        <v>0</v>
      </c>
      <c r="BF298" s="18">
        <v>0</v>
      </c>
      <c r="BG298" s="44">
        <v>0</v>
      </c>
      <c r="BH298" s="18">
        <v>0</v>
      </c>
      <c r="BI298" s="18">
        <v>0</v>
      </c>
      <c r="BJ298" s="18">
        <v>1</v>
      </c>
      <c r="BK298" s="18">
        <v>1</v>
      </c>
      <c r="BL298" s="18">
        <v>2</v>
      </c>
      <c r="BM298" s="18">
        <v>1</v>
      </c>
      <c r="BN298" s="18">
        <v>1</v>
      </c>
      <c r="BO298" s="18">
        <v>1</v>
      </c>
      <c r="BP298" s="18">
        <v>1</v>
      </c>
      <c r="BQ298" s="18">
        <v>2</v>
      </c>
      <c r="BR298" s="18">
        <v>0</v>
      </c>
      <c r="BS298" s="18">
        <v>0</v>
      </c>
      <c r="BT298" s="18">
        <v>0</v>
      </c>
      <c r="BU298" s="18">
        <v>0</v>
      </c>
      <c r="BV298" s="44">
        <f t="shared" si="38"/>
        <v>10</v>
      </c>
    </row>
    <row r="299" s="18" customFormat="1" ht="10.2" spans="1:74">
      <c r="A299" s="24">
        <f t="shared" si="39"/>
        <v>75</v>
      </c>
      <c r="B299" s="14" t="s">
        <v>1012</v>
      </c>
      <c r="C299" s="24" t="s">
        <v>1013</v>
      </c>
      <c r="D299" s="67">
        <v>43661</v>
      </c>
      <c r="E299" s="172" t="s">
        <v>1014</v>
      </c>
      <c r="F299" s="68">
        <v>59.68462</v>
      </c>
      <c r="G299" s="69">
        <v>28.2867</v>
      </c>
      <c r="H299" s="70">
        <f t="shared" si="36"/>
        <v>59</v>
      </c>
      <c r="I299" s="77">
        <f t="shared" si="33"/>
        <v>41.0772000000001</v>
      </c>
      <c r="J299" s="70">
        <f t="shared" si="35"/>
        <v>28</v>
      </c>
      <c r="K299" s="77">
        <f t="shared" si="34"/>
        <v>17.202</v>
      </c>
      <c r="L299" s="78">
        <v>5.9</v>
      </c>
      <c r="M299" s="14">
        <v>1.8</v>
      </c>
      <c r="N299" s="24"/>
      <c r="O299" s="14">
        <v>17</v>
      </c>
      <c r="P299" s="24"/>
      <c r="Q299" s="24"/>
      <c r="R299" s="24"/>
      <c r="S299" s="24"/>
      <c r="T299" s="24"/>
      <c r="U299" s="83"/>
      <c r="V299" s="82"/>
      <c r="W299" s="82"/>
      <c r="X299" s="82"/>
      <c r="Y299" s="82"/>
      <c r="Z299" s="82"/>
      <c r="AA299" s="82"/>
      <c r="AB299" s="82"/>
      <c r="AC299" s="82" t="s">
        <v>500</v>
      </c>
      <c r="AD299" s="82"/>
      <c r="AE299" s="84" t="s">
        <v>205</v>
      </c>
      <c r="AF299" s="84" t="s">
        <v>205</v>
      </c>
      <c r="AG299" s="84" t="s">
        <v>774</v>
      </c>
      <c r="AH299" s="84" t="s">
        <v>205</v>
      </c>
      <c r="AI299" s="88"/>
      <c r="AJ299" s="84"/>
      <c r="AK299" s="84" t="s">
        <v>205</v>
      </c>
      <c r="AL299" s="81" t="s">
        <v>205</v>
      </c>
      <c r="AM299" s="89" t="s">
        <v>852</v>
      </c>
      <c r="AN299" s="44">
        <v>0</v>
      </c>
      <c r="AO299" s="18">
        <v>0</v>
      </c>
      <c r="AP299" s="44">
        <v>0</v>
      </c>
      <c r="AQ299" s="44">
        <v>0</v>
      </c>
      <c r="AR299" s="44">
        <v>0</v>
      </c>
      <c r="AS299" s="44">
        <v>1</v>
      </c>
      <c r="AT299" s="18">
        <v>0</v>
      </c>
      <c r="AU299" s="18">
        <v>0</v>
      </c>
      <c r="AV299" s="44">
        <v>0</v>
      </c>
      <c r="AW299" s="18">
        <v>0</v>
      </c>
      <c r="AX299" s="44">
        <v>0</v>
      </c>
      <c r="AY299" s="44">
        <v>0</v>
      </c>
      <c r="AZ299" s="18">
        <v>0</v>
      </c>
      <c r="BA299" s="18">
        <v>0</v>
      </c>
      <c r="BB299" s="44">
        <v>0</v>
      </c>
      <c r="BC299" s="44">
        <v>0</v>
      </c>
      <c r="BD299" s="18">
        <v>0</v>
      </c>
      <c r="BE299" s="18">
        <v>0</v>
      </c>
      <c r="BF299" s="18">
        <v>0</v>
      </c>
      <c r="BG299" s="44">
        <v>0</v>
      </c>
      <c r="BH299" s="18">
        <v>0</v>
      </c>
      <c r="BI299" s="18">
        <v>0</v>
      </c>
      <c r="BJ299" s="18">
        <v>1</v>
      </c>
      <c r="BK299" s="18">
        <v>1</v>
      </c>
      <c r="BL299" s="18">
        <v>2</v>
      </c>
      <c r="BM299" s="18">
        <v>1</v>
      </c>
      <c r="BN299" s="18">
        <v>1</v>
      </c>
      <c r="BO299" s="18">
        <v>1</v>
      </c>
      <c r="BP299" s="18">
        <v>1</v>
      </c>
      <c r="BQ299" s="18">
        <v>2</v>
      </c>
      <c r="BR299" s="18">
        <v>0</v>
      </c>
      <c r="BS299" s="18">
        <v>0</v>
      </c>
      <c r="BT299" s="18">
        <v>0</v>
      </c>
      <c r="BU299" s="18">
        <v>0</v>
      </c>
      <c r="BV299" s="44">
        <f t="shared" si="38"/>
        <v>10</v>
      </c>
    </row>
    <row r="300" s="18" customFormat="1" ht="10.2" spans="1:74">
      <c r="A300" s="24">
        <f t="shared" si="39"/>
        <v>76</v>
      </c>
      <c r="B300" s="136" t="s">
        <v>1015</v>
      </c>
      <c r="C300" s="24" t="s">
        <v>1016</v>
      </c>
      <c r="D300" s="67">
        <v>43661</v>
      </c>
      <c r="E300" s="172" t="s">
        <v>1017</v>
      </c>
      <c r="F300" s="68">
        <v>59.74025</v>
      </c>
      <c r="G300" s="69">
        <v>28.2189166666667</v>
      </c>
      <c r="H300" s="70">
        <f t="shared" si="36"/>
        <v>59</v>
      </c>
      <c r="I300" s="77">
        <f t="shared" si="33"/>
        <v>44.4150000000002</v>
      </c>
      <c r="J300" s="70">
        <f t="shared" si="35"/>
        <v>28</v>
      </c>
      <c r="K300" s="77">
        <f t="shared" si="34"/>
        <v>13.1349999999999</v>
      </c>
      <c r="L300" s="79">
        <v>6.2</v>
      </c>
      <c r="M300" s="24">
        <v>1.2</v>
      </c>
      <c r="N300" s="24"/>
      <c r="O300" s="24"/>
      <c r="P300" s="24"/>
      <c r="Q300" s="24"/>
      <c r="R300" s="24"/>
      <c r="S300" s="24"/>
      <c r="T300" s="24"/>
      <c r="U300" s="83"/>
      <c r="V300" s="82"/>
      <c r="W300" s="82"/>
      <c r="X300" s="82"/>
      <c r="Y300" s="82"/>
      <c r="Z300" s="82"/>
      <c r="AA300" s="82"/>
      <c r="AB300" s="82"/>
      <c r="AC300" s="82" t="s">
        <v>500</v>
      </c>
      <c r="AD300" s="82"/>
      <c r="AE300" s="84" t="s">
        <v>205</v>
      </c>
      <c r="AF300" s="84" t="s">
        <v>205</v>
      </c>
      <c r="AG300" s="84" t="s">
        <v>774</v>
      </c>
      <c r="AH300" s="84" t="s">
        <v>205</v>
      </c>
      <c r="AI300" s="88"/>
      <c r="AJ300" s="84"/>
      <c r="AK300" s="84" t="s">
        <v>205</v>
      </c>
      <c r="AL300" s="81" t="s">
        <v>205</v>
      </c>
      <c r="AM300" s="89" t="s">
        <v>852</v>
      </c>
      <c r="AN300" s="44">
        <v>0</v>
      </c>
      <c r="AO300" s="18">
        <v>0</v>
      </c>
      <c r="AP300" s="44">
        <v>0</v>
      </c>
      <c r="AQ300" s="44">
        <v>0</v>
      </c>
      <c r="AR300" s="44">
        <v>0</v>
      </c>
      <c r="AS300" s="44">
        <v>1</v>
      </c>
      <c r="AT300" s="18">
        <v>0</v>
      </c>
      <c r="AU300" s="18">
        <v>0</v>
      </c>
      <c r="AV300" s="44">
        <v>0</v>
      </c>
      <c r="AW300" s="18">
        <v>0</v>
      </c>
      <c r="AX300" s="44">
        <v>0</v>
      </c>
      <c r="AY300" s="44">
        <v>0</v>
      </c>
      <c r="AZ300" s="18">
        <v>0</v>
      </c>
      <c r="BA300" s="18">
        <v>0</v>
      </c>
      <c r="BB300" s="44">
        <v>0</v>
      </c>
      <c r="BC300" s="44">
        <v>0</v>
      </c>
      <c r="BD300" s="18">
        <v>0</v>
      </c>
      <c r="BE300" s="18">
        <v>0</v>
      </c>
      <c r="BF300" s="18">
        <v>0</v>
      </c>
      <c r="BG300" s="44">
        <v>0</v>
      </c>
      <c r="BH300" s="18">
        <v>0</v>
      </c>
      <c r="BI300" s="18">
        <v>0</v>
      </c>
      <c r="BJ300" s="18">
        <v>1</v>
      </c>
      <c r="BK300" s="18">
        <v>1</v>
      </c>
      <c r="BL300" s="18">
        <v>2</v>
      </c>
      <c r="BM300" s="18">
        <v>1</v>
      </c>
      <c r="BN300" s="18">
        <v>1</v>
      </c>
      <c r="BO300" s="18">
        <v>1</v>
      </c>
      <c r="BP300" s="18">
        <v>1</v>
      </c>
      <c r="BQ300" s="18">
        <v>2</v>
      </c>
      <c r="BR300" s="18">
        <v>0</v>
      </c>
      <c r="BS300" s="18">
        <v>0</v>
      </c>
      <c r="BT300" s="18">
        <v>0</v>
      </c>
      <c r="BU300" s="18">
        <v>0</v>
      </c>
      <c r="BV300" s="44">
        <f t="shared" si="38"/>
        <v>10</v>
      </c>
    </row>
    <row r="301" s="18" customFormat="1" ht="10.2" spans="1:74">
      <c r="A301" s="24">
        <f t="shared" si="39"/>
        <v>77</v>
      </c>
      <c r="B301" s="14" t="s">
        <v>1018</v>
      </c>
      <c r="C301" s="24" t="s">
        <v>1019</v>
      </c>
      <c r="D301" s="67">
        <v>43661</v>
      </c>
      <c r="E301" s="24" t="s">
        <v>384</v>
      </c>
      <c r="F301" s="68">
        <v>59.7422666666667</v>
      </c>
      <c r="G301" s="69">
        <v>28.2121833333333</v>
      </c>
      <c r="H301" s="70">
        <f t="shared" si="36"/>
        <v>59</v>
      </c>
      <c r="I301" s="77">
        <f t="shared" si="33"/>
        <v>44.5359999999999</v>
      </c>
      <c r="J301" s="70">
        <f t="shared" si="35"/>
        <v>28</v>
      </c>
      <c r="K301" s="77">
        <f t="shared" si="34"/>
        <v>12.7309999999999</v>
      </c>
      <c r="L301" s="79">
        <v>3.9</v>
      </c>
      <c r="M301" s="24">
        <v>1.2</v>
      </c>
      <c r="N301" s="24"/>
      <c r="O301" s="24"/>
      <c r="P301" s="24"/>
      <c r="Q301" s="24"/>
      <c r="R301" s="24"/>
      <c r="S301" s="24"/>
      <c r="T301" s="24"/>
      <c r="U301" s="83"/>
      <c r="V301" s="82"/>
      <c r="W301" s="82"/>
      <c r="X301" s="82"/>
      <c r="Y301" s="82"/>
      <c r="Z301" s="82"/>
      <c r="AA301" s="82"/>
      <c r="AB301" s="82"/>
      <c r="AC301" s="82" t="s">
        <v>500</v>
      </c>
      <c r="AD301" s="82"/>
      <c r="AE301" s="84" t="s">
        <v>205</v>
      </c>
      <c r="AF301" s="84" t="s">
        <v>205</v>
      </c>
      <c r="AG301" s="84" t="s">
        <v>774</v>
      </c>
      <c r="AH301" s="84" t="s">
        <v>205</v>
      </c>
      <c r="AI301" s="88"/>
      <c r="AJ301" s="84"/>
      <c r="AK301" s="84" t="s">
        <v>205</v>
      </c>
      <c r="AL301" s="81" t="s">
        <v>205</v>
      </c>
      <c r="AM301" s="89" t="s">
        <v>852</v>
      </c>
      <c r="AN301" s="44">
        <v>0</v>
      </c>
      <c r="AO301" s="18">
        <v>0</v>
      </c>
      <c r="AP301" s="44">
        <v>0</v>
      </c>
      <c r="AQ301" s="44">
        <v>0</v>
      </c>
      <c r="AR301" s="44">
        <v>0</v>
      </c>
      <c r="AS301" s="44">
        <v>1</v>
      </c>
      <c r="AT301" s="18">
        <v>0</v>
      </c>
      <c r="AU301" s="18">
        <v>0</v>
      </c>
      <c r="AV301" s="44">
        <v>0</v>
      </c>
      <c r="AW301" s="18">
        <v>0</v>
      </c>
      <c r="AX301" s="44">
        <v>0</v>
      </c>
      <c r="AY301" s="44">
        <v>0</v>
      </c>
      <c r="AZ301" s="18">
        <v>0</v>
      </c>
      <c r="BA301" s="18">
        <v>0</v>
      </c>
      <c r="BB301" s="44">
        <v>0</v>
      </c>
      <c r="BC301" s="44">
        <v>0</v>
      </c>
      <c r="BD301" s="18">
        <v>0</v>
      </c>
      <c r="BE301" s="18">
        <v>0</v>
      </c>
      <c r="BF301" s="18">
        <v>0</v>
      </c>
      <c r="BG301" s="44">
        <v>0</v>
      </c>
      <c r="BH301" s="18">
        <v>0</v>
      </c>
      <c r="BI301" s="18">
        <v>0</v>
      </c>
      <c r="BJ301" s="18">
        <v>1</v>
      </c>
      <c r="BK301" s="18">
        <v>1</v>
      </c>
      <c r="BL301" s="18">
        <v>2</v>
      </c>
      <c r="BM301" s="18">
        <v>1</v>
      </c>
      <c r="BN301" s="18">
        <v>1</v>
      </c>
      <c r="BO301" s="18">
        <v>1</v>
      </c>
      <c r="BP301" s="18">
        <v>1</v>
      </c>
      <c r="BQ301" s="18">
        <v>2</v>
      </c>
      <c r="BR301" s="18">
        <v>0</v>
      </c>
      <c r="BS301" s="18">
        <v>0</v>
      </c>
      <c r="BT301" s="18">
        <v>0</v>
      </c>
      <c r="BU301" s="18">
        <v>0</v>
      </c>
      <c r="BV301" s="44">
        <f t="shared" si="38"/>
        <v>10</v>
      </c>
    </row>
    <row r="302" s="18" customFormat="1" ht="10.2" spans="1:74">
      <c r="A302" s="24">
        <f t="shared" si="39"/>
        <v>78</v>
      </c>
      <c r="B302" s="14" t="s">
        <v>1020</v>
      </c>
      <c r="C302" s="24" t="s">
        <v>1021</v>
      </c>
      <c r="D302" s="67">
        <v>43661</v>
      </c>
      <c r="E302" s="24" t="s">
        <v>1022</v>
      </c>
      <c r="F302" s="68">
        <v>59.7412333333333</v>
      </c>
      <c r="G302" s="69">
        <v>28.2064833333333</v>
      </c>
      <c r="H302" s="70">
        <f t="shared" si="36"/>
        <v>59</v>
      </c>
      <c r="I302" s="77">
        <f t="shared" si="33"/>
        <v>44.474</v>
      </c>
      <c r="J302" s="70">
        <f t="shared" si="35"/>
        <v>28</v>
      </c>
      <c r="K302" s="77">
        <f t="shared" si="34"/>
        <v>12.3890000000001</v>
      </c>
      <c r="L302" s="79">
        <v>2.4</v>
      </c>
      <c r="M302" s="24">
        <v>1</v>
      </c>
      <c r="N302" s="24"/>
      <c r="O302" s="24"/>
      <c r="P302" s="24"/>
      <c r="Q302" s="24"/>
      <c r="R302" s="24"/>
      <c r="S302" s="24"/>
      <c r="T302" s="24"/>
      <c r="U302" s="83"/>
      <c r="V302" s="82"/>
      <c r="W302" s="82"/>
      <c r="X302" s="82"/>
      <c r="Y302" s="82"/>
      <c r="Z302" s="82"/>
      <c r="AA302" s="82"/>
      <c r="AB302" s="82"/>
      <c r="AC302" s="82" t="s">
        <v>500</v>
      </c>
      <c r="AD302" s="82"/>
      <c r="AE302" s="84" t="s">
        <v>205</v>
      </c>
      <c r="AF302" s="84" t="s">
        <v>205</v>
      </c>
      <c r="AG302" s="84" t="s">
        <v>961</v>
      </c>
      <c r="AH302" s="84" t="s">
        <v>205</v>
      </c>
      <c r="AI302" s="88"/>
      <c r="AJ302" s="84"/>
      <c r="AK302" s="84" t="s">
        <v>205</v>
      </c>
      <c r="AL302" s="81" t="s">
        <v>205</v>
      </c>
      <c r="AM302" s="89" t="s">
        <v>852</v>
      </c>
      <c r="AN302" s="44">
        <v>0</v>
      </c>
      <c r="AO302" s="18">
        <v>0</v>
      </c>
      <c r="AP302" s="44">
        <v>0</v>
      </c>
      <c r="AQ302" s="44">
        <v>0</v>
      </c>
      <c r="AR302" s="44">
        <v>0</v>
      </c>
      <c r="AS302" s="44">
        <v>1</v>
      </c>
      <c r="AT302" s="18">
        <v>0</v>
      </c>
      <c r="AU302" s="18">
        <v>0</v>
      </c>
      <c r="AV302" s="44">
        <v>0</v>
      </c>
      <c r="AW302" s="18">
        <v>0</v>
      </c>
      <c r="AX302" s="44">
        <v>0</v>
      </c>
      <c r="AY302" s="44">
        <v>0</v>
      </c>
      <c r="AZ302" s="18">
        <v>0</v>
      </c>
      <c r="BA302" s="18">
        <v>0</v>
      </c>
      <c r="BB302" s="44">
        <v>0</v>
      </c>
      <c r="BC302" s="44">
        <v>0</v>
      </c>
      <c r="BD302" s="18">
        <v>0</v>
      </c>
      <c r="BE302" s="18">
        <v>0</v>
      </c>
      <c r="BF302" s="18">
        <v>0</v>
      </c>
      <c r="BG302" s="44">
        <v>0</v>
      </c>
      <c r="BH302" s="18">
        <v>0</v>
      </c>
      <c r="BI302" s="18">
        <v>0</v>
      </c>
      <c r="BJ302" s="18">
        <v>1</v>
      </c>
      <c r="BK302" s="18">
        <v>1</v>
      </c>
      <c r="BL302" s="18">
        <v>2</v>
      </c>
      <c r="BM302" s="18">
        <v>1</v>
      </c>
      <c r="BN302" s="18">
        <v>1</v>
      </c>
      <c r="BO302" s="18">
        <v>1</v>
      </c>
      <c r="BP302" s="18">
        <v>1</v>
      </c>
      <c r="BQ302" s="18">
        <v>2</v>
      </c>
      <c r="BR302" s="18">
        <v>0</v>
      </c>
      <c r="BS302" s="18">
        <v>0</v>
      </c>
      <c r="BT302" s="18">
        <v>0</v>
      </c>
      <c r="BU302" s="18">
        <v>0</v>
      </c>
      <c r="BV302" s="44">
        <f t="shared" si="38"/>
        <v>10</v>
      </c>
    </row>
    <row r="303" s="18" customFormat="1" ht="10.2" spans="1:74">
      <c r="A303" s="24">
        <f t="shared" si="39"/>
        <v>79</v>
      </c>
      <c r="B303" s="136" t="s">
        <v>1023</v>
      </c>
      <c r="C303" s="24" t="s">
        <v>1024</v>
      </c>
      <c r="D303" s="67">
        <v>43661</v>
      </c>
      <c r="E303" s="24" t="s">
        <v>1022</v>
      </c>
      <c r="F303" s="68">
        <v>59.75945</v>
      </c>
      <c r="G303" s="69">
        <v>28.2022333333333</v>
      </c>
      <c r="H303" s="70">
        <f t="shared" si="36"/>
        <v>59</v>
      </c>
      <c r="I303" s="77">
        <f t="shared" si="33"/>
        <v>45.5670000000001</v>
      </c>
      <c r="J303" s="70">
        <f t="shared" si="35"/>
        <v>28</v>
      </c>
      <c r="K303" s="77">
        <f t="shared" si="34"/>
        <v>12.1339999999999</v>
      </c>
      <c r="L303" s="79">
        <v>6</v>
      </c>
      <c r="M303" s="24">
        <v>1.5</v>
      </c>
      <c r="N303" s="24"/>
      <c r="O303" s="24">
        <v>17</v>
      </c>
      <c r="P303" s="24"/>
      <c r="Q303" s="24"/>
      <c r="R303" s="24"/>
      <c r="S303" s="24"/>
      <c r="T303" s="24"/>
      <c r="U303" s="83"/>
      <c r="V303" s="82"/>
      <c r="W303" s="82"/>
      <c r="X303" s="82"/>
      <c r="Y303" s="82"/>
      <c r="Z303" s="82"/>
      <c r="AA303" s="82"/>
      <c r="AB303" s="82"/>
      <c r="AC303" s="82" t="s">
        <v>172</v>
      </c>
      <c r="AD303" s="82"/>
      <c r="AE303" s="84" t="s">
        <v>205</v>
      </c>
      <c r="AF303" s="84" t="s">
        <v>205</v>
      </c>
      <c r="AG303" s="84" t="s">
        <v>774</v>
      </c>
      <c r="AH303" s="84" t="s">
        <v>205</v>
      </c>
      <c r="AI303" s="88"/>
      <c r="AJ303" s="84"/>
      <c r="AK303" s="82" t="s">
        <v>1025</v>
      </c>
      <c r="AL303" s="82" t="s">
        <v>205</v>
      </c>
      <c r="AM303" s="89" t="s">
        <v>852</v>
      </c>
      <c r="AN303" s="44">
        <v>0</v>
      </c>
      <c r="AO303" s="18">
        <v>0</v>
      </c>
      <c r="AP303" s="44">
        <v>0</v>
      </c>
      <c r="AQ303" s="44">
        <v>0</v>
      </c>
      <c r="AR303" s="44">
        <v>0</v>
      </c>
      <c r="AS303" s="44">
        <v>1</v>
      </c>
      <c r="AT303" s="18">
        <v>0</v>
      </c>
      <c r="AU303" s="18">
        <v>0</v>
      </c>
      <c r="AV303" s="44">
        <v>0</v>
      </c>
      <c r="AW303" s="18">
        <v>0</v>
      </c>
      <c r="AX303" s="44">
        <v>0</v>
      </c>
      <c r="AY303" s="44">
        <v>0</v>
      </c>
      <c r="AZ303" s="18">
        <v>0</v>
      </c>
      <c r="BA303" s="18">
        <v>0</v>
      </c>
      <c r="BB303" s="44">
        <v>0</v>
      </c>
      <c r="BC303" s="44">
        <v>0</v>
      </c>
      <c r="BD303" s="18">
        <v>0</v>
      </c>
      <c r="BE303" s="18">
        <v>0</v>
      </c>
      <c r="BF303" s="18">
        <v>0</v>
      </c>
      <c r="BG303" s="44">
        <v>0</v>
      </c>
      <c r="BH303" s="18">
        <v>0</v>
      </c>
      <c r="BI303" s="18">
        <v>0</v>
      </c>
      <c r="BJ303" s="18">
        <v>1</v>
      </c>
      <c r="BK303" s="18">
        <v>1</v>
      </c>
      <c r="BL303" s="18">
        <v>2</v>
      </c>
      <c r="BM303" s="18">
        <v>1</v>
      </c>
      <c r="BN303" s="18">
        <v>1</v>
      </c>
      <c r="BO303" s="18">
        <v>1</v>
      </c>
      <c r="BP303" s="18">
        <v>1</v>
      </c>
      <c r="BQ303" s="18">
        <v>2</v>
      </c>
      <c r="BR303" s="18">
        <v>0</v>
      </c>
      <c r="BS303" s="18">
        <v>0</v>
      </c>
      <c r="BT303" s="18">
        <v>0</v>
      </c>
      <c r="BU303" s="18">
        <v>0</v>
      </c>
      <c r="BV303" s="44">
        <f t="shared" si="38"/>
        <v>10</v>
      </c>
    </row>
    <row r="304" s="18" customFormat="1" ht="10.2" spans="1:74">
      <c r="A304" s="24">
        <f t="shared" si="39"/>
        <v>80</v>
      </c>
      <c r="B304" s="14" t="s">
        <v>1026</v>
      </c>
      <c r="C304" s="24" t="s">
        <v>1027</v>
      </c>
      <c r="D304" s="67">
        <v>43661</v>
      </c>
      <c r="E304" s="24" t="s">
        <v>1028</v>
      </c>
      <c r="F304" s="68">
        <v>59.7659</v>
      </c>
      <c r="G304" s="69">
        <v>28.2011</v>
      </c>
      <c r="H304" s="70">
        <f t="shared" si="36"/>
        <v>59</v>
      </c>
      <c r="I304" s="77">
        <f t="shared" si="33"/>
        <v>45.9540000000001</v>
      </c>
      <c r="J304" s="70">
        <f t="shared" si="35"/>
        <v>28</v>
      </c>
      <c r="K304" s="77">
        <f t="shared" si="34"/>
        <v>12.066</v>
      </c>
      <c r="L304" s="79">
        <v>3.9</v>
      </c>
      <c r="M304" s="24">
        <v>1.6</v>
      </c>
      <c r="N304" s="24"/>
      <c r="O304" s="24">
        <v>16</v>
      </c>
      <c r="P304" s="24"/>
      <c r="Q304" s="24"/>
      <c r="R304" s="24"/>
      <c r="S304" s="24"/>
      <c r="T304" s="24"/>
      <c r="U304" s="83"/>
      <c r="V304" s="82"/>
      <c r="W304" s="82"/>
      <c r="X304" s="82"/>
      <c r="Y304" s="82"/>
      <c r="Z304" s="82"/>
      <c r="AA304" s="82"/>
      <c r="AB304" s="82"/>
      <c r="AC304" s="82" t="s">
        <v>1029</v>
      </c>
      <c r="AD304" s="82"/>
      <c r="AE304" s="84" t="s">
        <v>205</v>
      </c>
      <c r="AF304" s="84" t="s">
        <v>205</v>
      </c>
      <c r="AG304" s="84" t="s">
        <v>774</v>
      </c>
      <c r="AH304" s="82" t="s">
        <v>1030</v>
      </c>
      <c r="AI304" s="91"/>
      <c r="AJ304" s="82"/>
      <c r="AK304" s="82" t="s">
        <v>1031</v>
      </c>
      <c r="AL304" s="82" t="s">
        <v>1032</v>
      </c>
      <c r="AM304" s="89" t="s">
        <v>852</v>
      </c>
      <c r="AN304" s="44">
        <v>3</v>
      </c>
      <c r="AO304" s="18">
        <v>0</v>
      </c>
      <c r="AP304" s="44">
        <v>1</v>
      </c>
      <c r="AQ304" s="44">
        <v>1</v>
      </c>
      <c r="AR304" s="44">
        <v>0</v>
      </c>
      <c r="AS304" s="44">
        <v>1</v>
      </c>
      <c r="AT304" s="18">
        <v>0</v>
      </c>
      <c r="AU304" s="18">
        <v>0</v>
      </c>
      <c r="AV304" s="44">
        <v>0</v>
      </c>
      <c r="AW304" s="18">
        <v>0</v>
      </c>
      <c r="AX304" s="44">
        <v>0</v>
      </c>
      <c r="AY304" s="44">
        <v>0</v>
      </c>
      <c r="AZ304" s="18">
        <v>0</v>
      </c>
      <c r="BA304" s="18">
        <v>0</v>
      </c>
      <c r="BB304" s="44">
        <v>0</v>
      </c>
      <c r="BC304" s="44">
        <v>1</v>
      </c>
      <c r="BD304" s="18">
        <v>0</v>
      </c>
      <c r="BE304" s="18">
        <v>0</v>
      </c>
      <c r="BF304" s="18">
        <v>0</v>
      </c>
      <c r="BG304" s="44">
        <v>0</v>
      </c>
      <c r="BH304" s="18">
        <v>0</v>
      </c>
      <c r="BI304" s="18">
        <v>0</v>
      </c>
      <c r="BJ304" s="18">
        <v>4</v>
      </c>
      <c r="BK304" s="18">
        <v>2</v>
      </c>
      <c r="BL304" s="18">
        <v>2</v>
      </c>
      <c r="BM304" s="18">
        <v>2</v>
      </c>
      <c r="BN304" s="18">
        <v>1</v>
      </c>
      <c r="BO304" s="18">
        <v>1</v>
      </c>
      <c r="BP304" s="18">
        <v>1</v>
      </c>
      <c r="BQ304" s="18">
        <v>2</v>
      </c>
      <c r="BR304" s="18">
        <v>0</v>
      </c>
      <c r="BS304" s="18">
        <v>0</v>
      </c>
      <c r="BT304" s="18">
        <v>0</v>
      </c>
      <c r="BU304" s="18">
        <v>0</v>
      </c>
      <c r="BV304" s="44">
        <f t="shared" si="38"/>
        <v>15</v>
      </c>
    </row>
    <row r="305" s="18" customFormat="1" ht="10.2" spans="1:74">
      <c r="A305" s="24">
        <f t="shared" si="39"/>
        <v>81</v>
      </c>
      <c r="B305" s="14" t="s">
        <v>1033</v>
      </c>
      <c r="C305" s="24" t="s">
        <v>1034</v>
      </c>
      <c r="D305" s="67">
        <v>43661</v>
      </c>
      <c r="E305" s="175" t="s">
        <v>1035</v>
      </c>
      <c r="F305" s="68">
        <v>59.7651333333333</v>
      </c>
      <c r="G305" s="69">
        <v>28.1931333333333</v>
      </c>
      <c r="H305" s="70">
        <f t="shared" si="36"/>
        <v>59</v>
      </c>
      <c r="I305" s="77">
        <f t="shared" si="33"/>
        <v>45.9079999999999</v>
      </c>
      <c r="J305" s="70">
        <f t="shared" si="35"/>
        <v>28</v>
      </c>
      <c r="K305" s="77">
        <f t="shared" si="34"/>
        <v>11.5879999999999</v>
      </c>
      <c r="L305" s="79">
        <v>1.9</v>
      </c>
      <c r="M305" s="24">
        <v>1.7</v>
      </c>
      <c r="N305" s="24"/>
      <c r="O305" s="24">
        <v>17</v>
      </c>
      <c r="P305" s="24"/>
      <c r="Q305" s="24"/>
      <c r="R305" s="24"/>
      <c r="S305" s="24"/>
      <c r="T305" s="24"/>
      <c r="U305" s="83"/>
      <c r="V305" s="82"/>
      <c r="W305" s="82"/>
      <c r="X305" s="82"/>
      <c r="Y305" s="82"/>
      <c r="Z305" s="82"/>
      <c r="AA305" s="82"/>
      <c r="AB305" s="82"/>
      <c r="AC305" s="82" t="s">
        <v>1036</v>
      </c>
      <c r="AD305" s="82"/>
      <c r="AE305" s="84" t="s">
        <v>205</v>
      </c>
      <c r="AF305" s="84" t="s">
        <v>205</v>
      </c>
      <c r="AG305" s="82" t="s">
        <v>205</v>
      </c>
      <c r="AH305" s="82" t="s">
        <v>1037</v>
      </c>
      <c r="AI305" s="91"/>
      <c r="AJ305" s="82"/>
      <c r="AK305" s="82" t="s">
        <v>205</v>
      </c>
      <c r="AL305" s="82" t="s">
        <v>1038</v>
      </c>
      <c r="AM305" s="89" t="s">
        <v>852</v>
      </c>
      <c r="AN305" s="44">
        <v>3</v>
      </c>
      <c r="AO305" s="18">
        <v>0</v>
      </c>
      <c r="AP305" s="44">
        <v>1</v>
      </c>
      <c r="AQ305" s="44">
        <v>1</v>
      </c>
      <c r="AR305" s="44">
        <v>0</v>
      </c>
      <c r="AS305" s="44">
        <v>1</v>
      </c>
      <c r="AT305" s="18">
        <v>0</v>
      </c>
      <c r="AU305" s="18">
        <v>0</v>
      </c>
      <c r="AV305" s="44">
        <v>0</v>
      </c>
      <c r="AW305" s="18">
        <v>0</v>
      </c>
      <c r="AX305" s="44">
        <v>0</v>
      </c>
      <c r="AY305" s="44">
        <v>0</v>
      </c>
      <c r="AZ305" s="18">
        <v>0</v>
      </c>
      <c r="BA305" s="18">
        <v>0</v>
      </c>
      <c r="BB305" s="44">
        <v>0</v>
      </c>
      <c r="BC305" s="44">
        <v>1</v>
      </c>
      <c r="BD305" s="18">
        <v>0</v>
      </c>
      <c r="BE305" s="18">
        <v>0</v>
      </c>
      <c r="BF305" s="18">
        <v>0</v>
      </c>
      <c r="BG305" s="44">
        <v>0</v>
      </c>
      <c r="BH305" s="18">
        <v>0</v>
      </c>
      <c r="BI305" s="18">
        <v>0</v>
      </c>
      <c r="BJ305" s="18">
        <v>4</v>
      </c>
      <c r="BK305" s="18">
        <v>3</v>
      </c>
      <c r="BL305" s="18">
        <v>2</v>
      </c>
      <c r="BM305" s="18">
        <v>2</v>
      </c>
      <c r="BN305" s="18">
        <v>1</v>
      </c>
      <c r="BO305" s="18">
        <v>1</v>
      </c>
      <c r="BP305" s="18">
        <v>1</v>
      </c>
      <c r="BQ305" s="18">
        <v>2</v>
      </c>
      <c r="BR305" s="18">
        <v>0</v>
      </c>
      <c r="BS305" s="18">
        <v>0</v>
      </c>
      <c r="BT305" s="18">
        <v>1</v>
      </c>
      <c r="BU305" s="18">
        <v>0</v>
      </c>
      <c r="BV305" s="44">
        <f t="shared" si="38"/>
        <v>15</v>
      </c>
    </row>
    <row r="306" s="18" customFormat="1" ht="10.2" spans="1:74">
      <c r="A306" s="24">
        <f t="shared" si="39"/>
        <v>82</v>
      </c>
      <c r="B306" s="141" t="s">
        <v>1039</v>
      </c>
      <c r="C306" s="24" t="s">
        <v>1040</v>
      </c>
      <c r="D306" s="67">
        <v>43661</v>
      </c>
      <c r="E306" s="175" t="s">
        <v>533</v>
      </c>
      <c r="F306" s="68">
        <v>59.7519666666667</v>
      </c>
      <c r="G306" s="69">
        <v>28.4391333333333</v>
      </c>
      <c r="H306" s="70">
        <f t="shared" si="36"/>
        <v>59</v>
      </c>
      <c r="I306" s="77">
        <f t="shared" si="33"/>
        <v>45.1180000000001</v>
      </c>
      <c r="J306" s="70">
        <f t="shared" si="35"/>
        <v>28</v>
      </c>
      <c r="K306" s="77">
        <f t="shared" si="34"/>
        <v>26.3480000000001</v>
      </c>
      <c r="L306" s="79">
        <v>6.3</v>
      </c>
      <c r="M306" s="24">
        <v>1.5</v>
      </c>
      <c r="N306" s="24"/>
      <c r="O306" s="24">
        <v>16</v>
      </c>
      <c r="P306" s="24"/>
      <c r="Q306" s="24"/>
      <c r="R306" s="24"/>
      <c r="S306" s="24"/>
      <c r="T306" s="24"/>
      <c r="U306" s="83"/>
      <c r="V306" s="82"/>
      <c r="W306" s="82"/>
      <c r="X306" s="82"/>
      <c r="Y306" s="82"/>
      <c r="Z306" s="82"/>
      <c r="AA306" s="82"/>
      <c r="AB306" s="82"/>
      <c r="AC306" s="82" t="s">
        <v>1041</v>
      </c>
      <c r="AD306" s="82"/>
      <c r="AE306" s="82" t="s">
        <v>205</v>
      </c>
      <c r="AF306" s="82" t="s">
        <v>205</v>
      </c>
      <c r="AG306" s="84" t="s">
        <v>774</v>
      </c>
      <c r="AH306" s="82"/>
      <c r="AI306" s="91"/>
      <c r="AJ306" s="82"/>
      <c r="AK306" s="82" t="s">
        <v>122</v>
      </c>
      <c r="AL306" s="82" t="s">
        <v>205</v>
      </c>
      <c r="AM306" s="89" t="s">
        <v>852</v>
      </c>
      <c r="AN306" s="44">
        <v>0</v>
      </c>
      <c r="AO306" s="18">
        <v>0</v>
      </c>
      <c r="AP306" s="44">
        <v>0</v>
      </c>
      <c r="AQ306" s="44">
        <v>0</v>
      </c>
      <c r="AR306" s="44">
        <v>0</v>
      </c>
      <c r="AS306" s="44">
        <v>0</v>
      </c>
      <c r="AT306" s="18">
        <v>0</v>
      </c>
      <c r="AU306" s="18">
        <v>0</v>
      </c>
      <c r="AV306" s="44">
        <v>0</v>
      </c>
      <c r="AW306" s="18">
        <v>0</v>
      </c>
      <c r="AX306" s="44">
        <v>0</v>
      </c>
      <c r="AY306" s="44">
        <v>0</v>
      </c>
      <c r="AZ306" s="18">
        <v>0</v>
      </c>
      <c r="BA306" s="18">
        <v>0</v>
      </c>
      <c r="BB306" s="44">
        <v>0</v>
      </c>
      <c r="BC306" s="44">
        <v>0</v>
      </c>
      <c r="BD306" s="18">
        <v>0</v>
      </c>
      <c r="BE306" s="18">
        <v>0</v>
      </c>
      <c r="BF306" s="18">
        <v>0</v>
      </c>
      <c r="BG306" s="44">
        <v>0</v>
      </c>
      <c r="BH306" s="18">
        <v>0</v>
      </c>
      <c r="BI306" s="18">
        <v>0</v>
      </c>
      <c r="BJ306" s="18">
        <v>0</v>
      </c>
      <c r="BK306" s="18">
        <v>0</v>
      </c>
      <c r="BL306" s="18">
        <v>2</v>
      </c>
      <c r="BM306" s="18">
        <v>1</v>
      </c>
      <c r="BN306" s="18">
        <v>1</v>
      </c>
      <c r="BO306" s="18">
        <v>0</v>
      </c>
      <c r="BP306" s="18">
        <v>1</v>
      </c>
      <c r="BQ306" s="18">
        <v>2</v>
      </c>
      <c r="BR306" s="18">
        <v>0</v>
      </c>
      <c r="BS306" s="18">
        <v>0</v>
      </c>
      <c r="BT306" s="18">
        <v>0</v>
      </c>
      <c r="BU306" s="18">
        <v>0</v>
      </c>
      <c r="BV306" s="44">
        <f t="shared" si="38"/>
        <v>7</v>
      </c>
    </row>
    <row r="307" s="19" customFormat="1" ht="10.2" spans="1:74">
      <c r="A307" s="132"/>
      <c r="B307" s="132" t="s">
        <v>1039</v>
      </c>
      <c r="C307" s="132" t="s">
        <v>1042</v>
      </c>
      <c r="D307" s="135">
        <v>43707</v>
      </c>
      <c r="E307" s="142"/>
      <c r="F307" s="143">
        <v>59.7519666666667</v>
      </c>
      <c r="G307" s="144">
        <v>28.4391333333333</v>
      </c>
      <c r="H307" s="70">
        <f t="shared" si="36"/>
        <v>59</v>
      </c>
      <c r="I307" s="77">
        <f t="shared" si="33"/>
        <v>45.1180000000001</v>
      </c>
      <c r="J307" s="70">
        <f t="shared" si="35"/>
        <v>28</v>
      </c>
      <c r="K307" s="77">
        <f t="shared" si="34"/>
        <v>26.3480000000001</v>
      </c>
      <c r="L307" s="79">
        <v>6</v>
      </c>
      <c r="M307" s="24">
        <v>1.6</v>
      </c>
      <c r="N307" s="24"/>
      <c r="O307" s="24">
        <v>18</v>
      </c>
      <c r="P307" s="24"/>
      <c r="Q307" s="24"/>
      <c r="R307" s="24"/>
      <c r="S307" s="24"/>
      <c r="T307" s="24"/>
      <c r="U307" s="83"/>
      <c r="V307" s="82"/>
      <c r="W307" s="82"/>
      <c r="X307" s="82"/>
      <c r="Y307" s="82"/>
      <c r="Z307" s="82"/>
      <c r="AA307" s="82" t="s">
        <v>1043</v>
      </c>
      <c r="AB307" s="82"/>
      <c r="AC307" s="82" t="s">
        <v>1044</v>
      </c>
      <c r="AD307" s="82"/>
      <c r="AE307" s="82" t="s">
        <v>205</v>
      </c>
      <c r="AF307" s="82" t="s">
        <v>122</v>
      </c>
      <c r="AG307" s="84" t="s">
        <v>774</v>
      </c>
      <c r="AH307" s="82" t="s">
        <v>205</v>
      </c>
      <c r="AI307" s="91"/>
      <c r="AJ307" s="82" t="s">
        <v>205</v>
      </c>
      <c r="AK307" s="82" t="s">
        <v>122</v>
      </c>
      <c r="AL307" s="18" t="s">
        <v>205</v>
      </c>
      <c r="AM307" s="89" t="s">
        <v>770</v>
      </c>
      <c r="AN307" s="152"/>
      <c r="AP307" s="152"/>
      <c r="AQ307" s="152"/>
      <c r="AR307" s="152"/>
      <c r="AS307" s="152"/>
      <c r="AV307" s="152"/>
      <c r="AX307" s="152"/>
      <c r="AY307" s="152"/>
      <c r="BB307" s="152"/>
      <c r="BC307" s="152"/>
      <c r="BG307" s="152"/>
      <c r="BV307" s="44"/>
    </row>
    <row r="308" s="18" customFormat="1" ht="10.2" spans="1:74">
      <c r="A308" s="24">
        <v>83</v>
      </c>
      <c r="B308" s="24" t="s">
        <v>1045</v>
      </c>
      <c r="C308" s="24" t="s">
        <v>1046</v>
      </c>
      <c r="D308" s="67">
        <v>43661</v>
      </c>
      <c r="E308" s="175" t="s">
        <v>1047</v>
      </c>
      <c r="F308" s="68">
        <v>59.751964</v>
      </c>
      <c r="G308" s="69">
        <v>28.440502</v>
      </c>
      <c r="H308" s="70">
        <f t="shared" si="36"/>
        <v>59</v>
      </c>
      <c r="I308" s="77">
        <f t="shared" si="33"/>
        <v>45.1178400000001</v>
      </c>
      <c r="J308" s="70">
        <f t="shared" si="35"/>
        <v>28</v>
      </c>
      <c r="K308" s="77">
        <f t="shared" si="34"/>
        <v>26.4301199999999</v>
      </c>
      <c r="L308" s="79">
        <v>4.1</v>
      </c>
      <c r="M308" s="24"/>
      <c r="N308" s="24"/>
      <c r="O308" s="24">
        <v>16</v>
      </c>
      <c r="P308" s="24"/>
      <c r="Q308" s="24"/>
      <c r="R308" s="24"/>
      <c r="S308" s="24"/>
      <c r="T308" s="24"/>
      <c r="U308" s="83"/>
      <c r="V308" s="82"/>
      <c r="W308" s="82"/>
      <c r="X308" s="82"/>
      <c r="Y308" s="82"/>
      <c r="Z308" s="82"/>
      <c r="AA308" s="82"/>
      <c r="AB308" s="82"/>
      <c r="AC308" s="82" t="s">
        <v>1048</v>
      </c>
      <c r="AD308" s="82"/>
      <c r="AE308" s="82" t="s">
        <v>205</v>
      </c>
      <c r="AF308" s="82" t="s">
        <v>205</v>
      </c>
      <c r="AG308" s="82" t="s">
        <v>205</v>
      </c>
      <c r="AH308" s="82" t="s">
        <v>1049</v>
      </c>
      <c r="AI308" s="91"/>
      <c r="AJ308" s="82"/>
      <c r="AK308" s="82" t="s">
        <v>205</v>
      </c>
      <c r="AM308" s="89" t="s">
        <v>852</v>
      </c>
      <c r="AN308" s="44">
        <v>5</v>
      </c>
      <c r="AO308" s="18">
        <v>0</v>
      </c>
      <c r="AP308" s="44">
        <v>3</v>
      </c>
      <c r="AQ308" s="44">
        <v>5</v>
      </c>
      <c r="AR308" s="44">
        <v>3</v>
      </c>
      <c r="AS308" s="44">
        <v>1</v>
      </c>
      <c r="AT308" s="18">
        <v>0</v>
      </c>
      <c r="AU308" s="18">
        <v>0</v>
      </c>
      <c r="AV308" s="44">
        <v>0</v>
      </c>
      <c r="AW308" s="18">
        <v>0</v>
      </c>
      <c r="AX308" s="44">
        <v>0</v>
      </c>
      <c r="AY308" s="44">
        <v>0</v>
      </c>
      <c r="AZ308" s="18">
        <v>0</v>
      </c>
      <c r="BA308" s="18">
        <v>0</v>
      </c>
      <c r="BB308" s="44">
        <v>0</v>
      </c>
      <c r="BC308" s="44">
        <v>2</v>
      </c>
      <c r="BD308" s="18">
        <v>0</v>
      </c>
      <c r="BE308" s="18">
        <v>0</v>
      </c>
      <c r="BF308" s="18">
        <v>0</v>
      </c>
      <c r="BG308" s="44">
        <v>0</v>
      </c>
      <c r="BH308" s="18">
        <v>0</v>
      </c>
      <c r="BI308" s="18">
        <v>0</v>
      </c>
      <c r="BJ308" s="18">
        <v>5</v>
      </c>
      <c r="BK308" s="18">
        <v>3</v>
      </c>
      <c r="BL308" s="18">
        <v>2</v>
      </c>
      <c r="BM308" s="18">
        <v>2</v>
      </c>
      <c r="BN308" s="18">
        <v>1</v>
      </c>
      <c r="BO308" s="18">
        <v>1</v>
      </c>
      <c r="BP308" s="18">
        <v>1</v>
      </c>
      <c r="BQ308" s="18">
        <v>3</v>
      </c>
      <c r="BR308" s="18">
        <v>2</v>
      </c>
      <c r="BS308" s="18">
        <v>0</v>
      </c>
      <c r="BT308" s="18">
        <v>0</v>
      </c>
      <c r="BU308" s="18">
        <v>0</v>
      </c>
      <c r="BV308" s="44">
        <f t="shared" si="38"/>
        <v>16</v>
      </c>
    </row>
    <row r="309" s="19" customFormat="1" ht="10.2" spans="1:74">
      <c r="A309" s="132"/>
      <c r="B309" s="132" t="s">
        <v>1045</v>
      </c>
      <c r="C309" s="132" t="s">
        <v>1042</v>
      </c>
      <c r="D309" s="132" t="s">
        <v>1042</v>
      </c>
      <c r="E309" s="142"/>
      <c r="F309" s="143">
        <v>59.751964</v>
      </c>
      <c r="G309" s="144">
        <v>28.440502</v>
      </c>
      <c r="H309" s="70">
        <f t="shared" si="36"/>
        <v>59</v>
      </c>
      <c r="I309" s="77">
        <f t="shared" si="33"/>
        <v>45.1178400000001</v>
      </c>
      <c r="J309" s="70">
        <f t="shared" si="35"/>
        <v>28</v>
      </c>
      <c r="K309" s="77">
        <f t="shared" si="34"/>
        <v>26.4301199999999</v>
      </c>
      <c r="L309" s="79">
        <v>4</v>
      </c>
      <c r="M309" s="24">
        <v>1.4</v>
      </c>
      <c r="N309" s="24"/>
      <c r="O309" s="24">
        <v>18.6</v>
      </c>
      <c r="P309" s="24"/>
      <c r="Q309" s="24"/>
      <c r="R309" s="24">
        <v>3.06</v>
      </c>
      <c r="S309" s="24"/>
      <c r="T309" s="24">
        <v>8.43</v>
      </c>
      <c r="U309" s="83"/>
      <c r="V309" s="82"/>
      <c r="W309" s="82"/>
      <c r="X309" s="82"/>
      <c r="Y309" s="82"/>
      <c r="Z309" s="82"/>
      <c r="AA309" s="82"/>
      <c r="AB309" s="82"/>
      <c r="AC309" s="82" t="s">
        <v>1050</v>
      </c>
      <c r="AD309" s="82" t="s">
        <v>1051</v>
      </c>
      <c r="AE309" s="82" t="s">
        <v>205</v>
      </c>
      <c r="AF309" s="82" t="s">
        <v>205</v>
      </c>
      <c r="AG309" s="82" t="s">
        <v>1052</v>
      </c>
      <c r="AH309" s="82" t="s">
        <v>1053</v>
      </c>
      <c r="AI309" s="91"/>
      <c r="AJ309" s="82" t="s">
        <v>1054</v>
      </c>
      <c r="AK309" s="82" t="s">
        <v>205</v>
      </c>
      <c r="AL309" s="18" t="s">
        <v>819</v>
      </c>
      <c r="AM309" s="89" t="s">
        <v>770</v>
      </c>
      <c r="AN309" s="152"/>
      <c r="AP309" s="152"/>
      <c r="AQ309" s="152"/>
      <c r="AR309" s="152"/>
      <c r="AS309" s="152"/>
      <c r="AV309" s="152"/>
      <c r="AX309" s="152"/>
      <c r="AY309" s="152"/>
      <c r="BB309" s="152"/>
      <c r="BC309" s="152"/>
      <c r="BG309" s="152"/>
      <c r="BV309" s="44"/>
    </row>
    <row r="310" s="18" customFormat="1" ht="10.2" spans="1:74">
      <c r="A310" s="24">
        <v>84</v>
      </c>
      <c r="B310" s="24" t="s">
        <v>1055</v>
      </c>
      <c r="C310" s="24" t="s">
        <v>1056</v>
      </c>
      <c r="D310" s="67">
        <v>43661</v>
      </c>
      <c r="E310" s="175" t="s">
        <v>632</v>
      </c>
      <c r="F310" s="68">
        <v>59.751941</v>
      </c>
      <c r="G310" s="69">
        <v>28.441472</v>
      </c>
      <c r="H310" s="70">
        <f t="shared" si="36"/>
        <v>59</v>
      </c>
      <c r="I310" s="77">
        <f t="shared" si="33"/>
        <v>45.1164600000001</v>
      </c>
      <c r="J310" s="70">
        <f t="shared" si="35"/>
        <v>28</v>
      </c>
      <c r="K310" s="77">
        <f t="shared" si="34"/>
        <v>26.4883200000001</v>
      </c>
      <c r="L310" s="79">
        <v>1.7</v>
      </c>
      <c r="M310" s="24"/>
      <c r="N310" s="24"/>
      <c r="O310" s="24">
        <v>16</v>
      </c>
      <c r="P310" s="24"/>
      <c r="Q310" s="24"/>
      <c r="R310" s="24"/>
      <c r="S310" s="24"/>
      <c r="T310" s="24"/>
      <c r="U310" s="83"/>
      <c r="V310" s="82"/>
      <c r="W310" s="82"/>
      <c r="X310" s="82"/>
      <c r="Y310" s="82"/>
      <c r="Z310" s="82"/>
      <c r="AA310" s="82"/>
      <c r="AB310" s="82"/>
      <c r="AC310" s="82" t="s">
        <v>1057</v>
      </c>
      <c r="AD310" s="82"/>
      <c r="AE310" s="82" t="s">
        <v>205</v>
      </c>
      <c r="AF310" s="82" t="s">
        <v>205</v>
      </c>
      <c r="AG310" s="82" t="s">
        <v>205</v>
      </c>
      <c r="AH310" s="82" t="s">
        <v>1058</v>
      </c>
      <c r="AI310" s="91"/>
      <c r="AJ310" s="82"/>
      <c r="AK310" s="82"/>
      <c r="AL310" s="82" t="s">
        <v>1059</v>
      </c>
      <c r="AM310" s="89" t="s">
        <v>852</v>
      </c>
      <c r="AN310" s="44">
        <v>7</v>
      </c>
      <c r="AO310" s="18">
        <v>0</v>
      </c>
      <c r="AP310" s="44">
        <v>5</v>
      </c>
      <c r="AQ310" s="44">
        <v>2</v>
      </c>
      <c r="AR310" s="44">
        <v>1</v>
      </c>
      <c r="AS310" s="44">
        <v>0</v>
      </c>
      <c r="AT310" s="18">
        <v>0</v>
      </c>
      <c r="AU310" s="18">
        <v>0</v>
      </c>
      <c r="AV310" s="44">
        <v>0</v>
      </c>
      <c r="AW310" s="18">
        <v>0</v>
      </c>
      <c r="AX310" s="44">
        <v>0</v>
      </c>
      <c r="AY310" s="44">
        <v>0</v>
      </c>
      <c r="AZ310" s="18">
        <v>0</v>
      </c>
      <c r="BA310" s="18">
        <v>0</v>
      </c>
      <c r="BB310" s="44">
        <v>0</v>
      </c>
      <c r="BC310" s="44">
        <v>0</v>
      </c>
      <c r="BD310" s="18">
        <v>0</v>
      </c>
      <c r="BE310" s="18">
        <v>0</v>
      </c>
      <c r="BF310" s="18">
        <v>0</v>
      </c>
      <c r="BG310" s="44">
        <v>0</v>
      </c>
      <c r="BH310" s="18">
        <v>0</v>
      </c>
      <c r="BI310" s="18">
        <v>0</v>
      </c>
      <c r="BJ310" s="18">
        <v>3</v>
      </c>
      <c r="BK310" s="18">
        <v>6</v>
      </c>
      <c r="BL310" s="18">
        <v>2</v>
      </c>
      <c r="BM310" s="18">
        <v>2</v>
      </c>
      <c r="BN310" s="18">
        <v>1</v>
      </c>
      <c r="BO310" s="18">
        <v>1</v>
      </c>
      <c r="BP310" s="18">
        <v>1</v>
      </c>
      <c r="BQ310" s="18">
        <v>4</v>
      </c>
      <c r="BR310" s="18">
        <v>1</v>
      </c>
      <c r="BS310" s="18">
        <v>0</v>
      </c>
      <c r="BT310" s="18">
        <v>1</v>
      </c>
      <c r="BU310" s="18">
        <v>0</v>
      </c>
      <c r="BV310" s="44">
        <f t="shared" si="38"/>
        <v>18</v>
      </c>
    </row>
    <row r="311" s="18" customFormat="1" ht="10.2" spans="1:74">
      <c r="A311" s="24"/>
      <c r="B311" s="24" t="s">
        <v>1055</v>
      </c>
      <c r="C311" s="132" t="s">
        <v>1042</v>
      </c>
      <c r="D311" s="132" t="s">
        <v>1042</v>
      </c>
      <c r="E311" s="140"/>
      <c r="F311" s="68">
        <v>59.751941</v>
      </c>
      <c r="G311" s="69">
        <v>28.441472</v>
      </c>
      <c r="H311" s="70">
        <f t="shared" si="36"/>
        <v>59</v>
      </c>
      <c r="I311" s="77">
        <f t="shared" si="33"/>
        <v>45.1164600000001</v>
      </c>
      <c r="J311" s="70">
        <f t="shared" si="35"/>
        <v>28</v>
      </c>
      <c r="K311" s="77">
        <f t="shared" si="34"/>
        <v>26.4883200000001</v>
      </c>
      <c r="L311" s="79">
        <v>2</v>
      </c>
      <c r="M311" s="24"/>
      <c r="N311" s="24"/>
      <c r="O311" s="24">
        <v>18</v>
      </c>
      <c r="P311" s="24"/>
      <c r="Q311" s="24"/>
      <c r="R311" s="24"/>
      <c r="S311" s="24"/>
      <c r="T311" s="24"/>
      <c r="U311" s="83"/>
      <c r="V311" s="82"/>
      <c r="W311" s="82"/>
      <c r="X311" s="82"/>
      <c r="Y311" s="82"/>
      <c r="Z311" s="82"/>
      <c r="AA311" s="82"/>
      <c r="AB311" s="82"/>
      <c r="AC311" s="150" t="s">
        <v>1060</v>
      </c>
      <c r="AD311" s="82" t="s">
        <v>1061</v>
      </c>
      <c r="AE311" s="82" t="s">
        <v>205</v>
      </c>
      <c r="AF311" s="82" t="s">
        <v>205</v>
      </c>
      <c r="AG311" s="82" t="s">
        <v>205</v>
      </c>
      <c r="AH311" s="82" t="s">
        <v>1062</v>
      </c>
      <c r="AI311" s="91"/>
      <c r="AJ311" s="82" t="s">
        <v>1054</v>
      </c>
      <c r="AK311" s="82" t="s">
        <v>205</v>
      </c>
      <c r="AL311" s="18" t="s">
        <v>819</v>
      </c>
      <c r="AM311" s="89" t="s">
        <v>770</v>
      </c>
      <c r="AN311" s="44"/>
      <c r="AP311" s="44"/>
      <c r="AQ311" s="44"/>
      <c r="AR311" s="44"/>
      <c r="AS311" s="44"/>
      <c r="AV311" s="44"/>
      <c r="AX311" s="44"/>
      <c r="AY311" s="44"/>
      <c r="BB311" s="44"/>
      <c r="BC311" s="44"/>
      <c r="BG311" s="44"/>
      <c r="BV311" s="44"/>
    </row>
    <row r="312" s="18" customFormat="1" ht="10.2" spans="1:74">
      <c r="A312" s="24">
        <v>85</v>
      </c>
      <c r="B312" s="141" t="s">
        <v>1063</v>
      </c>
      <c r="C312" s="24" t="s">
        <v>1064</v>
      </c>
      <c r="D312" s="67">
        <v>43662</v>
      </c>
      <c r="E312" s="71" t="s">
        <v>1065</v>
      </c>
      <c r="F312" s="68">
        <v>59.751964</v>
      </c>
      <c r="G312" s="69">
        <v>28.439142</v>
      </c>
      <c r="H312" s="70">
        <f t="shared" si="36"/>
        <v>59</v>
      </c>
      <c r="I312" s="77">
        <f t="shared" si="33"/>
        <v>45.1178400000001</v>
      </c>
      <c r="J312" s="70">
        <f t="shared" si="35"/>
        <v>28</v>
      </c>
      <c r="K312" s="77">
        <f t="shared" si="34"/>
        <v>26.34852</v>
      </c>
      <c r="L312" s="79">
        <v>6</v>
      </c>
      <c r="M312" s="24"/>
      <c r="N312" s="24"/>
      <c r="O312" s="24">
        <v>18</v>
      </c>
      <c r="P312" s="24"/>
      <c r="Q312" s="24"/>
      <c r="R312" s="24"/>
      <c r="S312" s="24"/>
      <c r="T312" s="24"/>
      <c r="U312" s="83"/>
      <c r="V312" s="82"/>
      <c r="W312" s="82"/>
      <c r="X312" s="82"/>
      <c r="Y312" s="82"/>
      <c r="Z312" s="82"/>
      <c r="AA312" s="82"/>
      <c r="AB312" s="82"/>
      <c r="AC312" s="150" t="s">
        <v>1066</v>
      </c>
      <c r="AD312" s="82" t="s">
        <v>1067</v>
      </c>
      <c r="AE312" s="82" t="s">
        <v>205</v>
      </c>
      <c r="AF312" s="82" t="s">
        <v>205</v>
      </c>
      <c r="AG312" s="82" t="s">
        <v>205</v>
      </c>
      <c r="AH312" s="82" t="s">
        <v>1030</v>
      </c>
      <c r="AI312" s="91"/>
      <c r="AJ312" s="82"/>
      <c r="AK312" s="82" t="s">
        <v>205</v>
      </c>
      <c r="AL312" s="82" t="s">
        <v>1068</v>
      </c>
      <c r="AM312" s="89" t="s">
        <v>770</v>
      </c>
      <c r="AN312" s="44">
        <v>1</v>
      </c>
      <c r="AO312" s="18">
        <v>0</v>
      </c>
      <c r="AP312" s="44">
        <v>1</v>
      </c>
      <c r="AQ312" s="44">
        <v>1</v>
      </c>
      <c r="AR312" s="44">
        <v>0</v>
      </c>
      <c r="AS312" s="44">
        <v>1</v>
      </c>
      <c r="AT312" s="18">
        <v>0</v>
      </c>
      <c r="AU312" s="18">
        <v>0</v>
      </c>
      <c r="AV312" s="44">
        <v>0</v>
      </c>
      <c r="AW312" s="18">
        <v>0</v>
      </c>
      <c r="AX312" s="44">
        <v>0</v>
      </c>
      <c r="AY312" s="44">
        <v>0</v>
      </c>
      <c r="AZ312" s="18">
        <v>0</v>
      </c>
      <c r="BA312" s="18">
        <v>0</v>
      </c>
      <c r="BB312" s="44">
        <v>0</v>
      </c>
      <c r="BC312" s="44">
        <v>0</v>
      </c>
      <c r="BD312" s="18">
        <v>0</v>
      </c>
      <c r="BE312" s="18">
        <v>1</v>
      </c>
      <c r="BF312" s="18">
        <v>0</v>
      </c>
      <c r="BG312" s="44">
        <v>0</v>
      </c>
      <c r="BH312" s="18">
        <v>0</v>
      </c>
      <c r="BI312" s="18">
        <v>0</v>
      </c>
      <c r="BJ312" s="18">
        <v>3</v>
      </c>
      <c r="BK312" s="18">
        <v>1</v>
      </c>
      <c r="BL312" s="18">
        <v>2</v>
      </c>
      <c r="BM312" s="18">
        <v>1</v>
      </c>
      <c r="BN312" s="18">
        <v>1</v>
      </c>
      <c r="BO312" s="18">
        <v>1</v>
      </c>
      <c r="BP312" s="18">
        <v>2</v>
      </c>
      <c r="BQ312" s="18">
        <v>2</v>
      </c>
      <c r="BR312" s="18">
        <v>0</v>
      </c>
      <c r="BS312" s="18">
        <v>0</v>
      </c>
      <c r="BT312" s="18">
        <v>1</v>
      </c>
      <c r="BU312" s="18">
        <v>0</v>
      </c>
      <c r="BV312" s="44">
        <f t="shared" si="38"/>
        <v>12</v>
      </c>
    </row>
    <row r="313" s="18" customFormat="1" ht="10.2" spans="1:74">
      <c r="A313" s="24">
        <v>86</v>
      </c>
      <c r="B313" s="24" t="s">
        <v>1069</v>
      </c>
      <c r="C313" s="24" t="s">
        <v>1070</v>
      </c>
      <c r="D313" s="67">
        <v>43662</v>
      </c>
      <c r="E313" s="172" t="s">
        <v>516</v>
      </c>
      <c r="F313" s="68">
        <v>59.751964</v>
      </c>
      <c r="G313" s="69">
        <v>28.439142</v>
      </c>
      <c r="H313" s="70">
        <f t="shared" si="36"/>
        <v>59</v>
      </c>
      <c r="I313" s="77">
        <f t="shared" si="33"/>
        <v>45.1178400000001</v>
      </c>
      <c r="J313" s="70">
        <f t="shared" si="35"/>
        <v>28</v>
      </c>
      <c r="K313" s="77">
        <f t="shared" si="34"/>
        <v>26.34852</v>
      </c>
      <c r="L313" s="79">
        <v>2</v>
      </c>
      <c r="M313" s="24"/>
      <c r="N313" s="24"/>
      <c r="O313" s="24">
        <v>18</v>
      </c>
      <c r="P313" s="24"/>
      <c r="Q313" s="24"/>
      <c r="R313" s="24"/>
      <c r="S313" s="24"/>
      <c r="T313" s="24"/>
      <c r="U313" s="83"/>
      <c r="V313" s="82"/>
      <c r="W313" s="82"/>
      <c r="X313" s="82"/>
      <c r="Y313" s="82"/>
      <c r="Z313" s="82"/>
      <c r="AA313" s="82"/>
      <c r="AB313" s="82"/>
      <c r="AC313" s="150" t="s">
        <v>1066</v>
      </c>
      <c r="AD313" s="82" t="s">
        <v>1071</v>
      </c>
      <c r="AE313" s="82" t="s">
        <v>205</v>
      </c>
      <c r="AF313" s="82" t="s">
        <v>205</v>
      </c>
      <c r="AG313" s="82" t="s">
        <v>205</v>
      </c>
      <c r="AH313" s="82" t="s">
        <v>1030</v>
      </c>
      <c r="AI313" s="91"/>
      <c r="AJ313" s="82"/>
      <c r="AK313" s="82" t="s">
        <v>205</v>
      </c>
      <c r="AL313" s="82" t="s">
        <v>1072</v>
      </c>
      <c r="AM313" s="89" t="s">
        <v>770</v>
      </c>
      <c r="AN313" s="44">
        <v>1</v>
      </c>
      <c r="AO313" s="18">
        <v>1</v>
      </c>
      <c r="AP313" s="44">
        <v>3</v>
      </c>
      <c r="AQ313" s="44">
        <v>5</v>
      </c>
      <c r="AR313" s="44">
        <v>0</v>
      </c>
      <c r="AS313" s="44">
        <v>0</v>
      </c>
      <c r="AT313" s="18">
        <v>0</v>
      </c>
      <c r="AU313" s="18">
        <v>0</v>
      </c>
      <c r="AV313" s="44">
        <v>0</v>
      </c>
      <c r="AW313" s="18">
        <v>0</v>
      </c>
      <c r="AX313" s="44">
        <v>0</v>
      </c>
      <c r="AY313" s="44">
        <v>0</v>
      </c>
      <c r="AZ313" s="18">
        <v>0</v>
      </c>
      <c r="BA313" s="18">
        <v>0</v>
      </c>
      <c r="BB313" s="44">
        <v>0</v>
      </c>
      <c r="BC313" s="44">
        <v>1</v>
      </c>
      <c r="BD313" s="18">
        <v>0</v>
      </c>
      <c r="BE313" s="18">
        <v>0</v>
      </c>
      <c r="BF313" s="18">
        <v>0</v>
      </c>
      <c r="BG313" s="44">
        <v>0</v>
      </c>
      <c r="BH313" s="18">
        <v>0</v>
      </c>
      <c r="BI313" s="18">
        <v>0</v>
      </c>
      <c r="BJ313" s="18">
        <v>5</v>
      </c>
      <c r="BK313" s="18">
        <v>3</v>
      </c>
      <c r="BL313" s="18">
        <v>2</v>
      </c>
      <c r="BM313" s="18">
        <v>1</v>
      </c>
      <c r="BN313" s="18">
        <v>1</v>
      </c>
      <c r="BO313" s="18">
        <v>1</v>
      </c>
      <c r="BP313" s="18">
        <v>2</v>
      </c>
      <c r="BQ313" s="18">
        <v>2</v>
      </c>
      <c r="BR313" s="18">
        <v>0</v>
      </c>
      <c r="BS313" s="18">
        <v>0</v>
      </c>
      <c r="BT313" s="18">
        <v>0</v>
      </c>
      <c r="BU313" s="18">
        <v>0</v>
      </c>
      <c r="BV313" s="44">
        <f t="shared" si="38"/>
        <v>17</v>
      </c>
    </row>
    <row r="314" s="19" customFormat="1" ht="10.2" spans="1:74">
      <c r="A314" s="132"/>
      <c r="B314" s="132" t="s">
        <v>1073</v>
      </c>
      <c r="C314" s="132" t="s">
        <v>1074</v>
      </c>
      <c r="D314" s="135">
        <v>43706</v>
      </c>
      <c r="E314" s="132"/>
      <c r="F314" s="143">
        <v>59.751964</v>
      </c>
      <c r="G314" s="144">
        <v>28.439142</v>
      </c>
      <c r="H314" s="70">
        <f t="shared" si="36"/>
        <v>59</v>
      </c>
      <c r="I314" s="77">
        <f t="shared" si="33"/>
        <v>45.1178400000001</v>
      </c>
      <c r="J314" s="70">
        <f t="shared" si="35"/>
        <v>28</v>
      </c>
      <c r="K314" s="77">
        <f t="shared" si="34"/>
        <v>26.34852</v>
      </c>
      <c r="L314" s="79">
        <v>0.5</v>
      </c>
      <c r="M314" s="24"/>
      <c r="N314" s="24"/>
      <c r="O314" s="24"/>
      <c r="P314" s="24"/>
      <c r="Q314" s="24"/>
      <c r="R314" s="24"/>
      <c r="S314" s="24"/>
      <c r="T314" s="24"/>
      <c r="U314" s="83"/>
      <c r="V314" s="82"/>
      <c r="W314" s="82"/>
      <c r="X314" s="82"/>
      <c r="Y314" s="82"/>
      <c r="Z314" s="82"/>
      <c r="AA314" s="82"/>
      <c r="AB314" s="82"/>
      <c r="AC314" s="150" t="s">
        <v>1066</v>
      </c>
      <c r="AD314" s="82" t="s">
        <v>1075</v>
      </c>
      <c r="AE314" s="82" t="s">
        <v>205</v>
      </c>
      <c r="AF314" s="82" t="s">
        <v>205</v>
      </c>
      <c r="AG314" s="82" t="s">
        <v>205</v>
      </c>
      <c r="AH314" s="82" t="s">
        <v>1076</v>
      </c>
      <c r="AI314" s="91"/>
      <c r="AJ314" s="82" t="s">
        <v>1077</v>
      </c>
      <c r="AK314" s="82" t="s">
        <v>205</v>
      </c>
      <c r="AL314" s="82" t="s">
        <v>819</v>
      </c>
      <c r="AM314" s="89" t="s">
        <v>770</v>
      </c>
      <c r="AN314" s="152"/>
      <c r="AP314" s="152"/>
      <c r="AQ314" s="152"/>
      <c r="AR314" s="152"/>
      <c r="AS314" s="152"/>
      <c r="AV314" s="152"/>
      <c r="AX314" s="152"/>
      <c r="AY314" s="152"/>
      <c r="BB314" s="152"/>
      <c r="BC314" s="152"/>
      <c r="BG314" s="152"/>
      <c r="BV314" s="44"/>
    </row>
    <row r="315" s="19" customFormat="1" ht="10.2" spans="1:74">
      <c r="A315" s="132"/>
      <c r="B315" s="132" t="s">
        <v>1078</v>
      </c>
      <c r="C315" s="132" t="s">
        <v>1079</v>
      </c>
      <c r="D315" s="135">
        <v>43706</v>
      </c>
      <c r="E315" s="132"/>
      <c r="F315" s="143">
        <v>59.751964</v>
      </c>
      <c r="G315" s="144">
        <v>28.439142</v>
      </c>
      <c r="H315" s="70">
        <f t="shared" si="36"/>
        <v>59</v>
      </c>
      <c r="I315" s="77">
        <f t="shared" si="33"/>
        <v>45.1178400000001</v>
      </c>
      <c r="J315" s="70">
        <f t="shared" si="35"/>
        <v>28</v>
      </c>
      <c r="K315" s="77">
        <f t="shared" si="34"/>
        <v>26.34852</v>
      </c>
      <c r="L315" s="79">
        <v>1</v>
      </c>
      <c r="M315" s="24"/>
      <c r="N315" s="24"/>
      <c r="O315" s="24"/>
      <c r="P315" s="24"/>
      <c r="Q315" s="24"/>
      <c r="R315" s="24"/>
      <c r="S315" s="24"/>
      <c r="T315" s="24"/>
      <c r="U315" s="83"/>
      <c r="V315" s="82"/>
      <c r="W315" s="82"/>
      <c r="X315" s="82"/>
      <c r="Y315" s="82"/>
      <c r="Z315" s="82"/>
      <c r="AA315" s="82"/>
      <c r="AB315" s="82"/>
      <c r="AC315" s="82"/>
      <c r="AD315" s="82"/>
      <c r="AE315" s="82" t="s">
        <v>205</v>
      </c>
      <c r="AF315" s="82" t="s">
        <v>205</v>
      </c>
      <c r="AG315" s="82" t="s">
        <v>205</v>
      </c>
      <c r="AH315" s="82" t="s">
        <v>1076</v>
      </c>
      <c r="AI315" s="91"/>
      <c r="AJ315" s="82" t="s">
        <v>205</v>
      </c>
      <c r="AK315" s="82" t="s">
        <v>205</v>
      </c>
      <c r="AL315" s="82" t="s">
        <v>819</v>
      </c>
      <c r="AM315" s="89" t="s">
        <v>770</v>
      </c>
      <c r="AN315" s="152"/>
      <c r="AP315" s="152"/>
      <c r="AQ315" s="152"/>
      <c r="AR315" s="152"/>
      <c r="AS315" s="152"/>
      <c r="AV315" s="152"/>
      <c r="AX315" s="152"/>
      <c r="AY315" s="152"/>
      <c r="BB315" s="152"/>
      <c r="BC315" s="152"/>
      <c r="BG315" s="152"/>
      <c r="BV315" s="44"/>
    </row>
    <row r="316" s="19" customFormat="1" ht="10.2" spans="1:74">
      <c r="A316" s="132"/>
      <c r="B316" s="132" t="s">
        <v>1080</v>
      </c>
      <c r="C316" s="132" t="s">
        <v>1081</v>
      </c>
      <c r="D316" s="135">
        <v>43706</v>
      </c>
      <c r="E316" s="132"/>
      <c r="F316" s="143">
        <v>59.751964</v>
      </c>
      <c r="G316" s="144">
        <v>28.439142</v>
      </c>
      <c r="H316" s="70">
        <f t="shared" si="36"/>
        <v>59</v>
      </c>
      <c r="I316" s="77">
        <f t="shared" si="33"/>
        <v>45.1178400000001</v>
      </c>
      <c r="J316" s="70">
        <f t="shared" si="35"/>
        <v>28</v>
      </c>
      <c r="K316" s="77">
        <f t="shared" si="34"/>
        <v>26.34852</v>
      </c>
      <c r="L316" s="79">
        <v>3</v>
      </c>
      <c r="M316" s="24"/>
      <c r="N316" s="24"/>
      <c r="O316" s="24"/>
      <c r="P316" s="24"/>
      <c r="Q316" s="24"/>
      <c r="R316" s="24"/>
      <c r="S316" s="24"/>
      <c r="T316" s="24"/>
      <c r="U316" s="83"/>
      <c r="V316" s="82"/>
      <c r="W316" s="82"/>
      <c r="X316" s="82"/>
      <c r="Y316" s="82"/>
      <c r="Z316" s="82"/>
      <c r="AA316" s="82"/>
      <c r="AB316" s="82"/>
      <c r="AC316" s="82"/>
      <c r="AD316" s="82"/>
      <c r="AE316" s="82" t="s">
        <v>205</v>
      </c>
      <c r="AF316" s="82" t="s">
        <v>205</v>
      </c>
      <c r="AG316" s="82" t="s">
        <v>205</v>
      </c>
      <c r="AH316" s="82" t="s">
        <v>1082</v>
      </c>
      <c r="AI316" s="91"/>
      <c r="AJ316" s="82" t="s">
        <v>205</v>
      </c>
      <c r="AK316" s="82" t="s">
        <v>205</v>
      </c>
      <c r="AL316" s="82" t="s">
        <v>819</v>
      </c>
      <c r="AM316" s="89" t="s">
        <v>770</v>
      </c>
      <c r="AN316" s="152"/>
      <c r="AP316" s="152"/>
      <c r="AQ316" s="152"/>
      <c r="AR316" s="152"/>
      <c r="AS316" s="152"/>
      <c r="AV316" s="152"/>
      <c r="AX316" s="152"/>
      <c r="AY316" s="152"/>
      <c r="BB316" s="152"/>
      <c r="BC316" s="152"/>
      <c r="BG316" s="152"/>
      <c r="BV316" s="44"/>
    </row>
    <row r="317" s="19" customFormat="1" ht="10.2" spans="1:74">
      <c r="A317" s="132"/>
      <c r="B317" s="132" t="s">
        <v>1083</v>
      </c>
      <c r="C317" s="132" t="s">
        <v>1084</v>
      </c>
      <c r="D317" s="135">
        <v>43706</v>
      </c>
      <c r="E317" s="132"/>
      <c r="F317" s="143">
        <v>59.751964</v>
      </c>
      <c r="G317" s="144">
        <v>28.439142</v>
      </c>
      <c r="H317" s="70">
        <f t="shared" si="36"/>
        <v>59</v>
      </c>
      <c r="I317" s="77">
        <f t="shared" si="33"/>
        <v>45.1178400000001</v>
      </c>
      <c r="J317" s="70">
        <f t="shared" si="35"/>
        <v>28</v>
      </c>
      <c r="K317" s="77">
        <f t="shared" si="34"/>
        <v>26.34852</v>
      </c>
      <c r="L317" s="79">
        <v>6</v>
      </c>
      <c r="M317" s="24"/>
      <c r="N317" s="24"/>
      <c r="O317" s="24"/>
      <c r="P317" s="24"/>
      <c r="Q317" s="24"/>
      <c r="R317" s="24"/>
      <c r="S317" s="24"/>
      <c r="T317" s="24"/>
      <c r="U317" s="83"/>
      <c r="V317" s="82"/>
      <c r="W317" s="82"/>
      <c r="X317" s="82"/>
      <c r="Y317" s="82"/>
      <c r="Z317" s="82"/>
      <c r="AA317" s="82"/>
      <c r="AB317" s="82"/>
      <c r="AC317" s="82"/>
      <c r="AD317" s="82"/>
      <c r="AE317" s="82" t="s">
        <v>205</v>
      </c>
      <c r="AF317" s="82" t="s">
        <v>205</v>
      </c>
      <c r="AG317" s="82" t="s">
        <v>205</v>
      </c>
      <c r="AH317" s="82" t="s">
        <v>1085</v>
      </c>
      <c r="AI317" s="91"/>
      <c r="AJ317" s="82" t="s">
        <v>205</v>
      </c>
      <c r="AK317" s="82" t="s">
        <v>205</v>
      </c>
      <c r="AL317" s="82" t="s">
        <v>819</v>
      </c>
      <c r="AM317" s="89" t="s">
        <v>770</v>
      </c>
      <c r="AN317" s="152"/>
      <c r="AP317" s="152"/>
      <c r="AQ317" s="152"/>
      <c r="AR317" s="152"/>
      <c r="AS317" s="152"/>
      <c r="AV317" s="152"/>
      <c r="AX317" s="152"/>
      <c r="AY317" s="152"/>
      <c r="BB317" s="152"/>
      <c r="BC317" s="152"/>
      <c r="BG317" s="152"/>
      <c r="BV317" s="44"/>
    </row>
    <row r="318" s="19" customFormat="1" ht="10.2" spans="1:74">
      <c r="A318" s="132"/>
      <c r="B318" s="132" t="s">
        <v>1083</v>
      </c>
      <c r="C318" s="132"/>
      <c r="D318" s="135">
        <v>43706</v>
      </c>
      <c r="E318" s="132"/>
      <c r="F318" s="143">
        <v>59.9739666666667</v>
      </c>
      <c r="G318" s="144">
        <v>29.1207833333333</v>
      </c>
      <c r="H318" s="70">
        <f t="shared" si="36"/>
        <v>59</v>
      </c>
      <c r="I318" s="77">
        <f t="shared" si="33"/>
        <v>58.4380000000002</v>
      </c>
      <c r="J318" s="70">
        <f t="shared" si="35"/>
        <v>29</v>
      </c>
      <c r="K318" s="77">
        <f t="shared" si="34"/>
        <v>7.24699999999991</v>
      </c>
      <c r="L318" s="79">
        <v>6.3</v>
      </c>
      <c r="M318" s="24">
        <v>1.8</v>
      </c>
      <c r="N318" s="24"/>
      <c r="O318" s="24">
        <v>20.7</v>
      </c>
      <c r="P318" s="24">
        <v>19.4</v>
      </c>
      <c r="Q318" s="24"/>
      <c r="R318" s="24">
        <v>2.91</v>
      </c>
      <c r="S318" s="24">
        <v>2.95</v>
      </c>
      <c r="T318" s="24">
        <v>8.61</v>
      </c>
      <c r="U318" s="83">
        <v>8.64</v>
      </c>
      <c r="V318" s="82"/>
      <c r="W318" s="82"/>
      <c r="X318" s="82"/>
      <c r="Y318" s="82"/>
      <c r="Z318" s="82"/>
      <c r="AA318" s="82" t="s">
        <v>1086</v>
      </c>
      <c r="AB318" s="82"/>
      <c r="AC318" s="82" t="s">
        <v>1087</v>
      </c>
      <c r="AD318" s="82"/>
      <c r="AE318" s="82" t="s">
        <v>122</v>
      </c>
      <c r="AF318" s="82" t="s">
        <v>122</v>
      </c>
      <c r="AG318" s="82" t="s">
        <v>774</v>
      </c>
      <c r="AH318" s="82" t="s">
        <v>205</v>
      </c>
      <c r="AI318" s="91"/>
      <c r="AJ318" s="82" t="s">
        <v>205</v>
      </c>
      <c r="AK318" s="82" t="s">
        <v>205</v>
      </c>
      <c r="AL318" s="82" t="s">
        <v>205</v>
      </c>
      <c r="AM318" s="89" t="s">
        <v>852</v>
      </c>
      <c r="AN318" s="152">
        <v>0</v>
      </c>
      <c r="AO318" s="19">
        <v>1</v>
      </c>
      <c r="AP318" s="152">
        <v>0</v>
      </c>
      <c r="AQ318" s="152">
        <v>0</v>
      </c>
      <c r="AR318" s="152">
        <v>0</v>
      </c>
      <c r="AS318" s="152">
        <v>0</v>
      </c>
      <c r="AT318" s="19">
        <v>0</v>
      </c>
      <c r="AU318" s="19">
        <v>0</v>
      </c>
      <c r="AV318" s="152">
        <v>0</v>
      </c>
      <c r="AW318" s="19">
        <v>0</v>
      </c>
      <c r="AX318" s="152">
        <v>0</v>
      </c>
      <c r="AY318" s="152">
        <v>0</v>
      </c>
      <c r="AZ318" s="19">
        <v>0</v>
      </c>
      <c r="BA318" s="19">
        <v>0</v>
      </c>
      <c r="BB318" s="152">
        <v>0</v>
      </c>
      <c r="BC318" s="152">
        <v>1</v>
      </c>
      <c r="BD318" s="19">
        <v>0</v>
      </c>
      <c r="BE318" s="19">
        <v>0</v>
      </c>
      <c r="BF318" s="19">
        <v>0</v>
      </c>
      <c r="BG318" s="152">
        <v>0</v>
      </c>
      <c r="BH318" s="19">
        <v>0</v>
      </c>
      <c r="BI318" s="19">
        <v>0</v>
      </c>
      <c r="BJ318" s="19">
        <v>2</v>
      </c>
      <c r="BK318" s="19">
        <v>1</v>
      </c>
      <c r="BL318" s="19">
        <v>2</v>
      </c>
      <c r="BM318" s="19">
        <v>1</v>
      </c>
      <c r="BN318" s="19">
        <v>1</v>
      </c>
      <c r="BO318" s="19">
        <v>0</v>
      </c>
      <c r="BP318" s="19">
        <v>2</v>
      </c>
      <c r="BQ318" s="19">
        <v>2</v>
      </c>
      <c r="BR318" s="19">
        <v>0</v>
      </c>
      <c r="BS318" s="19">
        <v>0</v>
      </c>
      <c r="BT318" s="19">
        <v>0</v>
      </c>
      <c r="BU318" s="19">
        <v>0</v>
      </c>
      <c r="BV318" s="44">
        <f t="shared" si="38"/>
        <v>11</v>
      </c>
    </row>
    <row r="319" s="18" customFormat="1" ht="10.2" spans="1:74">
      <c r="A319" s="24">
        <v>87</v>
      </c>
      <c r="B319" s="145" t="s">
        <v>1088</v>
      </c>
      <c r="C319" s="24" t="s">
        <v>1089</v>
      </c>
      <c r="D319" s="67">
        <v>43662</v>
      </c>
      <c r="E319" s="172" t="s">
        <v>516</v>
      </c>
      <c r="F319" s="68">
        <v>59.9566166666667</v>
      </c>
      <c r="G319" s="69">
        <v>29.02675</v>
      </c>
      <c r="H319" s="70">
        <f t="shared" si="36"/>
        <v>59</v>
      </c>
      <c r="I319" s="77">
        <f t="shared" si="33"/>
        <v>57.3970000000001</v>
      </c>
      <c r="J319" s="70">
        <f t="shared" si="35"/>
        <v>29</v>
      </c>
      <c r="K319" s="77">
        <f t="shared" si="34"/>
        <v>1.60499999999999</v>
      </c>
      <c r="L319" s="79">
        <v>5.1</v>
      </c>
      <c r="M319" s="24">
        <v>2.5</v>
      </c>
      <c r="N319" s="24"/>
      <c r="O319" s="24">
        <v>14</v>
      </c>
      <c r="P319" s="24"/>
      <c r="Q319" s="24"/>
      <c r="R319" s="24"/>
      <c r="S319" s="24"/>
      <c r="T319" s="24"/>
      <c r="U319" s="83"/>
      <c r="V319" s="82"/>
      <c r="W319" s="82"/>
      <c r="X319" s="82"/>
      <c r="Y319" s="82"/>
      <c r="Z319" s="82"/>
      <c r="AA319" s="82"/>
      <c r="AB319" s="82"/>
      <c r="AC319" s="82" t="s">
        <v>1090</v>
      </c>
      <c r="AD319" s="82" t="s">
        <v>1091</v>
      </c>
      <c r="AE319" s="82" t="s">
        <v>205</v>
      </c>
      <c r="AF319" s="82" t="s">
        <v>205</v>
      </c>
      <c r="AG319" s="82" t="s">
        <v>205</v>
      </c>
      <c r="AH319" s="82" t="s">
        <v>1092</v>
      </c>
      <c r="AI319" s="91"/>
      <c r="AJ319" s="82"/>
      <c r="AK319" s="82" t="s">
        <v>205</v>
      </c>
      <c r="AL319" s="82" t="s">
        <v>1093</v>
      </c>
      <c r="AM319" s="89" t="s">
        <v>852</v>
      </c>
      <c r="AN319" s="44">
        <v>4</v>
      </c>
      <c r="AO319" s="18">
        <v>0</v>
      </c>
      <c r="AP319" s="44">
        <v>4</v>
      </c>
      <c r="AQ319" s="44">
        <v>7</v>
      </c>
      <c r="AR319" s="44">
        <v>0</v>
      </c>
      <c r="AS319" s="44">
        <v>0</v>
      </c>
      <c r="AT319" s="18">
        <v>0</v>
      </c>
      <c r="AU319" s="18">
        <v>0</v>
      </c>
      <c r="AV319" s="44">
        <v>0</v>
      </c>
      <c r="AW319" s="18">
        <v>0</v>
      </c>
      <c r="AX319" s="44">
        <v>0</v>
      </c>
      <c r="AY319" s="44">
        <v>0</v>
      </c>
      <c r="AZ319" s="18">
        <v>0</v>
      </c>
      <c r="BA319" s="18">
        <v>0</v>
      </c>
      <c r="BB319" s="44">
        <v>0</v>
      </c>
      <c r="BC319" s="44">
        <v>1</v>
      </c>
      <c r="BD319" s="18">
        <v>0</v>
      </c>
      <c r="BE319" s="18">
        <v>0</v>
      </c>
      <c r="BF319" s="18">
        <v>0</v>
      </c>
      <c r="BG319" s="44">
        <v>0</v>
      </c>
      <c r="BH319" s="18">
        <v>0</v>
      </c>
      <c r="BI319" s="18">
        <v>0</v>
      </c>
      <c r="BJ319" s="18">
        <v>5</v>
      </c>
      <c r="BK319" s="18">
        <v>5</v>
      </c>
      <c r="BL319" s="18">
        <v>2</v>
      </c>
      <c r="BM319" s="18">
        <v>2</v>
      </c>
      <c r="BN319" s="18">
        <v>1</v>
      </c>
      <c r="BO319" s="18">
        <v>1</v>
      </c>
      <c r="BP319" s="18">
        <v>1</v>
      </c>
      <c r="BQ319" s="18">
        <v>1</v>
      </c>
      <c r="BR319" s="18">
        <v>0</v>
      </c>
      <c r="BS319" s="18">
        <v>0</v>
      </c>
      <c r="BT319" s="18">
        <v>0</v>
      </c>
      <c r="BU319" s="18">
        <v>0</v>
      </c>
      <c r="BV319" s="44">
        <f t="shared" si="38"/>
        <v>18</v>
      </c>
    </row>
    <row r="320" s="21" customFormat="1" ht="10.2" spans="1:74">
      <c r="A320" s="146">
        <v>88</v>
      </c>
      <c r="B320" s="146" t="s">
        <v>1094</v>
      </c>
      <c r="C320" s="146" t="s">
        <v>1095</v>
      </c>
      <c r="D320" s="147">
        <v>43697</v>
      </c>
      <c r="E320" s="146"/>
      <c r="F320" s="124">
        <v>28.024754</v>
      </c>
      <c r="G320" s="125">
        <v>59.655705</v>
      </c>
      <c r="H320" s="70">
        <f t="shared" si="36"/>
        <v>28</v>
      </c>
      <c r="I320" s="77">
        <f t="shared" si="33"/>
        <v>1.48524000000009</v>
      </c>
      <c r="J320" s="70">
        <f t="shared" si="35"/>
        <v>59</v>
      </c>
      <c r="K320" s="77">
        <f t="shared" si="34"/>
        <v>39.3422999999999</v>
      </c>
      <c r="L320" s="79">
        <v>0.5</v>
      </c>
      <c r="M320" s="24">
        <v>0.5</v>
      </c>
      <c r="N320" s="24"/>
      <c r="O320" s="24">
        <v>17.9</v>
      </c>
      <c r="P320" s="24"/>
      <c r="Q320" s="24"/>
      <c r="R320" s="24">
        <v>2.46</v>
      </c>
      <c r="S320" s="24"/>
      <c r="T320" s="24">
        <v>8.64</v>
      </c>
      <c r="U320" s="83"/>
      <c r="V320" s="82"/>
      <c r="W320" s="82"/>
      <c r="X320" s="82"/>
      <c r="Y320" s="82"/>
      <c r="Z320" s="82"/>
      <c r="AA320" s="82"/>
      <c r="AB320" s="82" t="s">
        <v>220</v>
      </c>
      <c r="AC320" s="82" t="s">
        <v>1096</v>
      </c>
      <c r="AD320" s="85" t="s">
        <v>1097</v>
      </c>
      <c r="AE320" s="82" t="s">
        <v>122</v>
      </c>
      <c r="AF320" s="82" t="s">
        <v>1098</v>
      </c>
      <c r="AG320" s="82" t="s">
        <v>1099</v>
      </c>
      <c r="AH320" s="82" t="s">
        <v>1100</v>
      </c>
      <c r="AI320" s="91"/>
      <c r="AJ320" s="82" t="s">
        <v>122</v>
      </c>
      <c r="AK320" s="82" t="s">
        <v>122</v>
      </c>
      <c r="AL320" s="82" t="s">
        <v>819</v>
      </c>
      <c r="AM320" s="89" t="s">
        <v>852</v>
      </c>
      <c r="AN320" s="153">
        <v>2</v>
      </c>
      <c r="AO320" s="21">
        <v>0</v>
      </c>
      <c r="AP320" s="153">
        <v>0</v>
      </c>
      <c r="AQ320" s="153">
        <v>0</v>
      </c>
      <c r="AR320" s="153">
        <v>0</v>
      </c>
      <c r="AS320" s="153">
        <v>1</v>
      </c>
      <c r="AT320" s="21">
        <v>0</v>
      </c>
      <c r="AU320" s="21">
        <v>0</v>
      </c>
      <c r="AV320" s="153">
        <v>0</v>
      </c>
      <c r="AW320" s="21">
        <v>0</v>
      </c>
      <c r="AX320" s="153">
        <v>0</v>
      </c>
      <c r="AY320" s="153">
        <v>0</v>
      </c>
      <c r="AZ320" s="21">
        <v>0</v>
      </c>
      <c r="BA320" s="21">
        <v>0</v>
      </c>
      <c r="BB320" s="153">
        <v>0</v>
      </c>
      <c r="BC320" s="153">
        <v>0</v>
      </c>
      <c r="BD320" s="21">
        <v>0</v>
      </c>
      <c r="BE320" s="21">
        <v>0</v>
      </c>
      <c r="BF320" s="21">
        <v>0</v>
      </c>
      <c r="BG320" s="153">
        <v>0</v>
      </c>
      <c r="BH320" s="21">
        <v>0</v>
      </c>
      <c r="BI320" s="21">
        <v>0</v>
      </c>
      <c r="BJ320" s="21">
        <v>2</v>
      </c>
      <c r="BK320" s="21">
        <v>1</v>
      </c>
      <c r="BL320" s="21">
        <v>2</v>
      </c>
      <c r="BM320" s="21">
        <v>2</v>
      </c>
      <c r="BN320" s="21">
        <v>1</v>
      </c>
      <c r="BO320" s="21">
        <v>1</v>
      </c>
      <c r="BP320" s="21">
        <v>0</v>
      </c>
      <c r="BQ320" s="21">
        <v>1</v>
      </c>
      <c r="BR320" s="21">
        <v>0</v>
      </c>
      <c r="BS320" s="21">
        <v>0</v>
      </c>
      <c r="BT320" s="21">
        <v>1</v>
      </c>
      <c r="BU320" s="21">
        <v>0</v>
      </c>
      <c r="BV320" s="44">
        <f t="shared" si="38"/>
        <v>9</v>
      </c>
    </row>
    <row r="321" s="18" customFormat="1" ht="10.2" spans="1:74">
      <c r="A321" s="24">
        <f>A320+1</f>
        <v>89</v>
      </c>
      <c r="B321" s="24" t="s">
        <v>1101</v>
      </c>
      <c r="C321" s="24"/>
      <c r="D321" s="67">
        <v>43707</v>
      </c>
      <c r="E321" s="24"/>
      <c r="F321" s="68">
        <v>59.632</v>
      </c>
      <c r="G321" s="69">
        <v>27.9905666666667</v>
      </c>
      <c r="H321" s="70">
        <f t="shared" si="36"/>
        <v>59</v>
      </c>
      <c r="I321" s="77">
        <f t="shared" si="33"/>
        <v>37.9199999999999</v>
      </c>
      <c r="J321" s="70">
        <f t="shared" si="35"/>
        <v>27</v>
      </c>
      <c r="K321" s="77">
        <f t="shared" si="34"/>
        <v>59.434</v>
      </c>
      <c r="L321" s="79">
        <v>7.1</v>
      </c>
      <c r="M321" s="24">
        <v>2.3</v>
      </c>
      <c r="N321" s="24"/>
      <c r="O321" s="24">
        <v>19.4</v>
      </c>
      <c r="P321" s="24">
        <v>19.2</v>
      </c>
      <c r="Q321" s="24"/>
      <c r="R321" s="24">
        <v>2.75</v>
      </c>
      <c r="S321" s="24">
        <v>2.68</v>
      </c>
      <c r="T321" s="24">
        <v>8.55</v>
      </c>
      <c r="U321" s="83">
        <v>8.55</v>
      </c>
      <c r="V321" s="82"/>
      <c r="W321" s="82"/>
      <c r="X321" s="82"/>
      <c r="Y321" s="82"/>
      <c r="Z321" s="82"/>
      <c r="AA321" s="82" t="s">
        <v>1102</v>
      </c>
      <c r="AB321" s="82" t="s">
        <v>220</v>
      </c>
      <c r="AC321" s="82" t="s">
        <v>1103</v>
      </c>
      <c r="AD321" s="82" t="s">
        <v>1104</v>
      </c>
      <c r="AE321" s="82" t="s">
        <v>122</v>
      </c>
      <c r="AF321" s="82" t="s">
        <v>1105</v>
      </c>
      <c r="AG321" s="82" t="s">
        <v>1106</v>
      </c>
      <c r="AH321" s="82" t="s">
        <v>1107</v>
      </c>
      <c r="AI321" s="91"/>
      <c r="AJ321" s="82" t="s">
        <v>1108</v>
      </c>
      <c r="AK321" s="82" t="s">
        <v>1109</v>
      </c>
      <c r="AL321" s="82" t="s">
        <v>819</v>
      </c>
      <c r="AM321" s="89" t="s">
        <v>852</v>
      </c>
      <c r="AN321" s="44">
        <v>4</v>
      </c>
      <c r="AO321" s="18">
        <v>4</v>
      </c>
      <c r="AP321" s="44">
        <v>4</v>
      </c>
      <c r="AQ321" s="44">
        <v>1</v>
      </c>
      <c r="AR321" s="44">
        <v>0</v>
      </c>
      <c r="AS321" s="44">
        <v>0</v>
      </c>
      <c r="AT321" s="18">
        <v>0</v>
      </c>
      <c r="AU321" s="18">
        <v>0</v>
      </c>
      <c r="AV321" s="44">
        <v>0</v>
      </c>
      <c r="AW321" s="18">
        <v>0</v>
      </c>
      <c r="AX321" s="44">
        <v>0</v>
      </c>
      <c r="AY321" s="44">
        <v>0</v>
      </c>
      <c r="AZ321" s="18">
        <v>0</v>
      </c>
      <c r="BA321" s="18">
        <v>0</v>
      </c>
      <c r="BB321" s="44">
        <v>0</v>
      </c>
      <c r="BC321" s="44">
        <v>0</v>
      </c>
      <c r="BD321" s="18">
        <v>0</v>
      </c>
      <c r="BE321" s="18">
        <v>0</v>
      </c>
      <c r="BF321" s="18">
        <v>0</v>
      </c>
      <c r="BG321" s="44">
        <v>0</v>
      </c>
      <c r="BH321" s="18">
        <v>0</v>
      </c>
      <c r="BI321" s="18">
        <v>0</v>
      </c>
      <c r="BJ321" s="18">
        <v>4</v>
      </c>
      <c r="BK321" s="18">
        <v>3</v>
      </c>
      <c r="BL321" s="18">
        <v>2</v>
      </c>
      <c r="BM321" s="18">
        <v>2</v>
      </c>
      <c r="BN321" s="18">
        <v>1</v>
      </c>
      <c r="BO321" s="18">
        <v>1</v>
      </c>
      <c r="BP321" s="18">
        <v>1</v>
      </c>
      <c r="BQ321" s="18">
        <v>2</v>
      </c>
      <c r="BR321" s="18">
        <v>2</v>
      </c>
      <c r="BS321" s="18">
        <v>2</v>
      </c>
      <c r="BT321" s="18">
        <v>0</v>
      </c>
      <c r="BU321" s="18">
        <v>0</v>
      </c>
      <c r="BV321" s="44">
        <f t="shared" si="38"/>
        <v>12</v>
      </c>
    </row>
    <row r="322" s="18" customFormat="1" ht="10.2" spans="1:74">
      <c r="A322" s="24">
        <f t="shared" ref="A322:A325" si="40">A321+1</f>
        <v>90</v>
      </c>
      <c r="B322" s="24" t="s">
        <v>1110</v>
      </c>
      <c r="C322" s="24"/>
      <c r="D322" s="67">
        <v>43708</v>
      </c>
      <c r="E322" s="24"/>
      <c r="F322" s="68">
        <v>59.63395</v>
      </c>
      <c r="G322" s="69">
        <v>28.0019333333333</v>
      </c>
      <c r="H322" s="70">
        <f t="shared" si="36"/>
        <v>59</v>
      </c>
      <c r="I322" s="77">
        <f t="shared" si="33"/>
        <v>38.0369999999999</v>
      </c>
      <c r="J322" s="70">
        <f t="shared" si="35"/>
        <v>28</v>
      </c>
      <c r="K322" s="77">
        <f t="shared" si="34"/>
        <v>0.116000000000014</v>
      </c>
      <c r="L322" s="79">
        <v>4.5</v>
      </c>
      <c r="M322" s="24">
        <v>1.9</v>
      </c>
      <c r="N322" s="24"/>
      <c r="O322" s="24">
        <v>19.1</v>
      </c>
      <c r="P322" s="24"/>
      <c r="Q322" s="24"/>
      <c r="R322" s="24">
        <v>2.82</v>
      </c>
      <c r="S322" s="24"/>
      <c r="T322" s="24">
        <v>8.68</v>
      </c>
      <c r="U322" s="83"/>
      <c r="V322" s="82"/>
      <c r="W322" s="82"/>
      <c r="X322" s="82"/>
      <c r="Y322" s="82"/>
      <c r="Z322" s="82"/>
      <c r="AA322" s="82"/>
      <c r="AB322" s="82" t="s">
        <v>1111</v>
      </c>
      <c r="AC322" s="82" t="s">
        <v>1112</v>
      </c>
      <c r="AD322" s="82" t="s">
        <v>1113</v>
      </c>
      <c r="AE322" s="82" t="s">
        <v>205</v>
      </c>
      <c r="AF322" s="82" t="s">
        <v>205</v>
      </c>
      <c r="AG322" s="82" t="s">
        <v>1106</v>
      </c>
      <c r="AH322" s="82" t="s">
        <v>1114</v>
      </c>
      <c r="AI322" s="91"/>
      <c r="AJ322" s="82" t="s">
        <v>1108</v>
      </c>
      <c r="AK322" s="82" t="s">
        <v>122</v>
      </c>
      <c r="AL322" s="82" t="s">
        <v>819</v>
      </c>
      <c r="AM322" s="89" t="s">
        <v>852</v>
      </c>
      <c r="AN322" s="44">
        <v>2</v>
      </c>
      <c r="AO322" s="18">
        <v>0</v>
      </c>
      <c r="AP322" s="44">
        <v>2</v>
      </c>
      <c r="AQ322" s="44">
        <v>1</v>
      </c>
      <c r="AR322" s="44">
        <v>0</v>
      </c>
      <c r="AS322" s="44">
        <v>0</v>
      </c>
      <c r="AT322" s="18">
        <v>0</v>
      </c>
      <c r="AU322" s="18">
        <v>0</v>
      </c>
      <c r="AV322" s="44">
        <v>0</v>
      </c>
      <c r="AW322" s="18">
        <v>0</v>
      </c>
      <c r="AX322" s="44">
        <v>0</v>
      </c>
      <c r="AY322" s="44">
        <v>0</v>
      </c>
      <c r="AZ322" s="18">
        <v>0</v>
      </c>
      <c r="BA322" s="18">
        <v>0</v>
      </c>
      <c r="BB322" s="44">
        <v>0</v>
      </c>
      <c r="BC322" s="44">
        <v>0</v>
      </c>
      <c r="BD322" s="18">
        <v>0</v>
      </c>
      <c r="BE322" s="18">
        <v>0</v>
      </c>
      <c r="BF322" s="18">
        <v>0</v>
      </c>
      <c r="BG322" s="44">
        <v>0</v>
      </c>
      <c r="BH322" s="18">
        <v>0</v>
      </c>
      <c r="BI322" s="18">
        <v>0</v>
      </c>
      <c r="BJ322" s="18">
        <v>3</v>
      </c>
      <c r="BK322" s="18">
        <v>2</v>
      </c>
      <c r="BL322" s="18">
        <v>2</v>
      </c>
      <c r="BM322" s="18">
        <v>2</v>
      </c>
      <c r="BN322" s="18">
        <v>1</v>
      </c>
      <c r="BO322" s="18">
        <v>1</v>
      </c>
      <c r="BP322" s="18">
        <v>1</v>
      </c>
      <c r="BQ322" s="18">
        <v>3</v>
      </c>
      <c r="BR322" s="18">
        <v>1</v>
      </c>
      <c r="BS322" s="18">
        <v>2</v>
      </c>
      <c r="BT322" s="18">
        <v>1</v>
      </c>
      <c r="BU322" s="18">
        <v>0</v>
      </c>
      <c r="BV322" s="44">
        <f t="shared" si="38"/>
        <v>11</v>
      </c>
    </row>
    <row r="323" s="18" customFormat="1" ht="10.2" spans="1:74">
      <c r="A323" s="24">
        <f t="shared" si="40"/>
        <v>91</v>
      </c>
      <c r="B323" s="24" t="s">
        <v>1115</v>
      </c>
      <c r="C323" s="24" t="s">
        <v>1116</v>
      </c>
      <c r="D323" s="67">
        <v>43708</v>
      </c>
      <c r="E323" s="24"/>
      <c r="F323" s="68">
        <v>59.5995333333333</v>
      </c>
      <c r="G323" s="69">
        <v>28.0490333333333</v>
      </c>
      <c r="H323" s="70">
        <f t="shared" si="36"/>
        <v>59</v>
      </c>
      <c r="I323" s="77">
        <f t="shared" si="33"/>
        <v>35.972</v>
      </c>
      <c r="J323" s="70">
        <f t="shared" si="35"/>
        <v>28</v>
      </c>
      <c r="K323" s="77">
        <f t="shared" si="34"/>
        <v>2.94200000000004</v>
      </c>
      <c r="L323" s="79">
        <v>8</v>
      </c>
      <c r="M323" s="24">
        <v>2.2</v>
      </c>
      <c r="N323" s="24"/>
      <c r="O323" s="24">
        <v>19.3</v>
      </c>
      <c r="P323" s="24"/>
      <c r="Q323" s="24"/>
      <c r="R323" s="24">
        <v>2.47</v>
      </c>
      <c r="S323" s="24"/>
      <c r="T323" s="24">
        <v>8.45</v>
      </c>
      <c r="U323" s="83"/>
      <c r="V323" s="82"/>
      <c r="W323" s="82"/>
      <c r="X323" s="82"/>
      <c r="Y323" s="82"/>
      <c r="Z323" s="82"/>
      <c r="AA323" s="82"/>
      <c r="AB323" s="82" t="s">
        <v>1111</v>
      </c>
      <c r="AC323" s="82" t="s">
        <v>1117</v>
      </c>
      <c r="AD323" s="82" t="s">
        <v>1118</v>
      </c>
      <c r="AE323" s="82" t="s">
        <v>205</v>
      </c>
      <c r="AF323" s="82" t="s">
        <v>205</v>
      </c>
      <c r="AG323" s="82" t="s">
        <v>1119</v>
      </c>
      <c r="AH323" s="82" t="s">
        <v>205</v>
      </c>
      <c r="AI323" s="91"/>
      <c r="AJ323" s="82" t="s">
        <v>205</v>
      </c>
      <c r="AK323" s="82" t="s">
        <v>122</v>
      </c>
      <c r="AL323" s="82" t="s">
        <v>205</v>
      </c>
      <c r="AM323" s="89" t="s">
        <v>852</v>
      </c>
      <c r="AN323" s="44">
        <v>1</v>
      </c>
      <c r="AO323" s="18">
        <v>0</v>
      </c>
      <c r="AP323" s="44">
        <v>1</v>
      </c>
      <c r="AQ323" s="44">
        <v>0</v>
      </c>
      <c r="AR323" s="44">
        <v>0</v>
      </c>
      <c r="AS323" s="44">
        <v>0</v>
      </c>
      <c r="AT323" s="18">
        <v>0</v>
      </c>
      <c r="AU323" s="18">
        <v>0</v>
      </c>
      <c r="AV323" s="44">
        <v>0</v>
      </c>
      <c r="AW323" s="18">
        <v>0</v>
      </c>
      <c r="AX323" s="44">
        <v>1</v>
      </c>
      <c r="AY323" s="44">
        <v>0</v>
      </c>
      <c r="AZ323" s="18">
        <v>0</v>
      </c>
      <c r="BA323" s="18">
        <v>0</v>
      </c>
      <c r="BB323" s="44">
        <v>0</v>
      </c>
      <c r="BC323" s="44">
        <v>0</v>
      </c>
      <c r="BD323" s="18">
        <v>0</v>
      </c>
      <c r="BE323" s="18">
        <v>0</v>
      </c>
      <c r="BF323" s="18">
        <v>0</v>
      </c>
      <c r="BG323" s="44">
        <v>0</v>
      </c>
      <c r="BH323" s="18">
        <v>0</v>
      </c>
      <c r="BI323" s="18">
        <v>0</v>
      </c>
      <c r="BJ323" s="18">
        <v>3</v>
      </c>
      <c r="BK323" s="18">
        <v>1</v>
      </c>
      <c r="BL323" s="18">
        <v>2</v>
      </c>
      <c r="BM323" s="18">
        <v>1</v>
      </c>
      <c r="BN323" s="18">
        <v>1</v>
      </c>
      <c r="BO323" s="18">
        <v>0</v>
      </c>
      <c r="BP323" s="18">
        <v>1</v>
      </c>
      <c r="BQ323" s="18">
        <v>2</v>
      </c>
      <c r="BR323" s="18">
        <v>1</v>
      </c>
      <c r="BS323" s="18">
        <v>2</v>
      </c>
      <c r="BT323" s="18">
        <v>1</v>
      </c>
      <c r="BU323" s="18">
        <v>0</v>
      </c>
      <c r="BV323" s="44">
        <f t="shared" si="38"/>
        <v>7</v>
      </c>
    </row>
    <row r="324" s="18" customFormat="1" ht="10.2" spans="1:74">
      <c r="A324" s="24">
        <f t="shared" si="40"/>
        <v>92</v>
      </c>
      <c r="B324" s="24" t="s">
        <v>1120</v>
      </c>
      <c r="C324" s="24"/>
      <c r="D324" s="67">
        <v>43708</v>
      </c>
      <c r="E324" s="24"/>
      <c r="F324" s="68">
        <v>59.6551333333333</v>
      </c>
      <c r="G324" s="69">
        <v>28.0797833333333</v>
      </c>
      <c r="H324" s="70">
        <f t="shared" si="36"/>
        <v>59</v>
      </c>
      <c r="I324" s="77">
        <f t="shared" si="33"/>
        <v>39.3079999999999</v>
      </c>
      <c r="J324" s="70">
        <f t="shared" si="35"/>
        <v>28</v>
      </c>
      <c r="K324" s="77">
        <f t="shared" si="34"/>
        <v>4.78700000000011</v>
      </c>
      <c r="L324" s="79">
        <v>3</v>
      </c>
      <c r="M324" s="24">
        <v>1.6</v>
      </c>
      <c r="N324" s="24"/>
      <c r="O324" s="24">
        <v>21.1</v>
      </c>
      <c r="P324" s="24"/>
      <c r="Q324" s="24"/>
      <c r="R324" s="24">
        <v>2.71</v>
      </c>
      <c r="S324" s="24"/>
      <c r="T324" s="24">
        <v>8.54</v>
      </c>
      <c r="U324" s="83"/>
      <c r="V324" s="82"/>
      <c r="W324" s="82"/>
      <c r="X324" s="82"/>
      <c r="Y324" s="82"/>
      <c r="Z324" s="82"/>
      <c r="AA324" s="82"/>
      <c r="AB324" s="82" t="s">
        <v>1111</v>
      </c>
      <c r="AC324" s="82" t="s">
        <v>500</v>
      </c>
      <c r="AD324" s="82"/>
      <c r="AE324" s="82" t="s">
        <v>205</v>
      </c>
      <c r="AF324" s="82" t="s">
        <v>205</v>
      </c>
      <c r="AG324" s="82" t="s">
        <v>1119</v>
      </c>
      <c r="AH324" s="82" t="s">
        <v>205</v>
      </c>
      <c r="AI324" s="91"/>
      <c r="AJ324" s="82" t="s">
        <v>205</v>
      </c>
      <c r="AK324" s="82" t="s">
        <v>122</v>
      </c>
      <c r="AL324" s="82" t="s">
        <v>205</v>
      </c>
      <c r="AM324" s="89" t="s">
        <v>852</v>
      </c>
      <c r="AN324" s="44">
        <v>0</v>
      </c>
      <c r="AO324" s="18">
        <v>0</v>
      </c>
      <c r="AP324" s="44">
        <v>0</v>
      </c>
      <c r="AQ324" s="44">
        <v>0</v>
      </c>
      <c r="AR324" s="44">
        <v>0</v>
      </c>
      <c r="AS324" s="44">
        <v>0</v>
      </c>
      <c r="AT324" s="18">
        <v>0</v>
      </c>
      <c r="AU324" s="18">
        <v>0</v>
      </c>
      <c r="AV324" s="44">
        <v>0</v>
      </c>
      <c r="AW324" s="18">
        <v>0</v>
      </c>
      <c r="AX324" s="44">
        <v>1</v>
      </c>
      <c r="AY324" s="44">
        <v>0</v>
      </c>
      <c r="AZ324" s="18">
        <v>0</v>
      </c>
      <c r="BA324" s="18">
        <v>0</v>
      </c>
      <c r="BB324" s="44">
        <v>0</v>
      </c>
      <c r="BC324" s="44">
        <v>1</v>
      </c>
      <c r="BD324" s="18">
        <v>0</v>
      </c>
      <c r="BE324" s="18">
        <v>0</v>
      </c>
      <c r="BF324" s="18">
        <v>0</v>
      </c>
      <c r="BG324" s="44">
        <v>0</v>
      </c>
      <c r="BH324" s="18">
        <v>0</v>
      </c>
      <c r="BI324" s="18">
        <v>0</v>
      </c>
      <c r="BJ324" s="18">
        <v>2</v>
      </c>
      <c r="BK324" s="18">
        <v>1</v>
      </c>
      <c r="BL324" s="18">
        <v>2</v>
      </c>
      <c r="BM324" s="18">
        <v>1</v>
      </c>
      <c r="BN324" s="18">
        <v>1</v>
      </c>
      <c r="BO324" s="18">
        <v>1</v>
      </c>
      <c r="BP324" s="18">
        <v>1</v>
      </c>
      <c r="BQ324" s="18">
        <v>2</v>
      </c>
      <c r="BR324" s="18">
        <v>1</v>
      </c>
      <c r="BS324" s="18">
        <v>2</v>
      </c>
      <c r="BT324" s="18">
        <v>1</v>
      </c>
      <c r="BU324" s="18">
        <v>0</v>
      </c>
      <c r="BV324" s="44">
        <f t="shared" si="38"/>
        <v>7</v>
      </c>
    </row>
    <row r="325" s="18" customFormat="1" ht="10.2" spans="1:74">
      <c r="A325" s="24">
        <f t="shared" si="40"/>
        <v>93</v>
      </c>
      <c r="B325" s="24" t="s">
        <v>1121</v>
      </c>
      <c r="C325" s="24"/>
      <c r="D325" s="67">
        <v>43709</v>
      </c>
      <c r="E325" s="24" t="s">
        <v>1122</v>
      </c>
      <c r="F325" s="68">
        <v>59.60295</v>
      </c>
      <c r="G325" s="69">
        <v>28.0706333333333</v>
      </c>
      <c r="H325" s="70">
        <f t="shared" si="36"/>
        <v>59</v>
      </c>
      <c r="I325" s="77">
        <f t="shared" si="33"/>
        <v>36.177</v>
      </c>
      <c r="J325" s="70">
        <f t="shared" si="35"/>
        <v>28</v>
      </c>
      <c r="K325" s="77">
        <f t="shared" si="34"/>
        <v>4.238</v>
      </c>
      <c r="L325" s="79">
        <v>5.5</v>
      </c>
      <c r="M325" s="24">
        <v>1.65</v>
      </c>
      <c r="N325" s="24"/>
      <c r="O325" s="24">
        <v>18</v>
      </c>
      <c r="P325" s="24"/>
      <c r="Q325" s="24"/>
      <c r="R325" s="24"/>
      <c r="S325" s="24"/>
      <c r="T325" s="24"/>
      <c r="U325" s="83"/>
      <c r="V325" s="82"/>
      <c r="W325" s="82"/>
      <c r="X325" s="82"/>
      <c r="Y325" s="82"/>
      <c r="Z325" s="82"/>
      <c r="AA325" s="82" t="s">
        <v>1123</v>
      </c>
      <c r="AC325" s="82" t="s">
        <v>1124</v>
      </c>
      <c r="AD325" s="82"/>
      <c r="AE325" s="82" t="s">
        <v>810</v>
      </c>
      <c r="AF325" s="82" t="s">
        <v>810</v>
      </c>
      <c r="AG325" s="82" t="s">
        <v>1125</v>
      </c>
      <c r="AH325" s="82" t="s">
        <v>205</v>
      </c>
      <c r="AI325" s="91"/>
      <c r="AJ325" s="82" t="s">
        <v>205</v>
      </c>
      <c r="AK325" s="82" t="s">
        <v>122</v>
      </c>
      <c r="AL325" s="82" t="s">
        <v>205</v>
      </c>
      <c r="AM325" s="89" t="s">
        <v>852</v>
      </c>
      <c r="AN325" s="44">
        <v>0</v>
      </c>
      <c r="AO325" s="18">
        <v>0</v>
      </c>
      <c r="AP325" s="44">
        <v>0</v>
      </c>
      <c r="AQ325" s="44">
        <v>0</v>
      </c>
      <c r="AR325" s="44">
        <v>0</v>
      </c>
      <c r="AS325" s="44">
        <v>0</v>
      </c>
      <c r="AT325" s="18">
        <v>0</v>
      </c>
      <c r="AU325" s="18">
        <v>0</v>
      </c>
      <c r="AV325" s="44">
        <v>0</v>
      </c>
      <c r="AW325" s="18">
        <v>0</v>
      </c>
      <c r="AX325" s="44">
        <v>0</v>
      </c>
      <c r="AY325" s="44">
        <v>0</v>
      </c>
      <c r="AZ325" s="18">
        <v>0</v>
      </c>
      <c r="BA325" s="18">
        <v>0</v>
      </c>
      <c r="BB325" s="44">
        <v>0</v>
      </c>
      <c r="BC325" s="44">
        <v>0</v>
      </c>
      <c r="BD325" s="18">
        <v>0</v>
      </c>
      <c r="BE325" s="18">
        <v>0</v>
      </c>
      <c r="BF325" s="18">
        <v>0</v>
      </c>
      <c r="BG325" s="44">
        <v>0</v>
      </c>
      <c r="BH325" s="18">
        <v>0</v>
      </c>
      <c r="BI325" s="18">
        <v>0</v>
      </c>
      <c r="BJ325" s="18">
        <v>0</v>
      </c>
      <c r="BK325" s="18">
        <v>0</v>
      </c>
      <c r="BL325" s="18">
        <v>2</v>
      </c>
      <c r="BM325" s="18">
        <v>1</v>
      </c>
      <c r="BN325" s="18">
        <v>1</v>
      </c>
      <c r="BO325" s="18">
        <v>1</v>
      </c>
      <c r="BP325" s="18">
        <v>1</v>
      </c>
      <c r="BQ325" s="18">
        <v>2</v>
      </c>
      <c r="BR325" s="18">
        <v>1</v>
      </c>
      <c r="BS325" s="18">
        <v>2</v>
      </c>
      <c r="BT325" s="18">
        <v>0</v>
      </c>
      <c r="BU325" s="18">
        <v>0</v>
      </c>
      <c r="BV325" s="44">
        <f t="shared" si="38"/>
        <v>5</v>
      </c>
    </row>
    <row r="326" s="18" customFormat="1" ht="10.2" spans="1:74">
      <c r="A326" s="24"/>
      <c r="B326" s="24"/>
      <c r="C326" s="24"/>
      <c r="D326" s="67">
        <v>43709</v>
      </c>
      <c r="E326" s="24" t="s">
        <v>1126</v>
      </c>
      <c r="F326" s="68"/>
      <c r="G326" s="69"/>
      <c r="H326" s="70"/>
      <c r="I326" s="77"/>
      <c r="J326" s="70"/>
      <c r="K326" s="77"/>
      <c r="L326" s="79"/>
      <c r="M326" s="24">
        <v>1.65</v>
      </c>
      <c r="N326" s="24"/>
      <c r="O326" s="24">
        <v>19.4</v>
      </c>
      <c r="P326" s="24">
        <v>19.2</v>
      </c>
      <c r="Q326" s="24"/>
      <c r="R326" s="24">
        <v>2.2</v>
      </c>
      <c r="S326" s="24">
        <v>2.64</v>
      </c>
      <c r="T326" s="24">
        <v>8.27</v>
      </c>
      <c r="U326" s="83">
        <v>8.61</v>
      </c>
      <c r="V326" s="82"/>
      <c r="W326" s="82"/>
      <c r="X326" s="82"/>
      <c r="Y326" s="82"/>
      <c r="Z326" s="82"/>
      <c r="AA326" s="82" t="s">
        <v>1127</v>
      </c>
      <c r="AB326" s="82"/>
      <c r="AC326" s="82"/>
      <c r="AD326" s="82"/>
      <c r="AE326" s="82"/>
      <c r="AF326" s="82"/>
      <c r="AG326" s="82"/>
      <c r="AH326" s="82"/>
      <c r="AI326" s="91"/>
      <c r="AJ326" s="82"/>
      <c r="AK326" s="82"/>
      <c r="AL326" s="82"/>
      <c r="AM326" s="89" t="s">
        <v>770</v>
      </c>
      <c r="AN326" s="44"/>
      <c r="AP326" s="44"/>
      <c r="AQ326" s="44"/>
      <c r="AR326" s="44"/>
      <c r="AS326" s="44"/>
      <c r="AV326" s="44"/>
      <c r="AX326" s="44"/>
      <c r="AY326" s="44"/>
      <c r="BB326" s="44"/>
      <c r="BC326" s="44"/>
      <c r="BG326" s="44"/>
      <c r="BV326" s="44"/>
    </row>
    <row r="327" s="18" customFormat="1" ht="10.2" spans="1:74">
      <c r="A327" s="24"/>
      <c r="B327" s="24"/>
      <c r="C327" s="24"/>
      <c r="D327" s="67">
        <v>43709</v>
      </c>
      <c r="E327" s="24" t="s">
        <v>1128</v>
      </c>
      <c r="F327" s="68"/>
      <c r="G327" s="69"/>
      <c r="H327" s="70"/>
      <c r="I327" s="77"/>
      <c r="J327" s="70"/>
      <c r="K327" s="77"/>
      <c r="L327" s="79"/>
      <c r="M327" s="24">
        <v>1.7</v>
      </c>
      <c r="N327" s="24"/>
      <c r="O327" s="24">
        <v>19.8</v>
      </c>
      <c r="P327" s="24"/>
      <c r="Q327" s="24"/>
      <c r="R327" s="24">
        <v>2.28</v>
      </c>
      <c r="S327" s="24"/>
      <c r="T327" s="24">
        <v>8.56</v>
      </c>
      <c r="U327" s="83"/>
      <c r="V327" s="82"/>
      <c r="W327" s="82"/>
      <c r="X327" s="82"/>
      <c r="Y327" s="82"/>
      <c r="Z327" s="82"/>
      <c r="AA327" s="82" t="s">
        <v>1129</v>
      </c>
      <c r="AB327" s="82"/>
      <c r="AC327" s="82"/>
      <c r="AD327" s="82"/>
      <c r="AE327" s="82"/>
      <c r="AF327" s="82"/>
      <c r="AG327" s="82"/>
      <c r="AH327" s="82"/>
      <c r="AI327" s="91"/>
      <c r="AJ327" s="82"/>
      <c r="AK327" s="82"/>
      <c r="AL327" s="82"/>
      <c r="AM327" s="89" t="s">
        <v>770</v>
      </c>
      <c r="AN327" s="44"/>
      <c r="AP327" s="44"/>
      <c r="AQ327" s="44"/>
      <c r="AR327" s="44"/>
      <c r="AS327" s="44"/>
      <c r="AV327" s="44"/>
      <c r="AX327" s="44"/>
      <c r="AY327" s="44"/>
      <c r="BB327" s="44"/>
      <c r="BC327" s="44"/>
      <c r="BG327" s="44"/>
      <c r="BV327" s="44"/>
    </row>
    <row r="328" s="18" customFormat="1" ht="10.2" spans="1:74">
      <c r="A328" s="24"/>
      <c r="B328" s="24"/>
      <c r="C328" s="24"/>
      <c r="D328" s="67">
        <v>43709</v>
      </c>
      <c r="E328" s="24" t="s">
        <v>1130</v>
      </c>
      <c r="F328" s="68"/>
      <c r="G328" s="69"/>
      <c r="H328" s="70"/>
      <c r="I328" s="77"/>
      <c r="J328" s="70"/>
      <c r="K328" s="77"/>
      <c r="L328" s="79"/>
      <c r="M328" s="24">
        <v>1.6</v>
      </c>
      <c r="N328" s="24"/>
      <c r="O328" s="24"/>
      <c r="P328" s="24"/>
      <c r="Q328" s="24"/>
      <c r="R328" s="24"/>
      <c r="S328" s="24"/>
      <c r="T328" s="24"/>
      <c r="U328" s="83"/>
      <c r="V328" s="82"/>
      <c r="W328" s="82"/>
      <c r="X328" s="82"/>
      <c r="Y328" s="82"/>
      <c r="Z328" s="82"/>
      <c r="AA328" s="82" t="s">
        <v>1131</v>
      </c>
      <c r="AB328" s="82"/>
      <c r="AC328" s="82"/>
      <c r="AD328" s="82"/>
      <c r="AE328" s="82"/>
      <c r="AF328" s="82"/>
      <c r="AG328" s="82"/>
      <c r="AH328" s="82"/>
      <c r="AI328" s="91"/>
      <c r="AJ328" s="82"/>
      <c r="AK328" s="82"/>
      <c r="AL328" s="82"/>
      <c r="AM328" s="89" t="s">
        <v>770</v>
      </c>
      <c r="AN328" s="44"/>
      <c r="AP328" s="44"/>
      <c r="AQ328" s="44"/>
      <c r="AR328" s="44"/>
      <c r="AS328" s="44"/>
      <c r="AV328" s="44"/>
      <c r="AX328" s="44"/>
      <c r="AY328" s="44"/>
      <c r="BB328" s="44"/>
      <c r="BC328" s="44"/>
      <c r="BG328" s="44"/>
      <c r="BV328" s="44"/>
    </row>
    <row r="329" s="18" customFormat="1" ht="10.2" spans="1:74">
      <c r="A329" s="24"/>
      <c r="B329" s="24"/>
      <c r="C329" s="24"/>
      <c r="D329" s="67">
        <v>43709</v>
      </c>
      <c r="E329" s="24" t="s">
        <v>1132</v>
      </c>
      <c r="F329" s="68"/>
      <c r="G329" s="69"/>
      <c r="H329" s="70"/>
      <c r="I329" s="77"/>
      <c r="J329" s="70"/>
      <c r="K329" s="77"/>
      <c r="L329" s="79"/>
      <c r="M329" s="24">
        <v>1.5</v>
      </c>
      <c r="N329" s="24"/>
      <c r="O329" s="24"/>
      <c r="P329" s="24"/>
      <c r="Q329" s="24"/>
      <c r="R329" s="24"/>
      <c r="S329" s="24"/>
      <c r="T329" s="24"/>
      <c r="U329" s="83"/>
      <c r="V329" s="82"/>
      <c r="W329" s="82"/>
      <c r="X329" s="82"/>
      <c r="Y329" s="82"/>
      <c r="Z329" s="82"/>
      <c r="AA329" s="82" t="s">
        <v>1133</v>
      </c>
      <c r="AB329" s="82"/>
      <c r="AC329" s="82"/>
      <c r="AD329" s="82"/>
      <c r="AE329" s="82"/>
      <c r="AF329" s="82"/>
      <c r="AG329" s="82"/>
      <c r="AH329" s="82"/>
      <c r="AI329" s="91"/>
      <c r="AJ329" s="82"/>
      <c r="AK329" s="82"/>
      <c r="AL329" s="82"/>
      <c r="AM329" s="89" t="s">
        <v>770</v>
      </c>
      <c r="AN329" s="44"/>
      <c r="AP329" s="44"/>
      <c r="AQ329" s="44"/>
      <c r="AR329" s="44"/>
      <c r="AS329" s="44"/>
      <c r="AV329" s="44"/>
      <c r="AX329" s="44"/>
      <c r="AY329" s="44"/>
      <c r="BB329" s="44"/>
      <c r="BC329" s="44"/>
      <c r="BG329" s="44"/>
      <c r="BV329" s="44"/>
    </row>
    <row r="330" s="21" customFormat="1" ht="10.2" spans="1:74">
      <c r="A330" s="146">
        <v>94</v>
      </c>
      <c r="B330" s="146" t="s">
        <v>1134</v>
      </c>
      <c r="C330" s="146" t="s">
        <v>1135</v>
      </c>
      <c r="D330" s="147">
        <v>43697</v>
      </c>
      <c r="E330" s="146"/>
      <c r="F330" s="124">
        <v>59.679558</v>
      </c>
      <c r="G330" s="125">
        <v>28.239655</v>
      </c>
      <c r="H330" s="70">
        <f t="shared" si="36"/>
        <v>59</v>
      </c>
      <c r="I330" s="77">
        <f t="shared" si="33"/>
        <v>40.77348</v>
      </c>
      <c r="J330" s="70">
        <f t="shared" si="35"/>
        <v>28</v>
      </c>
      <c r="K330" s="77">
        <f t="shared" si="34"/>
        <v>14.3792999999999</v>
      </c>
      <c r="L330" s="79">
        <v>0.5</v>
      </c>
      <c r="M330" s="24">
        <v>0.5</v>
      </c>
      <c r="N330" s="24"/>
      <c r="O330" s="24">
        <v>21.8</v>
      </c>
      <c r="P330" s="24"/>
      <c r="Q330" s="24"/>
      <c r="R330" s="24">
        <v>3.1</v>
      </c>
      <c r="S330" s="24"/>
      <c r="T330" s="24">
        <v>8.43</v>
      </c>
      <c r="U330" s="83"/>
      <c r="V330" s="82"/>
      <c r="W330" s="82"/>
      <c r="X330" s="82"/>
      <c r="Y330" s="82"/>
      <c r="Z330" s="82"/>
      <c r="AA330" s="82"/>
      <c r="AB330" s="82"/>
      <c r="AC330" s="82" t="s">
        <v>1136</v>
      </c>
      <c r="AD330" s="85" t="s">
        <v>1137</v>
      </c>
      <c r="AE330" s="82" t="s">
        <v>205</v>
      </c>
      <c r="AF330" s="82" t="s">
        <v>205</v>
      </c>
      <c r="AG330" s="82" t="s">
        <v>1138</v>
      </c>
      <c r="AH330" s="82" t="s">
        <v>1139</v>
      </c>
      <c r="AI330" s="91"/>
      <c r="AJ330" s="82" t="s">
        <v>122</v>
      </c>
      <c r="AK330" s="82" t="s">
        <v>122</v>
      </c>
      <c r="AL330" s="82" t="s">
        <v>819</v>
      </c>
      <c r="AM330" s="89" t="s">
        <v>770</v>
      </c>
      <c r="AN330" s="153">
        <v>0</v>
      </c>
      <c r="AO330" s="21">
        <v>0</v>
      </c>
      <c r="AP330" s="153">
        <v>0</v>
      </c>
      <c r="AQ330" s="153">
        <v>0</v>
      </c>
      <c r="AR330" s="153">
        <v>0</v>
      </c>
      <c r="AS330" s="153">
        <v>1</v>
      </c>
      <c r="AT330" s="21">
        <v>0</v>
      </c>
      <c r="AU330" s="21">
        <v>0</v>
      </c>
      <c r="AV330" s="153">
        <v>0</v>
      </c>
      <c r="AW330" s="21">
        <v>0</v>
      </c>
      <c r="AX330" s="153">
        <v>0</v>
      </c>
      <c r="AY330" s="153">
        <v>0</v>
      </c>
      <c r="AZ330" s="21">
        <v>0</v>
      </c>
      <c r="BA330" s="21">
        <v>0</v>
      </c>
      <c r="BB330" s="153">
        <v>1</v>
      </c>
      <c r="BC330" s="153">
        <v>0</v>
      </c>
      <c r="BD330" s="21">
        <v>0</v>
      </c>
      <c r="BE330" s="21">
        <v>0</v>
      </c>
      <c r="BF330" s="21">
        <v>0</v>
      </c>
      <c r="BG330" s="153">
        <v>0</v>
      </c>
      <c r="BH330" s="21">
        <v>0</v>
      </c>
      <c r="BI330" s="21">
        <v>0</v>
      </c>
      <c r="BJ330" s="21">
        <v>2</v>
      </c>
      <c r="BK330" s="21">
        <v>1</v>
      </c>
      <c r="BL330" s="21">
        <v>2</v>
      </c>
      <c r="BM330" s="21">
        <v>2</v>
      </c>
      <c r="BN330" s="21">
        <v>1</v>
      </c>
      <c r="BO330" s="21">
        <v>1</v>
      </c>
      <c r="BP330" s="21">
        <v>0</v>
      </c>
      <c r="BQ330" s="21">
        <v>1</v>
      </c>
      <c r="BR330" s="21">
        <v>0</v>
      </c>
      <c r="BS330" s="21">
        <v>2</v>
      </c>
      <c r="BT330" s="21">
        <v>1</v>
      </c>
      <c r="BU330" s="21">
        <v>0</v>
      </c>
      <c r="BV330" s="44">
        <f t="shared" si="38"/>
        <v>7</v>
      </c>
    </row>
    <row r="331" s="18" customFormat="1" ht="10.2" spans="1:74">
      <c r="A331" s="24">
        <v>95</v>
      </c>
      <c r="B331" s="24" t="s">
        <v>1140</v>
      </c>
      <c r="C331" s="24"/>
      <c r="D331" s="24"/>
      <c r="E331" s="24"/>
      <c r="F331" s="68">
        <v>59.680163</v>
      </c>
      <c r="G331" s="154">
        <v>28.240003</v>
      </c>
      <c r="H331" s="70">
        <f t="shared" si="36"/>
        <v>59</v>
      </c>
      <c r="I331" s="77">
        <f t="shared" ref="I331:I378" si="41">(F331-H331)*60</f>
        <v>40.80978</v>
      </c>
      <c r="J331" s="70">
        <f t="shared" si="35"/>
        <v>28</v>
      </c>
      <c r="K331" s="77">
        <f t="shared" ref="K331:K378" si="42">(G331-J331)*60</f>
        <v>14.4001800000001</v>
      </c>
      <c r="L331" s="79"/>
      <c r="M331" s="24"/>
      <c r="N331" s="24"/>
      <c r="O331" s="24"/>
      <c r="P331" s="24"/>
      <c r="Q331" s="24"/>
      <c r="R331" s="24"/>
      <c r="S331" s="24"/>
      <c r="T331" s="24"/>
      <c r="U331" s="83"/>
      <c r="V331" s="82"/>
      <c r="W331" s="82"/>
      <c r="X331" s="82"/>
      <c r="Y331" s="82"/>
      <c r="Z331" s="82"/>
      <c r="AA331" s="82"/>
      <c r="AB331" s="82"/>
      <c r="AC331" s="82" t="s">
        <v>1141</v>
      </c>
      <c r="AD331" s="82" t="s">
        <v>1142</v>
      </c>
      <c r="AE331" s="82" t="s">
        <v>122</v>
      </c>
      <c r="AF331" s="82" t="s">
        <v>1098</v>
      </c>
      <c r="AG331" s="82" t="s">
        <v>1143</v>
      </c>
      <c r="AH331" s="82" t="s">
        <v>1144</v>
      </c>
      <c r="AI331" s="166" t="s">
        <v>928</v>
      </c>
      <c r="AJ331" s="82" t="s">
        <v>1077</v>
      </c>
      <c r="AK331" s="82" t="s">
        <v>122</v>
      </c>
      <c r="AL331" s="82" t="s">
        <v>819</v>
      </c>
      <c r="AM331" s="89" t="s">
        <v>770</v>
      </c>
      <c r="AN331" s="44">
        <v>1</v>
      </c>
      <c r="AO331" s="18">
        <v>0</v>
      </c>
      <c r="AP331" s="44">
        <v>0</v>
      </c>
      <c r="AQ331" s="44">
        <v>0</v>
      </c>
      <c r="AR331" s="44">
        <v>0</v>
      </c>
      <c r="AS331" s="44">
        <v>1</v>
      </c>
      <c r="AT331" s="18">
        <v>0</v>
      </c>
      <c r="AU331" s="18">
        <v>0</v>
      </c>
      <c r="AV331" s="44">
        <v>0</v>
      </c>
      <c r="AW331" s="18">
        <v>0</v>
      </c>
      <c r="AX331" s="44">
        <v>0</v>
      </c>
      <c r="AY331" s="44">
        <v>0</v>
      </c>
      <c r="AZ331" s="18">
        <v>0</v>
      </c>
      <c r="BA331" s="18">
        <v>0</v>
      </c>
      <c r="BB331" s="44">
        <v>0</v>
      </c>
      <c r="BC331" s="44">
        <v>0</v>
      </c>
      <c r="BD331" s="18">
        <v>0</v>
      </c>
      <c r="BE331" s="18">
        <v>0</v>
      </c>
      <c r="BF331" s="18">
        <v>0</v>
      </c>
      <c r="BG331" s="44">
        <v>0</v>
      </c>
      <c r="BH331" s="18">
        <v>0</v>
      </c>
      <c r="BI331" s="18">
        <v>0</v>
      </c>
      <c r="BJ331" s="18">
        <v>2</v>
      </c>
      <c r="BK331" s="18">
        <v>1</v>
      </c>
      <c r="BL331" s="18">
        <v>2</v>
      </c>
      <c r="BM331" s="18">
        <v>2</v>
      </c>
      <c r="BN331" s="18">
        <v>1</v>
      </c>
      <c r="BO331" s="18">
        <v>1</v>
      </c>
      <c r="BP331" s="18">
        <v>0</v>
      </c>
      <c r="BQ331" s="18">
        <v>1</v>
      </c>
      <c r="BR331" s="18">
        <v>0</v>
      </c>
      <c r="BS331" s="18">
        <v>2</v>
      </c>
      <c r="BT331" s="18">
        <v>1</v>
      </c>
      <c r="BU331" s="18">
        <v>0</v>
      </c>
      <c r="BV331" s="44">
        <f t="shared" si="38"/>
        <v>7</v>
      </c>
    </row>
    <row r="332" s="21" customFormat="1" ht="10.2" spans="1:74">
      <c r="A332" s="146">
        <v>96</v>
      </c>
      <c r="B332" s="155" t="s">
        <v>1145</v>
      </c>
      <c r="C332" s="155" t="s">
        <v>1039</v>
      </c>
      <c r="D332" s="147">
        <v>43697</v>
      </c>
      <c r="E332" s="146"/>
      <c r="F332" s="156">
        <v>59.7374</v>
      </c>
      <c r="G332" s="157">
        <v>28.44235</v>
      </c>
      <c r="H332" s="70">
        <f t="shared" si="36"/>
        <v>59</v>
      </c>
      <c r="I332" s="77">
        <f t="shared" si="41"/>
        <v>44.2440000000001</v>
      </c>
      <c r="J332" s="70">
        <f t="shared" ref="J332:J378" si="43">ROUNDDOWN(G332,0)</f>
        <v>28</v>
      </c>
      <c r="K332" s="77">
        <f t="shared" si="42"/>
        <v>26.5410000000001</v>
      </c>
      <c r="L332" s="79">
        <v>0.5</v>
      </c>
      <c r="M332" s="24">
        <v>0.5</v>
      </c>
      <c r="N332" s="24"/>
      <c r="O332" s="24">
        <v>21.1</v>
      </c>
      <c r="P332" s="24"/>
      <c r="Q332" s="24"/>
      <c r="R332" s="24">
        <v>2.97</v>
      </c>
      <c r="S332" s="24"/>
      <c r="T332" s="24">
        <v>8.3</v>
      </c>
      <c r="U332" s="83"/>
      <c r="V332" s="82"/>
      <c r="W332" s="82"/>
      <c r="X332" s="82"/>
      <c r="Y332" s="82"/>
      <c r="Z332" s="82"/>
      <c r="AA332" s="82"/>
      <c r="AB332" s="82"/>
      <c r="AC332" s="82" t="s">
        <v>1146</v>
      </c>
      <c r="AD332" s="85" t="s">
        <v>1147</v>
      </c>
      <c r="AE332" s="82" t="s">
        <v>122</v>
      </c>
      <c r="AF332" s="82" t="s">
        <v>1098</v>
      </c>
      <c r="AG332" s="82" t="s">
        <v>1138</v>
      </c>
      <c r="AH332" s="82" t="s">
        <v>1148</v>
      </c>
      <c r="AI332" s="91"/>
      <c r="AJ332" s="82" t="s">
        <v>122</v>
      </c>
      <c r="AK332" s="82" t="s">
        <v>122</v>
      </c>
      <c r="AL332" s="82" t="s">
        <v>819</v>
      </c>
      <c r="AM332" s="89" t="s">
        <v>770</v>
      </c>
      <c r="AN332" s="153">
        <v>0</v>
      </c>
      <c r="AO332" s="21">
        <v>0</v>
      </c>
      <c r="AP332" s="153">
        <v>0</v>
      </c>
      <c r="AQ332" s="153">
        <v>0</v>
      </c>
      <c r="AR332" s="153">
        <v>0</v>
      </c>
      <c r="AS332" s="153">
        <v>1</v>
      </c>
      <c r="AT332" s="21">
        <v>0</v>
      </c>
      <c r="AU332" s="21">
        <v>0</v>
      </c>
      <c r="AV332" s="153">
        <v>0</v>
      </c>
      <c r="AW332" s="21">
        <v>0</v>
      </c>
      <c r="AX332" s="153">
        <v>0</v>
      </c>
      <c r="AY332" s="153">
        <v>0</v>
      </c>
      <c r="AZ332" s="21">
        <v>0</v>
      </c>
      <c r="BA332" s="21">
        <v>0</v>
      </c>
      <c r="BB332" s="153">
        <v>0</v>
      </c>
      <c r="BC332" s="153">
        <v>1</v>
      </c>
      <c r="BD332" s="21">
        <v>0</v>
      </c>
      <c r="BE332" s="21">
        <v>0</v>
      </c>
      <c r="BF332" s="21">
        <v>0</v>
      </c>
      <c r="BG332" s="153">
        <v>0</v>
      </c>
      <c r="BH332" s="21">
        <v>0</v>
      </c>
      <c r="BI332" s="21">
        <v>0</v>
      </c>
      <c r="BJ332" s="21">
        <v>2</v>
      </c>
      <c r="BK332" s="21">
        <v>1</v>
      </c>
      <c r="BL332" s="21">
        <v>2</v>
      </c>
      <c r="BM332" s="21">
        <v>2</v>
      </c>
      <c r="BN332" s="21">
        <v>1</v>
      </c>
      <c r="BO332" s="21">
        <v>1</v>
      </c>
      <c r="BP332" s="21">
        <v>0</v>
      </c>
      <c r="BQ332" s="21">
        <v>4</v>
      </c>
      <c r="BR332" s="21">
        <v>0</v>
      </c>
      <c r="BS332" s="21">
        <v>0</v>
      </c>
      <c r="BT332" s="21">
        <v>1</v>
      </c>
      <c r="BU332" s="21">
        <v>0</v>
      </c>
      <c r="BV332" s="44">
        <f t="shared" si="38"/>
        <v>12</v>
      </c>
    </row>
    <row r="333" s="21" customFormat="1" ht="10.2" spans="1:74">
      <c r="A333" s="146">
        <v>97</v>
      </c>
      <c r="B333" s="158" t="s">
        <v>1149</v>
      </c>
      <c r="C333" s="146" t="s">
        <v>1150</v>
      </c>
      <c r="D333" s="147">
        <v>43697</v>
      </c>
      <c r="E333" s="146"/>
      <c r="F333" s="156">
        <v>59.82328</v>
      </c>
      <c r="G333" s="157">
        <v>28.60259</v>
      </c>
      <c r="H333" s="70">
        <f t="shared" si="36"/>
        <v>59</v>
      </c>
      <c r="I333" s="77">
        <f t="shared" si="41"/>
        <v>49.3967999999998</v>
      </c>
      <c r="J333" s="70">
        <f t="shared" si="43"/>
        <v>28</v>
      </c>
      <c r="K333" s="77">
        <f t="shared" si="42"/>
        <v>36.1554</v>
      </c>
      <c r="L333" s="79">
        <v>0.5</v>
      </c>
      <c r="M333" s="24">
        <v>0.5</v>
      </c>
      <c r="N333" s="24"/>
      <c r="O333" s="24">
        <v>21.4</v>
      </c>
      <c r="P333" s="24"/>
      <c r="Q333" s="24"/>
      <c r="R333" s="24">
        <v>3.05</v>
      </c>
      <c r="S333" s="24"/>
      <c r="T333" s="24">
        <v>8.451</v>
      </c>
      <c r="U333" s="83">
        <v>8.41</v>
      </c>
      <c r="V333" s="82"/>
      <c r="W333" s="82"/>
      <c r="X333" s="82"/>
      <c r="Y333" s="82"/>
      <c r="Z333" s="82"/>
      <c r="AA333" s="82"/>
      <c r="AB333" s="82"/>
      <c r="AC333" s="82" t="s">
        <v>1151</v>
      </c>
      <c r="AD333" s="85" t="s">
        <v>1152</v>
      </c>
      <c r="AE333" s="82" t="s">
        <v>122</v>
      </c>
      <c r="AF333" s="82" t="s">
        <v>1153</v>
      </c>
      <c r="AG333" s="82" t="s">
        <v>1138</v>
      </c>
      <c r="AH333" s="82" t="s">
        <v>1154</v>
      </c>
      <c r="AI333" s="91"/>
      <c r="AJ333" s="82" t="s">
        <v>122</v>
      </c>
      <c r="AK333" s="82" t="s">
        <v>122</v>
      </c>
      <c r="AL333" s="82" t="s">
        <v>819</v>
      </c>
      <c r="AM333" s="89" t="s">
        <v>770</v>
      </c>
      <c r="AN333" s="153">
        <v>1</v>
      </c>
      <c r="AO333" s="21">
        <v>0</v>
      </c>
      <c r="AP333" s="153">
        <v>0</v>
      </c>
      <c r="AQ333" s="153">
        <v>1</v>
      </c>
      <c r="AR333" s="153">
        <v>0</v>
      </c>
      <c r="AS333" s="153">
        <v>1</v>
      </c>
      <c r="AT333" s="21">
        <v>0</v>
      </c>
      <c r="AU333" s="21">
        <v>0</v>
      </c>
      <c r="AV333" s="153">
        <v>0</v>
      </c>
      <c r="AW333" s="21">
        <v>0</v>
      </c>
      <c r="AX333" s="153">
        <v>0</v>
      </c>
      <c r="AY333" s="153">
        <v>0</v>
      </c>
      <c r="AZ333" s="21">
        <v>0</v>
      </c>
      <c r="BA333" s="21">
        <v>0</v>
      </c>
      <c r="BB333" s="153">
        <v>0</v>
      </c>
      <c r="BC333" s="153">
        <v>0</v>
      </c>
      <c r="BD333" s="21">
        <v>0</v>
      </c>
      <c r="BE333" s="21">
        <v>0</v>
      </c>
      <c r="BF333" s="21">
        <v>0</v>
      </c>
      <c r="BG333" s="153">
        <v>0</v>
      </c>
      <c r="BH333" s="21">
        <v>0</v>
      </c>
      <c r="BI333" s="21">
        <v>0</v>
      </c>
      <c r="BJ333" s="21">
        <v>2</v>
      </c>
      <c r="BK333" s="21">
        <v>1</v>
      </c>
      <c r="BL333" s="21">
        <v>2</v>
      </c>
      <c r="BM333" s="21">
        <v>2</v>
      </c>
      <c r="BN333" s="21">
        <v>1</v>
      </c>
      <c r="BO333" s="21">
        <v>1</v>
      </c>
      <c r="BP333" s="21">
        <v>0</v>
      </c>
      <c r="BQ333" s="21">
        <v>1</v>
      </c>
      <c r="BR333" s="21">
        <v>0</v>
      </c>
      <c r="BS333" s="21">
        <v>0</v>
      </c>
      <c r="BT333" s="21">
        <v>1</v>
      </c>
      <c r="BU333" s="21">
        <v>0</v>
      </c>
      <c r="BV333" s="44">
        <f t="shared" si="38"/>
        <v>9</v>
      </c>
    </row>
    <row r="334" s="18" customFormat="1" ht="10.2" spans="1:74">
      <c r="A334" s="24">
        <v>98</v>
      </c>
      <c r="B334" s="24" t="s">
        <v>1155</v>
      </c>
      <c r="C334" s="24"/>
      <c r="D334" s="67">
        <v>43709</v>
      </c>
      <c r="E334" s="24"/>
      <c r="F334" s="68">
        <v>59.6599833333333</v>
      </c>
      <c r="G334" s="69">
        <v>28.0872333333333</v>
      </c>
      <c r="H334" s="70">
        <f t="shared" ref="H334:H378" si="44">ROUNDDOWN(F334,0)</f>
        <v>59</v>
      </c>
      <c r="I334" s="77">
        <f t="shared" si="41"/>
        <v>39.5990000000002</v>
      </c>
      <c r="J334" s="70">
        <f t="shared" si="43"/>
        <v>28</v>
      </c>
      <c r="K334" s="77">
        <f t="shared" si="42"/>
        <v>5.23400000000002</v>
      </c>
      <c r="L334" s="79">
        <v>2</v>
      </c>
      <c r="M334" s="24">
        <v>1.1</v>
      </c>
      <c r="N334" s="24"/>
      <c r="O334" s="24">
        <v>21.1</v>
      </c>
      <c r="P334" s="24"/>
      <c r="Q334" s="24"/>
      <c r="R334" s="24">
        <v>1.06</v>
      </c>
      <c r="S334" s="24"/>
      <c r="T334" s="24">
        <v>8.63</v>
      </c>
      <c r="U334" s="83"/>
      <c r="V334" s="82"/>
      <c r="W334" s="82"/>
      <c r="X334" s="82"/>
      <c r="Y334" s="82"/>
      <c r="Z334" s="82"/>
      <c r="AA334" s="82" t="s">
        <v>1156</v>
      </c>
      <c r="AB334" s="82"/>
      <c r="AC334" s="82" t="s">
        <v>353</v>
      </c>
      <c r="AD334" s="82" t="s">
        <v>1157</v>
      </c>
      <c r="AE334" s="82" t="s">
        <v>205</v>
      </c>
      <c r="AF334" s="82" t="s">
        <v>205</v>
      </c>
      <c r="AG334" s="84" t="s">
        <v>774</v>
      </c>
      <c r="AH334" s="82" t="s">
        <v>205</v>
      </c>
      <c r="AI334" s="91"/>
      <c r="AJ334" s="82" t="s">
        <v>205</v>
      </c>
      <c r="AK334" s="82" t="s">
        <v>122</v>
      </c>
      <c r="AL334" s="82" t="s">
        <v>205</v>
      </c>
      <c r="AM334" s="89" t="s">
        <v>852</v>
      </c>
      <c r="AN334" s="44">
        <v>0</v>
      </c>
      <c r="AO334" s="18">
        <v>0</v>
      </c>
      <c r="AP334" s="44">
        <v>0</v>
      </c>
      <c r="AQ334" s="44">
        <v>0</v>
      </c>
      <c r="AR334" s="44">
        <v>0</v>
      </c>
      <c r="AS334" s="44">
        <v>0</v>
      </c>
      <c r="AT334" s="18">
        <v>0</v>
      </c>
      <c r="AU334" s="18">
        <v>0</v>
      </c>
      <c r="AV334" s="44">
        <v>0</v>
      </c>
      <c r="AW334" s="18">
        <v>0</v>
      </c>
      <c r="AX334" s="44">
        <v>0</v>
      </c>
      <c r="AY334" s="44">
        <v>0</v>
      </c>
      <c r="AZ334" s="18">
        <v>0</v>
      </c>
      <c r="BA334" s="18">
        <v>0</v>
      </c>
      <c r="BB334" s="44">
        <v>0</v>
      </c>
      <c r="BC334" s="44">
        <v>1</v>
      </c>
      <c r="BD334" s="18">
        <v>0</v>
      </c>
      <c r="BE334" s="18">
        <v>0</v>
      </c>
      <c r="BF334" s="18">
        <v>0</v>
      </c>
      <c r="BG334" s="44">
        <v>0</v>
      </c>
      <c r="BH334" s="18">
        <v>0</v>
      </c>
      <c r="BI334" s="18">
        <v>0</v>
      </c>
      <c r="BJ334" s="18">
        <v>1</v>
      </c>
      <c r="BK334" s="18">
        <v>1</v>
      </c>
      <c r="BL334" s="18">
        <v>1</v>
      </c>
      <c r="BM334" s="18">
        <v>1</v>
      </c>
      <c r="BN334" s="18">
        <v>1</v>
      </c>
      <c r="BO334" s="18">
        <v>1</v>
      </c>
      <c r="BP334" s="18">
        <v>2</v>
      </c>
      <c r="BQ334" s="18">
        <v>1</v>
      </c>
      <c r="BR334" s="18">
        <v>2</v>
      </c>
      <c r="BS334" s="18">
        <v>2</v>
      </c>
      <c r="BT334" s="18">
        <v>1</v>
      </c>
      <c r="BU334" s="18">
        <v>0</v>
      </c>
      <c r="BV334" s="44">
        <f t="shared" si="38"/>
        <v>4</v>
      </c>
    </row>
    <row r="335" s="18" customFormat="1" ht="10.2" spans="1:74">
      <c r="A335" s="24">
        <f>A334+1</f>
        <v>99</v>
      </c>
      <c r="B335" s="24" t="s">
        <v>1158</v>
      </c>
      <c r="C335" s="24"/>
      <c r="D335" s="67">
        <v>43709</v>
      </c>
      <c r="E335" s="24"/>
      <c r="F335" s="68"/>
      <c r="G335" s="69"/>
      <c r="H335" s="70"/>
      <c r="I335" s="77"/>
      <c r="J335" s="70"/>
      <c r="K335" s="77"/>
      <c r="L335" s="79">
        <v>2.5</v>
      </c>
      <c r="M335" s="24">
        <v>1.45</v>
      </c>
      <c r="N335" s="24"/>
      <c r="O335" s="24">
        <v>21.1</v>
      </c>
      <c r="P335" s="24"/>
      <c r="Q335" s="24"/>
      <c r="R335" s="24">
        <v>1.06</v>
      </c>
      <c r="S335" s="24"/>
      <c r="T335" s="24">
        <v>8.64</v>
      </c>
      <c r="U335" s="83"/>
      <c r="V335" s="82"/>
      <c r="W335" s="82"/>
      <c r="X335" s="82"/>
      <c r="Y335" s="82"/>
      <c r="Z335" s="82"/>
      <c r="AA335" s="82" t="s">
        <v>1159</v>
      </c>
      <c r="AB335" s="82"/>
      <c r="AC335" s="82" t="s">
        <v>353</v>
      </c>
      <c r="AD335" s="82" t="s">
        <v>1160</v>
      </c>
      <c r="AE335" s="82" t="s">
        <v>205</v>
      </c>
      <c r="AF335" s="82" t="s">
        <v>205</v>
      </c>
      <c r="AG335" s="84" t="s">
        <v>774</v>
      </c>
      <c r="AH335" s="82" t="s">
        <v>205</v>
      </c>
      <c r="AI335" s="91"/>
      <c r="AJ335" s="82" t="s">
        <v>205</v>
      </c>
      <c r="AK335" s="82" t="s">
        <v>122</v>
      </c>
      <c r="AL335" s="82" t="s">
        <v>205</v>
      </c>
      <c r="AM335" s="89" t="s">
        <v>852</v>
      </c>
      <c r="AN335" s="44">
        <v>0</v>
      </c>
      <c r="AO335" s="18">
        <v>0</v>
      </c>
      <c r="AP335" s="44">
        <v>0</v>
      </c>
      <c r="AQ335" s="44">
        <v>0</v>
      </c>
      <c r="AR335" s="44">
        <v>0</v>
      </c>
      <c r="AS335" s="44">
        <v>0</v>
      </c>
      <c r="AT335" s="18">
        <v>0</v>
      </c>
      <c r="AU335" s="18">
        <v>0</v>
      </c>
      <c r="AV335" s="44">
        <v>0</v>
      </c>
      <c r="AW335" s="18">
        <v>0</v>
      </c>
      <c r="AX335" s="44">
        <v>0</v>
      </c>
      <c r="AY335" s="44">
        <v>0</v>
      </c>
      <c r="AZ335" s="18">
        <v>0</v>
      </c>
      <c r="BA335" s="18">
        <v>0</v>
      </c>
      <c r="BB335" s="44">
        <v>0</v>
      </c>
      <c r="BC335" s="44">
        <v>1</v>
      </c>
      <c r="BD335" s="18">
        <v>0</v>
      </c>
      <c r="BE335" s="18">
        <v>0</v>
      </c>
      <c r="BF335" s="18">
        <v>0</v>
      </c>
      <c r="BG335" s="44">
        <v>0</v>
      </c>
      <c r="BH335" s="18">
        <v>0</v>
      </c>
      <c r="BI335" s="18">
        <v>0</v>
      </c>
      <c r="BJ335" s="18">
        <v>1</v>
      </c>
      <c r="BK335" s="18">
        <v>1</v>
      </c>
      <c r="BL335" s="18">
        <v>1</v>
      </c>
      <c r="BM335" s="18">
        <v>1</v>
      </c>
      <c r="BN335" s="18">
        <v>1</v>
      </c>
      <c r="BO335" s="18">
        <v>1</v>
      </c>
      <c r="BP335" s="18">
        <v>2</v>
      </c>
      <c r="BQ335" s="18">
        <v>1</v>
      </c>
      <c r="BR335" s="18">
        <v>2</v>
      </c>
      <c r="BS335" s="18">
        <v>2</v>
      </c>
      <c r="BT335" s="18">
        <v>1</v>
      </c>
      <c r="BU335" s="18">
        <v>0</v>
      </c>
      <c r="BV335" s="44">
        <f t="shared" si="38"/>
        <v>4</v>
      </c>
    </row>
    <row r="336" s="18" customFormat="1" ht="10.2" spans="1:74">
      <c r="A336" s="24">
        <f t="shared" ref="A336:A342" si="45">A335+1</f>
        <v>100</v>
      </c>
      <c r="B336" s="24" t="s">
        <v>1161</v>
      </c>
      <c r="C336" s="24"/>
      <c r="D336" s="67">
        <v>43709</v>
      </c>
      <c r="E336" s="24"/>
      <c r="F336" s="68">
        <v>59.5457666666667</v>
      </c>
      <c r="G336" s="69">
        <v>28.0807166666667</v>
      </c>
      <c r="H336" s="70">
        <f t="shared" si="44"/>
        <v>59</v>
      </c>
      <c r="I336" s="77">
        <f t="shared" si="41"/>
        <v>32.7459999999999</v>
      </c>
      <c r="J336" s="70">
        <f t="shared" si="43"/>
        <v>28</v>
      </c>
      <c r="K336" s="77">
        <f t="shared" si="42"/>
        <v>4.84300000000005</v>
      </c>
      <c r="L336" s="79">
        <v>2.7</v>
      </c>
      <c r="M336" s="24">
        <v>1.2</v>
      </c>
      <c r="N336" s="24"/>
      <c r="O336" s="24">
        <v>21</v>
      </c>
      <c r="P336" s="24"/>
      <c r="Q336" s="24"/>
      <c r="R336" s="24">
        <v>1.01</v>
      </c>
      <c r="S336" s="24"/>
      <c r="T336" s="24">
        <v>8.62</v>
      </c>
      <c r="U336" s="83"/>
      <c r="V336" s="82"/>
      <c r="W336" s="82"/>
      <c r="X336" s="82"/>
      <c r="Y336" s="82"/>
      <c r="Z336" s="82"/>
      <c r="AA336" s="82" t="s">
        <v>1162</v>
      </c>
      <c r="AB336" s="82"/>
      <c r="AC336" s="82" t="s">
        <v>353</v>
      </c>
      <c r="AD336" s="82" t="s">
        <v>1157</v>
      </c>
      <c r="AE336" s="82" t="s">
        <v>205</v>
      </c>
      <c r="AF336" s="82" t="s">
        <v>205</v>
      </c>
      <c r="AG336" s="84" t="s">
        <v>774</v>
      </c>
      <c r="AH336" s="82" t="s">
        <v>205</v>
      </c>
      <c r="AI336" s="91"/>
      <c r="AJ336" s="82" t="s">
        <v>205</v>
      </c>
      <c r="AK336" s="82" t="s">
        <v>122</v>
      </c>
      <c r="AL336" s="82" t="s">
        <v>205</v>
      </c>
      <c r="AM336" s="89" t="s">
        <v>852</v>
      </c>
      <c r="AN336" s="44">
        <v>0</v>
      </c>
      <c r="AO336" s="18">
        <v>0</v>
      </c>
      <c r="AP336" s="44">
        <v>0</v>
      </c>
      <c r="AQ336" s="44">
        <v>0</v>
      </c>
      <c r="AR336" s="44">
        <v>0</v>
      </c>
      <c r="AS336" s="44">
        <v>0</v>
      </c>
      <c r="AT336" s="18">
        <v>0</v>
      </c>
      <c r="AU336" s="18">
        <v>0</v>
      </c>
      <c r="AV336" s="44">
        <v>0</v>
      </c>
      <c r="AW336" s="18">
        <v>0</v>
      </c>
      <c r="AX336" s="44">
        <v>0</v>
      </c>
      <c r="AY336" s="44">
        <v>0</v>
      </c>
      <c r="AZ336" s="18">
        <v>0</v>
      </c>
      <c r="BA336" s="18">
        <v>0</v>
      </c>
      <c r="BB336" s="44">
        <v>0</v>
      </c>
      <c r="BC336" s="44">
        <v>1</v>
      </c>
      <c r="BD336" s="18">
        <v>0</v>
      </c>
      <c r="BE336" s="18">
        <v>0</v>
      </c>
      <c r="BF336" s="18">
        <v>0</v>
      </c>
      <c r="BG336" s="44">
        <v>0</v>
      </c>
      <c r="BH336" s="18">
        <v>0</v>
      </c>
      <c r="BI336" s="18">
        <v>0</v>
      </c>
      <c r="BJ336" s="18">
        <v>1</v>
      </c>
      <c r="BK336" s="18">
        <v>1</v>
      </c>
      <c r="BL336" s="18">
        <v>1</v>
      </c>
      <c r="BM336" s="18">
        <v>1</v>
      </c>
      <c r="BN336" s="18">
        <v>1</v>
      </c>
      <c r="BO336" s="18">
        <v>1</v>
      </c>
      <c r="BP336" s="18">
        <v>2</v>
      </c>
      <c r="BQ336" s="18">
        <v>1</v>
      </c>
      <c r="BR336" s="18">
        <v>2</v>
      </c>
      <c r="BS336" s="18">
        <v>2</v>
      </c>
      <c r="BT336" s="18">
        <v>1</v>
      </c>
      <c r="BU336" s="18">
        <v>0</v>
      </c>
      <c r="BV336" s="44">
        <f t="shared" si="38"/>
        <v>4</v>
      </c>
    </row>
    <row r="337" s="18" customFormat="1" ht="10.2" spans="1:74">
      <c r="A337" s="24">
        <f t="shared" si="45"/>
        <v>101</v>
      </c>
      <c r="B337" s="24" t="s">
        <v>1163</v>
      </c>
      <c r="C337" s="24"/>
      <c r="D337" s="67">
        <v>43709</v>
      </c>
      <c r="E337" s="24"/>
      <c r="F337" s="68"/>
      <c r="G337" s="69"/>
      <c r="H337" s="70"/>
      <c r="I337" s="77"/>
      <c r="J337" s="70"/>
      <c r="K337" s="77"/>
      <c r="L337" s="79">
        <v>2.7</v>
      </c>
      <c r="M337" s="14">
        <v>1.5</v>
      </c>
      <c r="N337" s="24"/>
      <c r="O337" s="24">
        <v>21.1</v>
      </c>
      <c r="P337" s="24"/>
      <c r="Q337" s="24"/>
      <c r="R337" s="24">
        <v>1.17</v>
      </c>
      <c r="S337" s="24"/>
      <c r="T337" s="24">
        <v>8.6</v>
      </c>
      <c r="U337" s="83"/>
      <c r="V337" s="82"/>
      <c r="W337" s="82"/>
      <c r="X337" s="82"/>
      <c r="Y337" s="82"/>
      <c r="Z337" s="82"/>
      <c r="AA337" s="82" t="s">
        <v>1164</v>
      </c>
      <c r="AB337" s="82"/>
      <c r="AC337" s="82" t="s">
        <v>353</v>
      </c>
      <c r="AD337" s="82" t="s">
        <v>1160</v>
      </c>
      <c r="AE337" s="82" t="s">
        <v>122</v>
      </c>
      <c r="AF337" s="82" t="s">
        <v>1165</v>
      </c>
      <c r="AG337" s="84" t="s">
        <v>774</v>
      </c>
      <c r="AH337" s="82"/>
      <c r="AI337" s="91"/>
      <c r="AJ337" s="82" t="s">
        <v>1052</v>
      </c>
      <c r="AK337" s="82" t="s">
        <v>122</v>
      </c>
      <c r="AL337" s="82" t="s">
        <v>205</v>
      </c>
      <c r="AM337" s="89" t="s">
        <v>852</v>
      </c>
      <c r="AN337" s="44">
        <v>0</v>
      </c>
      <c r="AO337" s="18">
        <v>0</v>
      </c>
      <c r="AP337" s="44">
        <v>0</v>
      </c>
      <c r="AQ337" s="44">
        <v>0</v>
      </c>
      <c r="AR337" s="44">
        <v>0</v>
      </c>
      <c r="AS337" s="44">
        <v>0</v>
      </c>
      <c r="AT337" s="18">
        <v>0</v>
      </c>
      <c r="AU337" s="18">
        <v>0</v>
      </c>
      <c r="AV337" s="44">
        <v>0</v>
      </c>
      <c r="AW337" s="18">
        <v>0</v>
      </c>
      <c r="AX337" s="44">
        <v>0</v>
      </c>
      <c r="AY337" s="44">
        <v>0</v>
      </c>
      <c r="AZ337" s="18">
        <v>0</v>
      </c>
      <c r="BA337" s="18">
        <v>0</v>
      </c>
      <c r="BB337" s="44">
        <v>0</v>
      </c>
      <c r="BC337" s="44">
        <v>1</v>
      </c>
      <c r="BD337" s="18">
        <v>0</v>
      </c>
      <c r="BE337" s="18">
        <v>0</v>
      </c>
      <c r="BF337" s="18">
        <v>0</v>
      </c>
      <c r="BG337" s="44">
        <v>0</v>
      </c>
      <c r="BH337" s="18">
        <v>0</v>
      </c>
      <c r="BI337" s="18">
        <v>0</v>
      </c>
      <c r="BJ337" s="18">
        <v>1</v>
      </c>
      <c r="BK337" s="18">
        <v>1</v>
      </c>
      <c r="BL337" s="18">
        <v>1</v>
      </c>
      <c r="BM337" s="18">
        <v>1</v>
      </c>
      <c r="BN337" s="18">
        <v>1</v>
      </c>
      <c r="BO337" s="18">
        <v>1</v>
      </c>
      <c r="BP337" s="18">
        <v>2</v>
      </c>
      <c r="BQ337" s="18">
        <v>1</v>
      </c>
      <c r="BR337" s="18">
        <v>2</v>
      </c>
      <c r="BS337" s="18">
        <v>2</v>
      </c>
      <c r="BT337" s="18">
        <v>1</v>
      </c>
      <c r="BU337" s="18">
        <v>0</v>
      </c>
      <c r="BV337" s="44">
        <f t="shared" si="38"/>
        <v>4</v>
      </c>
    </row>
    <row r="338" s="18" customFormat="1" ht="10.2" spans="1:74">
      <c r="A338" s="24">
        <f t="shared" si="45"/>
        <v>102</v>
      </c>
      <c r="B338" s="24" t="s">
        <v>1166</v>
      </c>
      <c r="C338" s="24"/>
      <c r="D338" s="67">
        <v>43709</v>
      </c>
      <c r="E338" s="24"/>
      <c r="F338" s="68"/>
      <c r="G338" s="69"/>
      <c r="H338" s="70"/>
      <c r="I338" s="77"/>
      <c r="J338" s="70"/>
      <c r="K338" s="77"/>
      <c r="L338" s="79">
        <v>2</v>
      </c>
      <c r="M338" s="24">
        <v>1.4</v>
      </c>
      <c r="N338" s="24"/>
      <c r="O338" s="24">
        <v>21.4</v>
      </c>
      <c r="P338" s="24"/>
      <c r="Q338" s="24"/>
      <c r="R338" s="24">
        <v>1.18</v>
      </c>
      <c r="S338" s="24"/>
      <c r="T338" s="24">
        <v>8.44</v>
      </c>
      <c r="U338" s="83"/>
      <c r="V338" s="82"/>
      <c r="W338" s="82"/>
      <c r="X338" s="82"/>
      <c r="Y338" s="82"/>
      <c r="Z338" s="82"/>
      <c r="AA338" s="82" t="s">
        <v>1167</v>
      </c>
      <c r="AB338" s="82"/>
      <c r="AC338" s="82" t="s">
        <v>353</v>
      </c>
      <c r="AD338" s="82" t="s">
        <v>1168</v>
      </c>
      <c r="AE338" s="82" t="s">
        <v>205</v>
      </c>
      <c r="AF338" s="82" t="s">
        <v>205</v>
      </c>
      <c r="AG338" s="84" t="s">
        <v>774</v>
      </c>
      <c r="AH338" s="82"/>
      <c r="AI338" s="91"/>
      <c r="AJ338" s="82" t="s">
        <v>205</v>
      </c>
      <c r="AK338" s="82" t="s">
        <v>122</v>
      </c>
      <c r="AL338" s="82" t="s">
        <v>205</v>
      </c>
      <c r="AM338" s="89" t="s">
        <v>852</v>
      </c>
      <c r="AN338" s="44">
        <v>0</v>
      </c>
      <c r="AO338" s="18">
        <v>0</v>
      </c>
      <c r="AP338" s="44">
        <v>0</v>
      </c>
      <c r="AQ338" s="44">
        <v>0</v>
      </c>
      <c r="AR338" s="44">
        <v>0</v>
      </c>
      <c r="AS338" s="44">
        <v>0</v>
      </c>
      <c r="AT338" s="18">
        <v>0</v>
      </c>
      <c r="AU338" s="18">
        <v>0</v>
      </c>
      <c r="AV338" s="44">
        <v>0</v>
      </c>
      <c r="AW338" s="18">
        <v>0</v>
      </c>
      <c r="AX338" s="44">
        <v>0</v>
      </c>
      <c r="AY338" s="44">
        <v>0</v>
      </c>
      <c r="AZ338" s="18">
        <v>0</v>
      </c>
      <c r="BA338" s="18">
        <v>0</v>
      </c>
      <c r="BB338" s="44">
        <v>0</v>
      </c>
      <c r="BC338" s="44">
        <v>1</v>
      </c>
      <c r="BD338" s="18">
        <v>0</v>
      </c>
      <c r="BE338" s="18">
        <v>0</v>
      </c>
      <c r="BF338" s="18">
        <v>0</v>
      </c>
      <c r="BG338" s="44">
        <v>0</v>
      </c>
      <c r="BH338" s="18">
        <v>0</v>
      </c>
      <c r="BI338" s="18">
        <v>0</v>
      </c>
      <c r="BJ338" s="18">
        <v>1</v>
      </c>
      <c r="BK338" s="18">
        <v>1</v>
      </c>
      <c r="BL338" s="18">
        <v>1</v>
      </c>
      <c r="BM338" s="18">
        <v>1</v>
      </c>
      <c r="BN338" s="18">
        <v>1</v>
      </c>
      <c r="BO338" s="18">
        <v>1</v>
      </c>
      <c r="BP338" s="18">
        <v>2</v>
      </c>
      <c r="BQ338" s="18">
        <v>2</v>
      </c>
      <c r="BR338" s="18">
        <v>2</v>
      </c>
      <c r="BS338" s="18">
        <v>2</v>
      </c>
      <c r="BT338" s="18">
        <v>1</v>
      </c>
      <c r="BU338" s="18">
        <v>0</v>
      </c>
      <c r="BV338" s="44">
        <f t="shared" si="38"/>
        <v>5</v>
      </c>
    </row>
    <row r="339" s="18" customFormat="1" ht="10.2" spans="1:74">
      <c r="A339" s="24">
        <f t="shared" si="45"/>
        <v>103</v>
      </c>
      <c r="B339" s="24" t="s">
        <v>1169</v>
      </c>
      <c r="C339" s="24"/>
      <c r="D339" s="67">
        <v>43709</v>
      </c>
      <c r="E339" s="24"/>
      <c r="F339" s="68"/>
      <c r="G339" s="69"/>
      <c r="H339" s="70"/>
      <c r="I339" s="77"/>
      <c r="J339" s="70"/>
      <c r="K339" s="77"/>
      <c r="L339" s="79">
        <v>2.2</v>
      </c>
      <c r="M339" s="24">
        <v>1.6</v>
      </c>
      <c r="N339" s="24"/>
      <c r="O339" s="24">
        <v>21.5</v>
      </c>
      <c r="P339" s="24"/>
      <c r="Q339" s="24"/>
      <c r="R339" s="24">
        <v>1.19</v>
      </c>
      <c r="S339" s="24"/>
      <c r="T339" s="24">
        <v>8.61</v>
      </c>
      <c r="U339" s="83"/>
      <c r="V339" s="82"/>
      <c r="W339" s="82"/>
      <c r="X339" s="82"/>
      <c r="Y339" s="82"/>
      <c r="Z339" s="82"/>
      <c r="AA339" s="82" t="s">
        <v>1170</v>
      </c>
      <c r="AB339" s="82"/>
      <c r="AC339" s="82" t="s">
        <v>353</v>
      </c>
      <c r="AD339" s="82"/>
      <c r="AE339" s="82"/>
      <c r="AF339" s="82"/>
      <c r="AG339" s="84" t="s">
        <v>774</v>
      </c>
      <c r="AH339" s="82"/>
      <c r="AI339" s="91"/>
      <c r="AJ339" s="82" t="s">
        <v>205</v>
      </c>
      <c r="AK339" s="82" t="s">
        <v>122</v>
      </c>
      <c r="AL339" s="82" t="s">
        <v>205</v>
      </c>
      <c r="AM339" s="89" t="s">
        <v>852</v>
      </c>
      <c r="AN339" s="44">
        <v>0</v>
      </c>
      <c r="AO339" s="18">
        <v>0</v>
      </c>
      <c r="AP339" s="44">
        <v>0</v>
      </c>
      <c r="AQ339" s="44">
        <v>0</v>
      </c>
      <c r="AR339" s="44">
        <v>0</v>
      </c>
      <c r="AS339" s="44">
        <v>0</v>
      </c>
      <c r="AT339" s="18">
        <v>0</v>
      </c>
      <c r="AU339" s="18">
        <v>0</v>
      </c>
      <c r="AV339" s="44">
        <v>0</v>
      </c>
      <c r="AW339" s="18">
        <v>0</v>
      </c>
      <c r="AX339" s="44">
        <v>0</v>
      </c>
      <c r="AY339" s="44">
        <v>0</v>
      </c>
      <c r="AZ339" s="18">
        <v>0</v>
      </c>
      <c r="BA339" s="18">
        <v>0</v>
      </c>
      <c r="BB339" s="44">
        <v>0</v>
      </c>
      <c r="BC339" s="44">
        <v>1</v>
      </c>
      <c r="BD339" s="18">
        <v>0</v>
      </c>
      <c r="BE339" s="18">
        <v>0</v>
      </c>
      <c r="BF339" s="18">
        <v>0</v>
      </c>
      <c r="BG339" s="44">
        <v>0</v>
      </c>
      <c r="BH339" s="18">
        <v>0</v>
      </c>
      <c r="BI339" s="18">
        <v>0</v>
      </c>
      <c r="BJ339" s="18">
        <v>1</v>
      </c>
      <c r="BK339" s="18">
        <v>1</v>
      </c>
      <c r="BL339" s="18">
        <v>1</v>
      </c>
      <c r="BM339" s="18">
        <v>1</v>
      </c>
      <c r="BN339" s="18">
        <v>1</v>
      </c>
      <c r="BO339" s="18">
        <v>1</v>
      </c>
      <c r="BP339" s="18">
        <v>2</v>
      </c>
      <c r="BQ339" s="18">
        <v>2</v>
      </c>
      <c r="BR339" s="18">
        <v>2</v>
      </c>
      <c r="BS339" s="18">
        <v>2</v>
      </c>
      <c r="BT339" s="18">
        <v>1</v>
      </c>
      <c r="BU339" s="18">
        <v>0</v>
      </c>
      <c r="BV339" s="44">
        <f t="shared" si="38"/>
        <v>5</v>
      </c>
    </row>
    <row r="340" s="18" customFormat="1" ht="10.2" spans="1:74">
      <c r="A340" s="24">
        <f t="shared" si="45"/>
        <v>104</v>
      </c>
      <c r="B340" s="24" t="s">
        <v>1171</v>
      </c>
      <c r="C340" s="24"/>
      <c r="D340" s="67">
        <v>43709</v>
      </c>
      <c r="E340" s="24"/>
      <c r="F340" s="68">
        <v>59.5390333333333</v>
      </c>
      <c r="G340" s="69">
        <v>27.90675</v>
      </c>
      <c r="H340" s="70">
        <f t="shared" si="44"/>
        <v>59</v>
      </c>
      <c r="I340" s="77">
        <f t="shared" si="41"/>
        <v>32.3420000000002</v>
      </c>
      <c r="J340" s="70">
        <f t="shared" si="43"/>
        <v>27</v>
      </c>
      <c r="K340" s="77">
        <f t="shared" si="42"/>
        <v>54.4049999999999</v>
      </c>
      <c r="L340" s="79">
        <v>21</v>
      </c>
      <c r="M340" s="24">
        <v>3.3</v>
      </c>
      <c r="N340" s="24"/>
      <c r="O340" s="24">
        <v>21.1</v>
      </c>
      <c r="P340" s="24">
        <v>18</v>
      </c>
      <c r="Q340" s="24"/>
      <c r="R340" s="24">
        <v>3.78</v>
      </c>
      <c r="S340" s="24">
        <v>3.79</v>
      </c>
      <c r="T340" s="24">
        <v>8.6</v>
      </c>
      <c r="U340" s="83">
        <v>8.41</v>
      </c>
      <c r="V340" s="82"/>
      <c r="W340" s="82"/>
      <c r="X340" s="82"/>
      <c r="Y340" s="82"/>
      <c r="Z340" s="82"/>
      <c r="AA340" s="82" t="s">
        <v>1172</v>
      </c>
      <c r="AB340" s="82"/>
      <c r="AC340" s="82" t="s">
        <v>143</v>
      </c>
      <c r="AD340" s="82" t="s">
        <v>1173</v>
      </c>
      <c r="AE340" s="82" t="s">
        <v>205</v>
      </c>
      <c r="AF340" s="82" t="s">
        <v>205</v>
      </c>
      <c r="AG340" s="82" t="s">
        <v>774</v>
      </c>
      <c r="AH340" s="82"/>
      <c r="AI340" s="91"/>
      <c r="AJ340" s="82" t="s">
        <v>205</v>
      </c>
      <c r="AK340" s="82" t="s">
        <v>122</v>
      </c>
      <c r="AL340" s="82" t="s">
        <v>205</v>
      </c>
      <c r="AM340" s="89" t="s">
        <v>852</v>
      </c>
      <c r="AN340" s="44">
        <v>0</v>
      </c>
      <c r="AO340" s="18">
        <v>0</v>
      </c>
      <c r="AP340" s="44">
        <v>0</v>
      </c>
      <c r="AQ340" s="44">
        <v>0</v>
      </c>
      <c r="AR340" s="44">
        <v>0</v>
      </c>
      <c r="AS340" s="44">
        <v>0</v>
      </c>
      <c r="AT340" s="18">
        <v>0</v>
      </c>
      <c r="AU340" s="18">
        <v>0</v>
      </c>
      <c r="AV340" s="44">
        <v>0</v>
      </c>
      <c r="AW340" s="18">
        <v>0</v>
      </c>
      <c r="AX340" s="44">
        <v>3</v>
      </c>
      <c r="AY340" s="44">
        <v>0</v>
      </c>
      <c r="AZ340" s="18">
        <v>0</v>
      </c>
      <c r="BA340" s="18">
        <v>0</v>
      </c>
      <c r="BB340" s="44">
        <v>0</v>
      </c>
      <c r="BC340" s="44">
        <v>0</v>
      </c>
      <c r="BD340" s="18">
        <v>0</v>
      </c>
      <c r="BE340" s="18">
        <v>0</v>
      </c>
      <c r="BF340" s="18">
        <v>0</v>
      </c>
      <c r="BG340" s="44">
        <v>0</v>
      </c>
      <c r="BH340" s="18">
        <v>0</v>
      </c>
      <c r="BI340" s="18">
        <v>0</v>
      </c>
      <c r="BJ340" s="18">
        <v>1</v>
      </c>
      <c r="BK340" s="18">
        <v>2</v>
      </c>
      <c r="BL340" s="18">
        <v>3</v>
      </c>
      <c r="BM340" s="18">
        <v>1</v>
      </c>
      <c r="BN340" s="18">
        <v>0</v>
      </c>
      <c r="BO340" s="18">
        <v>0</v>
      </c>
      <c r="BP340" s="18">
        <v>2</v>
      </c>
      <c r="BQ340" s="18">
        <v>3</v>
      </c>
      <c r="BR340" s="18">
        <v>2</v>
      </c>
      <c r="BS340" s="18">
        <v>2</v>
      </c>
      <c r="BT340" s="18">
        <v>0</v>
      </c>
      <c r="BU340" s="18">
        <v>0</v>
      </c>
      <c r="BV340" s="44">
        <f t="shared" si="38"/>
        <v>8</v>
      </c>
    </row>
    <row r="341" s="18" customFormat="1" ht="10.2" spans="1:74">
      <c r="A341" s="24">
        <f t="shared" si="45"/>
        <v>105</v>
      </c>
      <c r="B341" s="24" t="s">
        <v>1174</v>
      </c>
      <c r="C341" s="24"/>
      <c r="D341" s="67">
        <v>43709</v>
      </c>
      <c r="E341" s="24"/>
      <c r="F341" s="68">
        <v>59.55145</v>
      </c>
      <c r="G341" s="69">
        <v>27.8542</v>
      </c>
      <c r="H341" s="70">
        <f t="shared" si="44"/>
        <v>59</v>
      </c>
      <c r="I341" s="77">
        <f t="shared" si="41"/>
        <v>33.0870000000002</v>
      </c>
      <c r="J341" s="70">
        <f t="shared" si="43"/>
        <v>27</v>
      </c>
      <c r="K341" s="77">
        <f t="shared" si="42"/>
        <v>51.2519999999999</v>
      </c>
      <c r="L341" s="79">
        <v>27</v>
      </c>
      <c r="M341" s="24">
        <v>3.3</v>
      </c>
      <c r="N341" s="24"/>
      <c r="O341" s="24">
        <v>21</v>
      </c>
      <c r="P341" s="24">
        <v>18</v>
      </c>
      <c r="Q341" s="24"/>
      <c r="R341" s="24">
        <v>3.71</v>
      </c>
      <c r="S341" s="24">
        <v>3.91</v>
      </c>
      <c r="T341" s="24">
        <v>7.81</v>
      </c>
      <c r="U341" s="83">
        <v>8.55</v>
      </c>
      <c r="V341" s="82"/>
      <c r="W341" s="82"/>
      <c r="X341" s="82"/>
      <c r="Y341" s="82"/>
      <c r="Z341" s="82"/>
      <c r="AA341" s="82" t="s">
        <v>1175</v>
      </c>
      <c r="AB341" s="82"/>
      <c r="AC341" s="82"/>
      <c r="AD341" s="82" t="s">
        <v>1176</v>
      </c>
      <c r="AE341" s="82" t="s">
        <v>205</v>
      </c>
      <c r="AF341" s="82" t="s">
        <v>205</v>
      </c>
      <c r="AG341" s="82" t="s">
        <v>774</v>
      </c>
      <c r="AH341" s="82"/>
      <c r="AI341" s="91"/>
      <c r="AJ341" s="82" t="s">
        <v>205</v>
      </c>
      <c r="AK341" s="82" t="s">
        <v>122</v>
      </c>
      <c r="AL341" s="82" t="s">
        <v>205</v>
      </c>
      <c r="AM341" s="89" t="s">
        <v>852</v>
      </c>
      <c r="AN341" s="44">
        <v>0</v>
      </c>
      <c r="AO341" s="18">
        <v>0</v>
      </c>
      <c r="AP341" s="44">
        <v>0</v>
      </c>
      <c r="AQ341" s="44">
        <v>0</v>
      </c>
      <c r="AR341" s="44">
        <v>0</v>
      </c>
      <c r="AS341" s="44">
        <v>0</v>
      </c>
      <c r="AT341" s="18">
        <v>0</v>
      </c>
      <c r="AU341" s="18">
        <v>0</v>
      </c>
      <c r="AV341" s="44">
        <v>0</v>
      </c>
      <c r="AW341" s="18">
        <v>0</v>
      </c>
      <c r="AX341" s="44">
        <v>5</v>
      </c>
      <c r="AY341" s="44">
        <v>0</v>
      </c>
      <c r="AZ341" s="18">
        <v>0</v>
      </c>
      <c r="BA341" s="18">
        <v>0</v>
      </c>
      <c r="BB341" s="44">
        <v>0</v>
      </c>
      <c r="BC341" s="44">
        <v>0</v>
      </c>
      <c r="BD341" s="18">
        <v>0</v>
      </c>
      <c r="BE341" s="18">
        <v>0</v>
      </c>
      <c r="BF341" s="18">
        <v>0</v>
      </c>
      <c r="BG341" s="44">
        <v>0</v>
      </c>
      <c r="BH341" s="18">
        <v>0</v>
      </c>
      <c r="BI341" s="18">
        <v>0</v>
      </c>
      <c r="BJ341" s="18">
        <v>1</v>
      </c>
      <c r="BK341" s="18">
        <v>3</v>
      </c>
      <c r="BL341" s="18">
        <v>3</v>
      </c>
      <c r="BM341" s="18">
        <v>1</v>
      </c>
      <c r="BN341" s="18">
        <v>0</v>
      </c>
      <c r="BO341" s="18">
        <v>0</v>
      </c>
      <c r="BP341" s="18">
        <v>2</v>
      </c>
      <c r="BQ341" s="18">
        <v>3</v>
      </c>
      <c r="BR341" s="18">
        <v>2</v>
      </c>
      <c r="BS341" s="18">
        <v>2</v>
      </c>
      <c r="BT341" s="18">
        <v>0</v>
      </c>
      <c r="BU341" s="18">
        <v>0</v>
      </c>
      <c r="BV341" s="44">
        <f t="shared" si="38"/>
        <v>9</v>
      </c>
    </row>
    <row r="342" s="18" customFormat="1" ht="10.2" spans="1:74">
      <c r="A342" s="24">
        <f t="shared" si="45"/>
        <v>106</v>
      </c>
      <c r="B342" s="24" t="s">
        <v>1177</v>
      </c>
      <c r="C342" s="24"/>
      <c r="D342" s="67">
        <v>43709</v>
      </c>
      <c r="E342" s="24"/>
      <c r="F342" s="68">
        <v>59.5839333333333</v>
      </c>
      <c r="G342" s="69">
        <v>27.78145</v>
      </c>
      <c r="H342" s="70">
        <f t="shared" si="44"/>
        <v>59</v>
      </c>
      <c r="I342" s="77">
        <f t="shared" si="41"/>
        <v>35.0360000000001</v>
      </c>
      <c r="J342" s="70">
        <f t="shared" si="43"/>
        <v>27</v>
      </c>
      <c r="K342" s="77">
        <f t="shared" si="42"/>
        <v>46.887</v>
      </c>
      <c r="L342" s="79">
        <v>32</v>
      </c>
      <c r="M342" s="24">
        <v>4</v>
      </c>
      <c r="N342" s="24"/>
      <c r="O342" s="24">
        <v>20.5</v>
      </c>
      <c r="P342" s="24"/>
      <c r="Q342" s="24"/>
      <c r="R342" s="24">
        <v>3.68</v>
      </c>
      <c r="S342" s="24"/>
      <c r="T342" s="24">
        <v>8.5</v>
      </c>
      <c r="U342" s="83"/>
      <c r="V342" s="82"/>
      <c r="W342" s="82"/>
      <c r="X342" s="82"/>
      <c r="Y342" s="82"/>
      <c r="Z342" s="82"/>
      <c r="AA342" s="82" t="s">
        <v>1178</v>
      </c>
      <c r="AB342" s="82"/>
      <c r="AC342" s="82"/>
      <c r="AD342" s="82" t="s">
        <v>1179</v>
      </c>
      <c r="AE342" s="82" t="s">
        <v>810</v>
      </c>
      <c r="AF342" s="82" t="s">
        <v>1180</v>
      </c>
      <c r="AG342" s="82" t="s">
        <v>811</v>
      </c>
      <c r="AH342" s="82"/>
      <c r="AI342" s="91"/>
      <c r="AJ342" s="82" t="s">
        <v>205</v>
      </c>
      <c r="AK342" s="82" t="s">
        <v>122</v>
      </c>
      <c r="AL342" s="82" t="s">
        <v>205</v>
      </c>
      <c r="AM342" s="89" t="s">
        <v>852</v>
      </c>
      <c r="AN342" s="44">
        <v>0</v>
      </c>
      <c r="AO342" s="18">
        <v>0</v>
      </c>
      <c r="AP342" s="44">
        <v>0</v>
      </c>
      <c r="AQ342" s="44">
        <v>0</v>
      </c>
      <c r="AR342" s="44">
        <v>0</v>
      </c>
      <c r="AS342" s="44">
        <v>0</v>
      </c>
      <c r="AT342" s="18">
        <v>0</v>
      </c>
      <c r="AU342" s="18">
        <v>0</v>
      </c>
      <c r="AV342" s="44">
        <v>0</v>
      </c>
      <c r="AW342" s="18">
        <v>0</v>
      </c>
      <c r="AX342" s="44">
        <v>5</v>
      </c>
      <c r="AY342" s="44">
        <v>0</v>
      </c>
      <c r="AZ342" s="18">
        <v>0</v>
      </c>
      <c r="BA342" s="18">
        <v>0</v>
      </c>
      <c r="BB342" s="44">
        <v>0</v>
      </c>
      <c r="BC342" s="44">
        <v>0</v>
      </c>
      <c r="BD342" s="18">
        <v>0</v>
      </c>
      <c r="BE342" s="18">
        <v>0</v>
      </c>
      <c r="BF342" s="18">
        <v>0</v>
      </c>
      <c r="BG342" s="44">
        <v>0</v>
      </c>
      <c r="BH342" s="18">
        <v>0</v>
      </c>
      <c r="BI342" s="18">
        <v>0</v>
      </c>
      <c r="BJ342" s="18">
        <v>1</v>
      </c>
      <c r="BK342" s="18">
        <v>2</v>
      </c>
      <c r="BL342" s="18">
        <v>3</v>
      </c>
      <c r="BM342" s="18">
        <v>1</v>
      </c>
      <c r="BN342" s="18">
        <v>0</v>
      </c>
      <c r="BO342" s="18">
        <v>0</v>
      </c>
      <c r="BP342" s="18">
        <v>2</v>
      </c>
      <c r="BQ342" s="18">
        <v>3</v>
      </c>
      <c r="BR342" s="18">
        <v>2</v>
      </c>
      <c r="BS342" s="18">
        <v>2</v>
      </c>
      <c r="BT342" s="18">
        <v>0</v>
      </c>
      <c r="BU342" s="18">
        <v>0</v>
      </c>
      <c r="BV342" s="44">
        <f t="shared" si="38"/>
        <v>8</v>
      </c>
    </row>
    <row r="343" s="18" customFormat="1" ht="10.2" spans="1:74">
      <c r="A343" s="24">
        <v>107</v>
      </c>
      <c r="B343" s="24" t="s">
        <v>1181</v>
      </c>
      <c r="C343" s="24"/>
      <c r="D343" s="67">
        <v>43710</v>
      </c>
      <c r="E343" s="24"/>
      <c r="F343" s="68">
        <v>59.9001833333333</v>
      </c>
      <c r="G343" s="69">
        <v>28.1017333333333</v>
      </c>
      <c r="H343" s="70">
        <f t="shared" si="44"/>
        <v>59</v>
      </c>
      <c r="I343" s="77">
        <f t="shared" si="41"/>
        <v>54.0109999999999</v>
      </c>
      <c r="J343" s="70">
        <f t="shared" si="43"/>
        <v>28</v>
      </c>
      <c r="K343" s="77">
        <f t="shared" si="42"/>
        <v>6.10399999999991</v>
      </c>
      <c r="L343" s="79">
        <v>9</v>
      </c>
      <c r="M343" s="24">
        <v>3.3</v>
      </c>
      <c r="N343" s="24"/>
      <c r="O343" s="24">
        <v>18.8</v>
      </c>
      <c r="P343" s="24"/>
      <c r="Q343" s="24"/>
      <c r="R343" s="24">
        <v>3.39</v>
      </c>
      <c r="S343" s="24"/>
      <c r="T343" s="24">
        <v>8.71</v>
      </c>
      <c r="U343" s="83"/>
      <c r="V343" s="82"/>
      <c r="W343" s="82"/>
      <c r="X343" s="82"/>
      <c r="Y343" s="82"/>
      <c r="Z343" s="82"/>
      <c r="AA343" s="82" t="s">
        <v>1182</v>
      </c>
      <c r="AB343" s="82"/>
      <c r="AC343" s="82" t="s">
        <v>1183</v>
      </c>
      <c r="AD343" s="82" t="s">
        <v>1184</v>
      </c>
      <c r="AE343" s="82" t="s">
        <v>122</v>
      </c>
      <c r="AF343" s="82" t="s">
        <v>1185</v>
      </c>
      <c r="AG343" s="82" t="s">
        <v>961</v>
      </c>
      <c r="AH343" s="82" t="s">
        <v>205</v>
      </c>
      <c r="AI343" s="91"/>
      <c r="AJ343" s="82" t="s">
        <v>205</v>
      </c>
      <c r="AK343" s="82" t="s">
        <v>122</v>
      </c>
      <c r="AL343" s="82" t="s">
        <v>205</v>
      </c>
      <c r="AM343" s="89" t="s">
        <v>852</v>
      </c>
      <c r="AN343" s="44">
        <v>1</v>
      </c>
      <c r="AO343" s="18">
        <v>0</v>
      </c>
      <c r="AP343" s="44">
        <v>0</v>
      </c>
      <c r="AQ343" s="44">
        <v>1</v>
      </c>
      <c r="AR343" s="44">
        <v>0</v>
      </c>
      <c r="AS343" s="44">
        <v>0</v>
      </c>
      <c r="AT343" s="18">
        <v>0</v>
      </c>
      <c r="AU343" s="18">
        <v>0</v>
      </c>
      <c r="AV343" s="44">
        <v>0</v>
      </c>
      <c r="AW343" s="18">
        <v>0</v>
      </c>
      <c r="AX343" s="44">
        <v>0</v>
      </c>
      <c r="AY343" s="44">
        <v>0</v>
      </c>
      <c r="AZ343" s="18">
        <v>0</v>
      </c>
      <c r="BA343" s="18">
        <v>0</v>
      </c>
      <c r="BB343" s="44">
        <v>0</v>
      </c>
      <c r="BC343" s="44">
        <v>0</v>
      </c>
      <c r="BD343" s="18">
        <v>0</v>
      </c>
      <c r="BE343" s="18">
        <v>0</v>
      </c>
      <c r="BF343" s="18">
        <v>0</v>
      </c>
      <c r="BG343" s="44">
        <v>0</v>
      </c>
      <c r="BH343" s="18">
        <v>0</v>
      </c>
      <c r="BI343" s="18">
        <v>0</v>
      </c>
      <c r="BJ343" s="18">
        <v>2</v>
      </c>
      <c r="BK343" s="18">
        <v>1</v>
      </c>
      <c r="BL343" s="18">
        <v>3</v>
      </c>
      <c r="BM343" s="18">
        <v>1</v>
      </c>
      <c r="BN343" s="18">
        <v>1</v>
      </c>
      <c r="BO343" s="18">
        <v>1</v>
      </c>
      <c r="BP343" s="18">
        <v>1</v>
      </c>
      <c r="BQ343" s="18">
        <v>1</v>
      </c>
      <c r="BR343" s="18">
        <v>2</v>
      </c>
      <c r="BS343" s="18">
        <v>2</v>
      </c>
      <c r="BT343" s="18">
        <v>0</v>
      </c>
      <c r="BU343" s="18">
        <v>0</v>
      </c>
      <c r="BV343" s="44">
        <f t="shared" si="38"/>
        <v>7</v>
      </c>
    </row>
    <row r="344" s="18" customFormat="1" ht="10.2" spans="1:74">
      <c r="A344" s="24">
        <f>A343+1</f>
        <v>108</v>
      </c>
      <c r="B344" s="24" t="s">
        <v>1186</v>
      </c>
      <c r="C344" s="24"/>
      <c r="D344" s="67">
        <v>43710</v>
      </c>
      <c r="E344" s="24"/>
      <c r="F344" s="68">
        <v>59.8954333333333</v>
      </c>
      <c r="G344" s="69">
        <v>28.1040166666667</v>
      </c>
      <c r="H344" s="70">
        <f t="shared" si="44"/>
        <v>59</v>
      </c>
      <c r="I344" s="77">
        <f t="shared" si="41"/>
        <v>53.7260000000002</v>
      </c>
      <c r="J344" s="70">
        <f t="shared" si="43"/>
        <v>28</v>
      </c>
      <c r="K344" s="77">
        <f t="shared" si="42"/>
        <v>6.24099999999999</v>
      </c>
      <c r="L344" s="79">
        <v>9</v>
      </c>
      <c r="M344" s="24">
        <v>3</v>
      </c>
      <c r="N344" s="24"/>
      <c r="O344" s="24"/>
      <c r="P344" s="24"/>
      <c r="Q344" s="24"/>
      <c r="R344" s="24"/>
      <c r="S344" s="24"/>
      <c r="T344" s="24"/>
      <c r="AC344" s="18" t="s">
        <v>1187</v>
      </c>
      <c r="AE344" s="18" t="s">
        <v>205</v>
      </c>
      <c r="AF344" s="18" t="s">
        <v>205</v>
      </c>
      <c r="AG344" s="82" t="s">
        <v>774</v>
      </c>
      <c r="AH344" s="18" t="s">
        <v>205</v>
      </c>
      <c r="AI344" s="20"/>
      <c r="AJ344" s="18" t="s">
        <v>205</v>
      </c>
      <c r="AK344" s="18" t="s">
        <v>122</v>
      </c>
      <c r="AL344" s="18" t="s">
        <v>205</v>
      </c>
      <c r="AM344" s="89" t="s">
        <v>852</v>
      </c>
      <c r="AN344" s="44">
        <v>0</v>
      </c>
      <c r="AO344" s="18">
        <v>0</v>
      </c>
      <c r="AP344" s="44">
        <v>0</v>
      </c>
      <c r="AQ344" s="44">
        <v>0</v>
      </c>
      <c r="AR344" s="44">
        <v>0</v>
      </c>
      <c r="AS344" s="44">
        <v>0</v>
      </c>
      <c r="AT344" s="18">
        <v>0</v>
      </c>
      <c r="AU344" s="18">
        <v>0</v>
      </c>
      <c r="AV344" s="44">
        <v>0</v>
      </c>
      <c r="AW344" s="18">
        <v>0</v>
      </c>
      <c r="AX344" s="44">
        <v>0</v>
      </c>
      <c r="AY344" s="44">
        <v>0</v>
      </c>
      <c r="AZ344" s="18">
        <v>0</v>
      </c>
      <c r="BA344" s="18">
        <v>0</v>
      </c>
      <c r="BB344" s="44">
        <v>0</v>
      </c>
      <c r="BC344" s="44">
        <v>0</v>
      </c>
      <c r="BD344" s="18">
        <v>0</v>
      </c>
      <c r="BE344" s="18">
        <v>0</v>
      </c>
      <c r="BF344" s="18">
        <v>0</v>
      </c>
      <c r="BG344" s="44">
        <v>0</v>
      </c>
      <c r="BH344" s="18">
        <v>0</v>
      </c>
      <c r="BI344" s="18">
        <v>0</v>
      </c>
      <c r="BJ344" s="18">
        <v>0</v>
      </c>
      <c r="BK344" s="18">
        <v>0</v>
      </c>
      <c r="BL344" s="18">
        <v>3</v>
      </c>
      <c r="BM344" s="18">
        <v>2</v>
      </c>
      <c r="BN344" s="18">
        <v>1</v>
      </c>
      <c r="BO344" s="18">
        <v>1</v>
      </c>
      <c r="BP344" s="18">
        <v>1</v>
      </c>
      <c r="BQ344" s="18">
        <v>1</v>
      </c>
      <c r="BR344" s="18">
        <v>2</v>
      </c>
      <c r="BS344" s="18">
        <v>2</v>
      </c>
      <c r="BT344" s="18">
        <v>0</v>
      </c>
      <c r="BU344" s="18">
        <v>0</v>
      </c>
      <c r="BV344" s="44">
        <f t="shared" si="38"/>
        <v>5</v>
      </c>
    </row>
    <row r="345" s="18" customFormat="1" ht="10.2" spans="1:74">
      <c r="A345" s="24">
        <f t="shared" ref="A345:A352" si="46">A344+1</f>
        <v>109</v>
      </c>
      <c r="B345" s="24" t="s">
        <v>1188</v>
      </c>
      <c r="C345" s="24"/>
      <c r="D345" s="67">
        <v>43710</v>
      </c>
      <c r="E345" s="24"/>
      <c r="F345" s="68">
        <v>59.8925</v>
      </c>
      <c r="G345" s="69">
        <v>28.1040166666667</v>
      </c>
      <c r="H345" s="70">
        <f t="shared" si="44"/>
        <v>59</v>
      </c>
      <c r="I345" s="77">
        <f t="shared" si="41"/>
        <v>53.5499999999999</v>
      </c>
      <c r="J345" s="70">
        <f t="shared" si="43"/>
        <v>28</v>
      </c>
      <c r="K345" s="77">
        <f t="shared" si="42"/>
        <v>6.24099999999999</v>
      </c>
      <c r="L345" s="79">
        <v>9</v>
      </c>
      <c r="M345" s="24">
        <v>3</v>
      </c>
      <c r="N345" s="24"/>
      <c r="O345" s="24"/>
      <c r="P345" s="24"/>
      <c r="Q345" s="24"/>
      <c r="R345" s="24"/>
      <c r="S345" s="24"/>
      <c r="T345" s="24"/>
      <c r="AC345" s="18" t="s">
        <v>1187</v>
      </c>
      <c r="AD345" s="18" t="s">
        <v>1189</v>
      </c>
      <c r="AE345" s="18" t="s">
        <v>205</v>
      </c>
      <c r="AF345" s="18" t="s">
        <v>205</v>
      </c>
      <c r="AG345" s="82" t="s">
        <v>774</v>
      </c>
      <c r="AH345" s="18" t="s">
        <v>1190</v>
      </c>
      <c r="AI345" s="20"/>
      <c r="AJ345" s="18" t="s">
        <v>205</v>
      </c>
      <c r="AK345" s="18" t="s">
        <v>205</v>
      </c>
      <c r="AL345" s="18" t="s">
        <v>779</v>
      </c>
      <c r="AM345" s="89" t="s">
        <v>852</v>
      </c>
      <c r="AN345" s="44">
        <v>1</v>
      </c>
      <c r="AO345" s="18">
        <v>0</v>
      </c>
      <c r="AP345" s="44">
        <v>1</v>
      </c>
      <c r="AQ345" s="44">
        <v>2</v>
      </c>
      <c r="AR345" s="44">
        <v>0</v>
      </c>
      <c r="AS345" s="44">
        <v>0</v>
      </c>
      <c r="AT345" s="18">
        <v>0</v>
      </c>
      <c r="AU345" s="18">
        <v>0</v>
      </c>
      <c r="AV345" s="44">
        <v>0</v>
      </c>
      <c r="AW345" s="18">
        <v>0</v>
      </c>
      <c r="AX345" s="44">
        <v>0</v>
      </c>
      <c r="AY345" s="44">
        <v>0</v>
      </c>
      <c r="AZ345" s="18">
        <v>0</v>
      </c>
      <c r="BA345" s="18">
        <v>0</v>
      </c>
      <c r="BB345" s="44">
        <v>0</v>
      </c>
      <c r="BC345" s="44">
        <v>0</v>
      </c>
      <c r="BD345" s="18">
        <v>0</v>
      </c>
      <c r="BE345" s="18">
        <v>0</v>
      </c>
      <c r="BF345" s="18">
        <v>0</v>
      </c>
      <c r="BG345" s="44">
        <v>0</v>
      </c>
      <c r="BH345" s="18">
        <v>0</v>
      </c>
      <c r="BI345" s="18">
        <v>0</v>
      </c>
      <c r="BJ345" s="18">
        <v>3</v>
      </c>
      <c r="BK345" s="18">
        <v>1</v>
      </c>
      <c r="BL345" s="18">
        <v>3</v>
      </c>
      <c r="BM345" s="18">
        <v>2</v>
      </c>
      <c r="BN345" s="18">
        <v>1</v>
      </c>
      <c r="BO345" s="18">
        <v>1</v>
      </c>
      <c r="BP345" s="18">
        <v>1</v>
      </c>
      <c r="BQ345" s="18">
        <v>1</v>
      </c>
      <c r="BR345" s="18">
        <v>2</v>
      </c>
      <c r="BS345" s="18">
        <v>2</v>
      </c>
      <c r="BT345" s="18">
        <v>0</v>
      </c>
      <c r="BU345" s="18">
        <v>0</v>
      </c>
      <c r="BV345" s="44">
        <f t="shared" si="38"/>
        <v>9</v>
      </c>
    </row>
    <row r="346" s="18" customFormat="1" ht="10.2" spans="1:74">
      <c r="A346" s="24">
        <f t="shared" si="46"/>
        <v>110</v>
      </c>
      <c r="B346" s="24" t="s">
        <v>1191</v>
      </c>
      <c r="C346" s="24"/>
      <c r="D346" s="67">
        <v>43710</v>
      </c>
      <c r="E346" s="24"/>
      <c r="F346" s="68">
        <v>59.8994</v>
      </c>
      <c r="G346" s="69">
        <v>28.1228666666667</v>
      </c>
      <c r="H346" s="70">
        <f t="shared" si="44"/>
        <v>59</v>
      </c>
      <c r="I346" s="77">
        <f t="shared" si="41"/>
        <v>53.964</v>
      </c>
      <c r="J346" s="70">
        <f t="shared" si="43"/>
        <v>28</v>
      </c>
      <c r="K346" s="77">
        <f t="shared" si="42"/>
        <v>7.37200000000001</v>
      </c>
      <c r="L346" s="79">
        <v>36</v>
      </c>
      <c r="M346" s="24">
        <v>4</v>
      </c>
      <c r="N346" s="24"/>
      <c r="O346" s="24">
        <v>19</v>
      </c>
      <c r="P346" s="24"/>
      <c r="Q346" s="24"/>
      <c r="R346" s="24">
        <v>3.37</v>
      </c>
      <c r="S346" s="24"/>
      <c r="T346" s="24">
        <v>8.49</v>
      </c>
      <c r="AA346" s="18" t="s">
        <v>1192</v>
      </c>
      <c r="AB346" s="18" t="s">
        <v>1193</v>
      </c>
      <c r="AC346" s="18" t="s">
        <v>1194</v>
      </c>
      <c r="AD346" s="18" t="s">
        <v>1195</v>
      </c>
      <c r="AE346" s="18" t="s">
        <v>1196</v>
      </c>
      <c r="AF346" s="18" t="s">
        <v>1197</v>
      </c>
      <c r="AG346" s="82" t="s">
        <v>774</v>
      </c>
      <c r="AH346" s="18" t="s">
        <v>205</v>
      </c>
      <c r="AI346" s="20"/>
      <c r="AJ346" s="18" t="s">
        <v>205</v>
      </c>
      <c r="AK346" s="18" t="s">
        <v>122</v>
      </c>
      <c r="AL346" s="18" t="s">
        <v>205</v>
      </c>
      <c r="AM346" s="89" t="s">
        <v>852</v>
      </c>
      <c r="AN346" s="44">
        <v>0</v>
      </c>
      <c r="AO346" s="18">
        <v>0</v>
      </c>
      <c r="AP346" s="44">
        <v>0</v>
      </c>
      <c r="AQ346" s="44">
        <v>0</v>
      </c>
      <c r="AR346" s="44">
        <v>0</v>
      </c>
      <c r="AS346" s="44">
        <v>0</v>
      </c>
      <c r="AT346" s="18">
        <v>0</v>
      </c>
      <c r="AU346" s="18">
        <v>0</v>
      </c>
      <c r="AV346" s="44">
        <v>0</v>
      </c>
      <c r="AW346" s="18">
        <v>0</v>
      </c>
      <c r="AX346" s="44">
        <v>2</v>
      </c>
      <c r="AY346" s="44">
        <v>0</v>
      </c>
      <c r="AZ346" s="18">
        <v>0</v>
      </c>
      <c r="BA346" s="18">
        <v>0</v>
      </c>
      <c r="BB346" s="44">
        <v>0</v>
      </c>
      <c r="BC346" s="44">
        <v>0</v>
      </c>
      <c r="BD346" s="18">
        <v>0</v>
      </c>
      <c r="BE346" s="18">
        <v>0</v>
      </c>
      <c r="BF346" s="18">
        <v>0</v>
      </c>
      <c r="BG346" s="44">
        <v>0</v>
      </c>
      <c r="BH346" s="18">
        <v>0</v>
      </c>
      <c r="BI346" s="18">
        <v>0</v>
      </c>
      <c r="BJ346" s="18">
        <v>1</v>
      </c>
      <c r="BK346" s="18">
        <v>2</v>
      </c>
      <c r="BL346" s="18">
        <v>3</v>
      </c>
      <c r="BM346" s="18">
        <v>1</v>
      </c>
      <c r="BN346" s="18">
        <v>0</v>
      </c>
      <c r="BO346" s="18">
        <v>0</v>
      </c>
      <c r="BP346" s="18">
        <v>1</v>
      </c>
      <c r="BQ346" s="18">
        <v>1</v>
      </c>
      <c r="BR346" s="18">
        <v>2</v>
      </c>
      <c r="BS346" s="18">
        <v>2</v>
      </c>
      <c r="BT346" s="18">
        <v>0</v>
      </c>
      <c r="BU346" s="18">
        <v>0</v>
      </c>
      <c r="BV346" s="44">
        <f t="shared" si="38"/>
        <v>5</v>
      </c>
    </row>
    <row r="347" s="18" customFormat="1" ht="10.2" spans="1:74">
      <c r="A347" s="24">
        <f t="shared" si="46"/>
        <v>111</v>
      </c>
      <c r="B347" s="24" t="s">
        <v>1198</v>
      </c>
      <c r="C347" s="24"/>
      <c r="D347" s="67">
        <v>43710</v>
      </c>
      <c r="E347" s="24"/>
      <c r="F347" s="68">
        <v>59.8908166666667</v>
      </c>
      <c r="G347" s="69">
        <v>28.1141833333333</v>
      </c>
      <c r="H347" s="70">
        <f t="shared" si="44"/>
        <v>59</v>
      </c>
      <c r="I347" s="77">
        <f t="shared" si="41"/>
        <v>53.449</v>
      </c>
      <c r="J347" s="70">
        <f t="shared" si="43"/>
        <v>28</v>
      </c>
      <c r="K347" s="77">
        <f t="shared" si="42"/>
        <v>6.85099999999998</v>
      </c>
      <c r="L347" s="79">
        <v>30</v>
      </c>
      <c r="M347" s="24">
        <v>4</v>
      </c>
      <c r="N347" s="24"/>
      <c r="O347" s="24">
        <v>19.4</v>
      </c>
      <c r="P347" s="24"/>
      <c r="Q347" s="24"/>
      <c r="R347" s="24">
        <v>3.35</v>
      </c>
      <c r="S347" s="24"/>
      <c r="T347" s="24">
        <v>8.65</v>
      </c>
      <c r="AC347" s="18" t="s">
        <v>1194</v>
      </c>
      <c r="AD347" s="18" t="s">
        <v>1195</v>
      </c>
      <c r="AE347" s="18" t="s">
        <v>205</v>
      </c>
      <c r="AF347" s="18" t="s">
        <v>205</v>
      </c>
      <c r="AG347" s="82" t="s">
        <v>774</v>
      </c>
      <c r="AH347" s="18" t="s">
        <v>205</v>
      </c>
      <c r="AI347" s="20"/>
      <c r="AJ347" s="18" t="s">
        <v>205</v>
      </c>
      <c r="AK347" s="18" t="s">
        <v>122</v>
      </c>
      <c r="AL347" s="18" t="s">
        <v>205</v>
      </c>
      <c r="AM347" s="89" t="s">
        <v>852</v>
      </c>
      <c r="AN347" s="44">
        <v>0</v>
      </c>
      <c r="AO347" s="18">
        <v>0</v>
      </c>
      <c r="AP347" s="44">
        <v>0</v>
      </c>
      <c r="AQ347" s="44">
        <v>0</v>
      </c>
      <c r="AR347" s="44">
        <v>0</v>
      </c>
      <c r="AS347" s="44">
        <v>0</v>
      </c>
      <c r="AT347" s="18">
        <v>0</v>
      </c>
      <c r="AU347" s="18">
        <v>0</v>
      </c>
      <c r="AV347" s="44">
        <v>0</v>
      </c>
      <c r="AW347" s="18">
        <v>0</v>
      </c>
      <c r="AX347" s="44">
        <v>2</v>
      </c>
      <c r="AY347" s="44">
        <v>0</v>
      </c>
      <c r="AZ347" s="18">
        <v>0</v>
      </c>
      <c r="BA347" s="18">
        <v>0</v>
      </c>
      <c r="BB347" s="44">
        <v>0</v>
      </c>
      <c r="BC347" s="44">
        <v>0</v>
      </c>
      <c r="BD347" s="18">
        <v>0</v>
      </c>
      <c r="BE347" s="18">
        <v>0</v>
      </c>
      <c r="BF347" s="18">
        <v>0</v>
      </c>
      <c r="BG347" s="44">
        <v>0</v>
      </c>
      <c r="BH347" s="18">
        <v>0</v>
      </c>
      <c r="BI347" s="18">
        <v>0</v>
      </c>
      <c r="BJ347" s="18">
        <v>1</v>
      </c>
      <c r="BK347" s="18">
        <v>2</v>
      </c>
      <c r="BL347" s="18">
        <v>3</v>
      </c>
      <c r="BM347" s="18">
        <v>1</v>
      </c>
      <c r="BN347" s="18">
        <v>0</v>
      </c>
      <c r="BO347" s="18">
        <v>0</v>
      </c>
      <c r="BP347" s="18">
        <v>1</v>
      </c>
      <c r="BQ347" s="18">
        <v>1</v>
      </c>
      <c r="BR347" s="18">
        <v>2</v>
      </c>
      <c r="BS347" s="18">
        <v>2</v>
      </c>
      <c r="BT347" s="18">
        <v>0</v>
      </c>
      <c r="BU347" s="18">
        <v>0</v>
      </c>
      <c r="BV347" s="44">
        <f t="shared" si="38"/>
        <v>5</v>
      </c>
    </row>
    <row r="348" s="18" customFormat="1" ht="10.2" spans="1:74">
      <c r="A348" s="24">
        <f t="shared" si="46"/>
        <v>112</v>
      </c>
      <c r="B348" s="24" t="s">
        <v>1199</v>
      </c>
      <c r="C348" s="24"/>
      <c r="D348" s="67">
        <v>43710</v>
      </c>
      <c r="E348" s="24"/>
      <c r="F348" s="68">
        <v>59.886</v>
      </c>
      <c r="G348" s="69">
        <v>28.1230333333333</v>
      </c>
      <c r="H348" s="70">
        <f t="shared" si="44"/>
        <v>59</v>
      </c>
      <c r="I348" s="77">
        <f t="shared" si="41"/>
        <v>53.1600000000002</v>
      </c>
      <c r="J348" s="70">
        <f t="shared" si="43"/>
        <v>28</v>
      </c>
      <c r="K348" s="77">
        <f t="shared" si="42"/>
        <v>7.38199999999992</v>
      </c>
      <c r="L348" s="79">
        <v>35</v>
      </c>
      <c r="M348" s="24">
        <v>3.8</v>
      </c>
      <c r="N348" s="24"/>
      <c r="O348" s="24">
        <v>19.2</v>
      </c>
      <c r="P348" s="24"/>
      <c r="Q348" s="24"/>
      <c r="R348" s="24">
        <v>3.38</v>
      </c>
      <c r="S348" s="24"/>
      <c r="T348" s="24">
        <v>8.6</v>
      </c>
      <c r="AC348" s="18" t="s">
        <v>1194</v>
      </c>
      <c r="AD348" s="18" t="s">
        <v>1195</v>
      </c>
      <c r="AE348" s="18" t="s">
        <v>205</v>
      </c>
      <c r="AF348" s="18" t="s">
        <v>205</v>
      </c>
      <c r="AG348" s="82" t="s">
        <v>774</v>
      </c>
      <c r="AH348" s="18" t="s">
        <v>205</v>
      </c>
      <c r="AI348" s="20"/>
      <c r="AJ348" s="18" t="s">
        <v>205</v>
      </c>
      <c r="AK348" s="18" t="s">
        <v>122</v>
      </c>
      <c r="AL348" s="18" t="s">
        <v>205</v>
      </c>
      <c r="AM348" s="89" t="s">
        <v>852</v>
      </c>
      <c r="AN348" s="44">
        <v>0</v>
      </c>
      <c r="AO348" s="18">
        <v>0</v>
      </c>
      <c r="AP348" s="44">
        <v>0</v>
      </c>
      <c r="AQ348" s="44">
        <v>0</v>
      </c>
      <c r="AR348" s="44">
        <v>0</v>
      </c>
      <c r="AS348" s="44">
        <v>0</v>
      </c>
      <c r="AT348" s="18">
        <v>0</v>
      </c>
      <c r="AU348" s="18">
        <v>0</v>
      </c>
      <c r="AV348" s="44">
        <v>0</v>
      </c>
      <c r="AW348" s="18">
        <v>0</v>
      </c>
      <c r="AX348" s="44">
        <v>2</v>
      </c>
      <c r="AY348" s="44">
        <v>0</v>
      </c>
      <c r="AZ348" s="18">
        <v>0</v>
      </c>
      <c r="BA348" s="18">
        <v>0</v>
      </c>
      <c r="BB348" s="44">
        <v>0</v>
      </c>
      <c r="BC348" s="44">
        <v>0</v>
      </c>
      <c r="BD348" s="18">
        <v>0</v>
      </c>
      <c r="BE348" s="18">
        <v>0</v>
      </c>
      <c r="BF348" s="18">
        <v>0</v>
      </c>
      <c r="BG348" s="44">
        <v>0</v>
      </c>
      <c r="BH348" s="18">
        <v>0</v>
      </c>
      <c r="BI348" s="18">
        <v>0</v>
      </c>
      <c r="BJ348" s="18">
        <v>1</v>
      </c>
      <c r="BK348" s="18">
        <v>2</v>
      </c>
      <c r="BL348" s="18">
        <v>3</v>
      </c>
      <c r="BM348" s="18">
        <v>1</v>
      </c>
      <c r="BN348" s="18">
        <v>0</v>
      </c>
      <c r="BO348" s="18">
        <v>0</v>
      </c>
      <c r="BP348" s="18">
        <v>1</v>
      </c>
      <c r="BQ348" s="18">
        <v>1</v>
      </c>
      <c r="BR348" s="18">
        <v>2</v>
      </c>
      <c r="BS348" s="18">
        <v>2</v>
      </c>
      <c r="BT348" s="18">
        <v>0</v>
      </c>
      <c r="BU348" s="18">
        <v>0</v>
      </c>
      <c r="BV348" s="44">
        <f t="shared" si="38"/>
        <v>5</v>
      </c>
    </row>
    <row r="349" s="18" customFormat="1" ht="10.2" spans="1:74">
      <c r="A349" s="24">
        <f t="shared" si="46"/>
        <v>113</v>
      </c>
      <c r="B349" s="24" t="s">
        <v>1200</v>
      </c>
      <c r="C349" s="24"/>
      <c r="D349" s="67">
        <v>43710</v>
      </c>
      <c r="E349" s="24"/>
      <c r="F349" s="68">
        <v>59.8864833333333</v>
      </c>
      <c r="G349" s="69">
        <v>28.1047166666667</v>
      </c>
      <c r="H349" s="70">
        <f t="shared" si="44"/>
        <v>59</v>
      </c>
      <c r="I349" s="77">
        <f t="shared" si="41"/>
        <v>53.1889999999999</v>
      </c>
      <c r="J349" s="70">
        <f t="shared" si="43"/>
        <v>28</v>
      </c>
      <c r="K349" s="77">
        <f t="shared" si="42"/>
        <v>6.2830000000001</v>
      </c>
      <c r="L349" s="79">
        <v>7</v>
      </c>
      <c r="M349" s="24">
        <v>4</v>
      </c>
      <c r="N349" s="24"/>
      <c r="O349" s="24">
        <v>19.4</v>
      </c>
      <c r="P349" s="24"/>
      <c r="Q349" s="24"/>
      <c r="R349" s="24">
        <v>3.46</v>
      </c>
      <c r="S349" s="24"/>
      <c r="T349" s="24">
        <v>8.55</v>
      </c>
      <c r="AC349" s="18" t="s">
        <v>1141</v>
      </c>
      <c r="AD349" s="18" t="s">
        <v>1201</v>
      </c>
      <c r="AE349" s="18" t="s">
        <v>205</v>
      </c>
      <c r="AF349" s="18" t="s">
        <v>205</v>
      </c>
      <c r="AG349" s="150" t="s">
        <v>1202</v>
      </c>
      <c r="AH349" s="18" t="s">
        <v>1203</v>
      </c>
      <c r="AI349" s="20"/>
      <c r="AJ349" s="18" t="s">
        <v>205</v>
      </c>
      <c r="AK349" s="18" t="s">
        <v>1204</v>
      </c>
      <c r="AL349" s="18" t="s">
        <v>779</v>
      </c>
      <c r="AM349" s="89" t="s">
        <v>852</v>
      </c>
      <c r="AN349" s="44">
        <v>1</v>
      </c>
      <c r="AO349" s="18">
        <v>0</v>
      </c>
      <c r="AP349" s="44">
        <v>0</v>
      </c>
      <c r="AQ349" s="44">
        <v>0</v>
      </c>
      <c r="AR349" s="44">
        <v>0</v>
      </c>
      <c r="AS349" s="44">
        <v>0</v>
      </c>
      <c r="AT349" s="18">
        <v>0</v>
      </c>
      <c r="AU349" s="18">
        <v>0</v>
      </c>
      <c r="AV349" s="44">
        <v>0</v>
      </c>
      <c r="AW349" s="18">
        <v>0</v>
      </c>
      <c r="AX349" s="44">
        <v>0</v>
      </c>
      <c r="AY349" s="44">
        <v>0</v>
      </c>
      <c r="AZ349" s="18">
        <v>0</v>
      </c>
      <c r="BA349" s="18">
        <v>0</v>
      </c>
      <c r="BB349" s="44">
        <v>0</v>
      </c>
      <c r="BC349" s="44">
        <v>0</v>
      </c>
      <c r="BD349" s="18">
        <v>0</v>
      </c>
      <c r="BE349" s="18">
        <v>0</v>
      </c>
      <c r="BF349" s="18">
        <v>0</v>
      </c>
      <c r="BG349" s="44">
        <v>0</v>
      </c>
      <c r="BH349" s="18">
        <v>0</v>
      </c>
      <c r="BI349" s="18">
        <v>0</v>
      </c>
      <c r="BJ349" s="18">
        <v>1</v>
      </c>
      <c r="BK349" s="18">
        <v>1</v>
      </c>
      <c r="BL349" s="18">
        <v>3</v>
      </c>
      <c r="BM349" s="18">
        <v>2</v>
      </c>
      <c r="BN349" s="18">
        <v>1</v>
      </c>
      <c r="BO349" s="18">
        <v>1</v>
      </c>
      <c r="BP349" s="18">
        <v>1</v>
      </c>
      <c r="BQ349" s="18">
        <v>1</v>
      </c>
      <c r="BR349" s="18">
        <v>2</v>
      </c>
      <c r="BS349" s="18">
        <v>2</v>
      </c>
      <c r="BT349" s="18">
        <v>0</v>
      </c>
      <c r="BU349" s="18">
        <v>0</v>
      </c>
      <c r="BV349" s="44">
        <f t="shared" si="38"/>
        <v>7</v>
      </c>
    </row>
    <row r="350" s="18" customFormat="1" ht="10.2" spans="1:74">
      <c r="A350" s="24">
        <f t="shared" si="46"/>
        <v>114</v>
      </c>
      <c r="B350" s="24" t="s">
        <v>1205</v>
      </c>
      <c r="C350" s="24"/>
      <c r="D350" s="67">
        <v>43710</v>
      </c>
      <c r="E350" s="24"/>
      <c r="F350" s="68">
        <v>59.8849666666667</v>
      </c>
      <c r="G350" s="69">
        <v>28.1006333333333</v>
      </c>
      <c r="H350" s="70">
        <f t="shared" si="44"/>
        <v>59</v>
      </c>
      <c r="I350" s="77">
        <f t="shared" si="41"/>
        <v>53.0979999999998</v>
      </c>
      <c r="J350" s="70">
        <f t="shared" si="43"/>
        <v>28</v>
      </c>
      <c r="K350" s="77">
        <f t="shared" si="42"/>
        <v>6.03800000000007</v>
      </c>
      <c r="L350" s="79">
        <v>6</v>
      </c>
      <c r="M350" s="24">
        <v>3</v>
      </c>
      <c r="N350" s="24"/>
      <c r="O350" s="24">
        <v>19.8</v>
      </c>
      <c r="P350" s="24"/>
      <c r="Q350" s="24"/>
      <c r="R350" s="24">
        <v>3.25</v>
      </c>
      <c r="S350" s="24"/>
      <c r="T350" s="24">
        <v>8.67</v>
      </c>
      <c r="AC350" s="18" t="s">
        <v>1141</v>
      </c>
      <c r="AD350" s="18" t="s">
        <v>1206</v>
      </c>
      <c r="AE350" s="18" t="s">
        <v>205</v>
      </c>
      <c r="AF350" s="18" t="s">
        <v>205</v>
      </c>
      <c r="AG350" s="150" t="s">
        <v>205</v>
      </c>
      <c r="AH350" s="18" t="s">
        <v>1207</v>
      </c>
      <c r="AI350" s="20"/>
      <c r="AJ350" s="18" t="s">
        <v>205</v>
      </c>
      <c r="AK350" s="18" t="s">
        <v>205</v>
      </c>
      <c r="AL350" s="18" t="s">
        <v>779</v>
      </c>
      <c r="AM350" s="89" t="s">
        <v>852</v>
      </c>
      <c r="AN350" s="44">
        <v>1</v>
      </c>
      <c r="AO350" s="18">
        <v>0</v>
      </c>
      <c r="AP350" s="44">
        <v>1</v>
      </c>
      <c r="AQ350" s="44">
        <v>0</v>
      </c>
      <c r="AR350" s="44">
        <v>0</v>
      </c>
      <c r="AS350" s="44">
        <v>0</v>
      </c>
      <c r="AT350" s="18">
        <v>0</v>
      </c>
      <c r="AU350" s="18">
        <v>0</v>
      </c>
      <c r="AV350" s="44">
        <v>0</v>
      </c>
      <c r="AW350" s="18">
        <v>0</v>
      </c>
      <c r="AX350" s="44">
        <v>0</v>
      </c>
      <c r="AY350" s="44">
        <v>0</v>
      </c>
      <c r="AZ350" s="18">
        <v>0</v>
      </c>
      <c r="BA350" s="18">
        <v>0</v>
      </c>
      <c r="BB350" s="44">
        <v>0</v>
      </c>
      <c r="BC350" s="44">
        <v>0</v>
      </c>
      <c r="BD350" s="18">
        <v>0</v>
      </c>
      <c r="BE350" s="18">
        <v>0</v>
      </c>
      <c r="BF350" s="18">
        <v>0</v>
      </c>
      <c r="BG350" s="44">
        <v>0</v>
      </c>
      <c r="BH350" s="18">
        <v>0</v>
      </c>
      <c r="BI350" s="18">
        <v>0</v>
      </c>
      <c r="BJ350" s="18">
        <v>2</v>
      </c>
      <c r="BK350" s="18">
        <v>1</v>
      </c>
      <c r="BL350" s="18">
        <v>3</v>
      </c>
      <c r="BM350" s="18">
        <v>2</v>
      </c>
      <c r="BN350" s="18">
        <v>1</v>
      </c>
      <c r="BO350" s="18">
        <v>1</v>
      </c>
      <c r="BP350" s="18">
        <v>1</v>
      </c>
      <c r="BQ350" s="18">
        <v>1</v>
      </c>
      <c r="BR350" s="18">
        <v>2</v>
      </c>
      <c r="BS350" s="18">
        <v>2</v>
      </c>
      <c r="BT350" s="18">
        <v>0</v>
      </c>
      <c r="BU350" s="18">
        <v>0</v>
      </c>
      <c r="BV350" s="44">
        <f t="shared" ref="BV350:BV360" si="47">(BJ350+BK350+BL350+BM350+BN350+BO350+BP350+BQ350)-(BR350+BS350+BT350+BU350)</f>
        <v>8</v>
      </c>
    </row>
    <row r="351" s="18" customFormat="1" ht="10.2" spans="1:74">
      <c r="A351" s="24">
        <f t="shared" si="46"/>
        <v>115</v>
      </c>
      <c r="B351" s="24" t="s">
        <v>1208</v>
      </c>
      <c r="C351" s="24"/>
      <c r="D351" s="67">
        <v>43710</v>
      </c>
      <c r="E351" s="24"/>
      <c r="F351" s="68">
        <v>59.8791833333333</v>
      </c>
      <c r="G351" s="69">
        <v>28.1061333333333</v>
      </c>
      <c r="H351" s="70">
        <f t="shared" si="44"/>
        <v>59</v>
      </c>
      <c r="I351" s="77">
        <f t="shared" si="41"/>
        <v>52.7509999999998</v>
      </c>
      <c r="J351" s="70">
        <f t="shared" si="43"/>
        <v>28</v>
      </c>
      <c r="K351" s="77">
        <f t="shared" si="42"/>
        <v>6.36799999999994</v>
      </c>
      <c r="L351" s="79">
        <v>8</v>
      </c>
      <c r="M351" s="24">
        <v>3</v>
      </c>
      <c r="N351" s="24"/>
      <c r="O351" s="24">
        <v>20.2</v>
      </c>
      <c r="P351" s="24"/>
      <c r="Q351" s="24"/>
      <c r="R351" s="24">
        <v>3.36</v>
      </c>
      <c r="S351" s="24"/>
      <c r="T351" s="24">
        <v>8.68</v>
      </c>
      <c r="AC351" s="18" t="s">
        <v>1209</v>
      </c>
      <c r="AE351" s="18" t="s">
        <v>205</v>
      </c>
      <c r="AF351" s="18" t="s">
        <v>205</v>
      </c>
      <c r="AG351" s="82" t="s">
        <v>774</v>
      </c>
      <c r="AH351" s="18" t="s">
        <v>205</v>
      </c>
      <c r="AI351" s="20"/>
      <c r="AJ351" s="18" t="s">
        <v>205</v>
      </c>
      <c r="AK351" s="18" t="s">
        <v>122</v>
      </c>
      <c r="AL351" s="18" t="s">
        <v>205</v>
      </c>
      <c r="AM351" s="89" t="s">
        <v>852</v>
      </c>
      <c r="AN351" s="44">
        <v>0</v>
      </c>
      <c r="AO351" s="18">
        <v>0</v>
      </c>
      <c r="AP351" s="44">
        <v>0</v>
      </c>
      <c r="AQ351" s="44">
        <v>0</v>
      </c>
      <c r="AR351" s="44">
        <v>0</v>
      </c>
      <c r="AS351" s="44">
        <v>0</v>
      </c>
      <c r="AT351" s="18">
        <v>0</v>
      </c>
      <c r="AU351" s="18">
        <v>0</v>
      </c>
      <c r="AV351" s="44">
        <v>0</v>
      </c>
      <c r="AW351" s="18">
        <v>0</v>
      </c>
      <c r="AX351" s="44">
        <v>1</v>
      </c>
      <c r="AY351" s="44">
        <v>0</v>
      </c>
      <c r="AZ351" s="18">
        <v>0</v>
      </c>
      <c r="BA351" s="18">
        <v>0</v>
      </c>
      <c r="BB351" s="44">
        <v>0</v>
      </c>
      <c r="BC351" s="44">
        <v>0</v>
      </c>
      <c r="BD351" s="18">
        <v>0</v>
      </c>
      <c r="BE351" s="18">
        <v>0</v>
      </c>
      <c r="BF351" s="18">
        <v>0</v>
      </c>
      <c r="BG351" s="44">
        <v>0</v>
      </c>
      <c r="BH351" s="18">
        <v>0</v>
      </c>
      <c r="BI351" s="18">
        <v>0</v>
      </c>
      <c r="BJ351" s="18">
        <v>1</v>
      </c>
      <c r="BK351" s="18">
        <v>1</v>
      </c>
      <c r="BL351" s="18">
        <v>3</v>
      </c>
      <c r="BM351" s="18">
        <v>1</v>
      </c>
      <c r="BN351" s="18">
        <v>1</v>
      </c>
      <c r="BO351" s="18">
        <v>1</v>
      </c>
      <c r="BP351" s="18">
        <v>1</v>
      </c>
      <c r="BQ351" s="18">
        <v>1</v>
      </c>
      <c r="BR351" s="18">
        <v>2</v>
      </c>
      <c r="BS351" s="18">
        <v>2</v>
      </c>
      <c r="BT351" s="18">
        <v>0</v>
      </c>
      <c r="BU351" s="18">
        <v>0</v>
      </c>
      <c r="BV351" s="44">
        <f t="shared" si="47"/>
        <v>6</v>
      </c>
    </row>
    <row r="352" s="18" customFormat="1" ht="10.2" spans="1:74">
      <c r="A352" s="24">
        <f t="shared" si="46"/>
        <v>116</v>
      </c>
      <c r="B352" s="24" t="s">
        <v>1210</v>
      </c>
      <c r="C352" s="24"/>
      <c r="D352" s="67">
        <v>43710</v>
      </c>
      <c r="E352" s="24"/>
      <c r="F352" s="68">
        <v>59.8516666666667</v>
      </c>
      <c r="G352" s="69">
        <v>28.1104833333333</v>
      </c>
      <c r="H352" s="70">
        <f t="shared" si="44"/>
        <v>59</v>
      </c>
      <c r="I352" s="77">
        <f t="shared" si="41"/>
        <v>51.1</v>
      </c>
      <c r="J352" s="70">
        <f t="shared" si="43"/>
        <v>28</v>
      </c>
      <c r="K352" s="77">
        <f t="shared" si="42"/>
        <v>6.62900000000008</v>
      </c>
      <c r="L352" s="79">
        <v>14</v>
      </c>
      <c r="M352" s="24">
        <v>3</v>
      </c>
      <c r="N352" s="24"/>
      <c r="O352" s="24">
        <v>20.2</v>
      </c>
      <c r="P352" s="24"/>
      <c r="Q352" s="24"/>
      <c r="R352" s="24">
        <v>3.31</v>
      </c>
      <c r="S352" s="24"/>
      <c r="T352" s="24">
        <v>8.64</v>
      </c>
      <c r="AC352" s="18" t="s">
        <v>1173</v>
      </c>
      <c r="AD352" s="18" t="s">
        <v>1211</v>
      </c>
      <c r="AE352" s="18" t="s">
        <v>205</v>
      </c>
      <c r="AF352" s="18" t="s">
        <v>205</v>
      </c>
      <c r="AG352" s="82" t="s">
        <v>774</v>
      </c>
      <c r="AH352" s="18" t="s">
        <v>1212</v>
      </c>
      <c r="AI352" s="20"/>
      <c r="AJ352" s="18" t="s">
        <v>205</v>
      </c>
      <c r="AK352" s="18" t="s">
        <v>122</v>
      </c>
      <c r="AL352" s="18" t="s">
        <v>779</v>
      </c>
      <c r="AM352" s="89" t="s">
        <v>852</v>
      </c>
      <c r="AN352" s="44">
        <v>0</v>
      </c>
      <c r="AO352" s="18">
        <v>0</v>
      </c>
      <c r="AP352" s="44">
        <v>0</v>
      </c>
      <c r="AQ352" s="44">
        <v>0</v>
      </c>
      <c r="AR352" s="44">
        <v>0</v>
      </c>
      <c r="AS352" s="44">
        <v>0</v>
      </c>
      <c r="AT352" s="18">
        <v>0</v>
      </c>
      <c r="AU352" s="18">
        <v>0</v>
      </c>
      <c r="AV352" s="44">
        <v>0</v>
      </c>
      <c r="AW352" s="18">
        <v>0</v>
      </c>
      <c r="AX352" s="44">
        <v>3</v>
      </c>
      <c r="AY352" s="44">
        <v>0</v>
      </c>
      <c r="AZ352" s="18">
        <v>0</v>
      </c>
      <c r="BA352" s="18">
        <v>0</v>
      </c>
      <c r="BB352" s="44">
        <v>0</v>
      </c>
      <c r="BC352" s="44">
        <v>0</v>
      </c>
      <c r="BD352" s="18">
        <v>0</v>
      </c>
      <c r="BE352" s="18">
        <v>0</v>
      </c>
      <c r="BF352" s="18">
        <v>0</v>
      </c>
      <c r="BG352" s="44">
        <v>0</v>
      </c>
      <c r="BH352" s="18">
        <v>0</v>
      </c>
      <c r="BI352" s="18">
        <v>0</v>
      </c>
      <c r="BJ352" s="18">
        <v>1</v>
      </c>
      <c r="BK352" s="18">
        <v>3</v>
      </c>
      <c r="BL352" s="18">
        <v>3</v>
      </c>
      <c r="BM352" s="18">
        <v>1</v>
      </c>
      <c r="BN352" s="18">
        <v>1</v>
      </c>
      <c r="BO352" s="18">
        <v>1</v>
      </c>
      <c r="BP352" s="18">
        <v>1</v>
      </c>
      <c r="BQ352" s="18">
        <v>1</v>
      </c>
      <c r="BR352" s="18">
        <v>2</v>
      </c>
      <c r="BS352" s="18">
        <v>2</v>
      </c>
      <c r="BT352" s="18">
        <v>1</v>
      </c>
      <c r="BU352" s="18">
        <v>1</v>
      </c>
      <c r="BV352" s="44">
        <f t="shared" si="47"/>
        <v>6</v>
      </c>
    </row>
    <row r="353" s="18" customFormat="1" ht="10.2" spans="1:74">
      <c r="A353" s="24">
        <v>117</v>
      </c>
      <c r="B353" s="24" t="s">
        <v>1213</v>
      </c>
      <c r="C353" s="24" t="s">
        <v>1214</v>
      </c>
      <c r="D353" s="67">
        <v>43711</v>
      </c>
      <c r="E353" s="24"/>
      <c r="F353" s="68">
        <v>59.685</v>
      </c>
      <c r="G353" s="69">
        <v>28.31</v>
      </c>
      <c r="H353" s="70">
        <f t="shared" si="44"/>
        <v>59</v>
      </c>
      <c r="I353" s="77">
        <f t="shared" si="41"/>
        <v>41.1000000000001</v>
      </c>
      <c r="J353" s="70">
        <f t="shared" si="43"/>
        <v>28</v>
      </c>
      <c r="K353" s="77">
        <f t="shared" si="42"/>
        <v>18.5999999999999</v>
      </c>
      <c r="L353" s="79">
        <v>10</v>
      </c>
      <c r="M353" s="24">
        <v>2</v>
      </c>
      <c r="N353" s="24"/>
      <c r="O353" s="24">
        <v>18.2</v>
      </c>
      <c r="P353" s="24"/>
      <c r="Q353" s="24"/>
      <c r="R353" s="24">
        <v>3.25</v>
      </c>
      <c r="S353" s="24"/>
      <c r="T353" s="24">
        <v>8.38</v>
      </c>
      <c r="AA353" s="18" t="s">
        <v>1215</v>
      </c>
      <c r="AB353" s="18" t="s">
        <v>809</v>
      </c>
      <c r="AC353" s="18" t="s">
        <v>1216</v>
      </c>
      <c r="AE353" s="18" t="s">
        <v>810</v>
      </c>
      <c r="AF353" s="18" t="s">
        <v>1217</v>
      </c>
      <c r="AG353" s="18" t="s">
        <v>811</v>
      </c>
      <c r="AH353" s="18" t="s">
        <v>205</v>
      </c>
      <c r="AI353" s="20"/>
      <c r="AJ353" s="18" t="s">
        <v>205</v>
      </c>
      <c r="AK353" s="18" t="s">
        <v>122</v>
      </c>
      <c r="AL353" s="18" t="s">
        <v>205</v>
      </c>
      <c r="AM353" s="89" t="s">
        <v>852</v>
      </c>
      <c r="AN353" s="44">
        <v>0</v>
      </c>
      <c r="AO353" s="18">
        <v>0</v>
      </c>
      <c r="AP353" s="44">
        <v>0</v>
      </c>
      <c r="AQ353" s="44">
        <v>0</v>
      </c>
      <c r="AR353" s="44">
        <v>0</v>
      </c>
      <c r="AS353" s="44">
        <v>0</v>
      </c>
      <c r="AT353" s="18">
        <v>0</v>
      </c>
      <c r="AU353" s="18">
        <v>0</v>
      </c>
      <c r="AV353" s="44">
        <v>0</v>
      </c>
      <c r="AW353" s="18">
        <v>0</v>
      </c>
      <c r="AX353" s="44">
        <v>4</v>
      </c>
      <c r="AY353" s="44">
        <v>0</v>
      </c>
      <c r="AZ353" s="18">
        <v>0</v>
      </c>
      <c r="BA353" s="18">
        <v>0</v>
      </c>
      <c r="BB353" s="44">
        <v>0</v>
      </c>
      <c r="BC353" s="44">
        <v>1</v>
      </c>
      <c r="BD353" s="18">
        <v>0</v>
      </c>
      <c r="BE353" s="18">
        <v>0</v>
      </c>
      <c r="BF353" s="18">
        <v>0</v>
      </c>
      <c r="BG353" s="44">
        <v>0</v>
      </c>
      <c r="BH353" s="18">
        <v>0</v>
      </c>
      <c r="BI353" s="18">
        <v>0</v>
      </c>
      <c r="BJ353" s="18">
        <v>2</v>
      </c>
      <c r="BK353" s="18">
        <v>3</v>
      </c>
      <c r="BL353" s="18">
        <v>3</v>
      </c>
      <c r="BM353" s="18">
        <v>1</v>
      </c>
      <c r="BN353" s="18">
        <v>1</v>
      </c>
      <c r="BO353" s="18">
        <v>0</v>
      </c>
      <c r="BP353" s="18">
        <v>3</v>
      </c>
      <c r="BQ353" s="18">
        <v>3</v>
      </c>
      <c r="BR353" s="18">
        <v>2</v>
      </c>
      <c r="BS353" s="18">
        <v>0</v>
      </c>
      <c r="BT353" s="18">
        <v>0</v>
      </c>
      <c r="BU353" s="18">
        <v>0</v>
      </c>
      <c r="BV353" s="44">
        <f t="shared" si="47"/>
        <v>14</v>
      </c>
    </row>
    <row r="354" s="18" customFormat="1" ht="10.2" spans="1:74">
      <c r="A354" s="24">
        <v>118</v>
      </c>
      <c r="B354" s="24" t="s">
        <v>1218</v>
      </c>
      <c r="C354" s="24" t="s">
        <v>1219</v>
      </c>
      <c r="D354" s="67">
        <v>43711</v>
      </c>
      <c r="E354" s="24"/>
      <c r="F354" s="68">
        <v>59.83</v>
      </c>
      <c r="G354" s="69">
        <v>28.4333333333333</v>
      </c>
      <c r="H354" s="70">
        <f t="shared" si="44"/>
        <v>59</v>
      </c>
      <c r="I354" s="77">
        <f t="shared" si="41"/>
        <v>49.7999999999999</v>
      </c>
      <c r="J354" s="70">
        <f t="shared" si="43"/>
        <v>28</v>
      </c>
      <c r="K354" s="77">
        <f t="shared" si="42"/>
        <v>26</v>
      </c>
      <c r="L354" s="79">
        <v>26.9</v>
      </c>
      <c r="M354" s="24">
        <v>2.6</v>
      </c>
      <c r="N354" s="24"/>
      <c r="O354" s="24">
        <v>19</v>
      </c>
      <c r="P354" s="24"/>
      <c r="Q354" s="24"/>
      <c r="R354" s="24">
        <v>3.31</v>
      </c>
      <c r="S354" s="24"/>
      <c r="T354" s="24">
        <v>8.39</v>
      </c>
      <c r="AA354" s="18" t="s">
        <v>1220</v>
      </c>
      <c r="AB354" s="18" t="s">
        <v>809</v>
      </c>
      <c r="AC354" s="18" t="s">
        <v>1221</v>
      </c>
      <c r="AE354" s="18" t="s">
        <v>810</v>
      </c>
      <c r="AF354" s="18" t="s">
        <v>1217</v>
      </c>
      <c r="AG354" s="18" t="s">
        <v>811</v>
      </c>
      <c r="AH354" s="18" t="s">
        <v>1222</v>
      </c>
      <c r="AI354" s="20"/>
      <c r="AJ354" s="18" t="s">
        <v>205</v>
      </c>
      <c r="AK354" s="18" t="s">
        <v>122</v>
      </c>
      <c r="AL354" s="18" t="s">
        <v>205</v>
      </c>
      <c r="AM354" s="89" t="s">
        <v>852</v>
      </c>
      <c r="AN354" s="44">
        <v>0</v>
      </c>
      <c r="AO354" s="18">
        <v>0</v>
      </c>
      <c r="AP354" s="44">
        <v>0</v>
      </c>
      <c r="AQ354" s="44">
        <v>0</v>
      </c>
      <c r="AR354" s="44">
        <v>0</v>
      </c>
      <c r="AS354" s="44">
        <v>0</v>
      </c>
      <c r="AT354" s="18">
        <v>0</v>
      </c>
      <c r="AU354" s="18">
        <v>0</v>
      </c>
      <c r="AV354" s="44">
        <v>0</v>
      </c>
      <c r="AW354" s="18">
        <v>0</v>
      </c>
      <c r="AX354" s="44">
        <v>4</v>
      </c>
      <c r="AY354" s="44">
        <v>0</v>
      </c>
      <c r="AZ354" s="18">
        <v>0</v>
      </c>
      <c r="BA354" s="18">
        <v>0</v>
      </c>
      <c r="BB354" s="44">
        <v>0</v>
      </c>
      <c r="BC354" s="44">
        <v>0</v>
      </c>
      <c r="BD354" s="18">
        <v>0</v>
      </c>
      <c r="BE354" s="18">
        <v>0</v>
      </c>
      <c r="BF354" s="18">
        <v>0</v>
      </c>
      <c r="BG354" s="44">
        <v>0</v>
      </c>
      <c r="BH354" s="18">
        <v>0</v>
      </c>
      <c r="BI354" s="18">
        <v>0</v>
      </c>
      <c r="BJ354" s="18">
        <v>1</v>
      </c>
      <c r="BK354" s="18">
        <v>2</v>
      </c>
      <c r="BL354" s="18">
        <v>3</v>
      </c>
      <c r="BM354" s="18">
        <v>1</v>
      </c>
      <c r="BN354" s="18">
        <v>0</v>
      </c>
      <c r="BO354" s="18">
        <v>0</v>
      </c>
      <c r="BP354" s="18">
        <v>2</v>
      </c>
      <c r="BQ354" s="18">
        <v>2</v>
      </c>
      <c r="BR354" s="18">
        <v>0</v>
      </c>
      <c r="BS354" s="18">
        <v>0</v>
      </c>
      <c r="BT354" s="18">
        <v>0</v>
      </c>
      <c r="BU354" s="18">
        <v>0</v>
      </c>
      <c r="BV354" s="44">
        <f t="shared" si="47"/>
        <v>11</v>
      </c>
    </row>
    <row r="355" s="18" customFormat="1" ht="10.2" spans="1:74">
      <c r="A355" s="24">
        <v>119</v>
      </c>
      <c r="B355" s="24" t="s">
        <v>1223</v>
      </c>
      <c r="C355" s="24" t="s">
        <v>1224</v>
      </c>
      <c r="D355" s="67">
        <v>43712</v>
      </c>
      <c r="E355" s="24"/>
      <c r="F355" s="68">
        <v>60.0166166666667</v>
      </c>
      <c r="G355" s="69">
        <v>29.4231333333333</v>
      </c>
      <c r="H355" s="70">
        <f t="shared" si="44"/>
        <v>60</v>
      </c>
      <c r="I355" s="77">
        <f t="shared" si="41"/>
        <v>0.996999999999844</v>
      </c>
      <c r="J355" s="70">
        <f t="shared" si="43"/>
        <v>29</v>
      </c>
      <c r="K355" s="77">
        <f t="shared" si="42"/>
        <v>25.3879999999999</v>
      </c>
      <c r="L355" s="79">
        <v>19</v>
      </c>
      <c r="M355" s="24">
        <v>1.7</v>
      </c>
      <c r="N355" s="24"/>
      <c r="O355" s="24">
        <v>17.4</v>
      </c>
      <c r="P355" s="24"/>
      <c r="Q355" s="24"/>
      <c r="R355" s="24">
        <v>1.83</v>
      </c>
      <c r="S355" s="24"/>
      <c r="T355" s="24">
        <v>8.34</v>
      </c>
      <c r="AA355" s="18" t="s">
        <v>1225</v>
      </c>
      <c r="AB355" s="18" t="s">
        <v>809</v>
      </c>
      <c r="AC355" s="18" t="s">
        <v>1226</v>
      </c>
      <c r="AE355" s="18" t="s">
        <v>810</v>
      </c>
      <c r="AF355" s="18" t="s">
        <v>1217</v>
      </c>
      <c r="AG355" s="18" t="s">
        <v>811</v>
      </c>
      <c r="AH355" s="18" t="s">
        <v>205</v>
      </c>
      <c r="AI355" s="20"/>
      <c r="AJ355" s="18" t="s">
        <v>205</v>
      </c>
      <c r="AK355" s="18" t="s">
        <v>122</v>
      </c>
      <c r="AL355" s="18" t="s">
        <v>205</v>
      </c>
      <c r="AM355" s="89" t="s">
        <v>770</v>
      </c>
      <c r="AN355" s="44">
        <v>0</v>
      </c>
      <c r="AO355" s="18">
        <v>0</v>
      </c>
      <c r="AP355" s="44">
        <v>0</v>
      </c>
      <c r="AQ355" s="44">
        <v>0</v>
      </c>
      <c r="AR355" s="44">
        <v>0</v>
      </c>
      <c r="AS355" s="44">
        <v>0</v>
      </c>
      <c r="AT355" s="18">
        <v>0</v>
      </c>
      <c r="AU355" s="18">
        <v>0</v>
      </c>
      <c r="AV355" s="44">
        <v>0</v>
      </c>
      <c r="AW355" s="18">
        <v>0</v>
      </c>
      <c r="AX355" s="44">
        <v>1</v>
      </c>
      <c r="AY355" s="44">
        <v>0</v>
      </c>
      <c r="AZ355" s="18">
        <v>0</v>
      </c>
      <c r="BA355" s="18">
        <v>0</v>
      </c>
      <c r="BB355" s="44">
        <v>0</v>
      </c>
      <c r="BC355" s="44">
        <v>0</v>
      </c>
      <c r="BD355" s="18">
        <v>1</v>
      </c>
      <c r="BE355" s="18">
        <v>1</v>
      </c>
      <c r="BF355" s="18">
        <v>0</v>
      </c>
      <c r="BG355" s="44">
        <v>0</v>
      </c>
      <c r="BH355" s="18">
        <v>0</v>
      </c>
      <c r="BI355" s="18">
        <v>0</v>
      </c>
      <c r="BJ355" s="18">
        <v>4</v>
      </c>
      <c r="BK355" s="18">
        <v>1</v>
      </c>
      <c r="BL355" s="18">
        <v>1</v>
      </c>
      <c r="BM355" s="18">
        <v>1</v>
      </c>
      <c r="BN355" s="18">
        <v>0</v>
      </c>
      <c r="BO355" s="18">
        <v>0</v>
      </c>
      <c r="BP355" s="18">
        <v>2</v>
      </c>
      <c r="BQ355" s="18">
        <v>3</v>
      </c>
      <c r="BR355" s="18">
        <v>0</v>
      </c>
      <c r="BS355" s="18">
        <v>0</v>
      </c>
      <c r="BT355" s="18">
        <v>0</v>
      </c>
      <c r="BU355" s="18">
        <v>0</v>
      </c>
      <c r="BV355" s="44">
        <f t="shared" si="47"/>
        <v>12</v>
      </c>
    </row>
    <row r="356" s="18" customFormat="1" ht="10.2" spans="1:74">
      <c r="A356" s="24">
        <v>120</v>
      </c>
      <c r="B356" s="24" t="s">
        <v>1227</v>
      </c>
      <c r="C356" s="24" t="s">
        <v>1224</v>
      </c>
      <c r="D356" s="67">
        <v>43712</v>
      </c>
      <c r="E356" s="24"/>
      <c r="F356" s="68">
        <v>59.9766666666667</v>
      </c>
      <c r="G356" s="69">
        <v>29.6166666666667</v>
      </c>
      <c r="H356" s="70">
        <f t="shared" si="44"/>
        <v>59</v>
      </c>
      <c r="I356" s="77">
        <f t="shared" si="41"/>
        <v>58.6</v>
      </c>
      <c r="J356" s="70">
        <f t="shared" si="43"/>
        <v>29</v>
      </c>
      <c r="K356" s="77">
        <f t="shared" si="42"/>
        <v>37</v>
      </c>
      <c r="L356" s="79">
        <v>7.4</v>
      </c>
      <c r="M356" s="24">
        <v>1.3</v>
      </c>
      <c r="N356" s="24"/>
      <c r="O356" s="24">
        <v>19</v>
      </c>
      <c r="P356" s="24"/>
      <c r="Q356" s="24"/>
      <c r="R356" s="24">
        <v>0.98</v>
      </c>
      <c r="S356" s="24"/>
      <c r="T356" s="24">
        <v>7.89</v>
      </c>
      <c r="AA356" s="18" t="s">
        <v>1228</v>
      </c>
      <c r="AB356" s="18" t="s">
        <v>809</v>
      </c>
      <c r="AE356" s="18" t="s">
        <v>810</v>
      </c>
      <c r="AF356" s="18" t="s">
        <v>1217</v>
      </c>
      <c r="AG356" s="18" t="s">
        <v>811</v>
      </c>
      <c r="AH356" s="18" t="s">
        <v>205</v>
      </c>
      <c r="AI356" s="20"/>
      <c r="AJ356" s="18" t="s">
        <v>205</v>
      </c>
      <c r="AK356" s="18" t="s">
        <v>122</v>
      </c>
      <c r="AL356" s="18" t="s">
        <v>205</v>
      </c>
      <c r="AM356" s="89" t="s">
        <v>770</v>
      </c>
      <c r="AN356" s="44">
        <v>0</v>
      </c>
      <c r="AO356" s="18">
        <v>0</v>
      </c>
      <c r="AP356" s="44">
        <v>0</v>
      </c>
      <c r="AQ356" s="44">
        <v>0</v>
      </c>
      <c r="AR356" s="44">
        <v>0</v>
      </c>
      <c r="AS356" s="44">
        <v>0</v>
      </c>
      <c r="AT356" s="18">
        <v>0</v>
      </c>
      <c r="AU356" s="18">
        <v>0</v>
      </c>
      <c r="AV356" s="44">
        <v>0</v>
      </c>
      <c r="AW356" s="18">
        <v>0</v>
      </c>
      <c r="AX356" s="44">
        <v>0</v>
      </c>
      <c r="AY356" s="44">
        <v>0</v>
      </c>
      <c r="AZ356" s="18">
        <v>0</v>
      </c>
      <c r="BA356" s="18">
        <v>0</v>
      </c>
      <c r="BB356" s="44">
        <v>0</v>
      </c>
      <c r="BC356" s="44">
        <v>0</v>
      </c>
      <c r="BD356" s="18">
        <v>1</v>
      </c>
      <c r="BE356" s="18">
        <v>1</v>
      </c>
      <c r="BF356" s="18">
        <v>0</v>
      </c>
      <c r="BG356" s="44">
        <v>0</v>
      </c>
      <c r="BH356" s="18">
        <v>0</v>
      </c>
      <c r="BI356" s="18">
        <v>1</v>
      </c>
      <c r="BJ356" s="18">
        <v>3</v>
      </c>
      <c r="BK356" s="18">
        <v>1</v>
      </c>
      <c r="BL356" s="18">
        <v>1</v>
      </c>
      <c r="BM356" s="18">
        <v>1</v>
      </c>
      <c r="BN356" s="18">
        <v>1</v>
      </c>
      <c r="BO356" s="18">
        <v>0</v>
      </c>
      <c r="BP356" s="18">
        <v>2</v>
      </c>
      <c r="BQ356" s="18">
        <v>3</v>
      </c>
      <c r="BR356" s="18">
        <v>0</v>
      </c>
      <c r="BS356" s="18">
        <v>0</v>
      </c>
      <c r="BT356" s="18">
        <v>0</v>
      </c>
      <c r="BU356" s="18">
        <v>0</v>
      </c>
      <c r="BV356" s="44">
        <f t="shared" si="47"/>
        <v>12</v>
      </c>
    </row>
    <row r="357" s="18" customFormat="1" ht="10.2" spans="1:74">
      <c r="A357" s="24">
        <v>121</v>
      </c>
      <c r="B357" s="24" t="s">
        <v>1229</v>
      </c>
      <c r="C357" s="24" t="s">
        <v>1230</v>
      </c>
      <c r="D357" s="67">
        <v>43736</v>
      </c>
      <c r="E357" s="24"/>
      <c r="F357" s="68">
        <v>60.5124333333333</v>
      </c>
      <c r="G357" s="69">
        <v>28.0827666666667</v>
      </c>
      <c r="H357" s="70">
        <f t="shared" si="44"/>
        <v>60</v>
      </c>
      <c r="I357" s="77">
        <f t="shared" si="41"/>
        <v>30.746</v>
      </c>
      <c r="J357" s="70">
        <f t="shared" si="43"/>
        <v>28</v>
      </c>
      <c r="K357" s="77">
        <f t="shared" si="42"/>
        <v>4.96600000000008</v>
      </c>
      <c r="L357" s="159">
        <v>15</v>
      </c>
      <c r="M357" s="160">
        <v>2.8</v>
      </c>
      <c r="N357" s="24"/>
      <c r="O357" s="160">
        <v>12.3</v>
      </c>
      <c r="P357" s="24"/>
      <c r="Q357" s="24"/>
      <c r="R357" s="24">
        <v>3.18</v>
      </c>
      <c r="S357" s="24"/>
      <c r="T357" s="24">
        <v>8.75</v>
      </c>
      <c r="AC357" s="18" t="s">
        <v>1231</v>
      </c>
      <c r="AD357" s="18" t="s">
        <v>1232</v>
      </c>
      <c r="AE357" s="18" t="s">
        <v>122</v>
      </c>
      <c r="AF357" s="18" t="s">
        <v>122</v>
      </c>
      <c r="AG357" s="18" t="s">
        <v>774</v>
      </c>
      <c r="AH357" s="18" t="s">
        <v>1233</v>
      </c>
      <c r="AI357" s="20"/>
      <c r="AJ357" s="18" t="s">
        <v>205</v>
      </c>
      <c r="AK357" s="18" t="s">
        <v>122</v>
      </c>
      <c r="AL357" s="18" t="s">
        <v>1234</v>
      </c>
      <c r="AM357" s="89" t="s">
        <v>957</v>
      </c>
      <c r="AN357" s="44">
        <v>2</v>
      </c>
      <c r="AO357" s="18">
        <v>0</v>
      </c>
      <c r="AP357" s="44">
        <v>1</v>
      </c>
      <c r="AQ357" s="44">
        <v>4</v>
      </c>
      <c r="AR357" s="44">
        <v>0</v>
      </c>
      <c r="AS357" s="44">
        <v>0</v>
      </c>
      <c r="AT357" s="18">
        <v>0</v>
      </c>
      <c r="AU357" s="18">
        <v>0</v>
      </c>
      <c r="AV357" s="44">
        <v>0</v>
      </c>
      <c r="AW357" s="18">
        <v>0</v>
      </c>
      <c r="AX357" s="44">
        <v>1</v>
      </c>
      <c r="AY357" s="44">
        <v>0</v>
      </c>
      <c r="AZ357" s="18">
        <v>0</v>
      </c>
      <c r="BA357" s="18">
        <v>0</v>
      </c>
      <c r="BB357" s="44">
        <v>0</v>
      </c>
      <c r="BC357" s="44">
        <v>0</v>
      </c>
      <c r="BD357" s="18">
        <v>0</v>
      </c>
      <c r="BE357" s="18">
        <v>0</v>
      </c>
      <c r="BF357" s="18">
        <v>0</v>
      </c>
      <c r="BG357" s="44">
        <v>0</v>
      </c>
      <c r="BH357" s="18">
        <v>0</v>
      </c>
      <c r="BI357" s="18">
        <v>0</v>
      </c>
      <c r="BJ357" s="18">
        <v>4</v>
      </c>
      <c r="BK357" s="18">
        <v>2</v>
      </c>
      <c r="BL357" s="18">
        <v>3</v>
      </c>
      <c r="BM357" s="18">
        <v>2</v>
      </c>
      <c r="BN357" s="18">
        <v>0</v>
      </c>
      <c r="BO357" s="18">
        <v>0</v>
      </c>
      <c r="BP357" s="18">
        <v>2</v>
      </c>
      <c r="BQ357" s="18">
        <v>1</v>
      </c>
      <c r="BR357" s="18">
        <v>2</v>
      </c>
      <c r="BS357" s="18">
        <v>0</v>
      </c>
      <c r="BT357" s="18">
        <v>0</v>
      </c>
      <c r="BU357" s="18">
        <v>0</v>
      </c>
      <c r="BV357" s="44">
        <f t="shared" si="47"/>
        <v>12</v>
      </c>
    </row>
    <row r="358" s="18" customFormat="1" ht="10.2" spans="1:74">
      <c r="A358" s="24">
        <f>A357+1</f>
        <v>122</v>
      </c>
      <c r="B358" s="24" t="s">
        <v>1235</v>
      </c>
      <c r="C358" s="24" t="s">
        <v>1236</v>
      </c>
      <c r="D358" s="67">
        <v>43736</v>
      </c>
      <c r="E358" s="24"/>
      <c r="F358" s="68">
        <v>60.4839166666667</v>
      </c>
      <c r="G358" s="69">
        <v>28.0837833333333</v>
      </c>
      <c r="H358" s="70">
        <f t="shared" si="44"/>
        <v>60</v>
      </c>
      <c r="I358" s="77">
        <f t="shared" si="41"/>
        <v>29.0349999999999</v>
      </c>
      <c r="J358" s="70">
        <f t="shared" si="43"/>
        <v>28</v>
      </c>
      <c r="K358" s="77">
        <f t="shared" si="42"/>
        <v>5.02699999999997</v>
      </c>
      <c r="L358" s="159">
        <v>17.5</v>
      </c>
      <c r="M358" s="160">
        <v>3.5</v>
      </c>
      <c r="N358" s="24"/>
      <c r="O358" s="160">
        <v>13</v>
      </c>
      <c r="P358" s="24"/>
      <c r="Q358" s="24"/>
      <c r="R358" s="24">
        <v>3.2</v>
      </c>
      <c r="S358" s="24"/>
      <c r="T358" s="24">
        <v>8.45</v>
      </c>
      <c r="AC358" s="18" t="s">
        <v>1237</v>
      </c>
      <c r="AD358" s="18" t="s">
        <v>1238</v>
      </c>
      <c r="AE358" s="18" t="s">
        <v>205</v>
      </c>
      <c r="AF358" s="18" t="s">
        <v>205</v>
      </c>
      <c r="AG358" s="18" t="s">
        <v>205</v>
      </c>
      <c r="AH358" s="18" t="s">
        <v>1239</v>
      </c>
      <c r="AI358" s="20"/>
      <c r="AJ358" s="18" t="s">
        <v>205</v>
      </c>
      <c r="AK358" s="18" t="s">
        <v>205</v>
      </c>
      <c r="AL358" s="18" t="s">
        <v>1234</v>
      </c>
      <c r="AM358" s="89" t="s">
        <v>957</v>
      </c>
      <c r="AN358" s="44">
        <v>2</v>
      </c>
      <c r="AO358" s="18">
        <v>0</v>
      </c>
      <c r="AP358" s="44">
        <v>1</v>
      </c>
      <c r="AQ358" s="44">
        <v>1</v>
      </c>
      <c r="AR358" s="44">
        <v>0</v>
      </c>
      <c r="AS358" s="44">
        <v>0</v>
      </c>
      <c r="AT358" s="18">
        <v>0</v>
      </c>
      <c r="AU358" s="18">
        <v>0</v>
      </c>
      <c r="AV358" s="44">
        <v>0</v>
      </c>
      <c r="AW358" s="18">
        <v>0</v>
      </c>
      <c r="AX358" s="44">
        <v>1</v>
      </c>
      <c r="AY358" s="44">
        <v>0</v>
      </c>
      <c r="AZ358" s="18">
        <v>0</v>
      </c>
      <c r="BA358" s="18">
        <v>0</v>
      </c>
      <c r="BB358" s="44">
        <v>0</v>
      </c>
      <c r="BC358" s="44">
        <v>0</v>
      </c>
      <c r="BD358" s="18">
        <v>0</v>
      </c>
      <c r="BE358" s="18">
        <v>0</v>
      </c>
      <c r="BF358" s="18">
        <v>0</v>
      </c>
      <c r="BG358" s="44">
        <v>0</v>
      </c>
      <c r="BH358" s="18">
        <v>0</v>
      </c>
      <c r="BI358" s="18">
        <v>0</v>
      </c>
      <c r="BJ358" s="18">
        <v>4</v>
      </c>
      <c r="BK358" s="18">
        <v>1</v>
      </c>
      <c r="BL358" s="18">
        <v>3</v>
      </c>
      <c r="BM358" s="18">
        <v>2</v>
      </c>
      <c r="BN358" s="18">
        <v>0</v>
      </c>
      <c r="BO358" s="18">
        <v>0</v>
      </c>
      <c r="BP358" s="18">
        <v>2</v>
      </c>
      <c r="BQ358" s="18">
        <v>1</v>
      </c>
      <c r="BR358" s="18">
        <v>2</v>
      </c>
      <c r="BS358" s="18">
        <v>0</v>
      </c>
      <c r="BT358" s="18">
        <v>0</v>
      </c>
      <c r="BU358" s="18">
        <v>0</v>
      </c>
      <c r="BV358" s="44">
        <f t="shared" si="47"/>
        <v>11</v>
      </c>
    </row>
    <row r="359" s="18" customFormat="1" ht="10.2" spans="1:74">
      <c r="A359" s="24">
        <f t="shared" ref="A359:A363" si="48">A358+1</f>
        <v>123</v>
      </c>
      <c r="B359" s="24" t="s">
        <v>1240</v>
      </c>
      <c r="C359" s="24" t="s">
        <v>1241</v>
      </c>
      <c r="D359" s="67">
        <v>43736</v>
      </c>
      <c r="E359" s="24"/>
      <c r="F359" s="68">
        <v>60.52215</v>
      </c>
      <c r="G359" s="69">
        <v>28.4309</v>
      </c>
      <c r="H359" s="70">
        <f t="shared" si="44"/>
        <v>60</v>
      </c>
      <c r="I359" s="77">
        <f t="shared" si="41"/>
        <v>31.3290000000002</v>
      </c>
      <c r="J359" s="70">
        <f t="shared" si="43"/>
        <v>28</v>
      </c>
      <c r="K359" s="77">
        <f t="shared" si="42"/>
        <v>25.8540000000001</v>
      </c>
      <c r="L359" s="159">
        <v>12.7</v>
      </c>
      <c r="M359" s="160">
        <v>3</v>
      </c>
      <c r="N359" s="24"/>
      <c r="O359" s="160">
        <v>12.8</v>
      </c>
      <c r="P359" s="24"/>
      <c r="Q359" s="24"/>
      <c r="R359" s="24">
        <v>2.02</v>
      </c>
      <c r="S359" s="24"/>
      <c r="T359" s="24">
        <v>8.36</v>
      </c>
      <c r="AC359" s="18" t="s">
        <v>159</v>
      </c>
      <c r="AD359" s="18" t="s">
        <v>1242</v>
      </c>
      <c r="AE359" s="18" t="s">
        <v>122</v>
      </c>
      <c r="AF359" s="18" t="s">
        <v>122</v>
      </c>
      <c r="AG359" s="18" t="s">
        <v>205</v>
      </c>
      <c r="AH359" s="18" t="s">
        <v>1243</v>
      </c>
      <c r="AI359" s="20"/>
      <c r="AJ359" s="18" t="s">
        <v>205</v>
      </c>
      <c r="AK359" s="18" t="s">
        <v>205</v>
      </c>
      <c r="AL359" s="18" t="s">
        <v>1234</v>
      </c>
      <c r="AM359" s="89" t="s">
        <v>957</v>
      </c>
      <c r="AN359" s="44">
        <v>2</v>
      </c>
      <c r="AO359" s="18">
        <v>0</v>
      </c>
      <c r="AP359" s="44">
        <v>3</v>
      </c>
      <c r="AQ359" s="44">
        <v>3</v>
      </c>
      <c r="AR359" s="44">
        <v>0</v>
      </c>
      <c r="AS359" s="44">
        <v>0</v>
      </c>
      <c r="AT359" s="18">
        <v>0</v>
      </c>
      <c r="AU359" s="18">
        <v>0</v>
      </c>
      <c r="AV359" s="44">
        <v>0</v>
      </c>
      <c r="AW359" s="18">
        <v>0</v>
      </c>
      <c r="AX359" s="44">
        <v>1</v>
      </c>
      <c r="AY359" s="44">
        <v>0</v>
      </c>
      <c r="AZ359" s="18">
        <v>0</v>
      </c>
      <c r="BA359" s="18">
        <v>0</v>
      </c>
      <c r="BB359" s="44">
        <v>0</v>
      </c>
      <c r="BC359" s="44">
        <v>1</v>
      </c>
      <c r="BD359" s="18">
        <v>0</v>
      </c>
      <c r="BE359" s="18">
        <v>0</v>
      </c>
      <c r="BF359" s="18">
        <v>0</v>
      </c>
      <c r="BG359" s="44">
        <v>0</v>
      </c>
      <c r="BH359" s="18">
        <v>0</v>
      </c>
      <c r="BI359" s="18">
        <v>0</v>
      </c>
      <c r="BJ359" s="18">
        <v>5</v>
      </c>
      <c r="BK359" s="18">
        <v>2</v>
      </c>
      <c r="BL359" s="18">
        <v>1</v>
      </c>
      <c r="BM359" s="18">
        <v>2</v>
      </c>
      <c r="BN359" s="18">
        <v>1</v>
      </c>
      <c r="BO359" s="18">
        <v>0</v>
      </c>
      <c r="BP359" s="18">
        <v>2</v>
      </c>
      <c r="BQ359" s="18">
        <v>1</v>
      </c>
      <c r="BR359" s="18">
        <v>0</v>
      </c>
      <c r="BS359" s="18">
        <v>0</v>
      </c>
      <c r="BT359" s="18">
        <v>0</v>
      </c>
      <c r="BU359" s="18">
        <v>0</v>
      </c>
      <c r="BV359" s="44">
        <f t="shared" si="47"/>
        <v>14</v>
      </c>
    </row>
    <row r="360" s="18" customFormat="1" ht="10.2" spans="1:74">
      <c r="A360" s="24"/>
      <c r="B360" s="24" t="s">
        <v>1240</v>
      </c>
      <c r="C360" s="24" t="s">
        <v>1244</v>
      </c>
      <c r="D360" s="67"/>
      <c r="E360" s="24"/>
      <c r="F360" s="68"/>
      <c r="G360" s="69"/>
      <c r="H360" s="70"/>
      <c r="I360" s="77"/>
      <c r="J360" s="70"/>
      <c r="K360" s="77"/>
      <c r="L360" s="159">
        <v>13.9</v>
      </c>
      <c r="M360" s="160"/>
      <c r="N360" s="24"/>
      <c r="O360" s="160"/>
      <c r="P360" s="24"/>
      <c r="Q360" s="24"/>
      <c r="R360" s="24"/>
      <c r="S360" s="24"/>
      <c r="T360" s="24"/>
      <c r="AH360" s="18" t="s">
        <v>1245</v>
      </c>
      <c r="AI360" s="20"/>
      <c r="AM360" s="89"/>
      <c r="AN360" s="44">
        <v>3</v>
      </c>
      <c r="AO360" s="18">
        <v>1</v>
      </c>
      <c r="AP360" s="44">
        <v>3</v>
      </c>
      <c r="AQ360" s="44">
        <v>3</v>
      </c>
      <c r="AR360" s="44">
        <v>0</v>
      </c>
      <c r="AS360" s="44">
        <v>0</v>
      </c>
      <c r="AT360" s="18">
        <v>0</v>
      </c>
      <c r="AU360" s="18">
        <v>0</v>
      </c>
      <c r="AV360" s="44">
        <v>0</v>
      </c>
      <c r="AW360" s="18">
        <v>0</v>
      </c>
      <c r="AX360" s="44">
        <v>0</v>
      </c>
      <c r="AY360" s="44">
        <v>0</v>
      </c>
      <c r="AZ360" s="18">
        <v>0</v>
      </c>
      <c r="BA360" s="18">
        <v>0</v>
      </c>
      <c r="BB360" s="44">
        <v>0</v>
      </c>
      <c r="BC360" s="44">
        <v>1</v>
      </c>
      <c r="BD360" s="18">
        <v>0</v>
      </c>
      <c r="BE360" s="18">
        <v>0</v>
      </c>
      <c r="BF360" s="18">
        <v>0</v>
      </c>
      <c r="BG360" s="44">
        <v>0</v>
      </c>
      <c r="BH360" s="18">
        <v>0</v>
      </c>
      <c r="BI360" s="18">
        <v>0</v>
      </c>
      <c r="BJ360" s="18">
        <v>6</v>
      </c>
      <c r="BK360" s="18">
        <v>3</v>
      </c>
      <c r="BL360" s="18">
        <v>1</v>
      </c>
      <c r="BM360" s="18">
        <v>2</v>
      </c>
      <c r="BN360" s="18">
        <v>1</v>
      </c>
      <c r="BO360" s="18">
        <v>0</v>
      </c>
      <c r="BP360" s="18">
        <v>2</v>
      </c>
      <c r="BQ360" s="18">
        <v>1</v>
      </c>
      <c r="BR360" s="18">
        <v>0</v>
      </c>
      <c r="BS360" s="18">
        <v>0</v>
      </c>
      <c r="BT360" s="18">
        <v>0</v>
      </c>
      <c r="BU360" s="18">
        <v>0</v>
      </c>
      <c r="BV360" s="44">
        <f t="shared" si="47"/>
        <v>16</v>
      </c>
    </row>
    <row r="361" s="18" customFormat="1" ht="10.2" spans="1:74">
      <c r="A361" s="24">
        <f>A359+1</f>
        <v>124</v>
      </c>
      <c r="B361" s="24" t="s">
        <v>1246</v>
      </c>
      <c r="C361" s="24" t="s">
        <v>1247</v>
      </c>
      <c r="D361" s="67">
        <v>43704</v>
      </c>
      <c r="E361" s="24"/>
      <c r="F361" s="68">
        <v>60.32856</v>
      </c>
      <c r="G361" s="69">
        <v>28.82157</v>
      </c>
      <c r="H361" s="70">
        <f t="shared" si="44"/>
        <v>60</v>
      </c>
      <c r="I361" s="77">
        <f t="shared" si="41"/>
        <v>19.7136000000002</v>
      </c>
      <c r="J361" s="70">
        <f t="shared" si="43"/>
        <v>28</v>
      </c>
      <c r="K361" s="77">
        <f t="shared" si="42"/>
        <v>49.2942000000001</v>
      </c>
      <c r="L361" s="79">
        <v>0.8</v>
      </c>
      <c r="M361" s="24">
        <v>0.8</v>
      </c>
      <c r="N361" s="24"/>
      <c r="O361" s="24">
        <v>18.8</v>
      </c>
      <c r="P361" s="24"/>
      <c r="Q361" s="24"/>
      <c r="R361" s="24">
        <v>2.35</v>
      </c>
      <c r="S361" s="24"/>
      <c r="T361" s="24"/>
      <c r="U361" s="83"/>
      <c r="V361" s="82"/>
      <c r="W361" s="82"/>
      <c r="X361" s="82"/>
      <c r="Y361" s="82"/>
      <c r="Z361" s="82"/>
      <c r="AA361" s="82"/>
      <c r="AB361" s="82"/>
      <c r="AC361" s="82" t="s">
        <v>1248</v>
      </c>
      <c r="AD361" s="82"/>
      <c r="AE361" s="82" t="s">
        <v>205</v>
      </c>
      <c r="AF361" s="82" t="s">
        <v>205</v>
      </c>
      <c r="AG361" s="82" t="s">
        <v>205</v>
      </c>
      <c r="AH361" s="82" t="s">
        <v>205</v>
      </c>
      <c r="AI361" s="82" t="s">
        <v>1249</v>
      </c>
      <c r="AJ361" s="82" t="s">
        <v>205</v>
      </c>
      <c r="AK361" s="82" t="s">
        <v>205</v>
      </c>
      <c r="AL361" s="82" t="s">
        <v>205</v>
      </c>
      <c r="AM361" s="89" t="s">
        <v>770</v>
      </c>
      <c r="AN361" s="44"/>
      <c r="AP361" s="44"/>
      <c r="AQ361" s="44"/>
      <c r="AR361" s="44"/>
      <c r="AS361" s="44"/>
      <c r="AV361" s="44"/>
      <c r="AX361" s="44"/>
      <c r="AY361" s="44"/>
      <c r="BB361" s="44"/>
      <c r="BC361" s="44"/>
      <c r="BG361" s="44"/>
      <c r="BV361" s="44"/>
    </row>
    <row r="362" s="18" customFormat="1" ht="10.2" spans="1:74">
      <c r="A362" s="24">
        <f t="shared" si="48"/>
        <v>125</v>
      </c>
      <c r="B362" s="108" t="s">
        <v>1250</v>
      </c>
      <c r="C362" s="24" t="s">
        <v>1251</v>
      </c>
      <c r="D362" s="67">
        <v>43704</v>
      </c>
      <c r="E362" s="24"/>
      <c r="F362" s="68">
        <v>60.1626394</v>
      </c>
      <c r="G362" s="69">
        <v>29.1539383</v>
      </c>
      <c r="H362" s="70">
        <f t="shared" si="44"/>
        <v>60</v>
      </c>
      <c r="I362" s="77">
        <f t="shared" si="41"/>
        <v>9.7583640000002</v>
      </c>
      <c r="J362" s="70">
        <f t="shared" si="43"/>
        <v>29</v>
      </c>
      <c r="K362" s="77">
        <f t="shared" si="42"/>
        <v>9.236298</v>
      </c>
      <c r="L362" s="79">
        <v>1.2</v>
      </c>
      <c r="M362" s="161">
        <v>1</v>
      </c>
      <c r="N362" s="24"/>
      <c r="O362" s="161">
        <v>19.8</v>
      </c>
      <c r="P362" s="24"/>
      <c r="Q362" s="24"/>
      <c r="R362" s="24">
        <v>2.9</v>
      </c>
      <c r="S362" s="24"/>
      <c r="T362" s="24"/>
      <c r="U362" s="83"/>
      <c r="V362" s="82"/>
      <c r="W362" s="82"/>
      <c r="X362" s="82"/>
      <c r="Y362" s="82"/>
      <c r="Z362" s="82"/>
      <c r="AA362" s="82"/>
      <c r="AB362" s="82"/>
      <c r="AC362" s="82" t="s">
        <v>1252</v>
      </c>
      <c r="AD362" s="82"/>
      <c r="AE362" s="82" t="s">
        <v>205</v>
      </c>
      <c r="AF362" s="82" t="s">
        <v>205</v>
      </c>
      <c r="AG362" s="82" t="s">
        <v>205</v>
      </c>
      <c r="AH362" s="82" t="s">
        <v>205</v>
      </c>
      <c r="AI362" s="82" t="s">
        <v>911</v>
      </c>
      <c r="AJ362" s="82" t="s">
        <v>205</v>
      </c>
      <c r="AK362" s="82" t="s">
        <v>205</v>
      </c>
      <c r="AL362" s="82" t="s">
        <v>205</v>
      </c>
      <c r="AM362" s="89" t="s">
        <v>770</v>
      </c>
      <c r="AN362" s="44"/>
      <c r="AP362" s="44"/>
      <c r="AQ362" s="44"/>
      <c r="AR362" s="44"/>
      <c r="AS362" s="44"/>
      <c r="AV362" s="44"/>
      <c r="AX362" s="44"/>
      <c r="AY362" s="44"/>
      <c r="BB362" s="44"/>
      <c r="BC362" s="44"/>
      <c r="BG362" s="44"/>
      <c r="BV362" s="44"/>
    </row>
    <row r="363" s="18" customFormat="1" ht="10.2" spans="1:74">
      <c r="A363" s="24">
        <f t="shared" si="48"/>
        <v>126</v>
      </c>
      <c r="B363" s="108" t="s">
        <v>1253</v>
      </c>
      <c r="C363" s="24" t="s">
        <v>1254</v>
      </c>
      <c r="D363" s="67">
        <v>43710</v>
      </c>
      <c r="E363" s="24"/>
      <c r="F363" s="68">
        <v>59.8989682</v>
      </c>
      <c r="G363" s="69">
        <v>29.8666763</v>
      </c>
      <c r="H363" s="70">
        <f t="shared" si="44"/>
        <v>59</v>
      </c>
      <c r="I363" s="77">
        <f t="shared" si="41"/>
        <v>53.9380919999999</v>
      </c>
      <c r="J363" s="70">
        <f t="shared" si="43"/>
        <v>29</v>
      </c>
      <c r="K363" s="77">
        <f t="shared" si="42"/>
        <v>52.0005780000001</v>
      </c>
      <c r="L363" s="79">
        <v>0.9</v>
      </c>
      <c r="M363" s="24">
        <v>0.7</v>
      </c>
      <c r="N363" s="24"/>
      <c r="O363" s="161">
        <v>19</v>
      </c>
      <c r="P363" s="24"/>
      <c r="Q363" s="24"/>
      <c r="R363" s="24">
        <v>0.09</v>
      </c>
      <c r="S363" s="24"/>
      <c r="T363" s="24"/>
      <c r="U363" s="83"/>
      <c r="V363" s="82"/>
      <c r="W363" s="82"/>
      <c r="X363" s="82"/>
      <c r="Y363" s="82"/>
      <c r="Z363" s="82"/>
      <c r="AA363" s="82"/>
      <c r="AB363" s="82"/>
      <c r="AC363" s="82" t="s">
        <v>1255</v>
      </c>
      <c r="AD363" s="82"/>
      <c r="AE363" s="82" t="s">
        <v>205</v>
      </c>
      <c r="AF363" s="82" t="s">
        <v>205</v>
      </c>
      <c r="AG363" s="82" t="s">
        <v>205</v>
      </c>
      <c r="AH363" s="82" t="s">
        <v>205</v>
      </c>
      <c r="AI363" s="82" t="s">
        <v>1256</v>
      </c>
      <c r="AJ363" s="82" t="s">
        <v>205</v>
      </c>
      <c r="AK363" s="82" t="s">
        <v>205</v>
      </c>
      <c r="AL363" s="82" t="s">
        <v>205</v>
      </c>
      <c r="AM363" s="89" t="s">
        <v>770</v>
      </c>
      <c r="AN363" s="44"/>
      <c r="AP363" s="44"/>
      <c r="AQ363" s="44"/>
      <c r="AR363" s="44"/>
      <c r="AS363" s="44"/>
      <c r="AV363" s="44"/>
      <c r="AX363" s="44"/>
      <c r="AY363" s="44"/>
      <c r="BB363" s="44"/>
      <c r="BC363" s="44"/>
      <c r="BG363" s="44"/>
      <c r="BV363" s="44"/>
    </row>
    <row r="364" s="18" customFormat="1" ht="10.2" spans="1:74">
      <c r="A364" s="24">
        <v>127</v>
      </c>
      <c r="B364" s="14" t="s">
        <v>1257</v>
      </c>
      <c r="C364" s="24" t="s">
        <v>1258</v>
      </c>
      <c r="D364" s="67">
        <v>43649</v>
      </c>
      <c r="E364" s="172" t="s">
        <v>1259</v>
      </c>
      <c r="F364" s="68">
        <v>60.09167</v>
      </c>
      <c r="G364" s="69">
        <v>29.72833</v>
      </c>
      <c r="H364" s="70">
        <f t="shared" si="44"/>
        <v>60</v>
      </c>
      <c r="I364" s="77">
        <f t="shared" si="41"/>
        <v>5.50020000000004</v>
      </c>
      <c r="J364" s="70">
        <f t="shared" si="43"/>
        <v>29</v>
      </c>
      <c r="K364" s="77">
        <f t="shared" si="42"/>
        <v>43.6998</v>
      </c>
      <c r="L364" s="78">
        <v>14.5</v>
      </c>
      <c r="M364" s="14">
        <v>1</v>
      </c>
      <c r="N364" s="24"/>
      <c r="O364" s="14">
        <v>18</v>
      </c>
      <c r="P364" s="14">
        <v>17</v>
      </c>
      <c r="Q364" s="24"/>
      <c r="R364" s="14">
        <v>0.68</v>
      </c>
      <c r="S364" s="14">
        <v>0.89</v>
      </c>
      <c r="T364" s="14">
        <v>7.69</v>
      </c>
      <c r="U364" s="164">
        <v>6.5</v>
      </c>
      <c r="AC364" s="164" t="s">
        <v>767</v>
      </c>
      <c r="AD364" s="165" t="s">
        <v>1260</v>
      </c>
      <c r="AE364" s="165" t="s">
        <v>1261</v>
      </c>
      <c r="AF364" s="165" t="s">
        <v>1262</v>
      </c>
      <c r="AG364" s="165" t="s">
        <v>774</v>
      </c>
      <c r="AH364" s="165" t="s">
        <v>205</v>
      </c>
      <c r="AI364" s="20"/>
      <c r="AK364" s="165" t="s">
        <v>122</v>
      </c>
      <c r="AL364" s="165" t="s">
        <v>784</v>
      </c>
      <c r="AM364" s="89" t="s">
        <v>770</v>
      </c>
      <c r="AN364" s="44">
        <v>0</v>
      </c>
      <c r="AO364" s="18">
        <v>0</v>
      </c>
      <c r="AP364" s="44">
        <v>0</v>
      </c>
      <c r="AQ364" s="44">
        <v>0</v>
      </c>
      <c r="AR364" s="44">
        <v>0</v>
      </c>
      <c r="AS364" s="44">
        <v>0</v>
      </c>
      <c r="AT364" s="18">
        <v>1</v>
      </c>
      <c r="AU364" s="18">
        <v>0</v>
      </c>
      <c r="AV364" s="44">
        <v>0</v>
      </c>
      <c r="AW364" s="18">
        <v>0</v>
      </c>
      <c r="AX364" s="44">
        <v>2</v>
      </c>
      <c r="AY364" s="44">
        <v>0</v>
      </c>
      <c r="AZ364" s="18">
        <v>0</v>
      </c>
      <c r="BA364" s="18">
        <v>0</v>
      </c>
      <c r="BB364" s="44">
        <v>0</v>
      </c>
      <c r="BC364" s="44">
        <v>1</v>
      </c>
      <c r="BD364" s="18">
        <v>1</v>
      </c>
      <c r="BE364" s="18">
        <v>1</v>
      </c>
      <c r="BF364" s="18">
        <v>0</v>
      </c>
      <c r="BG364" s="44">
        <v>0</v>
      </c>
      <c r="BH364" s="18">
        <v>0</v>
      </c>
      <c r="BI364" s="18">
        <v>0</v>
      </c>
      <c r="BJ364" s="18">
        <v>4</v>
      </c>
      <c r="BK364" s="18">
        <v>1</v>
      </c>
      <c r="BL364" s="18">
        <v>1</v>
      </c>
      <c r="BM364" s="18">
        <v>1</v>
      </c>
      <c r="BN364" s="18">
        <v>0</v>
      </c>
      <c r="BO364" s="18">
        <v>0</v>
      </c>
      <c r="BP364" s="18">
        <v>2</v>
      </c>
      <c r="BQ364" s="18">
        <v>3</v>
      </c>
      <c r="BR364" s="18">
        <v>0</v>
      </c>
      <c r="BS364" s="18">
        <v>0</v>
      </c>
      <c r="BT364" s="18">
        <v>0</v>
      </c>
      <c r="BU364" s="18">
        <v>0</v>
      </c>
      <c r="BV364" s="44">
        <f t="shared" ref="BV364:BV378" si="49">(BJ364+BK364+BL364+BM364+BN364+BO364+BP364+BQ364)-(BR364+BS364+BT364+BU364)</f>
        <v>12</v>
      </c>
    </row>
    <row r="365" s="18" customFormat="1" ht="10.2" spans="1:74">
      <c r="A365" s="24">
        <f>A364+1</f>
        <v>128</v>
      </c>
      <c r="B365" s="14" t="s">
        <v>1263</v>
      </c>
      <c r="C365" s="24" t="s">
        <v>1264</v>
      </c>
      <c r="D365" s="67">
        <v>43649</v>
      </c>
      <c r="E365" s="174" t="s">
        <v>1265</v>
      </c>
      <c r="F365" s="68">
        <v>60.14034</v>
      </c>
      <c r="G365" s="69">
        <v>29.7</v>
      </c>
      <c r="H365" s="70">
        <f t="shared" si="44"/>
        <v>60</v>
      </c>
      <c r="I365" s="77">
        <f t="shared" si="41"/>
        <v>8.42040000000011</v>
      </c>
      <c r="J365" s="70">
        <f t="shared" si="43"/>
        <v>29</v>
      </c>
      <c r="K365" s="77">
        <f t="shared" si="42"/>
        <v>42</v>
      </c>
      <c r="L365" s="78">
        <v>12.5</v>
      </c>
      <c r="M365" s="14">
        <v>0.8</v>
      </c>
      <c r="N365" s="24"/>
      <c r="O365" s="14">
        <v>17.7</v>
      </c>
      <c r="P365" s="14">
        <v>17.7</v>
      </c>
      <c r="Q365" s="24"/>
      <c r="R365" s="14">
        <v>0.57</v>
      </c>
      <c r="S365" s="14">
        <v>0.57</v>
      </c>
      <c r="T365" s="14">
        <v>7.67</v>
      </c>
      <c r="U365" s="164">
        <v>7.77</v>
      </c>
      <c r="AC365" s="164" t="s">
        <v>767</v>
      </c>
      <c r="AD365" s="165" t="s">
        <v>1260</v>
      </c>
      <c r="AE365" s="165" t="s">
        <v>1266</v>
      </c>
      <c r="AF365" s="165" t="s">
        <v>1267</v>
      </c>
      <c r="AG365" s="165" t="s">
        <v>774</v>
      </c>
      <c r="AH365" s="165" t="s">
        <v>205</v>
      </c>
      <c r="AI365" s="20"/>
      <c r="AK365" s="165" t="s">
        <v>122</v>
      </c>
      <c r="AL365" s="164" t="s">
        <v>784</v>
      </c>
      <c r="AM365" s="89" t="s">
        <v>770</v>
      </c>
      <c r="AN365" s="44">
        <v>0</v>
      </c>
      <c r="AO365" s="18">
        <v>0</v>
      </c>
      <c r="AP365" s="44">
        <v>0</v>
      </c>
      <c r="AQ365" s="44">
        <v>0</v>
      </c>
      <c r="AR365" s="44">
        <v>0</v>
      </c>
      <c r="AS365" s="44">
        <v>0</v>
      </c>
      <c r="AT365" s="18">
        <v>0</v>
      </c>
      <c r="AU365" s="18">
        <v>0</v>
      </c>
      <c r="AV365" s="44">
        <v>0</v>
      </c>
      <c r="AW365" s="18">
        <v>0</v>
      </c>
      <c r="AX365" s="44">
        <v>3</v>
      </c>
      <c r="AY365" s="44">
        <v>0</v>
      </c>
      <c r="AZ365" s="18">
        <v>0</v>
      </c>
      <c r="BA365" s="18">
        <v>0</v>
      </c>
      <c r="BB365" s="44">
        <v>0</v>
      </c>
      <c r="BC365" s="44">
        <v>0</v>
      </c>
      <c r="BD365" s="18">
        <v>1</v>
      </c>
      <c r="BE365" s="18">
        <v>1</v>
      </c>
      <c r="BF365" s="18">
        <v>1</v>
      </c>
      <c r="BG365" s="44">
        <v>0</v>
      </c>
      <c r="BH365" s="18">
        <v>0</v>
      </c>
      <c r="BI365" s="18">
        <v>0</v>
      </c>
      <c r="BJ365" s="18">
        <v>4</v>
      </c>
      <c r="BK365" s="18">
        <v>1</v>
      </c>
      <c r="BL365" s="18">
        <v>1</v>
      </c>
      <c r="BM365" s="18">
        <v>1</v>
      </c>
      <c r="BN365" s="18">
        <v>1</v>
      </c>
      <c r="BO365" s="18">
        <v>0</v>
      </c>
      <c r="BP365" s="18">
        <v>2</v>
      </c>
      <c r="BQ365" s="18">
        <v>3</v>
      </c>
      <c r="BR365" s="18">
        <v>0</v>
      </c>
      <c r="BS365" s="18">
        <v>0</v>
      </c>
      <c r="BT365" s="18">
        <v>0</v>
      </c>
      <c r="BU365" s="18">
        <v>0</v>
      </c>
      <c r="BV365" s="44">
        <f t="shared" si="49"/>
        <v>13</v>
      </c>
    </row>
    <row r="366" s="18" customFormat="1" ht="10.2" spans="1:74">
      <c r="A366" s="24">
        <f t="shared" ref="A366:A377" si="50">A365+1</f>
        <v>129</v>
      </c>
      <c r="B366" s="14" t="s">
        <v>1268</v>
      </c>
      <c r="C366" s="24" t="s">
        <v>1269</v>
      </c>
      <c r="D366" s="67">
        <v>43649</v>
      </c>
      <c r="E366" s="173" t="s">
        <v>1270</v>
      </c>
      <c r="F366" s="68">
        <v>60.1592166666667</v>
      </c>
      <c r="G366" s="69">
        <v>29.70085</v>
      </c>
      <c r="H366" s="70">
        <f t="shared" si="44"/>
        <v>60</v>
      </c>
      <c r="I366" s="77">
        <f t="shared" si="41"/>
        <v>9.55299999999994</v>
      </c>
      <c r="J366" s="70">
        <f t="shared" si="43"/>
        <v>29</v>
      </c>
      <c r="K366" s="77">
        <f t="shared" si="42"/>
        <v>42.0509999999999</v>
      </c>
      <c r="L366" s="78">
        <v>8.3</v>
      </c>
      <c r="M366" s="14">
        <v>1</v>
      </c>
      <c r="N366" s="24"/>
      <c r="O366" s="14">
        <v>17.8</v>
      </c>
      <c r="P366" s="14">
        <v>17.9</v>
      </c>
      <c r="Q366" s="24"/>
      <c r="R366" s="14">
        <v>0.61</v>
      </c>
      <c r="S366" s="14">
        <v>0.78</v>
      </c>
      <c r="T366" s="14">
        <v>7.84</v>
      </c>
      <c r="U366" s="164">
        <v>7.78</v>
      </c>
      <c r="AC366" s="164" t="s">
        <v>1271</v>
      </c>
      <c r="AD366" s="164" t="s">
        <v>1272</v>
      </c>
      <c r="AE366" s="165" t="s">
        <v>1273</v>
      </c>
      <c r="AF366" s="165" t="s">
        <v>1274</v>
      </c>
      <c r="AG366" s="165" t="s">
        <v>774</v>
      </c>
      <c r="AH366" s="165" t="s">
        <v>205</v>
      </c>
      <c r="AI366" s="20"/>
      <c r="AK366" s="165" t="s">
        <v>122</v>
      </c>
      <c r="AL366" s="164" t="s">
        <v>789</v>
      </c>
      <c r="AM366" s="89" t="s">
        <v>770</v>
      </c>
      <c r="AN366" s="44">
        <v>0</v>
      </c>
      <c r="AO366" s="18">
        <v>0</v>
      </c>
      <c r="AP366" s="44">
        <v>4</v>
      </c>
      <c r="AQ366" s="44">
        <v>7</v>
      </c>
      <c r="AR366" s="44">
        <v>0</v>
      </c>
      <c r="AS366" s="44">
        <v>0</v>
      </c>
      <c r="AT366" s="18">
        <v>0</v>
      </c>
      <c r="AU366" s="18">
        <v>0</v>
      </c>
      <c r="AV366" s="44">
        <v>0</v>
      </c>
      <c r="AW366" s="18">
        <v>0</v>
      </c>
      <c r="AX366" s="44">
        <v>0</v>
      </c>
      <c r="AY366" s="44">
        <v>0</v>
      </c>
      <c r="AZ366" s="18">
        <v>1</v>
      </c>
      <c r="BA366" s="18">
        <v>1</v>
      </c>
      <c r="BB366" s="44">
        <v>0</v>
      </c>
      <c r="BC366" s="44">
        <v>1</v>
      </c>
      <c r="BD366" s="18">
        <v>1</v>
      </c>
      <c r="BE366" s="18">
        <v>1</v>
      </c>
      <c r="BF366" s="18">
        <v>0</v>
      </c>
      <c r="BG366" s="44">
        <v>0</v>
      </c>
      <c r="BH366" s="18">
        <v>0</v>
      </c>
      <c r="BI366" s="18">
        <v>1</v>
      </c>
      <c r="BJ366" s="18">
        <v>8</v>
      </c>
      <c r="BK366" s="18">
        <v>3</v>
      </c>
      <c r="BL366" s="18">
        <v>0</v>
      </c>
      <c r="BM366" s="18">
        <v>2</v>
      </c>
      <c r="BN366" s="18">
        <v>1</v>
      </c>
      <c r="BO366" s="18">
        <v>1</v>
      </c>
      <c r="BP366" s="18">
        <v>2</v>
      </c>
      <c r="BQ366" s="18">
        <v>3</v>
      </c>
      <c r="BR366" s="18">
        <v>0</v>
      </c>
      <c r="BS366" s="18">
        <v>0</v>
      </c>
      <c r="BT366" s="18">
        <v>0</v>
      </c>
      <c r="BU366" s="18">
        <v>0</v>
      </c>
      <c r="BV366" s="44">
        <f t="shared" si="49"/>
        <v>20</v>
      </c>
    </row>
    <row r="367" s="18" customFormat="1" ht="10.2" spans="1:74">
      <c r="A367" s="24">
        <f t="shared" si="50"/>
        <v>130</v>
      </c>
      <c r="B367" s="14" t="s">
        <v>1275</v>
      </c>
      <c r="C367" s="24" t="s">
        <v>1276</v>
      </c>
      <c r="D367" s="67">
        <v>43649</v>
      </c>
      <c r="E367" s="173" t="s">
        <v>517</v>
      </c>
      <c r="F367" s="68">
        <v>60.10917</v>
      </c>
      <c r="G367" s="69">
        <v>29.87067</v>
      </c>
      <c r="H367" s="70">
        <f t="shared" si="44"/>
        <v>60</v>
      </c>
      <c r="I367" s="77">
        <f t="shared" si="41"/>
        <v>6.55019999999993</v>
      </c>
      <c r="J367" s="70">
        <f t="shared" si="43"/>
        <v>29</v>
      </c>
      <c r="K367" s="77">
        <f t="shared" si="42"/>
        <v>52.2402</v>
      </c>
      <c r="L367" s="78">
        <v>10.5</v>
      </c>
      <c r="M367" s="14">
        <v>1.2</v>
      </c>
      <c r="N367" s="24"/>
      <c r="O367" s="14">
        <v>19.9</v>
      </c>
      <c r="P367" s="14">
        <v>19.8</v>
      </c>
      <c r="Q367" s="24"/>
      <c r="R367" s="14">
        <v>0.21</v>
      </c>
      <c r="S367" s="14">
        <v>0.22</v>
      </c>
      <c r="T367" s="14">
        <v>8.66</v>
      </c>
      <c r="U367" s="164">
        <v>8.59</v>
      </c>
      <c r="AC367" s="164" t="s">
        <v>1277</v>
      </c>
      <c r="AD367" s="164"/>
      <c r="AE367" s="165" t="s">
        <v>1278</v>
      </c>
      <c r="AF367" s="165" t="s">
        <v>1279</v>
      </c>
      <c r="AG367" s="165" t="s">
        <v>774</v>
      </c>
      <c r="AH367" s="165" t="s">
        <v>205</v>
      </c>
      <c r="AI367" s="20"/>
      <c r="AK367" s="165" t="s">
        <v>122</v>
      </c>
      <c r="AL367" s="164" t="s">
        <v>789</v>
      </c>
      <c r="AM367" s="89" t="s">
        <v>770</v>
      </c>
      <c r="AN367" s="44">
        <v>0</v>
      </c>
      <c r="AO367" s="18">
        <v>0</v>
      </c>
      <c r="AP367" s="44">
        <v>0</v>
      </c>
      <c r="AQ367" s="44">
        <v>0</v>
      </c>
      <c r="AR367" s="44">
        <v>0</v>
      </c>
      <c r="AS367" s="44">
        <v>0</v>
      </c>
      <c r="AT367" s="18">
        <v>1</v>
      </c>
      <c r="AU367" s="18">
        <v>0</v>
      </c>
      <c r="AV367" s="44">
        <v>0</v>
      </c>
      <c r="AW367" s="18">
        <v>0</v>
      </c>
      <c r="AX367" s="44">
        <v>0</v>
      </c>
      <c r="AY367" s="44">
        <v>0</v>
      </c>
      <c r="AZ367" s="18">
        <v>0</v>
      </c>
      <c r="BA367" s="18">
        <v>0</v>
      </c>
      <c r="BB367" s="44">
        <v>0</v>
      </c>
      <c r="BC367" s="44">
        <v>0</v>
      </c>
      <c r="BD367" s="18">
        <v>1</v>
      </c>
      <c r="BE367" s="18">
        <v>1</v>
      </c>
      <c r="BF367" s="18">
        <v>0</v>
      </c>
      <c r="BG367" s="44">
        <v>0</v>
      </c>
      <c r="BH367" s="18">
        <v>0</v>
      </c>
      <c r="BI367" s="18">
        <v>0</v>
      </c>
      <c r="BJ367" s="18">
        <v>4</v>
      </c>
      <c r="BK367" s="18">
        <v>1</v>
      </c>
      <c r="BL367" s="18">
        <v>0</v>
      </c>
      <c r="BM367" s="18">
        <v>1</v>
      </c>
      <c r="BN367" s="18">
        <v>1</v>
      </c>
      <c r="BO367" s="18">
        <v>0</v>
      </c>
      <c r="BP367" s="18">
        <v>2</v>
      </c>
      <c r="BQ367" s="18">
        <v>3</v>
      </c>
      <c r="BR367" s="18">
        <v>0</v>
      </c>
      <c r="BS367" s="18">
        <v>0</v>
      </c>
      <c r="BT367" s="18">
        <v>0</v>
      </c>
      <c r="BU367" s="18">
        <v>0</v>
      </c>
      <c r="BV367" s="44">
        <f t="shared" si="49"/>
        <v>12</v>
      </c>
    </row>
    <row r="368" s="18" customFormat="1" ht="10.2" spans="1:74">
      <c r="A368" s="24">
        <f t="shared" si="50"/>
        <v>131</v>
      </c>
      <c r="B368" s="14" t="s">
        <v>1280</v>
      </c>
      <c r="C368" s="24" t="s">
        <v>1281</v>
      </c>
      <c r="D368" s="67">
        <v>43649</v>
      </c>
      <c r="E368" s="173" t="s">
        <v>1282</v>
      </c>
      <c r="F368" s="68">
        <v>60.1551666666667</v>
      </c>
      <c r="G368" s="69">
        <v>29.8065333333333</v>
      </c>
      <c r="H368" s="70">
        <f t="shared" si="44"/>
        <v>60</v>
      </c>
      <c r="I368" s="77">
        <f t="shared" si="41"/>
        <v>9.30999999999997</v>
      </c>
      <c r="J368" s="70">
        <f t="shared" si="43"/>
        <v>29</v>
      </c>
      <c r="K368" s="77">
        <f t="shared" si="42"/>
        <v>48.3920000000001</v>
      </c>
      <c r="L368" s="78">
        <v>7.9</v>
      </c>
      <c r="M368" s="14">
        <v>0.9</v>
      </c>
      <c r="N368" s="24"/>
      <c r="O368" s="14">
        <v>18.1</v>
      </c>
      <c r="P368" s="14">
        <v>18</v>
      </c>
      <c r="Q368" s="24"/>
      <c r="R368" s="14">
        <v>0.71</v>
      </c>
      <c r="S368" s="14">
        <v>0.71</v>
      </c>
      <c r="T368" s="14">
        <v>8.07</v>
      </c>
      <c r="U368" s="164">
        <v>8.01</v>
      </c>
      <c r="AC368" s="164" t="s">
        <v>1283</v>
      </c>
      <c r="AD368" s="164"/>
      <c r="AE368" s="165" t="s">
        <v>205</v>
      </c>
      <c r="AF368" s="165" t="s">
        <v>205</v>
      </c>
      <c r="AG368" s="165" t="s">
        <v>774</v>
      </c>
      <c r="AH368" s="165" t="s">
        <v>205</v>
      </c>
      <c r="AI368" s="20"/>
      <c r="AK368" s="165" t="s">
        <v>122</v>
      </c>
      <c r="AL368" s="164" t="s">
        <v>789</v>
      </c>
      <c r="AM368" s="89" t="s">
        <v>770</v>
      </c>
      <c r="AN368" s="44">
        <v>0</v>
      </c>
      <c r="AO368" s="18">
        <v>0</v>
      </c>
      <c r="AP368" s="44">
        <v>0</v>
      </c>
      <c r="AQ368" s="44">
        <v>0</v>
      </c>
      <c r="AR368" s="44">
        <v>0</v>
      </c>
      <c r="AS368" s="44">
        <v>0</v>
      </c>
      <c r="AT368" s="18">
        <v>0</v>
      </c>
      <c r="AU368" s="18">
        <v>0</v>
      </c>
      <c r="AV368" s="44">
        <v>0</v>
      </c>
      <c r="AW368" s="18">
        <v>0</v>
      </c>
      <c r="AX368" s="44">
        <v>0</v>
      </c>
      <c r="AY368" s="44">
        <v>0</v>
      </c>
      <c r="AZ368" s="18">
        <v>1</v>
      </c>
      <c r="BA368" s="18">
        <v>1</v>
      </c>
      <c r="BB368" s="44">
        <v>0</v>
      </c>
      <c r="BC368" s="44">
        <v>0</v>
      </c>
      <c r="BD368" s="18">
        <v>1</v>
      </c>
      <c r="BE368" s="18">
        <v>1</v>
      </c>
      <c r="BF368" s="18">
        <v>0</v>
      </c>
      <c r="BG368" s="44">
        <v>0</v>
      </c>
      <c r="BH368" s="18">
        <v>0</v>
      </c>
      <c r="BI368" s="18">
        <v>0</v>
      </c>
      <c r="BJ368" s="18">
        <v>4</v>
      </c>
      <c r="BK368" s="18">
        <v>1</v>
      </c>
      <c r="BL368" s="18">
        <v>0</v>
      </c>
      <c r="BM368" s="18">
        <v>2</v>
      </c>
      <c r="BN368" s="18">
        <v>1</v>
      </c>
      <c r="BO368" s="18">
        <v>0</v>
      </c>
      <c r="BP368" s="18">
        <v>2</v>
      </c>
      <c r="BQ368" s="18">
        <v>3</v>
      </c>
      <c r="BR368" s="18">
        <v>0</v>
      </c>
      <c r="BS368" s="18">
        <v>0</v>
      </c>
      <c r="BT368" s="18">
        <v>0</v>
      </c>
      <c r="BU368" s="18">
        <v>0</v>
      </c>
      <c r="BV368" s="44">
        <f t="shared" si="49"/>
        <v>13</v>
      </c>
    </row>
    <row r="369" s="18" customFormat="1" ht="10.2" spans="1:74">
      <c r="A369" s="24">
        <f t="shared" si="50"/>
        <v>132</v>
      </c>
      <c r="B369" s="14" t="s">
        <v>1284</v>
      </c>
      <c r="C369" s="24" t="s">
        <v>1281</v>
      </c>
      <c r="D369" s="67">
        <v>43649</v>
      </c>
      <c r="E369" s="173" t="s">
        <v>1285</v>
      </c>
      <c r="F369" s="68">
        <v>60.1549</v>
      </c>
      <c r="G369" s="69">
        <v>29.8149666666667</v>
      </c>
      <c r="H369" s="70">
        <f t="shared" si="44"/>
        <v>60</v>
      </c>
      <c r="I369" s="77">
        <f t="shared" si="41"/>
        <v>9.29399999999987</v>
      </c>
      <c r="J369" s="70">
        <f t="shared" si="43"/>
        <v>29</v>
      </c>
      <c r="K369" s="77">
        <f t="shared" si="42"/>
        <v>48.898</v>
      </c>
      <c r="L369" s="78">
        <v>7.1</v>
      </c>
      <c r="M369" s="14">
        <v>1.1</v>
      </c>
      <c r="N369" s="24"/>
      <c r="O369" s="14">
        <v>18</v>
      </c>
      <c r="P369" s="14"/>
      <c r="Q369" s="24"/>
      <c r="R369" s="14">
        <v>0.67</v>
      </c>
      <c r="S369" s="14"/>
      <c r="T369" s="14">
        <v>8.16</v>
      </c>
      <c r="U369" s="164"/>
      <c r="AC369" s="164" t="s">
        <v>1286</v>
      </c>
      <c r="AD369" s="164"/>
      <c r="AE369" s="165" t="s">
        <v>205</v>
      </c>
      <c r="AF369" s="165" t="s">
        <v>205</v>
      </c>
      <c r="AG369" s="165" t="s">
        <v>774</v>
      </c>
      <c r="AH369" s="165" t="s">
        <v>205</v>
      </c>
      <c r="AI369" s="20"/>
      <c r="AK369" s="165" t="s">
        <v>122</v>
      </c>
      <c r="AL369" s="164" t="s">
        <v>789</v>
      </c>
      <c r="AM369" s="89" t="s">
        <v>770</v>
      </c>
      <c r="AN369" s="44">
        <v>0</v>
      </c>
      <c r="AO369" s="18">
        <v>0</v>
      </c>
      <c r="AP369" s="44">
        <v>0</v>
      </c>
      <c r="AQ369" s="44">
        <v>0</v>
      </c>
      <c r="AR369" s="44">
        <v>0</v>
      </c>
      <c r="AS369" s="44">
        <v>0</v>
      </c>
      <c r="AT369" s="18">
        <v>0</v>
      </c>
      <c r="AU369" s="18">
        <v>0</v>
      </c>
      <c r="AV369" s="44">
        <v>0</v>
      </c>
      <c r="AW369" s="18">
        <v>0</v>
      </c>
      <c r="AX369" s="44">
        <v>0</v>
      </c>
      <c r="AY369" s="44">
        <v>0</v>
      </c>
      <c r="AZ369" s="18">
        <v>1</v>
      </c>
      <c r="BA369" s="18">
        <v>0</v>
      </c>
      <c r="BB369" s="44">
        <v>0</v>
      </c>
      <c r="BC369" s="44">
        <v>0</v>
      </c>
      <c r="BD369" s="18">
        <v>1</v>
      </c>
      <c r="BE369" s="18">
        <v>1</v>
      </c>
      <c r="BF369" s="18">
        <v>1</v>
      </c>
      <c r="BG369" s="44">
        <v>0</v>
      </c>
      <c r="BH369" s="18">
        <v>0</v>
      </c>
      <c r="BI369" s="18">
        <v>0</v>
      </c>
      <c r="BJ369" s="18">
        <v>4</v>
      </c>
      <c r="BK369" s="18">
        <v>1</v>
      </c>
      <c r="BL369" s="18">
        <v>0</v>
      </c>
      <c r="BM369" s="18">
        <v>1</v>
      </c>
      <c r="BN369" s="18">
        <v>1</v>
      </c>
      <c r="BO369" s="18">
        <v>0</v>
      </c>
      <c r="BP369" s="18">
        <v>2</v>
      </c>
      <c r="BQ369" s="18">
        <v>3</v>
      </c>
      <c r="BR369" s="18">
        <v>0</v>
      </c>
      <c r="BS369" s="18">
        <v>0</v>
      </c>
      <c r="BT369" s="18">
        <v>0</v>
      </c>
      <c r="BU369" s="18">
        <v>0</v>
      </c>
      <c r="BV369" s="44">
        <f t="shared" si="49"/>
        <v>12</v>
      </c>
    </row>
    <row r="370" s="18" customFormat="1" ht="10.2" spans="1:74">
      <c r="A370" s="24">
        <f t="shared" si="50"/>
        <v>133</v>
      </c>
      <c r="B370" s="14" t="s">
        <v>1287</v>
      </c>
      <c r="C370" s="24" t="s">
        <v>1281</v>
      </c>
      <c r="D370" s="67">
        <v>43649</v>
      </c>
      <c r="E370" s="173" t="s">
        <v>1288</v>
      </c>
      <c r="F370" s="68">
        <v>60.1587333333333</v>
      </c>
      <c r="G370" s="69">
        <v>29.8076333333333</v>
      </c>
      <c r="H370" s="70">
        <f t="shared" si="44"/>
        <v>60</v>
      </c>
      <c r="I370" s="77">
        <f t="shared" si="41"/>
        <v>9.52399999999983</v>
      </c>
      <c r="J370" s="70">
        <f t="shared" si="43"/>
        <v>29</v>
      </c>
      <c r="K370" s="77">
        <f t="shared" si="42"/>
        <v>48.4579999999999</v>
      </c>
      <c r="L370" s="78">
        <v>4.9</v>
      </c>
      <c r="M370" s="14">
        <v>1.1</v>
      </c>
      <c r="N370" s="24"/>
      <c r="O370" s="14">
        <v>18</v>
      </c>
      <c r="P370" s="14"/>
      <c r="Q370" s="24"/>
      <c r="R370" s="14">
        <v>0.78</v>
      </c>
      <c r="S370" s="14"/>
      <c r="T370" s="14">
        <v>8.27</v>
      </c>
      <c r="U370" s="164"/>
      <c r="AC370" s="164" t="s">
        <v>1286</v>
      </c>
      <c r="AD370" s="164"/>
      <c r="AE370" s="165" t="s">
        <v>205</v>
      </c>
      <c r="AF370" s="165" t="s">
        <v>205</v>
      </c>
      <c r="AG370" s="165" t="s">
        <v>774</v>
      </c>
      <c r="AH370" s="165" t="s">
        <v>205</v>
      </c>
      <c r="AI370" s="20"/>
      <c r="AK370" s="165" t="s">
        <v>122</v>
      </c>
      <c r="AL370" s="164" t="s">
        <v>789</v>
      </c>
      <c r="AM370" s="89" t="s">
        <v>770</v>
      </c>
      <c r="AN370" s="44">
        <v>0</v>
      </c>
      <c r="AO370" s="18">
        <v>0</v>
      </c>
      <c r="AP370" s="44">
        <v>0</v>
      </c>
      <c r="AQ370" s="44">
        <v>0</v>
      </c>
      <c r="AR370" s="44">
        <v>0</v>
      </c>
      <c r="AS370" s="44">
        <v>0</v>
      </c>
      <c r="AT370" s="18">
        <v>1</v>
      </c>
      <c r="AU370" s="18">
        <v>0</v>
      </c>
      <c r="AV370" s="44">
        <v>0</v>
      </c>
      <c r="AW370" s="18">
        <v>0</v>
      </c>
      <c r="AX370" s="44">
        <v>0</v>
      </c>
      <c r="AY370" s="44">
        <v>0</v>
      </c>
      <c r="AZ370" s="18">
        <v>1</v>
      </c>
      <c r="BA370" s="18">
        <v>1</v>
      </c>
      <c r="BB370" s="44">
        <v>0</v>
      </c>
      <c r="BC370" s="44">
        <v>0</v>
      </c>
      <c r="BD370" s="18">
        <v>0</v>
      </c>
      <c r="BE370" s="18">
        <v>0</v>
      </c>
      <c r="BF370" s="18">
        <v>0</v>
      </c>
      <c r="BG370" s="44">
        <v>0</v>
      </c>
      <c r="BH370" s="18">
        <v>0</v>
      </c>
      <c r="BI370" s="18">
        <v>0</v>
      </c>
      <c r="BJ370" s="18">
        <v>3</v>
      </c>
      <c r="BK370" s="18">
        <v>1</v>
      </c>
      <c r="BL370" s="18">
        <v>0</v>
      </c>
      <c r="BM370" s="18">
        <v>2</v>
      </c>
      <c r="BN370" s="18">
        <v>1</v>
      </c>
      <c r="BO370" s="18">
        <v>1</v>
      </c>
      <c r="BP370" s="18">
        <v>2</v>
      </c>
      <c r="BQ370" s="18">
        <v>3</v>
      </c>
      <c r="BR370" s="18">
        <v>0</v>
      </c>
      <c r="BS370" s="18">
        <v>0</v>
      </c>
      <c r="BT370" s="18">
        <v>0</v>
      </c>
      <c r="BU370" s="18">
        <v>0</v>
      </c>
      <c r="BV370" s="44">
        <f t="shared" si="49"/>
        <v>13</v>
      </c>
    </row>
    <row r="371" s="18" customFormat="1" ht="10.2" spans="1:74">
      <c r="A371" s="24">
        <f t="shared" si="50"/>
        <v>134</v>
      </c>
      <c r="B371" s="14" t="s">
        <v>1289</v>
      </c>
      <c r="C371" s="24" t="s">
        <v>1281</v>
      </c>
      <c r="D371" s="67">
        <v>43649</v>
      </c>
      <c r="E371" s="173" t="s">
        <v>477</v>
      </c>
      <c r="F371" s="68">
        <v>60.1592</v>
      </c>
      <c r="G371" s="69">
        <v>29.81815</v>
      </c>
      <c r="H371" s="70">
        <f t="shared" si="44"/>
        <v>60</v>
      </c>
      <c r="I371" s="77">
        <f t="shared" si="41"/>
        <v>9.55199999999991</v>
      </c>
      <c r="J371" s="70">
        <f t="shared" si="43"/>
        <v>29</v>
      </c>
      <c r="K371" s="77">
        <f t="shared" si="42"/>
        <v>49.089</v>
      </c>
      <c r="L371" s="78">
        <v>5.5</v>
      </c>
      <c r="M371" s="14">
        <v>1.1</v>
      </c>
      <c r="N371" s="24"/>
      <c r="O371" s="14">
        <v>18.7</v>
      </c>
      <c r="P371" s="14"/>
      <c r="Q371" s="24"/>
      <c r="R371" s="14">
        <v>0.84</v>
      </c>
      <c r="S371" s="14"/>
      <c r="T371" s="14">
        <v>8.46</v>
      </c>
      <c r="U371" s="164"/>
      <c r="AC371" s="164" t="s">
        <v>1290</v>
      </c>
      <c r="AD371" s="164"/>
      <c r="AE371" s="165" t="s">
        <v>1291</v>
      </c>
      <c r="AF371" s="165" t="s">
        <v>205</v>
      </c>
      <c r="AG371" s="165" t="s">
        <v>774</v>
      </c>
      <c r="AH371" s="165" t="s">
        <v>205</v>
      </c>
      <c r="AI371" s="20"/>
      <c r="AK371" s="165" t="s">
        <v>122</v>
      </c>
      <c r="AL371" s="164" t="s">
        <v>789</v>
      </c>
      <c r="AM371" s="89" t="s">
        <v>770</v>
      </c>
      <c r="AN371" s="44">
        <v>0</v>
      </c>
      <c r="AO371" s="18">
        <v>0</v>
      </c>
      <c r="AP371" s="44">
        <v>0</v>
      </c>
      <c r="AQ371" s="44">
        <v>0</v>
      </c>
      <c r="AR371" s="44">
        <v>0</v>
      </c>
      <c r="AS371" s="44">
        <v>0</v>
      </c>
      <c r="AT371" s="18">
        <v>0</v>
      </c>
      <c r="AU371" s="18">
        <v>0</v>
      </c>
      <c r="AV371" s="44">
        <v>0</v>
      </c>
      <c r="AW371" s="18">
        <v>0</v>
      </c>
      <c r="AX371" s="44">
        <v>0</v>
      </c>
      <c r="AY371" s="44">
        <v>0</v>
      </c>
      <c r="AZ371" s="18">
        <v>1</v>
      </c>
      <c r="BA371" s="18">
        <v>1</v>
      </c>
      <c r="BB371" s="44">
        <v>0</v>
      </c>
      <c r="BC371" s="44">
        <v>0</v>
      </c>
      <c r="BD371" s="18">
        <v>1</v>
      </c>
      <c r="BE371" s="18">
        <v>1</v>
      </c>
      <c r="BF371" s="18">
        <v>0</v>
      </c>
      <c r="BG371" s="44">
        <v>0</v>
      </c>
      <c r="BH371" s="18">
        <v>0</v>
      </c>
      <c r="BI371" s="18">
        <v>0</v>
      </c>
      <c r="BJ371" s="18">
        <v>4</v>
      </c>
      <c r="BK371" s="18">
        <v>1</v>
      </c>
      <c r="BL371" s="18">
        <v>0</v>
      </c>
      <c r="BM371" s="18">
        <v>2</v>
      </c>
      <c r="BN371" s="18">
        <v>1</v>
      </c>
      <c r="BO371" s="18">
        <v>1</v>
      </c>
      <c r="BP371" s="18">
        <v>2</v>
      </c>
      <c r="BQ371" s="18">
        <v>3</v>
      </c>
      <c r="BR371" s="18">
        <v>0</v>
      </c>
      <c r="BS371" s="18">
        <v>0</v>
      </c>
      <c r="BT371" s="18">
        <v>0</v>
      </c>
      <c r="BU371" s="18">
        <v>0</v>
      </c>
      <c r="BV371" s="44">
        <f t="shared" si="49"/>
        <v>14</v>
      </c>
    </row>
    <row r="372" s="18" customFormat="1" ht="10.2" spans="1:74">
      <c r="A372" s="24">
        <f t="shared" si="50"/>
        <v>135</v>
      </c>
      <c r="B372" s="14" t="s">
        <v>1292</v>
      </c>
      <c r="C372" s="24" t="s">
        <v>1281</v>
      </c>
      <c r="D372" s="67">
        <v>43649</v>
      </c>
      <c r="E372" s="173" t="s">
        <v>516</v>
      </c>
      <c r="F372" s="68">
        <v>60.15675</v>
      </c>
      <c r="G372" s="69">
        <v>29.8197166666667</v>
      </c>
      <c r="H372" s="70">
        <f t="shared" si="44"/>
        <v>60</v>
      </c>
      <c r="I372" s="77">
        <f t="shared" si="41"/>
        <v>9.40500000000014</v>
      </c>
      <c r="J372" s="70">
        <f t="shared" si="43"/>
        <v>29</v>
      </c>
      <c r="K372" s="77">
        <f t="shared" si="42"/>
        <v>49.1830000000001</v>
      </c>
      <c r="L372" s="78">
        <v>5.1</v>
      </c>
      <c r="M372" s="14">
        <v>1.1</v>
      </c>
      <c r="N372" s="24"/>
      <c r="O372" s="14">
        <v>19</v>
      </c>
      <c r="P372" s="14"/>
      <c r="Q372" s="24"/>
      <c r="R372" s="14">
        <v>0.72</v>
      </c>
      <c r="S372" s="14"/>
      <c r="T372" s="14">
        <v>8.34</v>
      </c>
      <c r="U372" s="164"/>
      <c r="AC372" s="164" t="s">
        <v>1293</v>
      </c>
      <c r="AD372" s="164"/>
      <c r="AE372" s="165" t="s">
        <v>205</v>
      </c>
      <c r="AF372" s="165" t="s">
        <v>205</v>
      </c>
      <c r="AG372" s="165" t="s">
        <v>774</v>
      </c>
      <c r="AH372" s="165" t="s">
        <v>205</v>
      </c>
      <c r="AI372" s="20"/>
      <c r="AK372" s="165" t="s">
        <v>122</v>
      </c>
      <c r="AL372" s="164" t="s">
        <v>789</v>
      </c>
      <c r="AM372" s="89" t="s">
        <v>770</v>
      </c>
      <c r="AN372" s="44">
        <v>0</v>
      </c>
      <c r="AO372" s="18">
        <v>0</v>
      </c>
      <c r="AP372" s="44">
        <v>0</v>
      </c>
      <c r="AQ372" s="44">
        <v>0</v>
      </c>
      <c r="AR372" s="44">
        <v>0</v>
      </c>
      <c r="AS372" s="44">
        <v>0</v>
      </c>
      <c r="AT372" s="18">
        <v>0</v>
      </c>
      <c r="AU372" s="18">
        <v>0</v>
      </c>
      <c r="AV372" s="44">
        <v>0</v>
      </c>
      <c r="AW372" s="18">
        <v>0</v>
      </c>
      <c r="AX372" s="44">
        <v>0</v>
      </c>
      <c r="AY372" s="44">
        <v>0</v>
      </c>
      <c r="AZ372" s="18">
        <v>1</v>
      </c>
      <c r="BA372" s="18">
        <v>1</v>
      </c>
      <c r="BB372" s="44">
        <v>0</v>
      </c>
      <c r="BC372" s="44">
        <v>0</v>
      </c>
      <c r="BD372" s="18">
        <v>0</v>
      </c>
      <c r="BE372" s="18">
        <v>0</v>
      </c>
      <c r="BF372" s="18">
        <v>0</v>
      </c>
      <c r="BG372" s="44">
        <v>0</v>
      </c>
      <c r="BH372" s="18">
        <v>0</v>
      </c>
      <c r="BI372" s="18">
        <v>0</v>
      </c>
      <c r="BJ372" s="18">
        <v>2</v>
      </c>
      <c r="BK372" s="18">
        <v>1</v>
      </c>
      <c r="BL372" s="18">
        <v>1</v>
      </c>
      <c r="BM372" s="18">
        <v>1</v>
      </c>
      <c r="BN372" s="18">
        <v>1</v>
      </c>
      <c r="BO372" s="18">
        <v>1</v>
      </c>
      <c r="BP372" s="18">
        <v>2</v>
      </c>
      <c r="BQ372" s="18">
        <v>3</v>
      </c>
      <c r="BR372" s="18">
        <v>0</v>
      </c>
      <c r="BS372" s="18">
        <v>0</v>
      </c>
      <c r="BT372" s="18">
        <v>0</v>
      </c>
      <c r="BU372" s="18">
        <v>0</v>
      </c>
      <c r="BV372" s="44">
        <f t="shared" si="49"/>
        <v>12</v>
      </c>
    </row>
    <row r="373" s="18" customFormat="1" ht="10.2" spans="1:74">
      <c r="A373" s="24">
        <f t="shared" si="50"/>
        <v>136</v>
      </c>
      <c r="B373" s="14" t="s">
        <v>1294</v>
      </c>
      <c r="C373" s="24" t="s">
        <v>1281</v>
      </c>
      <c r="D373" s="67">
        <v>43649</v>
      </c>
      <c r="E373" s="173" t="s">
        <v>749</v>
      </c>
      <c r="F373" s="68">
        <v>60.1531</v>
      </c>
      <c r="G373" s="69">
        <v>29.8178833333333</v>
      </c>
      <c r="H373" s="70">
        <f t="shared" si="44"/>
        <v>60</v>
      </c>
      <c r="I373" s="77">
        <f t="shared" si="41"/>
        <v>9.18600000000012</v>
      </c>
      <c r="J373" s="70">
        <f t="shared" si="43"/>
        <v>29</v>
      </c>
      <c r="K373" s="77">
        <f t="shared" si="42"/>
        <v>49.0730000000001</v>
      </c>
      <c r="L373" s="78">
        <v>8.6</v>
      </c>
      <c r="M373" s="14">
        <v>0.9</v>
      </c>
      <c r="N373" s="24"/>
      <c r="O373" s="14">
        <v>18.6</v>
      </c>
      <c r="P373" s="14">
        <v>18.5</v>
      </c>
      <c r="Q373" s="24"/>
      <c r="R373" s="14">
        <v>0.67</v>
      </c>
      <c r="S373" s="14">
        <v>0.7</v>
      </c>
      <c r="T373" s="14">
        <v>8.22</v>
      </c>
      <c r="U373" s="164">
        <v>8.26</v>
      </c>
      <c r="AC373" s="164" t="s">
        <v>1295</v>
      </c>
      <c r="AD373" s="164"/>
      <c r="AE373" s="165" t="s">
        <v>205</v>
      </c>
      <c r="AF373" s="165" t="s">
        <v>205</v>
      </c>
      <c r="AG373" s="165" t="s">
        <v>774</v>
      </c>
      <c r="AH373" s="165" t="s">
        <v>205</v>
      </c>
      <c r="AI373" s="20"/>
      <c r="AK373" s="165" t="s">
        <v>122</v>
      </c>
      <c r="AL373" s="164" t="s">
        <v>789</v>
      </c>
      <c r="AM373" s="89" t="s">
        <v>770</v>
      </c>
      <c r="AN373" s="44">
        <v>0</v>
      </c>
      <c r="AO373" s="18">
        <v>0</v>
      </c>
      <c r="AP373" s="44">
        <v>0</v>
      </c>
      <c r="AQ373" s="44">
        <v>0</v>
      </c>
      <c r="AR373" s="44">
        <v>0</v>
      </c>
      <c r="AS373" s="44">
        <v>0</v>
      </c>
      <c r="AT373" s="18">
        <v>0</v>
      </c>
      <c r="AU373" s="18">
        <v>0</v>
      </c>
      <c r="AV373" s="44">
        <v>0</v>
      </c>
      <c r="AW373" s="18">
        <v>0</v>
      </c>
      <c r="AX373" s="44">
        <v>0</v>
      </c>
      <c r="AY373" s="44">
        <v>0</v>
      </c>
      <c r="AZ373" s="18">
        <v>1</v>
      </c>
      <c r="BA373" s="18">
        <v>1</v>
      </c>
      <c r="BB373" s="44">
        <v>0</v>
      </c>
      <c r="BC373" s="44">
        <v>0</v>
      </c>
      <c r="BD373" s="18">
        <v>1</v>
      </c>
      <c r="BE373" s="18">
        <v>1</v>
      </c>
      <c r="BF373" s="18">
        <v>0</v>
      </c>
      <c r="BG373" s="44">
        <v>0</v>
      </c>
      <c r="BH373" s="18">
        <v>0</v>
      </c>
      <c r="BI373" s="18">
        <v>0</v>
      </c>
      <c r="BJ373" s="18">
        <v>4</v>
      </c>
      <c r="BK373" s="18">
        <v>1</v>
      </c>
      <c r="BL373" s="18">
        <v>0</v>
      </c>
      <c r="BM373" s="18">
        <v>1</v>
      </c>
      <c r="BN373" s="18">
        <v>1</v>
      </c>
      <c r="BO373" s="18">
        <v>0</v>
      </c>
      <c r="BP373" s="18">
        <v>2</v>
      </c>
      <c r="BQ373" s="18">
        <v>3</v>
      </c>
      <c r="BR373" s="18">
        <v>0</v>
      </c>
      <c r="BS373" s="18">
        <v>0</v>
      </c>
      <c r="BT373" s="18">
        <v>0</v>
      </c>
      <c r="BU373" s="18">
        <v>0</v>
      </c>
      <c r="BV373" s="44">
        <f t="shared" si="49"/>
        <v>12</v>
      </c>
    </row>
    <row r="374" s="18" customFormat="1" ht="10.2" spans="1:74">
      <c r="A374" s="24">
        <f t="shared" si="50"/>
        <v>137</v>
      </c>
      <c r="B374" s="14" t="s">
        <v>1296</v>
      </c>
      <c r="C374" s="24" t="s">
        <v>1281</v>
      </c>
      <c r="D374" s="67">
        <v>43649</v>
      </c>
      <c r="E374" s="173" t="s">
        <v>1297</v>
      </c>
      <c r="F374" s="68">
        <v>60.1542666666667</v>
      </c>
      <c r="G374" s="69">
        <v>29.8228166666667</v>
      </c>
      <c r="H374" s="70">
        <f t="shared" si="44"/>
        <v>60</v>
      </c>
      <c r="I374" s="77">
        <f t="shared" si="41"/>
        <v>9.25599999999989</v>
      </c>
      <c r="J374" s="70">
        <f t="shared" si="43"/>
        <v>29</v>
      </c>
      <c r="K374" s="77">
        <f t="shared" si="42"/>
        <v>49.3690000000001</v>
      </c>
      <c r="L374" s="78">
        <v>7.3</v>
      </c>
      <c r="M374" s="14">
        <v>1.2</v>
      </c>
      <c r="N374" s="24"/>
      <c r="O374" s="14">
        <v>19</v>
      </c>
      <c r="P374" s="14"/>
      <c r="Q374" s="24"/>
      <c r="R374" s="14">
        <v>0.68</v>
      </c>
      <c r="S374" s="14"/>
      <c r="T374" s="14">
        <v>8.25</v>
      </c>
      <c r="U374" s="164"/>
      <c r="AC374" s="164" t="s">
        <v>1298</v>
      </c>
      <c r="AD374" s="164"/>
      <c r="AE374" s="165" t="s">
        <v>205</v>
      </c>
      <c r="AF374" s="165" t="s">
        <v>205</v>
      </c>
      <c r="AG374" s="165" t="s">
        <v>774</v>
      </c>
      <c r="AH374" s="165" t="s">
        <v>205</v>
      </c>
      <c r="AI374" s="20"/>
      <c r="AK374" s="165" t="s">
        <v>122</v>
      </c>
      <c r="AL374" s="164" t="s">
        <v>789</v>
      </c>
      <c r="AM374" s="89" t="s">
        <v>770</v>
      </c>
      <c r="AN374" s="44">
        <v>0</v>
      </c>
      <c r="AO374" s="18">
        <v>0</v>
      </c>
      <c r="AP374" s="44">
        <v>0</v>
      </c>
      <c r="AQ374" s="44">
        <v>0</v>
      </c>
      <c r="AR374" s="44">
        <v>0</v>
      </c>
      <c r="AS374" s="44">
        <v>0</v>
      </c>
      <c r="AT374" s="18">
        <v>0</v>
      </c>
      <c r="AU374" s="18">
        <v>0</v>
      </c>
      <c r="AV374" s="44">
        <v>0</v>
      </c>
      <c r="AW374" s="18">
        <v>0</v>
      </c>
      <c r="AX374" s="44">
        <v>0</v>
      </c>
      <c r="AY374" s="44">
        <v>0</v>
      </c>
      <c r="AZ374" s="18">
        <v>0</v>
      </c>
      <c r="BA374" s="18">
        <v>0</v>
      </c>
      <c r="BB374" s="44">
        <v>0</v>
      </c>
      <c r="BC374" s="44">
        <v>0</v>
      </c>
      <c r="BD374" s="18">
        <v>1</v>
      </c>
      <c r="BE374" s="18">
        <v>1</v>
      </c>
      <c r="BF374" s="18">
        <v>0</v>
      </c>
      <c r="BG374" s="44">
        <v>0</v>
      </c>
      <c r="BH374" s="18">
        <v>0</v>
      </c>
      <c r="BI374" s="18">
        <v>1</v>
      </c>
      <c r="BJ374" s="18">
        <v>3</v>
      </c>
      <c r="BK374" s="18">
        <v>1</v>
      </c>
      <c r="BL374" s="18">
        <v>0</v>
      </c>
      <c r="BM374" s="18">
        <v>1</v>
      </c>
      <c r="BN374" s="18">
        <v>1</v>
      </c>
      <c r="BO374" s="18">
        <v>0</v>
      </c>
      <c r="BP374" s="18">
        <v>2</v>
      </c>
      <c r="BQ374" s="18">
        <v>3</v>
      </c>
      <c r="BR374" s="18">
        <v>0</v>
      </c>
      <c r="BS374" s="18">
        <v>0</v>
      </c>
      <c r="BT374" s="18">
        <v>0</v>
      </c>
      <c r="BU374" s="18">
        <v>0</v>
      </c>
      <c r="BV374" s="44">
        <f t="shared" si="49"/>
        <v>11</v>
      </c>
    </row>
    <row r="375" s="18" customFormat="1" ht="10.2" spans="1:74">
      <c r="A375" s="24">
        <f t="shared" si="50"/>
        <v>138</v>
      </c>
      <c r="B375" s="14" t="s">
        <v>1299</v>
      </c>
      <c r="C375" s="24" t="s">
        <v>1281</v>
      </c>
      <c r="D375" s="67">
        <v>43649</v>
      </c>
      <c r="E375" s="173" t="s">
        <v>1300</v>
      </c>
      <c r="F375" s="68">
        <v>60.1564</v>
      </c>
      <c r="G375" s="69">
        <v>29.8276</v>
      </c>
      <c r="H375" s="70">
        <f t="shared" si="44"/>
        <v>60</v>
      </c>
      <c r="I375" s="77">
        <f t="shared" si="41"/>
        <v>9.38399999999987</v>
      </c>
      <c r="J375" s="70">
        <f t="shared" si="43"/>
        <v>29</v>
      </c>
      <c r="K375" s="77">
        <f t="shared" si="42"/>
        <v>49.656</v>
      </c>
      <c r="L375" s="78">
        <v>4.8</v>
      </c>
      <c r="M375" s="14">
        <v>1.1</v>
      </c>
      <c r="N375" s="24"/>
      <c r="O375" s="14">
        <v>18.9</v>
      </c>
      <c r="P375" s="24"/>
      <c r="Q375" s="24"/>
      <c r="R375" s="14">
        <v>0.73</v>
      </c>
      <c r="S375" s="24"/>
      <c r="T375" s="14">
        <v>8.44</v>
      </c>
      <c r="AC375" s="164" t="s">
        <v>1301</v>
      </c>
      <c r="AE375" s="165" t="s">
        <v>205</v>
      </c>
      <c r="AF375" s="165" t="s">
        <v>205</v>
      </c>
      <c r="AG375" s="165" t="s">
        <v>774</v>
      </c>
      <c r="AH375" s="165" t="s">
        <v>205</v>
      </c>
      <c r="AI375" s="20"/>
      <c r="AK375" s="165" t="s">
        <v>122</v>
      </c>
      <c r="AL375" s="164" t="s">
        <v>789</v>
      </c>
      <c r="AM375" s="89" t="s">
        <v>770</v>
      </c>
      <c r="AN375" s="44">
        <v>0</v>
      </c>
      <c r="AO375" s="18">
        <v>0</v>
      </c>
      <c r="AP375" s="44">
        <v>0</v>
      </c>
      <c r="AQ375" s="44">
        <v>1</v>
      </c>
      <c r="AR375" s="44">
        <v>0</v>
      </c>
      <c r="AS375" s="44">
        <v>0</v>
      </c>
      <c r="AT375" s="18">
        <v>0</v>
      </c>
      <c r="AU375" s="18">
        <v>0</v>
      </c>
      <c r="AV375" s="44">
        <v>0</v>
      </c>
      <c r="AW375" s="18">
        <v>0</v>
      </c>
      <c r="AX375" s="44">
        <v>0</v>
      </c>
      <c r="AY375" s="44">
        <v>0</v>
      </c>
      <c r="AZ375" s="18">
        <v>1</v>
      </c>
      <c r="BA375" s="18">
        <v>0</v>
      </c>
      <c r="BB375" s="44">
        <v>0</v>
      </c>
      <c r="BC375" s="44">
        <v>1</v>
      </c>
      <c r="BD375" s="18">
        <v>0</v>
      </c>
      <c r="BE375" s="18">
        <v>0</v>
      </c>
      <c r="BF375" s="18">
        <v>0</v>
      </c>
      <c r="BG375" s="44">
        <v>0</v>
      </c>
      <c r="BH375" s="18">
        <v>0</v>
      </c>
      <c r="BI375" s="18">
        <v>0</v>
      </c>
      <c r="BJ375" s="18">
        <v>3</v>
      </c>
      <c r="BK375" s="18">
        <v>1</v>
      </c>
      <c r="BL375" s="18">
        <v>0</v>
      </c>
      <c r="BM375" s="18">
        <v>1</v>
      </c>
      <c r="BN375" s="18">
        <v>1</v>
      </c>
      <c r="BO375" s="18">
        <v>1</v>
      </c>
      <c r="BP375" s="18">
        <v>2</v>
      </c>
      <c r="BQ375" s="18">
        <v>3</v>
      </c>
      <c r="BR375" s="18">
        <v>0</v>
      </c>
      <c r="BS375" s="18">
        <v>0</v>
      </c>
      <c r="BT375" s="18">
        <v>1</v>
      </c>
      <c r="BU375" s="18">
        <v>0</v>
      </c>
      <c r="BV375" s="44">
        <f t="shared" si="49"/>
        <v>11</v>
      </c>
    </row>
    <row r="376" s="18" customFormat="1" ht="10.2" spans="1:74">
      <c r="A376" s="24">
        <f t="shared" si="50"/>
        <v>139</v>
      </c>
      <c r="B376" s="14" t="s">
        <v>1302</v>
      </c>
      <c r="C376" s="24" t="s">
        <v>1281</v>
      </c>
      <c r="D376" s="67">
        <v>43649</v>
      </c>
      <c r="E376" s="173" t="s">
        <v>365</v>
      </c>
      <c r="F376" s="68">
        <v>60.1534666666667</v>
      </c>
      <c r="G376" s="69">
        <v>29.82955</v>
      </c>
      <c r="H376" s="70">
        <f t="shared" si="44"/>
        <v>60</v>
      </c>
      <c r="I376" s="77">
        <f t="shared" si="41"/>
        <v>9.208</v>
      </c>
      <c r="J376" s="70">
        <f t="shared" si="43"/>
        <v>29</v>
      </c>
      <c r="K376" s="77">
        <f t="shared" si="42"/>
        <v>49.7730000000001</v>
      </c>
      <c r="L376" s="78">
        <v>7.5</v>
      </c>
      <c r="M376" s="14">
        <v>1.1</v>
      </c>
      <c r="N376" s="24"/>
      <c r="O376" s="14">
        <v>20</v>
      </c>
      <c r="P376" s="24"/>
      <c r="Q376" s="24"/>
      <c r="R376" s="14">
        <v>0.69</v>
      </c>
      <c r="S376" s="24"/>
      <c r="T376" s="14">
        <v>8.49</v>
      </c>
      <c r="AC376" s="164" t="s">
        <v>1303</v>
      </c>
      <c r="AE376" s="165" t="s">
        <v>205</v>
      </c>
      <c r="AF376" s="165" t="s">
        <v>205</v>
      </c>
      <c r="AG376" s="165" t="s">
        <v>774</v>
      </c>
      <c r="AH376" s="165" t="s">
        <v>205</v>
      </c>
      <c r="AI376" s="20"/>
      <c r="AK376" s="165" t="s">
        <v>122</v>
      </c>
      <c r="AL376" s="164" t="s">
        <v>789</v>
      </c>
      <c r="AM376" s="89" t="s">
        <v>770</v>
      </c>
      <c r="AN376" s="44">
        <v>0</v>
      </c>
      <c r="AO376" s="18">
        <v>0</v>
      </c>
      <c r="AP376" s="44">
        <v>0</v>
      </c>
      <c r="AQ376" s="44">
        <v>0</v>
      </c>
      <c r="AR376" s="44">
        <v>0</v>
      </c>
      <c r="AS376" s="44">
        <v>0</v>
      </c>
      <c r="AT376" s="18">
        <v>1</v>
      </c>
      <c r="AU376" s="18">
        <v>0</v>
      </c>
      <c r="AV376" s="44">
        <v>0</v>
      </c>
      <c r="AW376" s="18">
        <v>0</v>
      </c>
      <c r="AX376" s="44">
        <v>0</v>
      </c>
      <c r="AY376" s="44">
        <v>0</v>
      </c>
      <c r="AZ376" s="18">
        <v>1</v>
      </c>
      <c r="BA376" s="18">
        <v>1</v>
      </c>
      <c r="BB376" s="44">
        <v>0</v>
      </c>
      <c r="BC376" s="44">
        <v>0</v>
      </c>
      <c r="BD376" s="18">
        <v>0</v>
      </c>
      <c r="BE376" s="18">
        <v>0</v>
      </c>
      <c r="BF376" s="18">
        <v>0</v>
      </c>
      <c r="BG376" s="44">
        <v>0</v>
      </c>
      <c r="BH376" s="18">
        <v>0</v>
      </c>
      <c r="BI376" s="18">
        <v>0</v>
      </c>
      <c r="BJ376" s="18">
        <v>3</v>
      </c>
      <c r="BK376" s="18">
        <v>1</v>
      </c>
      <c r="BL376" s="18">
        <v>0</v>
      </c>
      <c r="BM376" s="18">
        <v>1</v>
      </c>
      <c r="BN376" s="18">
        <v>1</v>
      </c>
      <c r="BO376" s="18">
        <v>0</v>
      </c>
      <c r="BP376" s="18">
        <v>2</v>
      </c>
      <c r="BQ376" s="18">
        <v>3</v>
      </c>
      <c r="BR376" s="18">
        <v>0</v>
      </c>
      <c r="BS376" s="18">
        <v>0</v>
      </c>
      <c r="BT376" s="18">
        <v>1</v>
      </c>
      <c r="BU376" s="18">
        <v>0</v>
      </c>
      <c r="BV376" s="44">
        <f t="shared" si="49"/>
        <v>10</v>
      </c>
    </row>
    <row r="377" s="18" customFormat="1" ht="10.2" spans="1:74">
      <c r="A377" s="24">
        <f t="shared" si="50"/>
        <v>140</v>
      </c>
      <c r="B377" s="14" t="s">
        <v>1304</v>
      </c>
      <c r="C377" s="24" t="s">
        <v>1281</v>
      </c>
      <c r="D377" s="67">
        <v>43649</v>
      </c>
      <c r="E377" s="174" t="s">
        <v>468</v>
      </c>
      <c r="F377" s="68">
        <v>60.1556666666667</v>
      </c>
      <c r="G377" s="69">
        <v>29.8375833333333</v>
      </c>
      <c r="H377" s="70">
        <f t="shared" si="44"/>
        <v>60</v>
      </c>
      <c r="I377" s="77">
        <f t="shared" si="41"/>
        <v>9.34000000000012</v>
      </c>
      <c r="J377" s="70">
        <f t="shared" si="43"/>
        <v>29</v>
      </c>
      <c r="K377" s="77">
        <f t="shared" si="42"/>
        <v>50.2550000000001</v>
      </c>
      <c r="L377" s="78">
        <v>5</v>
      </c>
      <c r="M377" s="14">
        <v>1.2</v>
      </c>
      <c r="N377" s="24"/>
      <c r="O377" s="14">
        <v>20</v>
      </c>
      <c r="P377" s="24"/>
      <c r="Q377" s="24"/>
      <c r="R377" s="14">
        <v>0.75</v>
      </c>
      <c r="S377" s="24"/>
      <c r="T377" s="14">
        <v>8.55</v>
      </c>
      <c r="AC377" s="164" t="s">
        <v>1305</v>
      </c>
      <c r="AE377" s="165" t="s">
        <v>205</v>
      </c>
      <c r="AF377" s="165" t="s">
        <v>205</v>
      </c>
      <c r="AG377" s="165" t="s">
        <v>774</v>
      </c>
      <c r="AH377" s="165" t="s">
        <v>205</v>
      </c>
      <c r="AI377" s="20"/>
      <c r="AK377" s="165" t="s">
        <v>122</v>
      </c>
      <c r="AL377" s="164" t="s">
        <v>789</v>
      </c>
      <c r="AM377" s="89" t="s">
        <v>770</v>
      </c>
      <c r="AN377" s="44">
        <v>0</v>
      </c>
      <c r="AO377" s="18">
        <v>0</v>
      </c>
      <c r="AP377" s="44">
        <v>0</v>
      </c>
      <c r="AQ377" s="44">
        <v>0</v>
      </c>
      <c r="AR377" s="44">
        <v>0</v>
      </c>
      <c r="AS377" s="44">
        <v>0</v>
      </c>
      <c r="AT377" s="18">
        <v>0</v>
      </c>
      <c r="AU377" s="18">
        <v>0</v>
      </c>
      <c r="AV377" s="44">
        <v>0</v>
      </c>
      <c r="AW377" s="18">
        <v>0</v>
      </c>
      <c r="AX377" s="44">
        <v>0</v>
      </c>
      <c r="AY377" s="44">
        <v>0</v>
      </c>
      <c r="AZ377" s="18">
        <v>1</v>
      </c>
      <c r="BA377" s="18">
        <v>1</v>
      </c>
      <c r="BB377" s="44">
        <v>0</v>
      </c>
      <c r="BC377" s="44">
        <v>0</v>
      </c>
      <c r="BD377" s="18">
        <v>1</v>
      </c>
      <c r="BE377" s="18">
        <v>0</v>
      </c>
      <c r="BF377" s="18">
        <v>0</v>
      </c>
      <c r="BG377" s="44">
        <v>0</v>
      </c>
      <c r="BH377" s="18">
        <v>0</v>
      </c>
      <c r="BI377" s="18">
        <v>0</v>
      </c>
      <c r="BJ377" s="18">
        <v>3</v>
      </c>
      <c r="BK377" s="18">
        <v>1</v>
      </c>
      <c r="BL377" s="18">
        <v>0</v>
      </c>
      <c r="BM377" s="18">
        <v>1</v>
      </c>
      <c r="BN377" s="18">
        <v>0</v>
      </c>
      <c r="BO377" s="18">
        <v>1</v>
      </c>
      <c r="BP377" s="18">
        <v>2</v>
      </c>
      <c r="BQ377" s="18">
        <v>3</v>
      </c>
      <c r="BR377" s="18">
        <v>0</v>
      </c>
      <c r="BS377" s="18">
        <v>0</v>
      </c>
      <c r="BT377" s="18">
        <v>1</v>
      </c>
      <c r="BU377" s="18">
        <v>0</v>
      </c>
      <c r="BV377" s="44">
        <f t="shared" si="49"/>
        <v>10</v>
      </c>
    </row>
    <row r="378" s="18" customFormat="1" ht="10.2" spans="1:74">
      <c r="A378" s="24">
        <v>141</v>
      </c>
      <c r="B378" s="14" t="s">
        <v>1306</v>
      </c>
      <c r="C378" s="24" t="s">
        <v>1307</v>
      </c>
      <c r="D378" s="67">
        <v>43748</v>
      </c>
      <c r="E378" s="24"/>
      <c r="F378" s="68">
        <v>59.7802166666667</v>
      </c>
      <c r="G378" s="69">
        <v>28.4495333333333</v>
      </c>
      <c r="H378" s="70">
        <f t="shared" si="44"/>
        <v>59</v>
      </c>
      <c r="I378" s="77">
        <f t="shared" si="41"/>
        <v>46.8130000000001</v>
      </c>
      <c r="J378" s="70">
        <f t="shared" si="43"/>
        <v>28</v>
      </c>
      <c r="K378" s="77">
        <f t="shared" si="42"/>
        <v>26.9720000000001</v>
      </c>
      <c r="L378" s="162">
        <v>1</v>
      </c>
      <c r="M378" s="163">
        <v>0.9</v>
      </c>
      <c r="N378" s="24"/>
      <c r="O378" s="14">
        <v>9.4</v>
      </c>
      <c r="P378" s="24"/>
      <c r="Q378" s="24"/>
      <c r="R378" s="14">
        <v>3.53</v>
      </c>
      <c r="S378" s="24"/>
      <c r="T378" s="14">
        <v>8.59</v>
      </c>
      <c r="AC378" s="164" t="s">
        <v>1308</v>
      </c>
      <c r="AD378" s="18" t="s">
        <v>1309</v>
      </c>
      <c r="AE378" s="165" t="s">
        <v>1310</v>
      </c>
      <c r="AF378" s="165" t="s">
        <v>1311</v>
      </c>
      <c r="AG378" s="165" t="s">
        <v>205</v>
      </c>
      <c r="AH378" s="165" t="s">
        <v>1312</v>
      </c>
      <c r="AI378" s="20" t="s">
        <v>205</v>
      </c>
      <c r="AJ378" s="165" t="s">
        <v>1313</v>
      </c>
      <c r="AK378" s="165" t="s">
        <v>205</v>
      </c>
      <c r="AL378" s="164" t="s">
        <v>205</v>
      </c>
      <c r="AM378" s="167" t="s">
        <v>957</v>
      </c>
      <c r="AN378" s="44">
        <v>1</v>
      </c>
      <c r="AO378" s="18">
        <v>0</v>
      </c>
      <c r="AP378" s="44">
        <v>1</v>
      </c>
      <c r="AQ378" s="44">
        <v>0</v>
      </c>
      <c r="AR378" s="44">
        <v>0</v>
      </c>
      <c r="AS378" s="44">
        <v>0</v>
      </c>
      <c r="AT378" s="18">
        <v>0</v>
      </c>
      <c r="AU378" s="18">
        <v>0</v>
      </c>
      <c r="AV378" s="44">
        <v>0</v>
      </c>
      <c r="AW378" s="18">
        <v>0</v>
      </c>
      <c r="AX378" s="44">
        <v>0</v>
      </c>
      <c r="AY378" s="44">
        <v>0</v>
      </c>
      <c r="AZ378" s="18">
        <v>0</v>
      </c>
      <c r="BA378" s="18">
        <v>0</v>
      </c>
      <c r="BB378" s="44">
        <v>0</v>
      </c>
      <c r="BC378" s="44">
        <v>1</v>
      </c>
      <c r="BD378" s="18">
        <v>0</v>
      </c>
      <c r="BE378" s="18">
        <v>0</v>
      </c>
      <c r="BF378" s="18">
        <v>0</v>
      </c>
      <c r="BG378" s="44">
        <v>0</v>
      </c>
      <c r="BH378" s="18">
        <v>0</v>
      </c>
      <c r="BI378" s="18">
        <v>0</v>
      </c>
      <c r="BJ378" s="18">
        <v>3</v>
      </c>
      <c r="BK378" s="18">
        <v>1</v>
      </c>
      <c r="BL378" s="18">
        <v>3</v>
      </c>
      <c r="BM378" s="18">
        <v>2</v>
      </c>
      <c r="BN378" s="18">
        <v>1</v>
      </c>
      <c r="BO378" s="18">
        <v>1</v>
      </c>
      <c r="BP378" s="18">
        <v>2</v>
      </c>
      <c r="BQ378" s="18">
        <v>4</v>
      </c>
      <c r="BR378" s="18">
        <v>1</v>
      </c>
      <c r="BS378" s="18">
        <v>0</v>
      </c>
      <c r="BT378" s="18">
        <v>1</v>
      </c>
      <c r="BU378" s="18">
        <v>0</v>
      </c>
      <c r="BV378" s="44">
        <f t="shared" si="49"/>
        <v>15</v>
      </c>
    </row>
  </sheetData>
  <sortState ref="B4:I193">
    <sortCondition ref="B4:B193"/>
    <sortCondition ref="C4:C193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opLeftCell="B1" workbookViewId="0">
      <pane xSplit="8" ySplit="1" topLeftCell="N2" activePane="bottomRight" state="frozen"/>
      <selection/>
      <selection pane="topRight"/>
      <selection pane="bottomLeft"/>
      <selection pane="bottomRight" activeCell="AA8" sqref="AA8"/>
    </sheetView>
  </sheetViews>
  <sheetFormatPr defaultColWidth="9" defaultRowHeight="14.4"/>
  <cols>
    <col min="1" max="1" width="4.33333333333333" customWidth="1"/>
    <col min="2" max="3" width="10.1111111111111" customWidth="1"/>
  </cols>
  <sheetData>
    <row r="1" spans="1:30">
      <c r="A1" t="s">
        <v>1314</v>
      </c>
      <c r="B1" s="1" t="s">
        <v>52</v>
      </c>
      <c r="C1" s="1" t="s">
        <v>53</v>
      </c>
      <c r="D1" s="1" t="s">
        <v>59</v>
      </c>
      <c r="E1" s="2" t="s">
        <v>60</v>
      </c>
      <c r="F1" s="1" t="s">
        <v>57</v>
      </c>
      <c r="G1" s="2" t="s">
        <v>58</v>
      </c>
      <c r="H1" s="1" t="s">
        <v>1315</v>
      </c>
      <c r="I1" s="1" t="s">
        <v>1316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66</v>
      </c>
      <c r="O1" s="1" t="s">
        <v>67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80</v>
      </c>
      <c r="AD1" s="1" t="s">
        <v>1323</v>
      </c>
    </row>
    <row r="2" spans="2:30">
      <c r="B2" s="1"/>
      <c r="C2" s="1"/>
      <c r="D2" s="1"/>
      <c r="E2" s="2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>
        <v>1</v>
      </c>
      <c r="B3" s="14" t="s">
        <v>1324</v>
      </c>
      <c r="C3" s="3">
        <v>44306</v>
      </c>
      <c r="H3" s="15">
        <v>28.13077</v>
      </c>
      <c r="I3" s="15">
        <v>59.774363</v>
      </c>
      <c r="J3">
        <v>3</v>
      </c>
      <c r="K3">
        <v>1.7</v>
      </c>
      <c r="L3">
        <v>6</v>
      </c>
      <c r="M3">
        <v>6</v>
      </c>
      <c r="N3">
        <v>3.27</v>
      </c>
      <c r="O3">
        <v>3.27</v>
      </c>
      <c r="P3">
        <v>8.54</v>
      </c>
      <c r="Q3">
        <v>8.3</v>
      </c>
      <c r="W3" t="s">
        <v>1325</v>
      </c>
      <c r="Y3" t="s">
        <v>122</v>
      </c>
      <c r="Z3" t="s">
        <v>1326</v>
      </c>
      <c r="AA3" t="s">
        <v>1327</v>
      </c>
      <c r="AB3" t="s">
        <v>1327</v>
      </c>
      <c r="AC3" t="s">
        <v>205</v>
      </c>
      <c r="AD3" t="s">
        <v>205</v>
      </c>
    </row>
    <row r="4" spans="1:30">
      <c r="A4">
        <v>2</v>
      </c>
      <c r="B4" s="14" t="s">
        <v>1328</v>
      </c>
      <c r="C4" s="3">
        <v>44306</v>
      </c>
      <c r="H4" s="15">
        <v>28.220372</v>
      </c>
      <c r="I4" s="15">
        <v>59.676021</v>
      </c>
      <c r="J4">
        <v>0.7</v>
      </c>
      <c r="K4">
        <v>0.1</v>
      </c>
      <c r="L4">
        <v>8.7</v>
      </c>
      <c r="N4">
        <v>0.21</v>
      </c>
      <c r="P4">
        <v>8.4</v>
      </c>
      <c r="Y4" t="s">
        <v>205</v>
      </c>
      <c r="Z4" t="s">
        <v>205</v>
      </c>
      <c r="AA4" t="s">
        <v>1327</v>
      </c>
      <c r="AB4" t="s">
        <v>1327</v>
      </c>
      <c r="AC4" t="s">
        <v>205</v>
      </c>
      <c r="AD4" t="s">
        <v>205</v>
      </c>
    </row>
    <row r="5" spans="1:30">
      <c r="A5">
        <v>3</v>
      </c>
      <c r="B5" s="14" t="s">
        <v>1324</v>
      </c>
      <c r="C5" s="3">
        <v>44337</v>
      </c>
      <c r="H5" s="15">
        <v>28.13077</v>
      </c>
      <c r="I5" s="15">
        <v>59.774363</v>
      </c>
      <c r="J5">
        <v>3</v>
      </c>
      <c r="K5">
        <v>1.2</v>
      </c>
      <c r="L5">
        <v>11.7</v>
      </c>
      <c r="N5">
        <v>2.98</v>
      </c>
      <c r="P5">
        <v>8.26</v>
      </c>
      <c r="W5" t="s">
        <v>1329</v>
      </c>
      <c r="Y5" t="s">
        <v>122</v>
      </c>
      <c r="Z5" t="s">
        <v>1326</v>
      </c>
      <c r="AA5" t="s">
        <v>1327</v>
      </c>
      <c r="AB5" t="s">
        <v>1327</v>
      </c>
      <c r="AC5" t="s">
        <v>205</v>
      </c>
      <c r="AD5" t="s">
        <v>205</v>
      </c>
    </row>
    <row r="6" spans="1:30">
      <c r="A6">
        <v>4</v>
      </c>
      <c r="B6" s="14" t="s">
        <v>1328</v>
      </c>
      <c r="C6" s="3">
        <v>44337</v>
      </c>
      <c r="H6" s="15">
        <v>28.220372</v>
      </c>
      <c r="I6" s="15">
        <v>59.676021</v>
      </c>
      <c r="J6">
        <v>0.5</v>
      </c>
      <c r="K6">
        <v>0.1</v>
      </c>
      <c r="L6">
        <v>11.6</v>
      </c>
      <c r="N6">
        <v>0.06</v>
      </c>
      <c r="P6">
        <v>6.3</v>
      </c>
      <c r="W6" t="s">
        <v>1330</v>
      </c>
      <c r="Y6" t="s">
        <v>205</v>
      </c>
      <c r="Z6" t="s">
        <v>205</v>
      </c>
      <c r="AA6" t="s">
        <v>1327</v>
      </c>
      <c r="AB6" t="s">
        <v>1327</v>
      </c>
      <c r="AC6" t="s">
        <v>205</v>
      </c>
      <c r="AD6" t="s">
        <v>205</v>
      </c>
    </row>
    <row r="7" spans="1:30">
      <c r="A7">
        <v>5</v>
      </c>
      <c r="B7" s="14" t="s">
        <v>1324</v>
      </c>
      <c r="C7" s="3">
        <v>44351</v>
      </c>
      <c r="H7" s="15">
        <v>28.13077</v>
      </c>
      <c r="I7" s="15">
        <v>59.774363</v>
      </c>
      <c r="J7">
        <v>3</v>
      </c>
      <c r="K7">
        <v>1.2</v>
      </c>
      <c r="L7">
        <v>17</v>
      </c>
      <c r="N7">
        <v>2.88</v>
      </c>
      <c r="P7">
        <v>7.96</v>
      </c>
      <c r="W7" t="s">
        <v>1325</v>
      </c>
      <c r="Y7" t="s">
        <v>122</v>
      </c>
      <c r="Z7" t="s">
        <v>1326</v>
      </c>
      <c r="AA7" t="s">
        <v>1327</v>
      </c>
      <c r="AB7" t="s">
        <v>1327</v>
      </c>
      <c r="AC7" t="s">
        <v>205</v>
      </c>
      <c r="AD7" t="s">
        <v>205</v>
      </c>
    </row>
    <row r="8" spans="1:30">
      <c r="A8">
        <v>6</v>
      </c>
      <c r="B8" s="14" t="s">
        <v>1328</v>
      </c>
      <c r="C8" s="3">
        <v>44351</v>
      </c>
      <c r="H8" s="15">
        <v>28.220372</v>
      </c>
      <c r="I8" s="15">
        <v>59.676021</v>
      </c>
      <c r="J8">
        <v>0.6</v>
      </c>
      <c r="K8">
        <v>0.2</v>
      </c>
      <c r="L8">
        <v>16.9</v>
      </c>
      <c r="N8">
        <v>0.06</v>
      </c>
      <c r="P8">
        <v>5.99</v>
      </c>
      <c r="W8" t="s">
        <v>1331</v>
      </c>
      <c r="Y8" t="s">
        <v>205</v>
      </c>
      <c r="Z8" t="s">
        <v>205</v>
      </c>
      <c r="AA8" t="s">
        <v>1327</v>
      </c>
      <c r="AB8" t="s">
        <v>1327</v>
      </c>
      <c r="AC8" t="s">
        <v>205</v>
      </c>
      <c r="AD8" t="s">
        <v>205</v>
      </c>
    </row>
    <row r="9" spans="1:30">
      <c r="A9">
        <v>7</v>
      </c>
      <c r="B9" s="14" t="s">
        <v>1324</v>
      </c>
      <c r="C9" s="3">
        <v>44370</v>
      </c>
      <c r="H9" s="15">
        <v>28.13077</v>
      </c>
      <c r="I9" s="15">
        <v>59.774363</v>
      </c>
      <c r="J9">
        <v>3</v>
      </c>
      <c r="K9">
        <v>1.2</v>
      </c>
      <c r="L9">
        <v>25.6</v>
      </c>
      <c r="N9">
        <v>2.79</v>
      </c>
      <c r="P9">
        <v>7.79</v>
      </c>
      <c r="W9" t="s">
        <v>1332</v>
      </c>
      <c r="Y9" t="s">
        <v>122</v>
      </c>
      <c r="Z9" t="s">
        <v>1326</v>
      </c>
      <c r="AA9" t="s">
        <v>1327</v>
      </c>
      <c r="AB9" t="s">
        <v>1327</v>
      </c>
      <c r="AC9" t="s">
        <v>205</v>
      </c>
      <c r="AD9" t="s">
        <v>205</v>
      </c>
    </row>
    <row r="10" spans="1:30">
      <c r="A10">
        <v>8</v>
      </c>
      <c r="B10" s="14" t="s">
        <v>1328</v>
      </c>
      <c r="C10" s="3">
        <v>44370</v>
      </c>
      <c r="H10" s="15">
        <v>28.220372</v>
      </c>
      <c r="I10" s="15">
        <v>59.676021</v>
      </c>
      <c r="J10">
        <v>1</v>
      </c>
      <c r="K10">
        <v>1</v>
      </c>
      <c r="L10">
        <v>24.8</v>
      </c>
      <c r="N10">
        <v>2.22</v>
      </c>
      <c r="P10">
        <v>7.78</v>
      </c>
      <c r="W10" t="s">
        <v>1333</v>
      </c>
      <c r="Y10" t="s">
        <v>205</v>
      </c>
      <c r="Z10" t="s">
        <v>205</v>
      </c>
      <c r="AA10" t="s">
        <v>1327</v>
      </c>
      <c r="AB10" t="s">
        <v>1327</v>
      </c>
      <c r="AC10" t="s">
        <v>205</v>
      </c>
      <c r="AD10" t="s">
        <v>205</v>
      </c>
    </row>
    <row r="11" spans="1:30">
      <c r="A11">
        <v>9</v>
      </c>
      <c r="B11" s="14" t="s">
        <v>1324</v>
      </c>
      <c r="C11" s="3">
        <v>44385</v>
      </c>
      <c r="H11" s="15">
        <v>28.13077</v>
      </c>
      <c r="I11" s="15">
        <v>59.774363</v>
      </c>
      <c r="J11">
        <v>3</v>
      </c>
      <c r="K11" s="17">
        <v>2.1</v>
      </c>
      <c r="L11" s="17">
        <v>25.4</v>
      </c>
      <c r="N11">
        <v>2.93</v>
      </c>
      <c r="P11">
        <v>8.45</v>
      </c>
      <c r="W11" t="s">
        <v>1334</v>
      </c>
      <c r="Y11" t="s">
        <v>122</v>
      </c>
      <c r="Z11" t="s">
        <v>1326</v>
      </c>
      <c r="AA11" t="s">
        <v>1327</v>
      </c>
      <c r="AB11" t="s">
        <v>1327</v>
      </c>
      <c r="AC11" t="s">
        <v>205</v>
      </c>
      <c r="AD11" t="s">
        <v>205</v>
      </c>
    </row>
    <row r="12" spans="1:30">
      <c r="A12">
        <v>10</v>
      </c>
      <c r="B12" s="14" t="s">
        <v>1328</v>
      </c>
      <c r="C12" s="3">
        <v>44385</v>
      </c>
      <c r="H12" s="15">
        <v>28.220372</v>
      </c>
      <c r="I12" s="15">
        <v>59.676021</v>
      </c>
      <c r="J12">
        <v>0.6</v>
      </c>
      <c r="K12" s="17">
        <v>0.4</v>
      </c>
      <c r="L12" s="17">
        <v>24</v>
      </c>
      <c r="N12">
        <v>1.36</v>
      </c>
      <c r="P12">
        <v>7.89</v>
      </c>
      <c r="W12" t="s">
        <v>1335</v>
      </c>
      <c r="Y12" t="s">
        <v>205</v>
      </c>
      <c r="Z12" t="s">
        <v>205</v>
      </c>
      <c r="AA12" t="s">
        <v>1327</v>
      </c>
      <c r="AB12" t="s">
        <v>1327</v>
      </c>
      <c r="AC12" t="s">
        <v>205</v>
      </c>
      <c r="AD12" t="s">
        <v>205</v>
      </c>
    </row>
    <row r="13" spans="1:30">
      <c r="A13">
        <v>11</v>
      </c>
      <c r="B13" s="14" t="s">
        <v>1324</v>
      </c>
      <c r="C13" s="3">
        <v>44404</v>
      </c>
      <c r="H13" s="15">
        <v>28.13077</v>
      </c>
      <c r="I13" s="15">
        <v>59.774363</v>
      </c>
      <c r="J13">
        <v>3</v>
      </c>
      <c r="K13" s="17">
        <v>2.25</v>
      </c>
      <c r="L13" s="17">
        <v>23.8</v>
      </c>
      <c r="N13">
        <v>2.99</v>
      </c>
      <c r="P13">
        <v>7.99</v>
      </c>
      <c r="W13" t="s">
        <v>1336</v>
      </c>
      <c r="Y13" t="s">
        <v>122</v>
      </c>
      <c r="Z13" t="s">
        <v>1326</v>
      </c>
      <c r="AA13" t="s">
        <v>1327</v>
      </c>
      <c r="AB13" t="s">
        <v>1327</v>
      </c>
      <c r="AC13" t="s">
        <v>205</v>
      </c>
      <c r="AD13" t="s">
        <v>1337</v>
      </c>
    </row>
    <row r="14" spans="1:30">
      <c r="A14">
        <v>12</v>
      </c>
      <c r="B14" s="14" t="s">
        <v>1328</v>
      </c>
      <c r="C14" s="3">
        <v>44404</v>
      </c>
      <c r="H14" s="15">
        <v>28.220372</v>
      </c>
      <c r="I14" s="15">
        <v>59.676021</v>
      </c>
      <c r="J14">
        <v>0.4</v>
      </c>
      <c r="K14" s="17">
        <v>0.4</v>
      </c>
      <c r="L14" s="17">
        <v>24.1</v>
      </c>
      <c r="N14">
        <v>1.8</v>
      </c>
      <c r="P14">
        <v>7.8</v>
      </c>
      <c r="W14" t="s">
        <v>1338</v>
      </c>
      <c r="Y14" t="s">
        <v>205</v>
      </c>
      <c r="Z14" t="s">
        <v>205</v>
      </c>
      <c r="AA14" t="s">
        <v>1327</v>
      </c>
      <c r="AB14" t="s">
        <v>1327</v>
      </c>
      <c r="AC14" t="s">
        <v>205</v>
      </c>
      <c r="AD14" t="s">
        <v>1337</v>
      </c>
    </row>
    <row r="15" spans="1:30">
      <c r="A15">
        <v>13</v>
      </c>
      <c r="B15" s="16" t="s">
        <v>1339</v>
      </c>
      <c r="C15" s="3">
        <v>44404</v>
      </c>
      <c r="D15">
        <v>59</v>
      </c>
      <c r="E15">
        <v>42.14</v>
      </c>
      <c r="F15">
        <v>28</v>
      </c>
      <c r="G15">
        <v>12.23</v>
      </c>
      <c r="J15">
        <v>1.3</v>
      </c>
      <c r="K15" s="17">
        <v>1.3</v>
      </c>
      <c r="L15" s="17">
        <v>12.3</v>
      </c>
      <c r="N15">
        <v>0.06</v>
      </c>
      <c r="P15">
        <v>9.01</v>
      </c>
      <c r="W15" t="s">
        <v>1340</v>
      </c>
      <c r="Y15" t="s">
        <v>205</v>
      </c>
      <c r="Z15" t="s">
        <v>205</v>
      </c>
      <c r="AA15" t="s">
        <v>1327</v>
      </c>
      <c r="AB15" t="s">
        <v>1327</v>
      </c>
      <c r="AC15" t="s">
        <v>205</v>
      </c>
      <c r="AD15" t="s">
        <v>1337</v>
      </c>
    </row>
    <row r="16" spans="1:30">
      <c r="A16">
        <v>14</v>
      </c>
      <c r="B16" s="16" t="s">
        <v>1341</v>
      </c>
      <c r="C16" s="3">
        <v>44404</v>
      </c>
      <c r="H16" s="15">
        <v>28.257208</v>
      </c>
      <c r="I16" s="15">
        <v>59.653508</v>
      </c>
      <c r="J16">
        <v>0.5</v>
      </c>
      <c r="K16" s="17">
        <v>0.5</v>
      </c>
      <c r="L16" s="17">
        <v>25.5</v>
      </c>
      <c r="N16">
        <v>0.58</v>
      </c>
      <c r="P16">
        <v>8.45</v>
      </c>
      <c r="W16" t="s">
        <v>1338</v>
      </c>
      <c r="Y16" t="s">
        <v>205</v>
      </c>
      <c r="Z16" t="s">
        <v>205</v>
      </c>
      <c r="AA16" t="s">
        <v>1327</v>
      </c>
      <c r="AB16" t="s">
        <v>1327</v>
      </c>
      <c r="AC16" t="s">
        <v>205</v>
      </c>
      <c r="AD16" t="s">
        <v>1337</v>
      </c>
    </row>
    <row r="17" spans="1:30">
      <c r="A17">
        <v>15</v>
      </c>
      <c r="B17" s="16" t="s">
        <v>1342</v>
      </c>
      <c r="C17" s="3">
        <v>44404</v>
      </c>
      <c r="D17">
        <v>59</v>
      </c>
      <c r="E17">
        <v>52.51</v>
      </c>
      <c r="F17">
        <v>29</v>
      </c>
      <c r="G17">
        <v>3.57</v>
      </c>
      <c r="J17">
        <v>0.5</v>
      </c>
      <c r="K17" s="17">
        <v>0.5</v>
      </c>
      <c r="L17" s="17">
        <v>26.2</v>
      </c>
      <c r="N17">
        <v>1.89</v>
      </c>
      <c r="P17">
        <v>8.35</v>
      </c>
      <c r="W17" t="s">
        <v>1343</v>
      </c>
      <c r="Y17" t="s">
        <v>122</v>
      </c>
      <c r="Z17" t="s">
        <v>1098</v>
      </c>
      <c r="AA17" t="s">
        <v>1327</v>
      </c>
      <c r="AB17" t="s">
        <v>1327</v>
      </c>
      <c r="AC17" t="s">
        <v>205</v>
      </c>
      <c r="AD17" t="s">
        <v>1337</v>
      </c>
    </row>
    <row r="18" spans="1:30">
      <c r="A18">
        <v>16</v>
      </c>
      <c r="B18" s="14" t="s">
        <v>1324</v>
      </c>
      <c r="C18" s="3">
        <v>44418</v>
      </c>
      <c r="H18" s="15">
        <v>28.13077</v>
      </c>
      <c r="I18" s="15">
        <v>59.774363</v>
      </c>
      <c r="J18">
        <v>3</v>
      </c>
      <c r="K18" s="17">
        <v>2</v>
      </c>
      <c r="L18" s="17">
        <v>20.3</v>
      </c>
      <c r="N18">
        <v>2.86</v>
      </c>
      <c r="P18">
        <v>8.12</v>
      </c>
      <c r="W18" t="s">
        <v>1336</v>
      </c>
      <c r="Y18" t="s">
        <v>122</v>
      </c>
      <c r="Z18" t="s">
        <v>1344</v>
      </c>
      <c r="AA18" t="s">
        <v>1327</v>
      </c>
      <c r="AB18" t="s">
        <v>1327</v>
      </c>
      <c r="AC18" t="s">
        <v>205</v>
      </c>
      <c r="AD18" t="s">
        <v>205</v>
      </c>
    </row>
    <row r="19" spans="1:30">
      <c r="A19">
        <v>17</v>
      </c>
      <c r="B19" s="14" t="s">
        <v>1328</v>
      </c>
      <c r="C19" s="3">
        <v>44418</v>
      </c>
      <c r="H19" s="15">
        <v>28.220372</v>
      </c>
      <c r="I19" s="15">
        <v>59.676021</v>
      </c>
      <c r="J19">
        <v>0.6</v>
      </c>
      <c r="K19" s="17">
        <v>0.6</v>
      </c>
      <c r="L19" s="17">
        <v>19.9</v>
      </c>
      <c r="N19">
        <v>1.83</v>
      </c>
      <c r="P19">
        <v>7.98</v>
      </c>
      <c r="Y19" t="s">
        <v>205</v>
      </c>
      <c r="Z19" t="s">
        <v>205</v>
      </c>
      <c r="AA19" t="s">
        <v>1327</v>
      </c>
      <c r="AB19" t="s">
        <v>1327</v>
      </c>
      <c r="AC19" t="s">
        <v>205</v>
      </c>
      <c r="AD19" t="s">
        <v>205</v>
      </c>
    </row>
    <row r="20" spans="2:30">
      <c r="B20" s="14" t="s">
        <v>1324</v>
      </c>
      <c r="C20" s="3">
        <v>44436</v>
      </c>
      <c r="H20" s="15">
        <v>28.13077</v>
      </c>
      <c r="I20" s="15">
        <v>59.774363</v>
      </c>
      <c r="J20">
        <v>3</v>
      </c>
      <c r="K20" s="17">
        <v>2.5</v>
      </c>
      <c r="W20" t="s">
        <v>1345</v>
      </c>
      <c r="Y20" t="s">
        <v>122</v>
      </c>
      <c r="Z20" t="s">
        <v>1326</v>
      </c>
      <c r="AA20" t="s">
        <v>1327</v>
      </c>
      <c r="AB20" t="s">
        <v>1327</v>
      </c>
      <c r="AC20" t="s">
        <v>205</v>
      </c>
      <c r="AD20" t="s">
        <v>205</v>
      </c>
    </row>
    <row r="21" spans="2:30">
      <c r="B21" s="14" t="s">
        <v>1328</v>
      </c>
      <c r="C21" s="3">
        <v>44462</v>
      </c>
      <c r="H21" s="15">
        <v>28.13077</v>
      </c>
      <c r="I21" s="15">
        <v>59.774363</v>
      </c>
      <c r="J21">
        <v>3</v>
      </c>
      <c r="K21" s="17">
        <v>1.6</v>
      </c>
      <c r="L21" s="17">
        <v>10.5</v>
      </c>
      <c r="N21">
        <v>3</v>
      </c>
      <c r="P21">
        <v>7.31</v>
      </c>
      <c r="R21">
        <v>221</v>
      </c>
      <c r="W21" t="s">
        <v>1346</v>
      </c>
      <c r="Y21" t="s">
        <v>122</v>
      </c>
      <c r="Z21" t="s">
        <v>1326</v>
      </c>
      <c r="AA21" t="s">
        <v>1327</v>
      </c>
      <c r="AB21" t="s">
        <v>1327</v>
      </c>
      <c r="AC21" t="s">
        <v>205</v>
      </c>
      <c r="AD21" t="s">
        <v>205</v>
      </c>
    </row>
    <row r="22" spans="2:30">
      <c r="B22" s="14" t="s">
        <v>1324</v>
      </c>
      <c r="C22" s="3">
        <v>44462</v>
      </c>
      <c r="H22" s="15">
        <v>28.220372</v>
      </c>
      <c r="I22" s="15">
        <v>59.676021</v>
      </c>
      <c r="J22">
        <v>0.3</v>
      </c>
      <c r="K22" s="17">
        <v>0.3</v>
      </c>
      <c r="L22" s="17">
        <v>8.7</v>
      </c>
      <c r="N22">
        <v>1.79</v>
      </c>
      <c r="P22">
        <v>7.54</v>
      </c>
      <c r="R22">
        <v>217</v>
      </c>
      <c r="W22" t="s">
        <v>1347</v>
      </c>
      <c r="Y22" t="s">
        <v>205</v>
      </c>
      <c r="Z22" t="s">
        <v>205</v>
      </c>
      <c r="AA22" t="s">
        <v>1327</v>
      </c>
      <c r="AB22" t="s">
        <v>1327</v>
      </c>
      <c r="AC22" t="s">
        <v>205</v>
      </c>
      <c r="AD22" t="s">
        <v>205</v>
      </c>
    </row>
    <row r="23" spans="2:30">
      <c r="B23" s="14" t="s">
        <v>1328</v>
      </c>
      <c r="C23" s="3">
        <v>44490</v>
      </c>
      <c r="H23" s="15">
        <v>28.13077</v>
      </c>
      <c r="I23" s="15">
        <v>59.774363</v>
      </c>
      <c r="J23">
        <v>3.7</v>
      </c>
      <c r="K23" s="17">
        <v>3.2</v>
      </c>
      <c r="W23" t="s">
        <v>1348</v>
      </c>
      <c r="Z23" t="s">
        <v>1326</v>
      </c>
      <c r="AA23" t="s">
        <v>1327</v>
      </c>
      <c r="AB23" t="s">
        <v>1327</v>
      </c>
      <c r="AC23" t="s">
        <v>205</v>
      </c>
      <c r="AD23" t="s">
        <v>205</v>
      </c>
    </row>
    <row r="24" spans="2:30">
      <c r="B24" s="14" t="s">
        <v>1324</v>
      </c>
      <c r="C24" s="3">
        <v>44490</v>
      </c>
      <c r="H24" s="15">
        <v>28.220372</v>
      </c>
      <c r="I24" s="15">
        <v>59.676021</v>
      </c>
      <c r="J24">
        <v>1</v>
      </c>
      <c r="K24" s="17">
        <v>1</v>
      </c>
      <c r="W24" t="s">
        <v>1349</v>
      </c>
      <c r="Z24" t="s">
        <v>205</v>
      </c>
      <c r="AA24" t="s">
        <v>1327</v>
      </c>
      <c r="AB24" t="s">
        <v>1327</v>
      </c>
      <c r="AC24" t="s">
        <v>205</v>
      </c>
      <c r="AD24" t="s">
        <v>205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"/>
  <sheetViews>
    <sheetView zoomScale="120" zoomScaleNormal="120" workbookViewId="0">
      <pane ySplit="1" topLeftCell="A2" activePane="bottomLeft" state="frozen"/>
      <selection/>
      <selection pane="bottomLeft" activeCell="J1" sqref="J$1:J$1048576"/>
    </sheetView>
  </sheetViews>
  <sheetFormatPr defaultColWidth="9" defaultRowHeight="14.4"/>
  <cols>
    <col min="1" max="1" width="3.33333333333333" customWidth="1"/>
    <col min="2" max="2" width="13.3333333333333" customWidth="1"/>
    <col min="3" max="3" width="10.8888888888889" customWidth="1"/>
    <col min="4" max="4" width="14.4444444444444" customWidth="1"/>
    <col min="5" max="5" width="18.4444444444444" customWidth="1"/>
    <col min="6" max="6" width="14.1111111111111" customWidth="1"/>
    <col min="7" max="7" width="18.1111111111111" customWidth="1"/>
    <col min="10" max="10" width="11.5555555555556" customWidth="1"/>
    <col min="11" max="11" width="16.8888888888889" customWidth="1"/>
    <col min="12" max="12" width="6" customWidth="1"/>
    <col min="13" max="13" width="7.11111111111111" customWidth="1"/>
    <col min="14" max="14" width="8.66666666666667" customWidth="1"/>
    <col min="15" max="15" width="10.1111111111111" customWidth="1"/>
    <col min="16" max="16" width="7.33333333333333" customWidth="1"/>
    <col min="17" max="17" width="8.44444444444444" customWidth="1"/>
    <col min="18" max="18" width="7.55555555555556" customWidth="1"/>
    <col min="19" max="19" width="8.33333333333333" customWidth="1"/>
    <col min="20" max="20" width="7.44444444444444" customWidth="1"/>
    <col min="21" max="21" width="8.66666666666667" customWidth="1"/>
    <col min="22" max="22" width="96.1111111111111" customWidth="1"/>
    <col min="23" max="23" width="89.1111111111111" customWidth="1"/>
    <col min="24" max="24" width="72" customWidth="1"/>
    <col min="25" max="25" width="10.5555555555556" customWidth="1"/>
    <col min="26" max="26" width="22.8888888888889" customWidth="1"/>
    <col min="27" max="27" width="17.5555555555556" customWidth="1"/>
    <col min="28" max="28" width="11.3333333333333" customWidth="1"/>
    <col min="29" max="29" width="13.4444444444444" customWidth="1"/>
    <col min="30" max="30" width="5.88888888888889" customWidth="1"/>
  </cols>
  <sheetData>
    <row r="1" spans="1:30">
      <c r="A1" t="s">
        <v>1314</v>
      </c>
      <c r="B1" s="1" t="s">
        <v>52</v>
      </c>
      <c r="C1" s="1" t="s">
        <v>53</v>
      </c>
      <c r="D1" s="1" t="s">
        <v>59</v>
      </c>
      <c r="E1" s="2" t="s">
        <v>60</v>
      </c>
      <c r="F1" s="1" t="s">
        <v>57</v>
      </c>
      <c r="G1" s="2" t="s">
        <v>58</v>
      </c>
      <c r="H1" s="1" t="s">
        <v>1315</v>
      </c>
      <c r="I1" s="1" t="s">
        <v>1316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66</v>
      </c>
      <c r="O1" s="1" t="s">
        <v>67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80</v>
      </c>
      <c r="AD1" s="1" t="s">
        <v>1323</v>
      </c>
    </row>
    <row r="2" spans="1:29">
      <c r="A2">
        <v>1</v>
      </c>
      <c r="B2" s="1" t="s">
        <v>1350</v>
      </c>
      <c r="C2" s="8">
        <v>44375</v>
      </c>
      <c r="D2" s="1">
        <v>59</v>
      </c>
      <c r="E2" s="2">
        <v>46.567</v>
      </c>
      <c r="F2" s="1">
        <v>28</v>
      </c>
      <c r="G2" s="2">
        <v>7.771</v>
      </c>
      <c r="H2" s="1">
        <v>28.1295166666667</v>
      </c>
      <c r="I2" s="1">
        <v>59.7761166666667</v>
      </c>
      <c r="J2" s="1">
        <v>1.8</v>
      </c>
      <c r="K2" s="1">
        <v>1.8</v>
      </c>
      <c r="L2" s="1">
        <v>25.2</v>
      </c>
      <c r="M2" s="1"/>
      <c r="N2" s="1">
        <v>2.85</v>
      </c>
      <c r="O2" s="1"/>
      <c r="P2" s="1">
        <v>7</v>
      </c>
      <c r="Q2" s="1"/>
      <c r="R2" s="1"/>
      <c r="S2" s="1"/>
      <c r="T2" s="1"/>
      <c r="U2" s="1"/>
      <c r="V2" s="1"/>
      <c r="W2" s="1" t="s">
        <v>1351</v>
      </c>
      <c r="X2" s="1"/>
      <c r="Y2" s="1" t="s">
        <v>1352</v>
      </c>
      <c r="Z2" s="1" t="s">
        <v>1098</v>
      </c>
      <c r="AA2" s="1" t="s">
        <v>1353</v>
      </c>
      <c r="AB2" s="1"/>
      <c r="AC2" s="1" t="s">
        <v>1354</v>
      </c>
    </row>
    <row r="3" spans="1:29">
      <c r="A3">
        <v>2</v>
      </c>
      <c r="B3" s="1" t="s">
        <v>1355</v>
      </c>
      <c r="C3" s="8">
        <v>44375</v>
      </c>
      <c r="D3" s="1">
        <v>59</v>
      </c>
      <c r="E3" s="2">
        <v>47.125</v>
      </c>
      <c r="F3" s="1">
        <v>28</v>
      </c>
      <c r="G3" s="2">
        <v>7.544</v>
      </c>
      <c r="H3" s="1">
        <v>28.1257333333333</v>
      </c>
      <c r="I3" s="1">
        <v>59.7854166666667</v>
      </c>
      <c r="J3" s="1">
        <v>4</v>
      </c>
      <c r="K3" s="1">
        <v>1.7</v>
      </c>
      <c r="L3" s="1">
        <v>24.7</v>
      </c>
      <c r="M3" s="1"/>
      <c r="N3" s="1">
        <v>2.51</v>
      </c>
      <c r="O3" s="1"/>
      <c r="P3" s="1">
        <v>7.35</v>
      </c>
      <c r="Q3" s="1"/>
      <c r="R3" s="1"/>
      <c r="S3" s="1"/>
      <c r="T3" s="1"/>
      <c r="U3" s="1"/>
      <c r="V3" s="1" t="s">
        <v>1356</v>
      </c>
      <c r="W3" s="1" t="s">
        <v>1357</v>
      </c>
      <c r="X3" s="1"/>
      <c r="Y3" s="1"/>
      <c r="Z3" s="1"/>
      <c r="AA3" s="1" t="s">
        <v>1353</v>
      </c>
      <c r="AB3" s="1"/>
      <c r="AC3" s="1"/>
    </row>
    <row r="4" spans="1:29">
      <c r="A4">
        <v>3</v>
      </c>
      <c r="B4" s="1" t="s">
        <v>1358</v>
      </c>
      <c r="C4" s="8">
        <v>44375</v>
      </c>
      <c r="D4" s="1">
        <v>59</v>
      </c>
      <c r="E4" s="2">
        <v>39.089</v>
      </c>
      <c r="F4" s="1">
        <v>28</v>
      </c>
      <c r="G4" s="2">
        <v>15.257</v>
      </c>
      <c r="H4" s="1">
        <v>28.2542833333333</v>
      </c>
      <c r="I4" s="1">
        <v>59.6514833333333</v>
      </c>
      <c r="J4" s="1">
        <v>5</v>
      </c>
      <c r="K4" s="1">
        <v>1.5</v>
      </c>
      <c r="L4" s="1">
        <v>25.6</v>
      </c>
      <c r="M4" s="1">
        <v>26.6</v>
      </c>
      <c r="N4" s="1">
        <v>0.35</v>
      </c>
      <c r="O4" s="1">
        <v>1.79</v>
      </c>
      <c r="P4" s="1">
        <v>8.2</v>
      </c>
      <c r="Q4" s="1"/>
      <c r="R4" s="1"/>
      <c r="S4" s="1"/>
      <c r="T4" s="1"/>
      <c r="U4" s="1"/>
      <c r="V4" s="1"/>
      <c r="W4" s="1" t="s">
        <v>1359</v>
      </c>
      <c r="X4" s="1" t="s">
        <v>1360</v>
      </c>
      <c r="Y4" s="1" t="s">
        <v>1361</v>
      </c>
      <c r="Z4" s="1" t="s">
        <v>1362</v>
      </c>
      <c r="AA4" s="1" t="s">
        <v>1353</v>
      </c>
      <c r="AB4" s="1"/>
      <c r="AC4" s="1" t="s">
        <v>1354</v>
      </c>
    </row>
    <row r="5" spans="1:29">
      <c r="A5">
        <v>4</v>
      </c>
      <c r="B5" s="1" t="s">
        <v>1363</v>
      </c>
      <c r="C5" s="8">
        <v>44375</v>
      </c>
      <c r="D5" s="1">
        <v>59</v>
      </c>
      <c r="E5" s="2">
        <v>40.703</v>
      </c>
      <c r="F5" s="1">
        <v>28</v>
      </c>
      <c r="G5" s="2">
        <v>18.677</v>
      </c>
      <c r="H5" s="1">
        <v>28.3112833333333</v>
      </c>
      <c r="I5" s="1">
        <v>59.6783833333333</v>
      </c>
      <c r="J5" s="1">
        <v>5</v>
      </c>
      <c r="K5" s="1">
        <v>0.7</v>
      </c>
      <c r="L5" s="1">
        <v>25.1</v>
      </c>
      <c r="M5" s="1"/>
      <c r="N5" s="1">
        <v>1.14</v>
      </c>
      <c r="O5" s="1"/>
      <c r="P5" s="1">
        <v>8.17</v>
      </c>
      <c r="Q5" s="1"/>
      <c r="R5" s="1"/>
      <c r="S5" s="1"/>
      <c r="T5" s="1"/>
      <c r="U5" s="1"/>
      <c r="V5" s="1"/>
      <c r="W5" s="1" t="s">
        <v>1364</v>
      </c>
      <c r="X5" s="1"/>
      <c r="Y5" s="1" t="s">
        <v>68</v>
      </c>
      <c r="Z5" s="1" t="s">
        <v>1365</v>
      </c>
      <c r="AA5" s="1" t="s">
        <v>1354</v>
      </c>
      <c r="AB5" s="1"/>
      <c r="AC5" s="1"/>
    </row>
    <row r="6" spans="1:29">
      <c r="A6">
        <v>5</v>
      </c>
      <c r="B6" s="1" t="s">
        <v>1366</v>
      </c>
      <c r="C6" s="8">
        <v>44375</v>
      </c>
      <c r="D6" s="1">
        <v>59</v>
      </c>
      <c r="E6" s="2">
        <v>40.017</v>
      </c>
      <c r="F6" s="1">
        <v>28</v>
      </c>
      <c r="G6" s="2">
        <v>21.481</v>
      </c>
      <c r="H6" s="1">
        <v>28.3580166666667</v>
      </c>
      <c r="I6" s="1">
        <v>59.66695</v>
      </c>
      <c r="J6" s="1">
        <v>0.8</v>
      </c>
      <c r="K6" s="1">
        <v>0.8</v>
      </c>
      <c r="L6" s="1">
        <v>25.3</v>
      </c>
      <c r="M6" s="1"/>
      <c r="N6" s="1">
        <v>0.94</v>
      </c>
      <c r="O6" s="1"/>
      <c r="P6" s="1">
        <v>8.16</v>
      </c>
      <c r="Q6" s="1"/>
      <c r="R6" s="1"/>
      <c r="S6" s="1"/>
      <c r="T6" s="1"/>
      <c r="U6" s="1"/>
      <c r="V6" s="1"/>
      <c r="W6" s="1" t="s">
        <v>1367</v>
      </c>
      <c r="X6" s="1" t="s">
        <v>1368</v>
      </c>
      <c r="Y6" s="1" t="s">
        <v>68</v>
      </c>
      <c r="Z6" s="1" t="s">
        <v>1369</v>
      </c>
      <c r="AA6" s="1" t="s">
        <v>1354</v>
      </c>
      <c r="AB6" s="1"/>
      <c r="AC6" s="1" t="s">
        <v>1354</v>
      </c>
    </row>
    <row r="7" spans="1:29">
      <c r="A7">
        <v>6</v>
      </c>
      <c r="B7" s="1" t="s">
        <v>1370</v>
      </c>
      <c r="C7" s="8">
        <v>44375</v>
      </c>
      <c r="D7" s="1">
        <v>59</v>
      </c>
      <c r="E7" s="2">
        <v>39.354</v>
      </c>
      <c r="F7" s="1">
        <v>28</v>
      </c>
      <c r="G7" s="2">
        <v>21.103</v>
      </c>
      <c r="H7" s="1">
        <v>28.3517166666667</v>
      </c>
      <c r="I7" s="1">
        <v>59.6559</v>
      </c>
      <c r="J7" s="1">
        <v>0.45</v>
      </c>
      <c r="K7" s="1">
        <v>0.2</v>
      </c>
      <c r="L7" s="1">
        <v>24.8</v>
      </c>
      <c r="M7" s="1"/>
      <c r="N7" s="1">
        <v>0.1</v>
      </c>
      <c r="O7" s="1"/>
      <c r="P7" s="1">
        <v>5.45</v>
      </c>
      <c r="Q7" s="1"/>
      <c r="R7" s="1"/>
      <c r="S7" s="1"/>
      <c r="T7" s="1"/>
      <c r="U7" s="1"/>
      <c r="V7" s="1"/>
      <c r="W7" s="1" t="s">
        <v>1364</v>
      </c>
      <c r="X7" s="1" t="s">
        <v>1371</v>
      </c>
      <c r="Y7" s="1"/>
      <c r="Z7" s="1"/>
      <c r="AA7" s="1" t="s">
        <v>1354</v>
      </c>
      <c r="AB7" s="1"/>
      <c r="AC7" s="1" t="s">
        <v>1354</v>
      </c>
    </row>
    <row r="8" spans="1:29">
      <c r="A8">
        <v>7</v>
      </c>
      <c r="B8" s="1" t="s">
        <v>1372</v>
      </c>
      <c r="C8" s="8">
        <v>44375</v>
      </c>
      <c r="D8" s="1">
        <v>59</v>
      </c>
      <c r="E8" s="2">
        <v>40.773</v>
      </c>
      <c r="F8" s="1">
        <v>28</v>
      </c>
      <c r="G8" s="2">
        <v>18.743</v>
      </c>
      <c r="H8" s="1">
        <v>28.3123833333333</v>
      </c>
      <c r="I8" s="1">
        <v>59.67955</v>
      </c>
      <c r="J8" s="1">
        <v>8</v>
      </c>
      <c r="K8" s="1">
        <v>1</v>
      </c>
      <c r="L8" s="1">
        <v>24.7</v>
      </c>
      <c r="M8" s="1"/>
      <c r="N8" s="1">
        <v>1.42</v>
      </c>
      <c r="O8" s="1"/>
      <c r="P8" s="1">
        <v>8</v>
      </c>
      <c r="Q8" s="1"/>
      <c r="R8" s="1"/>
      <c r="S8" s="1"/>
      <c r="T8" s="1"/>
      <c r="U8" s="1"/>
      <c r="V8" s="1"/>
      <c r="W8" s="1" t="s">
        <v>1373</v>
      </c>
      <c r="X8" s="1" t="s">
        <v>1374</v>
      </c>
      <c r="Y8" s="1"/>
      <c r="Z8" s="1"/>
      <c r="AA8" s="1" t="s">
        <v>1354</v>
      </c>
      <c r="AB8" s="1"/>
      <c r="AC8" s="1" t="s">
        <v>1354</v>
      </c>
    </row>
    <row r="9" spans="1:29">
      <c r="A9">
        <v>8</v>
      </c>
      <c r="B9" s="1" t="s">
        <v>1375</v>
      </c>
      <c r="C9" s="8">
        <v>44376</v>
      </c>
      <c r="D9" s="1">
        <v>59</v>
      </c>
      <c r="E9" s="2">
        <v>40.571</v>
      </c>
      <c r="F9" s="1">
        <v>28</v>
      </c>
      <c r="G9" s="2">
        <v>14.995</v>
      </c>
      <c r="H9" s="1">
        <v>28.2499166666667</v>
      </c>
      <c r="I9" s="1">
        <v>59.6761833333333</v>
      </c>
      <c r="J9" s="1">
        <v>1.5</v>
      </c>
      <c r="K9" s="1">
        <v>0.5</v>
      </c>
      <c r="L9" s="1">
        <v>23.3</v>
      </c>
      <c r="M9" s="1"/>
      <c r="N9" s="1">
        <v>2.08</v>
      </c>
      <c r="O9" s="1"/>
      <c r="P9" s="1">
        <v>8.4</v>
      </c>
      <c r="Q9" s="1"/>
      <c r="R9" s="1"/>
      <c r="S9" s="1"/>
      <c r="T9" s="1"/>
      <c r="U9" s="1"/>
      <c r="V9" s="1" t="s">
        <v>1376</v>
      </c>
      <c r="W9" s="1" t="s">
        <v>1377</v>
      </c>
      <c r="X9" s="1" t="s">
        <v>1378</v>
      </c>
      <c r="Y9" s="1" t="s">
        <v>68</v>
      </c>
      <c r="Z9" s="1" t="s">
        <v>1379</v>
      </c>
      <c r="AA9" s="1" t="s">
        <v>1354</v>
      </c>
      <c r="AB9" s="1"/>
      <c r="AC9" s="1" t="s">
        <v>1354</v>
      </c>
    </row>
    <row r="10" spans="1:29">
      <c r="A10">
        <v>9</v>
      </c>
      <c r="B10" s="1" t="s">
        <v>1380</v>
      </c>
      <c r="C10" s="8">
        <v>44376</v>
      </c>
      <c r="D10" s="1">
        <v>59</v>
      </c>
      <c r="E10" s="2">
        <v>40.627</v>
      </c>
      <c r="F10" s="1">
        <v>28</v>
      </c>
      <c r="G10" s="2">
        <v>13.462</v>
      </c>
      <c r="H10" s="1">
        <v>28.2243666666667</v>
      </c>
      <c r="I10" s="1">
        <v>59.6771166666667</v>
      </c>
      <c r="J10" s="1">
        <v>1.5</v>
      </c>
      <c r="K10" s="1">
        <v>0.35</v>
      </c>
      <c r="L10" s="1">
        <v>24.6</v>
      </c>
      <c r="M10" s="1"/>
      <c r="N10" s="1">
        <v>1.67</v>
      </c>
      <c r="O10" s="1"/>
      <c r="P10" s="1">
        <v>7.2</v>
      </c>
      <c r="Q10" s="1"/>
      <c r="R10" s="1"/>
      <c r="S10" s="1"/>
      <c r="T10" s="1"/>
      <c r="U10" s="1"/>
      <c r="V10" s="1" t="s">
        <v>1381</v>
      </c>
      <c r="W10" s="1" t="s">
        <v>1382</v>
      </c>
      <c r="X10" s="1" t="s">
        <v>1371</v>
      </c>
      <c r="Y10" s="1"/>
      <c r="Z10" s="1"/>
      <c r="AA10" s="1" t="s">
        <v>1354</v>
      </c>
      <c r="AB10" s="1"/>
      <c r="AC10" s="1" t="s">
        <v>1354</v>
      </c>
    </row>
    <row r="11" spans="1:29">
      <c r="A11">
        <v>10</v>
      </c>
      <c r="B11" s="1" t="s">
        <v>1383</v>
      </c>
      <c r="C11" s="8">
        <v>44376</v>
      </c>
      <c r="D11" s="1">
        <v>59</v>
      </c>
      <c r="E11" s="2">
        <v>40.563</v>
      </c>
      <c r="F11" s="1">
        <v>28</v>
      </c>
      <c r="G11" s="2">
        <v>26.001</v>
      </c>
      <c r="H11" s="1">
        <v>28.43335</v>
      </c>
      <c r="I11" s="1">
        <v>59.67605</v>
      </c>
      <c r="J11" s="1">
        <v>1.25</v>
      </c>
      <c r="K11" s="1">
        <v>0.5</v>
      </c>
      <c r="L11" s="1">
        <v>24.7</v>
      </c>
      <c r="M11" s="1"/>
      <c r="N11" s="1">
        <v>0.07</v>
      </c>
      <c r="O11" s="1"/>
      <c r="P11" s="1">
        <v>6.6</v>
      </c>
      <c r="Q11" s="1"/>
      <c r="R11" s="1"/>
      <c r="S11" s="1"/>
      <c r="T11" s="1"/>
      <c r="U11" s="1"/>
      <c r="V11" s="1" t="s">
        <v>1384</v>
      </c>
      <c r="W11" s="1" t="s">
        <v>1385</v>
      </c>
      <c r="X11" s="1"/>
      <c r="Y11" s="1" t="s">
        <v>68</v>
      </c>
      <c r="Z11" s="1" t="s">
        <v>1386</v>
      </c>
      <c r="AA11" s="1" t="s">
        <v>1354</v>
      </c>
      <c r="AB11" s="1"/>
      <c r="AC11" s="1" t="s">
        <v>1354</v>
      </c>
    </row>
    <row r="12" spans="1:29">
      <c r="A12">
        <v>11</v>
      </c>
      <c r="B12" s="1" t="s">
        <v>1387</v>
      </c>
      <c r="C12" s="8">
        <v>44376</v>
      </c>
      <c r="D12" s="1">
        <v>59</v>
      </c>
      <c r="E12" s="2">
        <v>40.493</v>
      </c>
      <c r="F12" s="1">
        <v>28</v>
      </c>
      <c r="G12" s="2">
        <v>26.048</v>
      </c>
      <c r="H12" s="1">
        <v>28.4341333333333</v>
      </c>
      <c r="I12" s="1">
        <v>59.6748833333333</v>
      </c>
      <c r="J12" s="1">
        <v>1.3</v>
      </c>
      <c r="K12" s="1">
        <v>0.6</v>
      </c>
      <c r="L12" s="1">
        <v>25</v>
      </c>
      <c r="M12" s="1"/>
      <c r="N12" s="1">
        <v>0.08</v>
      </c>
      <c r="O12" s="1"/>
      <c r="P12" s="1">
        <v>5.58</v>
      </c>
      <c r="Q12" s="1"/>
      <c r="R12" s="1"/>
      <c r="S12" s="1"/>
      <c r="T12" s="1"/>
      <c r="U12" s="1"/>
      <c r="V12" s="1" t="s">
        <v>1388</v>
      </c>
      <c r="W12" s="1" t="s">
        <v>1389</v>
      </c>
      <c r="X12" s="1" t="s">
        <v>1390</v>
      </c>
      <c r="Y12" s="1"/>
      <c r="Z12" s="1"/>
      <c r="AA12" s="1" t="s">
        <v>1354</v>
      </c>
      <c r="AB12" s="1"/>
      <c r="AC12" s="1" t="s">
        <v>1354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6"/>
  <sheetViews>
    <sheetView workbookViewId="0">
      <pane xSplit="3588" ySplit="1440" topLeftCell="A28" activePane="bottomRight"/>
      <selection/>
      <selection pane="topRight"/>
      <selection pane="bottomLeft"/>
      <selection pane="bottomRight" activeCell="B50" sqref="B50"/>
    </sheetView>
  </sheetViews>
  <sheetFormatPr defaultColWidth="9" defaultRowHeight="14.4"/>
  <cols>
    <col min="3" max="3" width="11.6666666666667" customWidth="1"/>
  </cols>
  <sheetData>
    <row r="1" spans="1:31">
      <c r="A1" t="s">
        <v>1314</v>
      </c>
      <c r="B1" s="1" t="s">
        <v>52</v>
      </c>
      <c r="C1" s="1" t="s">
        <v>53</v>
      </c>
      <c r="D1" s="1" t="s">
        <v>59</v>
      </c>
      <c r="E1" s="2" t="s">
        <v>60</v>
      </c>
      <c r="F1" s="1" t="s">
        <v>57</v>
      </c>
      <c r="G1" s="2" t="s">
        <v>58</v>
      </c>
      <c r="H1" s="2" t="s">
        <v>1315</v>
      </c>
      <c r="I1" s="2" t="s">
        <v>1316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66</v>
      </c>
      <c r="O1" s="1" t="s">
        <v>67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71</v>
      </c>
      <c r="W1" s="1" t="s">
        <v>72</v>
      </c>
      <c r="X1" s="1" t="s">
        <v>73</v>
      </c>
      <c r="Y1" s="1" t="s">
        <v>74</v>
      </c>
      <c r="Z1" s="12" t="s">
        <v>75</v>
      </c>
      <c r="AA1" s="1" t="s">
        <v>76</v>
      </c>
      <c r="AB1" s="1" t="s">
        <v>77</v>
      </c>
      <c r="AC1" s="1" t="s">
        <v>80</v>
      </c>
      <c r="AD1" s="1" t="s">
        <v>1323</v>
      </c>
      <c r="AE1" s="1" t="s">
        <v>1391</v>
      </c>
    </row>
    <row r="2" spans="2:31">
      <c r="B2" s="1"/>
      <c r="C2" s="1"/>
      <c r="D2" s="1"/>
      <c r="E2" s="2"/>
      <c r="F2" s="1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2"/>
      <c r="AA2" s="1"/>
      <c r="AB2" s="1"/>
      <c r="AC2" s="1"/>
      <c r="AD2" s="1"/>
      <c r="AE2" s="1"/>
    </row>
    <row r="3" spans="2:31">
      <c r="B3" s="1"/>
      <c r="C3" s="1"/>
      <c r="D3" s="1"/>
      <c r="E3" s="2"/>
      <c r="F3" s="1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2"/>
      <c r="AA3" s="1"/>
      <c r="AB3" s="1"/>
      <c r="AC3" s="1"/>
      <c r="AD3" s="1"/>
      <c r="AE3" s="1"/>
    </row>
    <row r="4" spans="2:31">
      <c r="B4" s="1"/>
      <c r="C4" s="1"/>
      <c r="D4" s="1"/>
      <c r="E4" s="2"/>
      <c r="F4" s="1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2"/>
      <c r="AA4" s="1"/>
      <c r="AB4" s="1"/>
      <c r="AC4" s="1"/>
      <c r="AD4" s="1"/>
      <c r="AE4" s="1"/>
    </row>
    <row r="5" spans="2:31">
      <c r="B5" s="7" t="s">
        <v>1392</v>
      </c>
      <c r="C5" s="8">
        <v>44687</v>
      </c>
      <c r="D5" s="1"/>
      <c r="E5" s="2"/>
      <c r="F5" s="1"/>
      <c r="G5" s="2"/>
      <c r="H5" s="9">
        <v>28.13077</v>
      </c>
      <c r="I5" s="9">
        <v>59.774363</v>
      </c>
      <c r="J5" s="1">
        <v>2</v>
      </c>
      <c r="K5" s="1">
        <v>1.5</v>
      </c>
      <c r="L5" s="1">
        <v>8.3</v>
      </c>
      <c r="M5" s="1"/>
      <c r="N5" s="1">
        <v>3.33</v>
      </c>
      <c r="O5" s="1"/>
      <c r="P5" s="1">
        <v>8.8</v>
      </c>
      <c r="Q5" s="1"/>
      <c r="R5" s="1"/>
      <c r="S5" s="1"/>
      <c r="T5" s="1"/>
      <c r="U5" s="1"/>
      <c r="V5" s="1" t="s">
        <v>1393</v>
      </c>
      <c r="W5" s="1" t="s">
        <v>1394</v>
      </c>
      <c r="X5" s="1"/>
      <c r="Y5" s="6" t="s">
        <v>122</v>
      </c>
      <c r="Z5" s="13" t="s">
        <v>1326</v>
      </c>
      <c r="AA5" s="1"/>
      <c r="AB5" s="1"/>
      <c r="AC5" s="1"/>
      <c r="AD5" s="1"/>
      <c r="AE5" s="1"/>
    </row>
    <row r="6" spans="2:31">
      <c r="B6" s="1" t="s">
        <v>1395</v>
      </c>
      <c r="C6" s="8">
        <v>44687</v>
      </c>
      <c r="D6" s="1"/>
      <c r="E6" s="2"/>
      <c r="F6" s="1"/>
      <c r="G6" s="2"/>
      <c r="H6" s="2"/>
      <c r="I6" s="2"/>
      <c r="J6" s="1">
        <v>0.5</v>
      </c>
      <c r="K6" s="1">
        <v>0.3</v>
      </c>
      <c r="L6" s="1">
        <v>11.2</v>
      </c>
      <c r="M6" s="1"/>
      <c r="N6" s="1">
        <v>0.28</v>
      </c>
      <c r="O6" s="1"/>
      <c r="P6" s="1">
        <v>8.28</v>
      </c>
      <c r="Q6" s="1"/>
      <c r="R6" s="1"/>
      <c r="S6" s="1"/>
      <c r="T6" s="1"/>
      <c r="U6" s="1"/>
      <c r="V6" s="1"/>
      <c r="W6" s="1"/>
      <c r="X6" s="1"/>
      <c r="Y6" s="6" t="s">
        <v>122</v>
      </c>
      <c r="Z6" s="13" t="s">
        <v>1396</v>
      </c>
      <c r="AA6" s="1"/>
      <c r="AB6" s="1"/>
      <c r="AC6" s="1"/>
      <c r="AD6" s="1"/>
      <c r="AE6" s="1"/>
    </row>
    <row r="7" spans="2:31">
      <c r="B7" s="7" t="s">
        <v>1392</v>
      </c>
      <c r="C7" s="8">
        <v>44713</v>
      </c>
      <c r="D7" s="1"/>
      <c r="E7" s="2"/>
      <c r="F7" s="1"/>
      <c r="G7" s="2"/>
      <c r="H7" s="9">
        <v>28.13077</v>
      </c>
      <c r="I7" s="9">
        <v>59.774363</v>
      </c>
      <c r="J7" s="1">
        <v>4</v>
      </c>
      <c r="K7" s="1">
        <v>1.6</v>
      </c>
      <c r="L7" s="1">
        <v>14.8</v>
      </c>
      <c r="M7" s="1"/>
      <c r="N7" s="1">
        <v>3.46</v>
      </c>
      <c r="O7" s="1"/>
      <c r="P7" s="1">
        <v>7.89</v>
      </c>
      <c r="Q7" s="1"/>
      <c r="R7" s="1"/>
      <c r="S7" s="1"/>
      <c r="T7" s="1"/>
      <c r="U7" s="1"/>
      <c r="V7" s="1" t="s">
        <v>1397</v>
      </c>
      <c r="W7" s="1" t="s">
        <v>1398</v>
      </c>
      <c r="X7" s="1"/>
      <c r="Y7" s="6" t="s">
        <v>122</v>
      </c>
      <c r="Z7" s="13" t="s">
        <v>1399</v>
      </c>
      <c r="AA7" s="1"/>
      <c r="AB7" s="1"/>
      <c r="AC7" s="1"/>
      <c r="AD7" s="1"/>
      <c r="AE7" s="1"/>
    </row>
    <row r="8" spans="2:31">
      <c r="B8" s="1" t="s">
        <v>1395</v>
      </c>
      <c r="C8" s="8">
        <v>44713</v>
      </c>
      <c r="D8" s="1"/>
      <c r="E8" s="2"/>
      <c r="F8" s="1"/>
      <c r="G8" s="2"/>
      <c r="H8" s="2"/>
      <c r="I8" s="2"/>
      <c r="J8" s="1">
        <v>0.7</v>
      </c>
      <c r="K8" s="1">
        <v>0.7</v>
      </c>
      <c r="L8" s="1">
        <v>18.1</v>
      </c>
      <c r="M8" s="1"/>
      <c r="N8" s="1">
        <v>1.52</v>
      </c>
      <c r="O8" s="1"/>
      <c r="P8" s="1">
        <v>7.73</v>
      </c>
      <c r="Q8" s="1"/>
      <c r="R8" s="1"/>
      <c r="S8" s="1"/>
      <c r="T8" s="1"/>
      <c r="U8" s="1"/>
      <c r="V8" s="1" t="s">
        <v>1400</v>
      </c>
      <c r="W8" s="1"/>
      <c r="X8" s="1"/>
      <c r="Y8" s="6" t="s">
        <v>122</v>
      </c>
      <c r="Z8" s="12"/>
      <c r="AA8" s="1"/>
      <c r="AB8" s="1"/>
      <c r="AC8" s="1"/>
      <c r="AD8" s="1"/>
      <c r="AE8" s="1"/>
    </row>
    <row r="9" spans="2:31">
      <c r="B9" s="7" t="s">
        <v>1392</v>
      </c>
      <c r="C9" s="8">
        <v>44754</v>
      </c>
      <c r="D9" s="1"/>
      <c r="E9" s="2"/>
      <c r="F9" s="1"/>
      <c r="G9" s="2"/>
      <c r="H9" s="9">
        <v>28.13077</v>
      </c>
      <c r="I9" s="9">
        <v>59.774363</v>
      </c>
      <c r="J9" s="1">
        <v>3.5</v>
      </c>
      <c r="K9" s="1">
        <v>1.8</v>
      </c>
      <c r="L9" s="1">
        <v>19</v>
      </c>
      <c r="M9" s="1"/>
      <c r="N9" s="1">
        <v>3.78</v>
      </c>
      <c r="O9" s="1"/>
      <c r="P9" s="1">
        <v>8.39</v>
      </c>
      <c r="Q9" s="1"/>
      <c r="R9" s="1"/>
      <c r="S9" s="1"/>
      <c r="T9" s="1"/>
      <c r="U9" s="1"/>
      <c r="V9" s="1" t="s">
        <v>1401</v>
      </c>
      <c r="W9" s="1" t="s">
        <v>1402</v>
      </c>
      <c r="X9" s="1"/>
      <c r="Y9" s="6" t="s">
        <v>122</v>
      </c>
      <c r="Z9" s="13" t="s">
        <v>453</v>
      </c>
      <c r="AA9" s="1"/>
      <c r="AB9" s="1"/>
      <c r="AC9" s="1"/>
      <c r="AD9" s="1"/>
      <c r="AE9" s="1"/>
    </row>
    <row r="10" spans="2:31">
      <c r="B10" s="1" t="s">
        <v>1403</v>
      </c>
      <c r="C10" s="8">
        <v>44736</v>
      </c>
      <c r="D10" s="1"/>
      <c r="E10" s="2"/>
      <c r="F10" s="1"/>
      <c r="G10" s="2"/>
      <c r="H10" s="2"/>
      <c r="I10" s="2"/>
      <c r="J10" s="1">
        <v>0.7</v>
      </c>
      <c r="K10" s="1">
        <v>0.4</v>
      </c>
      <c r="L10" s="1">
        <v>20</v>
      </c>
      <c r="M10" s="1"/>
      <c r="N10" s="1">
        <v>0.48</v>
      </c>
      <c r="O10" s="1"/>
      <c r="P10" s="1">
        <v>7.88</v>
      </c>
      <c r="Q10" s="1"/>
      <c r="R10" s="1"/>
      <c r="S10" s="1"/>
      <c r="T10" s="1"/>
      <c r="U10" s="1"/>
      <c r="V10" s="1" t="s">
        <v>1404</v>
      </c>
      <c r="W10" s="1"/>
      <c r="X10" s="1"/>
      <c r="Y10" s="6"/>
      <c r="Z10" s="12"/>
      <c r="AA10" s="1"/>
      <c r="AB10" s="1"/>
      <c r="AC10" s="1"/>
      <c r="AD10" s="1"/>
      <c r="AE10" s="1"/>
    </row>
    <row r="11" spans="2:31">
      <c r="B11" s="1" t="s">
        <v>1405</v>
      </c>
      <c r="C11" s="8">
        <v>44751</v>
      </c>
      <c r="D11" s="1"/>
      <c r="E11" s="2"/>
      <c r="F11" s="1"/>
      <c r="G11" s="2"/>
      <c r="H11" s="2"/>
      <c r="I11" s="2"/>
      <c r="J11" s="1">
        <v>0.5</v>
      </c>
      <c r="K11" s="1">
        <v>0.5</v>
      </c>
      <c r="L11" s="1">
        <v>23.6</v>
      </c>
      <c r="M11" s="1"/>
      <c r="N11" s="1">
        <v>1.87</v>
      </c>
      <c r="O11" s="1"/>
      <c r="P11" s="1">
        <v>8.35</v>
      </c>
      <c r="Q11" s="1"/>
      <c r="R11" s="1"/>
      <c r="S11" s="1"/>
      <c r="T11" s="1"/>
      <c r="U11" s="1"/>
      <c r="V11" s="1"/>
      <c r="W11" s="1"/>
      <c r="X11" s="1"/>
      <c r="Y11" s="6" t="s">
        <v>1406</v>
      </c>
      <c r="Z11" s="12" t="s">
        <v>1407</v>
      </c>
      <c r="AA11" s="1"/>
      <c r="AB11" s="1"/>
      <c r="AC11" s="1"/>
      <c r="AD11" s="1"/>
      <c r="AE11" s="1"/>
    </row>
    <row r="12" spans="2:31">
      <c r="B12" s="7" t="s">
        <v>1392</v>
      </c>
      <c r="C12" s="8">
        <v>44754</v>
      </c>
      <c r="D12" s="1"/>
      <c r="E12" s="2"/>
      <c r="F12" s="1"/>
      <c r="G12" s="2"/>
      <c r="H12" s="9">
        <v>28.13077</v>
      </c>
      <c r="I12" s="9">
        <v>59.774363</v>
      </c>
      <c r="J12" s="1">
        <v>3</v>
      </c>
      <c r="K12" s="1">
        <v>1.65</v>
      </c>
      <c r="L12" s="1">
        <v>21</v>
      </c>
      <c r="M12" s="1"/>
      <c r="N12" s="1">
        <v>3.24</v>
      </c>
      <c r="O12" s="1"/>
      <c r="P12" s="1">
        <v>8.36</v>
      </c>
      <c r="Q12" s="1"/>
      <c r="R12" s="1"/>
      <c r="S12" s="1"/>
      <c r="T12" s="1"/>
      <c r="U12" s="1"/>
      <c r="V12" s="1"/>
      <c r="W12" s="1" t="s">
        <v>1402</v>
      </c>
      <c r="X12" s="1"/>
      <c r="Y12" s="6" t="s">
        <v>122</v>
      </c>
      <c r="Z12" s="13" t="s">
        <v>1326</v>
      </c>
      <c r="AA12" s="1"/>
      <c r="AB12" s="1"/>
      <c r="AC12" s="1"/>
      <c r="AD12" s="1"/>
      <c r="AE12" s="1"/>
    </row>
    <row r="13" spans="2:31">
      <c r="B13" s="1" t="s">
        <v>1403</v>
      </c>
      <c r="C13" s="8">
        <v>44770</v>
      </c>
      <c r="D13" s="1"/>
      <c r="E13" s="2"/>
      <c r="F13" s="1"/>
      <c r="G13" s="2"/>
      <c r="H13" s="2"/>
      <c r="I13" s="2"/>
      <c r="J13" s="1">
        <v>1.1</v>
      </c>
      <c r="K13" s="1">
        <v>1.1</v>
      </c>
      <c r="L13" s="1">
        <v>20.5</v>
      </c>
      <c r="M13" s="1"/>
      <c r="N13" s="1">
        <v>2.18</v>
      </c>
      <c r="O13" s="1"/>
      <c r="P13" s="1">
        <v>8.15</v>
      </c>
      <c r="Q13" s="1"/>
      <c r="R13" s="1"/>
      <c r="S13" s="1"/>
      <c r="T13" s="1"/>
      <c r="U13" s="1"/>
      <c r="V13" s="1" t="s">
        <v>1400</v>
      </c>
      <c r="W13" s="1"/>
      <c r="X13" s="1"/>
      <c r="Y13" s="1"/>
      <c r="Z13" s="12"/>
      <c r="AA13" s="1"/>
      <c r="AB13" s="1"/>
      <c r="AC13" s="1"/>
      <c r="AD13" s="1"/>
      <c r="AE13" s="1"/>
    </row>
    <row r="14" spans="1:31">
      <c r="A14" t="s">
        <v>1408</v>
      </c>
      <c r="B14" s="7" t="s">
        <v>1392</v>
      </c>
      <c r="C14" s="8">
        <v>44770</v>
      </c>
      <c r="D14" s="1"/>
      <c r="E14" s="2"/>
      <c r="F14" s="1"/>
      <c r="G14" s="2"/>
      <c r="H14" s="9">
        <v>28.13077</v>
      </c>
      <c r="I14" s="9">
        <v>59.774363</v>
      </c>
      <c r="J14" s="1">
        <v>3.5</v>
      </c>
      <c r="K14" s="1">
        <v>1.7</v>
      </c>
      <c r="L14" s="1">
        <v>21.1</v>
      </c>
      <c r="M14" s="1"/>
      <c r="N14" s="1">
        <v>3.18</v>
      </c>
      <c r="O14" s="1"/>
      <c r="P14" s="1">
        <v>8.42</v>
      </c>
      <c r="Q14" s="1"/>
      <c r="R14" s="1"/>
      <c r="S14" s="1"/>
      <c r="T14" s="1"/>
      <c r="U14" s="1"/>
      <c r="V14" s="1" t="s">
        <v>1400</v>
      </c>
      <c r="W14" s="1" t="s">
        <v>1409</v>
      </c>
      <c r="X14" s="1"/>
      <c r="Y14" s="6" t="s">
        <v>122</v>
      </c>
      <c r="Z14" s="13" t="s">
        <v>1326</v>
      </c>
      <c r="AA14" s="1"/>
      <c r="AB14" s="1"/>
      <c r="AC14" s="1"/>
      <c r="AD14" s="1"/>
      <c r="AE14" s="1"/>
    </row>
    <row r="15" spans="2:31">
      <c r="B15" s="7" t="s">
        <v>1392</v>
      </c>
      <c r="C15" s="8">
        <v>44785</v>
      </c>
      <c r="D15" s="1"/>
      <c r="E15" s="2"/>
      <c r="F15" s="1"/>
      <c r="G15" s="2"/>
      <c r="H15" s="9">
        <v>28.13077</v>
      </c>
      <c r="I15" s="9">
        <v>59.774363</v>
      </c>
      <c r="J15" s="1">
        <v>3.5</v>
      </c>
      <c r="K15" s="1">
        <v>1.9</v>
      </c>
      <c r="L15" s="1">
        <v>21.3</v>
      </c>
      <c r="M15" s="1"/>
      <c r="N15" s="1">
        <v>3.47</v>
      </c>
      <c r="O15" s="1"/>
      <c r="P15" s="1">
        <v>8.52</v>
      </c>
      <c r="Q15" s="1"/>
      <c r="R15" s="1"/>
      <c r="S15" s="1"/>
      <c r="T15" s="1"/>
      <c r="U15" s="1"/>
      <c r="V15" s="1" t="s">
        <v>1400</v>
      </c>
      <c r="W15" s="1" t="s">
        <v>1409</v>
      </c>
      <c r="X15" s="1"/>
      <c r="Y15" s="6" t="s">
        <v>122</v>
      </c>
      <c r="Z15" s="13" t="s">
        <v>1326</v>
      </c>
      <c r="AA15" s="1"/>
      <c r="AB15" s="1"/>
      <c r="AC15" s="1"/>
      <c r="AD15" s="1"/>
      <c r="AE15" s="1"/>
    </row>
    <row r="16" spans="2:31">
      <c r="B16" s="1" t="s">
        <v>1403</v>
      </c>
      <c r="C16" s="8">
        <v>44785</v>
      </c>
      <c r="D16" s="1"/>
      <c r="E16" s="2"/>
      <c r="F16" s="1"/>
      <c r="G16" s="2"/>
      <c r="H16" s="2"/>
      <c r="I16" s="2"/>
      <c r="J16" s="1">
        <v>0.8</v>
      </c>
      <c r="K16" s="1">
        <v>0.8</v>
      </c>
      <c r="L16" s="1">
        <v>20.01</v>
      </c>
      <c r="M16" s="1"/>
      <c r="N16" s="1">
        <v>2.4</v>
      </c>
      <c r="O16" s="1"/>
      <c r="P16" s="1">
        <v>8.21</v>
      </c>
      <c r="Q16" s="1"/>
      <c r="R16" s="1"/>
      <c r="S16" s="1"/>
      <c r="T16" s="1"/>
      <c r="U16" s="1"/>
      <c r="Y16" s="6"/>
      <c r="AA16" s="1"/>
      <c r="AB16" s="1"/>
      <c r="AC16" s="1"/>
      <c r="AD16" s="1"/>
      <c r="AE16" s="1"/>
    </row>
    <row r="17" spans="2:31">
      <c r="B17" s="7" t="s">
        <v>1392</v>
      </c>
      <c r="C17" s="3">
        <v>44799</v>
      </c>
      <c r="D17" s="1"/>
      <c r="E17" s="2"/>
      <c r="F17" s="1"/>
      <c r="G17" s="2"/>
      <c r="H17" s="9">
        <v>28.13077</v>
      </c>
      <c r="I17" s="9">
        <v>59.774363</v>
      </c>
      <c r="J17" s="1">
        <v>3</v>
      </c>
      <c r="K17" s="1">
        <v>2</v>
      </c>
      <c r="L17" s="1">
        <v>20.9</v>
      </c>
      <c r="M17" s="1"/>
      <c r="N17" s="1">
        <v>3.25</v>
      </c>
      <c r="O17" s="1"/>
      <c r="P17" s="1">
        <v>8.85</v>
      </c>
      <c r="Q17" s="1"/>
      <c r="R17" s="1"/>
      <c r="S17" s="1"/>
      <c r="T17" s="1"/>
      <c r="U17" s="1"/>
      <c r="V17" s="1"/>
      <c r="W17" s="1" t="s">
        <v>1410</v>
      </c>
      <c r="X17" s="1"/>
      <c r="Y17" s="6" t="s">
        <v>122</v>
      </c>
      <c r="Z17" s="13" t="s">
        <v>1326</v>
      </c>
      <c r="AA17" s="1"/>
      <c r="AB17" s="1"/>
      <c r="AC17" s="1"/>
      <c r="AD17" s="1"/>
      <c r="AE17" s="1"/>
    </row>
    <row r="18" spans="2:31">
      <c r="B18" s="1" t="s">
        <v>1411</v>
      </c>
      <c r="C18" s="3">
        <v>44799</v>
      </c>
      <c r="D18" s="1"/>
      <c r="E18" s="2"/>
      <c r="F18" s="1"/>
      <c r="G18" s="2"/>
      <c r="H18" s="2"/>
      <c r="I18" s="2"/>
      <c r="J18" s="1">
        <v>1</v>
      </c>
      <c r="K18" s="1">
        <v>1</v>
      </c>
      <c r="L18" s="1">
        <v>11</v>
      </c>
      <c r="M18" s="1"/>
      <c r="N18" s="1">
        <v>0.1</v>
      </c>
      <c r="O18" s="1"/>
      <c r="P18" s="1">
        <v>9.71</v>
      </c>
      <c r="Q18" s="1"/>
      <c r="R18" s="1"/>
      <c r="S18" s="1"/>
      <c r="T18" s="1"/>
      <c r="U18" s="1"/>
      <c r="V18" s="1"/>
      <c r="W18" s="1"/>
      <c r="X18" s="1"/>
      <c r="AA18" s="1"/>
      <c r="AB18" s="1"/>
      <c r="AC18" s="1"/>
      <c r="AD18" s="1" t="s">
        <v>1412</v>
      </c>
      <c r="AE18" s="1"/>
    </row>
    <row r="19" spans="2:31">
      <c r="B19" s="1" t="s">
        <v>1403</v>
      </c>
      <c r="C19" s="3">
        <v>44799</v>
      </c>
      <c r="D19" s="1"/>
      <c r="E19" s="2"/>
      <c r="F19" s="1"/>
      <c r="G19" s="2"/>
      <c r="H19" s="2"/>
      <c r="I19" s="2"/>
      <c r="J19" s="1">
        <v>0.8</v>
      </c>
      <c r="K19" s="1">
        <v>0.8</v>
      </c>
      <c r="L19" s="1">
        <v>20.1</v>
      </c>
      <c r="M19" s="1"/>
      <c r="N19" s="1">
        <v>2.21</v>
      </c>
      <c r="O19" s="1"/>
      <c r="P19" s="1">
        <v>7.74</v>
      </c>
      <c r="Q19" s="1"/>
      <c r="R19" s="1"/>
      <c r="S19" s="1"/>
      <c r="T19" s="1"/>
      <c r="U19" s="1"/>
      <c r="V19" s="1"/>
      <c r="W19" s="1"/>
      <c r="X19" s="1"/>
      <c r="Y19" s="6" t="s">
        <v>1413</v>
      </c>
      <c r="Z19" s="12"/>
      <c r="AA19" s="1"/>
      <c r="AB19" s="1"/>
      <c r="AC19" s="1"/>
      <c r="AD19" t="s">
        <v>1412</v>
      </c>
      <c r="AE19" s="1"/>
    </row>
    <row r="20" spans="2:31">
      <c r="B20" s="1" t="s">
        <v>1414</v>
      </c>
      <c r="C20" s="3">
        <v>44799</v>
      </c>
      <c r="D20" s="1"/>
      <c r="E20" s="2"/>
      <c r="F20" s="1"/>
      <c r="G20" s="2"/>
      <c r="H20" s="2"/>
      <c r="I20" s="2"/>
      <c r="J20" s="1">
        <v>0.5</v>
      </c>
      <c r="K20" s="1">
        <v>0.5</v>
      </c>
      <c r="L20" s="1">
        <v>21.5</v>
      </c>
      <c r="M20" s="1"/>
      <c r="N20" s="1">
        <v>0.74</v>
      </c>
      <c r="O20" s="1"/>
      <c r="P20" s="1">
        <v>8.32</v>
      </c>
      <c r="Q20" s="1"/>
      <c r="R20" s="1"/>
      <c r="S20" s="1"/>
      <c r="T20" s="1"/>
      <c r="U20" s="1"/>
      <c r="V20" s="1"/>
      <c r="W20" s="1"/>
      <c r="X20" s="1"/>
      <c r="Y20" s="6" t="s">
        <v>1413</v>
      </c>
      <c r="Z20" s="12"/>
      <c r="AA20" s="1"/>
      <c r="AB20" s="1"/>
      <c r="AC20" s="1"/>
      <c r="AD20" t="s">
        <v>1412</v>
      </c>
      <c r="AE20" s="1"/>
    </row>
    <row r="21" spans="2:31">
      <c r="B21" s="1" t="s">
        <v>1405</v>
      </c>
      <c r="C21" s="3">
        <v>44799</v>
      </c>
      <c r="D21" s="1"/>
      <c r="E21" s="2"/>
      <c r="F21" s="1"/>
      <c r="G21" s="2"/>
      <c r="H21" s="2"/>
      <c r="I21" s="2"/>
      <c r="J21" s="1">
        <v>0.5</v>
      </c>
      <c r="K21" s="1">
        <v>0.5</v>
      </c>
      <c r="L21" s="1">
        <v>20.5</v>
      </c>
      <c r="M21" s="1"/>
      <c r="N21" s="1">
        <v>2.12</v>
      </c>
      <c r="O21" s="1"/>
      <c r="P21" s="1">
        <v>8.53</v>
      </c>
      <c r="Q21" s="1"/>
      <c r="R21" s="1"/>
      <c r="S21" s="1"/>
      <c r="T21" s="1"/>
      <c r="U21" s="1"/>
      <c r="V21" s="1"/>
      <c r="W21" s="1"/>
      <c r="X21" s="1"/>
      <c r="Y21" s="6" t="s">
        <v>1415</v>
      </c>
      <c r="Z21" s="12" t="s">
        <v>1407</v>
      </c>
      <c r="AA21" s="1"/>
      <c r="AB21" s="1"/>
      <c r="AC21" s="1"/>
      <c r="AD21" t="s">
        <v>1412</v>
      </c>
      <c r="AE21" s="1"/>
    </row>
    <row r="22" spans="2:30">
      <c r="B22" t="s">
        <v>1416</v>
      </c>
      <c r="C22" s="3">
        <v>44799</v>
      </c>
      <c r="D22" s="1"/>
      <c r="E22" s="2"/>
      <c r="F22" s="1"/>
      <c r="G22" s="2"/>
      <c r="H22" s="2"/>
      <c r="I22" s="2"/>
      <c r="J22" s="1">
        <v>0.5</v>
      </c>
      <c r="K22" s="1">
        <v>0.5</v>
      </c>
      <c r="L22" s="1">
        <v>20.7</v>
      </c>
      <c r="N22" s="1">
        <v>1.7</v>
      </c>
      <c r="P22" s="1">
        <v>8.46</v>
      </c>
      <c r="V22" t="s">
        <v>1417</v>
      </c>
      <c r="Y22" s="6" t="s">
        <v>122</v>
      </c>
      <c r="Z22" s="13" t="s">
        <v>1418</v>
      </c>
      <c r="AA22" s="1"/>
      <c r="AC22" s="1"/>
      <c r="AD22" t="s">
        <v>1412</v>
      </c>
    </row>
    <row r="23" s="6" customFormat="1" spans="2:30">
      <c r="B23" s="7" t="s">
        <v>1392</v>
      </c>
      <c r="C23" s="10">
        <v>44834</v>
      </c>
      <c r="H23" s="9">
        <v>28.13077</v>
      </c>
      <c r="I23" s="9">
        <v>59.774363</v>
      </c>
      <c r="J23" s="6">
        <v>3</v>
      </c>
      <c r="K23" s="6">
        <v>3</v>
      </c>
      <c r="L23" s="6">
        <v>10</v>
      </c>
      <c r="N23" s="6">
        <v>3.38</v>
      </c>
      <c r="P23" s="6">
        <v>8.47</v>
      </c>
      <c r="V23" s="6" t="s">
        <v>1419</v>
      </c>
      <c r="W23" s="6" t="s">
        <v>1420</v>
      </c>
      <c r="X23" s="6" t="s">
        <v>8</v>
      </c>
      <c r="Y23" s="6" t="s">
        <v>122</v>
      </c>
      <c r="Z23" s="13" t="s">
        <v>1326</v>
      </c>
      <c r="AD23" s="6" t="s">
        <v>1421</v>
      </c>
    </row>
    <row r="24" s="6" customFormat="1" spans="2:31">
      <c r="B24" s="6" t="s">
        <v>1422</v>
      </c>
      <c r="C24" s="10">
        <v>44834</v>
      </c>
      <c r="D24" s="6">
        <v>59</v>
      </c>
      <c r="E24" s="6">
        <v>49.933</v>
      </c>
      <c r="F24" s="6">
        <v>29</v>
      </c>
      <c r="G24" s="6">
        <v>0.656</v>
      </c>
      <c r="J24" s="6">
        <v>3</v>
      </c>
      <c r="K24" s="6">
        <v>3</v>
      </c>
      <c r="L24" s="6">
        <v>18.9</v>
      </c>
      <c r="N24" s="6">
        <v>3.1</v>
      </c>
      <c r="P24" s="6">
        <v>8.25</v>
      </c>
      <c r="W24" s="6" t="s">
        <v>1423</v>
      </c>
      <c r="X24" s="6" t="s">
        <v>1424</v>
      </c>
      <c r="Y24" s="6" t="s">
        <v>122</v>
      </c>
      <c r="Z24" s="13" t="s">
        <v>256</v>
      </c>
      <c r="AA24" s="6" t="s">
        <v>1425</v>
      </c>
      <c r="AB24" s="6" t="s">
        <v>1426</v>
      </c>
      <c r="AD24" s="6" t="s">
        <v>1421</v>
      </c>
      <c r="AE24" s="6" t="s">
        <v>1427</v>
      </c>
    </row>
    <row r="25" spans="2:31">
      <c r="B25" t="s">
        <v>1428</v>
      </c>
      <c r="C25" s="3">
        <v>44834</v>
      </c>
      <c r="D25">
        <v>59</v>
      </c>
      <c r="E25">
        <v>49.963</v>
      </c>
      <c r="F25">
        <v>29</v>
      </c>
      <c r="G25">
        <v>0.65</v>
      </c>
      <c r="V25" t="s">
        <v>1429</v>
      </c>
      <c r="W25" t="s">
        <v>1423</v>
      </c>
      <c r="Z25" s="11"/>
      <c r="AA25" s="11" t="s">
        <v>1425</v>
      </c>
      <c r="AB25" s="11" t="s">
        <v>1430</v>
      </c>
      <c r="AC25" s="11"/>
      <c r="AE25" s="11" t="s">
        <v>1431</v>
      </c>
    </row>
    <row r="26" s="6" customFormat="1" spans="2:31">
      <c r="B26" s="6" t="s">
        <v>1432</v>
      </c>
      <c r="C26" s="10">
        <v>44834</v>
      </c>
      <c r="D26" s="6">
        <v>59</v>
      </c>
      <c r="E26" s="6">
        <v>50.363</v>
      </c>
      <c r="F26" s="6">
        <v>29</v>
      </c>
      <c r="G26" s="6">
        <v>1.373</v>
      </c>
      <c r="J26" s="6">
        <v>3</v>
      </c>
      <c r="K26" s="6">
        <v>3</v>
      </c>
      <c r="L26" s="6">
        <v>11.1</v>
      </c>
      <c r="N26" s="6">
        <v>2.98</v>
      </c>
      <c r="P26" s="6">
        <v>8.55</v>
      </c>
      <c r="W26" s="6" t="s">
        <v>1433</v>
      </c>
      <c r="Y26" s="6" t="s">
        <v>122</v>
      </c>
      <c r="Z26" s="13" t="s">
        <v>256</v>
      </c>
      <c r="AA26" s="6" t="s">
        <v>1425</v>
      </c>
      <c r="AB26" s="6" t="s">
        <v>1434</v>
      </c>
      <c r="AD26" s="6" t="s">
        <v>1421</v>
      </c>
      <c r="AE26" s="6" t="s">
        <v>1427</v>
      </c>
    </row>
    <row r="27" spans="2:32">
      <c r="B27" t="s">
        <v>1435</v>
      </c>
      <c r="C27" s="3">
        <v>44834</v>
      </c>
      <c r="D27" s="6">
        <v>59</v>
      </c>
      <c r="E27" s="6">
        <v>50.347</v>
      </c>
      <c r="F27" s="6">
        <v>29</v>
      </c>
      <c r="G27" s="6">
        <v>1.389</v>
      </c>
      <c r="W27" s="11" t="s">
        <v>1436</v>
      </c>
      <c r="Z27" s="11"/>
      <c r="AA27" s="11" t="s">
        <v>1425</v>
      </c>
      <c r="AB27" s="11" t="s">
        <v>1437</v>
      </c>
      <c r="AC27" s="11"/>
      <c r="AD27" s="11"/>
      <c r="AE27" s="11" t="s">
        <v>1427</v>
      </c>
      <c r="AF27" s="11"/>
    </row>
    <row r="28" s="6" customFormat="1" spans="2:31">
      <c r="B28" s="6" t="s">
        <v>1438</v>
      </c>
      <c r="C28" s="10">
        <v>44834</v>
      </c>
      <c r="D28" s="6">
        <v>59</v>
      </c>
      <c r="E28" s="6">
        <v>51.548</v>
      </c>
      <c r="F28" s="6">
        <v>29</v>
      </c>
      <c r="G28" s="6">
        <v>2.98</v>
      </c>
      <c r="J28" s="6">
        <v>2</v>
      </c>
      <c r="K28" s="6">
        <v>1.3</v>
      </c>
      <c r="L28" s="6">
        <v>11.3</v>
      </c>
      <c r="N28" s="6">
        <v>3.19</v>
      </c>
      <c r="P28" s="6">
        <v>8.54</v>
      </c>
      <c r="V28" s="6" t="s">
        <v>1439</v>
      </c>
      <c r="W28" s="6" t="s">
        <v>1440</v>
      </c>
      <c r="Y28" s="6" t="s">
        <v>122</v>
      </c>
      <c r="Z28" s="13" t="s">
        <v>256</v>
      </c>
      <c r="AB28" s="6" t="s">
        <v>1441</v>
      </c>
      <c r="AD28" s="6" t="s">
        <v>1421</v>
      </c>
      <c r="AE28" s="6" t="s">
        <v>1442</v>
      </c>
    </row>
    <row r="29" s="6" customFormat="1" spans="2:31">
      <c r="B29" s="6" t="s">
        <v>1443</v>
      </c>
      <c r="C29" s="10">
        <v>44834</v>
      </c>
      <c r="D29" s="6">
        <v>59</v>
      </c>
      <c r="E29" s="6">
        <v>51.15</v>
      </c>
      <c r="F29" s="6">
        <v>29</v>
      </c>
      <c r="G29" s="6">
        <v>2.432</v>
      </c>
      <c r="J29" s="6">
        <v>4</v>
      </c>
      <c r="K29" s="6">
        <v>2.8</v>
      </c>
      <c r="L29" s="6">
        <v>11.5</v>
      </c>
      <c r="N29" s="6">
        <v>3.08</v>
      </c>
      <c r="P29" s="6">
        <v>8.48</v>
      </c>
      <c r="V29" s="6" t="s">
        <v>1444</v>
      </c>
      <c r="W29" s="6" t="s">
        <v>1445</v>
      </c>
      <c r="Y29" s="6" t="s">
        <v>122</v>
      </c>
      <c r="Z29" s="13" t="s">
        <v>256</v>
      </c>
      <c r="AA29" s="6" t="s">
        <v>1425</v>
      </c>
      <c r="AB29" s="6" t="s">
        <v>1446</v>
      </c>
      <c r="AD29" s="6" t="s">
        <v>1421</v>
      </c>
      <c r="AE29" s="6" t="s">
        <v>1447</v>
      </c>
    </row>
    <row r="30" spans="2:26">
      <c r="B30" s="6" t="s">
        <v>1422</v>
      </c>
      <c r="C30" s="3">
        <v>44861</v>
      </c>
      <c r="D30" s="6">
        <v>59</v>
      </c>
      <c r="E30" s="6">
        <v>49.932</v>
      </c>
      <c r="F30" s="6">
        <v>29</v>
      </c>
      <c r="G30">
        <v>0.651</v>
      </c>
      <c r="J30" s="6">
        <v>3</v>
      </c>
      <c r="K30" s="6">
        <v>2</v>
      </c>
      <c r="L30" s="6">
        <v>22.2</v>
      </c>
      <c r="N30" s="6">
        <v>3.17</v>
      </c>
      <c r="P30" s="6">
        <v>8.02</v>
      </c>
      <c r="Y30" s="6" t="s">
        <v>122</v>
      </c>
      <c r="Z30" s="13" t="s">
        <v>256</v>
      </c>
    </row>
    <row r="31" spans="2:26">
      <c r="B31" s="6" t="s">
        <v>1432</v>
      </c>
      <c r="C31" s="3">
        <v>44861</v>
      </c>
      <c r="D31" s="6">
        <v>59</v>
      </c>
      <c r="E31" s="6">
        <v>50.365</v>
      </c>
      <c r="F31" s="6">
        <v>29</v>
      </c>
      <c r="G31" s="6">
        <v>1.372</v>
      </c>
      <c r="J31" s="6">
        <v>2.7</v>
      </c>
      <c r="K31" s="6">
        <v>2</v>
      </c>
      <c r="L31" s="6">
        <v>13.1</v>
      </c>
      <c r="N31" s="6">
        <v>3.14</v>
      </c>
      <c r="P31" s="6">
        <v>8.28</v>
      </c>
      <c r="Y31" s="6" t="s">
        <v>122</v>
      </c>
      <c r="Z31" s="13" t="s">
        <v>256</v>
      </c>
    </row>
    <row r="32" spans="2:26">
      <c r="B32" s="6" t="s">
        <v>1438</v>
      </c>
      <c r="C32" s="3">
        <v>44861</v>
      </c>
      <c r="D32" s="6">
        <v>59</v>
      </c>
      <c r="E32" s="6">
        <v>51.544</v>
      </c>
      <c r="F32" s="6">
        <v>29</v>
      </c>
      <c r="G32" s="6">
        <v>2.956</v>
      </c>
      <c r="J32" s="6">
        <v>1.6</v>
      </c>
      <c r="K32" s="6">
        <v>1.2</v>
      </c>
      <c r="L32" s="6">
        <v>10.01</v>
      </c>
      <c r="N32" s="6">
        <v>3.14</v>
      </c>
      <c r="P32" s="6">
        <v>7.29</v>
      </c>
      <c r="Y32" s="11"/>
      <c r="Z32" s="11"/>
    </row>
    <row r="33" spans="2:26">
      <c r="B33" s="6" t="s">
        <v>1443</v>
      </c>
      <c r="C33" s="3">
        <v>44861</v>
      </c>
      <c r="D33" s="6">
        <v>59</v>
      </c>
      <c r="E33" s="6">
        <v>51.15</v>
      </c>
      <c r="F33" s="6">
        <v>29</v>
      </c>
      <c r="G33" s="6">
        <v>2.432</v>
      </c>
      <c r="H33" s="6"/>
      <c r="I33" s="6"/>
      <c r="J33" s="6">
        <v>4</v>
      </c>
      <c r="K33" s="6">
        <v>2.9</v>
      </c>
      <c r="L33" s="6">
        <v>10</v>
      </c>
      <c r="N33" s="6">
        <v>3.15</v>
      </c>
      <c r="P33" s="6">
        <v>8.18</v>
      </c>
      <c r="Y33" s="6" t="s">
        <v>122</v>
      </c>
      <c r="Z33" s="13" t="s">
        <v>256</v>
      </c>
    </row>
    <row r="34" spans="2:26">
      <c r="B34" s="7" t="s">
        <v>1392</v>
      </c>
      <c r="C34" s="3">
        <v>44861</v>
      </c>
      <c r="H34" s="9">
        <v>28.13077</v>
      </c>
      <c r="I34" s="9">
        <v>59.774363</v>
      </c>
      <c r="J34" s="6">
        <v>3</v>
      </c>
      <c r="K34" s="6">
        <v>2.7</v>
      </c>
      <c r="L34" s="6">
        <v>9.6</v>
      </c>
      <c r="N34" s="6">
        <v>3.35</v>
      </c>
      <c r="P34" s="6">
        <v>8.15</v>
      </c>
      <c r="V34" t="s">
        <v>1448</v>
      </c>
      <c r="W34" t="s">
        <v>1449</v>
      </c>
      <c r="Y34" s="6" t="s">
        <v>122</v>
      </c>
      <c r="Z34" s="13" t="s">
        <v>1326</v>
      </c>
    </row>
    <row r="35" spans="2:26">
      <c r="B35" s="6" t="s">
        <v>1443</v>
      </c>
      <c r="C35" s="3">
        <v>44894</v>
      </c>
      <c r="J35" s="6">
        <v>5</v>
      </c>
      <c r="K35" s="6">
        <v>3</v>
      </c>
      <c r="L35" s="6">
        <v>2.6</v>
      </c>
      <c r="N35" s="6">
        <v>3.55</v>
      </c>
      <c r="P35" s="6">
        <v>8.35</v>
      </c>
      <c r="Y35" s="6" t="s">
        <v>122</v>
      </c>
      <c r="Z35" s="13" t="s">
        <v>256</v>
      </c>
    </row>
    <row r="36" spans="2:30">
      <c r="B36" s="7" t="s">
        <v>1392</v>
      </c>
      <c r="C36" s="3">
        <v>44894</v>
      </c>
      <c r="J36" s="6">
        <v>3</v>
      </c>
      <c r="K36" s="6">
        <v>3</v>
      </c>
      <c r="L36" s="6">
        <v>1.8</v>
      </c>
      <c r="N36" s="6">
        <v>3.4</v>
      </c>
      <c r="P36" s="6">
        <v>8.41</v>
      </c>
      <c r="V36" t="s">
        <v>1450</v>
      </c>
      <c r="W36" t="s">
        <v>1451</v>
      </c>
      <c r="Y36" s="6" t="s">
        <v>122</v>
      </c>
      <c r="Z36" s="13" t="s">
        <v>1326</v>
      </c>
      <c r="AD36" t="s">
        <v>1452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8"/>
  <sheetViews>
    <sheetView zoomScale="120" zoomScaleNormal="120" workbookViewId="0">
      <pane ySplit="1" topLeftCell="A2" activePane="bottomLeft" state="frozen"/>
      <selection/>
      <selection pane="bottomLeft" activeCell="A15" sqref="A15"/>
    </sheetView>
  </sheetViews>
  <sheetFormatPr defaultColWidth="9" defaultRowHeight="14.4"/>
  <cols>
    <col min="1" max="1" width="3.33333333333333" customWidth="1"/>
    <col min="2" max="2" width="12.8888888888889" customWidth="1"/>
    <col min="3" max="3" width="10.8888888888889" customWidth="1"/>
    <col min="4" max="4" width="14.4444444444444" customWidth="1"/>
    <col min="5" max="5" width="18.4444444444444" customWidth="1"/>
    <col min="6" max="6" width="14.1111111111111" customWidth="1"/>
    <col min="7" max="7" width="18.1111111111111" customWidth="1"/>
    <col min="8" max="9" width="9.11111111111111" customWidth="1"/>
    <col min="10" max="10" width="11.5555555555556" customWidth="1"/>
    <col min="11" max="11" width="16.8888888888889" customWidth="1"/>
    <col min="12" max="12" width="6" customWidth="1"/>
    <col min="13" max="13" width="7.11111111111111" customWidth="1"/>
    <col min="14" max="14" width="8.66666666666667" customWidth="1"/>
    <col min="15" max="15" width="10.1111111111111" customWidth="1"/>
    <col min="16" max="16" width="7.33333333333333" customWidth="1"/>
    <col min="17" max="17" width="8.44444444444444" customWidth="1"/>
    <col min="18" max="18" width="7.55555555555556" customWidth="1"/>
    <col min="19" max="19" width="8.33333333333333" customWidth="1"/>
    <col min="20" max="20" width="7.44444444444444" customWidth="1"/>
    <col min="21" max="21" width="8.66666666666667" customWidth="1"/>
    <col min="22" max="22" width="42.8888888888889" customWidth="1"/>
    <col min="23" max="23" width="92.3333333333333" customWidth="1"/>
    <col min="24" max="24" width="22.1111111111111" customWidth="1"/>
    <col min="25" max="25" width="8.44444444444444" customWidth="1"/>
    <col min="26" max="26" width="22.8888888888889" customWidth="1"/>
    <col min="27" max="27" width="46.8888888888889" customWidth="1"/>
    <col min="28" max="28" width="62.8888888888889" customWidth="1"/>
    <col min="29" max="29" width="13.4444444444444" customWidth="1"/>
    <col min="30" max="30" width="11.5555555555556" customWidth="1"/>
  </cols>
  <sheetData>
    <row r="1" spans="2:30">
      <c r="B1" s="1" t="s">
        <v>52</v>
      </c>
      <c r="C1" s="1" t="s">
        <v>53</v>
      </c>
      <c r="D1" s="1" t="s">
        <v>59</v>
      </c>
      <c r="E1" s="2" t="s">
        <v>60</v>
      </c>
      <c r="F1" s="1" t="s">
        <v>57</v>
      </c>
      <c r="G1" s="2" t="s">
        <v>58</v>
      </c>
      <c r="H1" s="2" t="s">
        <v>1315</v>
      </c>
      <c r="I1" s="2" t="s">
        <v>1316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66</v>
      </c>
      <c r="O1" s="1" t="s">
        <v>67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80</v>
      </c>
      <c r="AD1" s="1" t="s">
        <v>1323</v>
      </c>
    </row>
    <row r="2" spans="1:29">
      <c r="A2">
        <v>1</v>
      </c>
      <c r="B2" s="1">
        <v>145</v>
      </c>
      <c r="C2" s="3">
        <v>44423</v>
      </c>
      <c r="D2" s="1">
        <v>59</v>
      </c>
      <c r="E2" s="2">
        <v>50.336</v>
      </c>
      <c r="F2" s="1">
        <v>28</v>
      </c>
      <c r="G2" s="2">
        <v>33.528</v>
      </c>
      <c r="H2" s="2">
        <v>28.5588</v>
      </c>
      <c r="I2" s="2">
        <v>59.8389333333333</v>
      </c>
      <c r="J2" s="1">
        <v>1.7</v>
      </c>
      <c r="K2" s="1">
        <v>1.7</v>
      </c>
      <c r="L2">
        <v>19.4</v>
      </c>
      <c r="N2" s="1">
        <v>2.34</v>
      </c>
      <c r="P2" s="1">
        <v>8.46</v>
      </c>
      <c r="Q2" s="1"/>
      <c r="R2" s="1">
        <v>117</v>
      </c>
      <c r="S2" s="1"/>
      <c r="T2" s="1"/>
      <c r="U2" s="1"/>
      <c r="V2" s="1" t="s">
        <v>1453</v>
      </c>
      <c r="W2" s="1" t="s">
        <v>1454</v>
      </c>
      <c r="Y2" t="s">
        <v>1455</v>
      </c>
      <c r="Z2" t="s">
        <v>1386</v>
      </c>
      <c r="AB2" s="1" t="s">
        <v>1456</v>
      </c>
      <c r="AC2" s="1" t="s">
        <v>214</v>
      </c>
    </row>
    <row r="3" spans="1:29">
      <c r="A3">
        <v>2</v>
      </c>
      <c r="B3">
        <v>146</v>
      </c>
      <c r="C3" s="3">
        <v>44423</v>
      </c>
      <c r="D3" s="1">
        <v>59</v>
      </c>
      <c r="E3" s="2">
        <v>49.975</v>
      </c>
      <c r="F3" s="1">
        <v>28</v>
      </c>
      <c r="G3">
        <v>34.056</v>
      </c>
      <c r="H3" s="2">
        <v>28.5676</v>
      </c>
      <c r="I3" s="2">
        <v>59.8329166666667</v>
      </c>
      <c r="J3" s="1">
        <v>2</v>
      </c>
      <c r="K3" s="1">
        <v>2</v>
      </c>
      <c r="L3" s="1">
        <v>19.5</v>
      </c>
      <c r="N3" s="1">
        <v>2.4</v>
      </c>
      <c r="P3" s="1">
        <v>8.48</v>
      </c>
      <c r="R3">
        <v>140</v>
      </c>
      <c r="W3" s="1" t="s">
        <v>1457</v>
      </c>
      <c r="AA3" s="1" t="s">
        <v>1354</v>
      </c>
      <c r="AC3" s="1" t="s">
        <v>1354</v>
      </c>
    </row>
    <row r="4" spans="1:27">
      <c r="A4">
        <v>3</v>
      </c>
      <c r="B4" s="1" t="s">
        <v>1458</v>
      </c>
      <c r="C4" s="3">
        <v>44423</v>
      </c>
      <c r="D4" s="1">
        <v>59</v>
      </c>
      <c r="E4">
        <v>49.652</v>
      </c>
      <c r="F4" s="1">
        <v>28</v>
      </c>
      <c r="G4" s="2">
        <v>35.025</v>
      </c>
      <c r="H4" s="2">
        <v>28.58375</v>
      </c>
      <c r="I4" s="2">
        <v>59.8275333333333</v>
      </c>
      <c r="J4" s="1">
        <v>1.2</v>
      </c>
      <c r="K4" s="1">
        <v>1.2</v>
      </c>
      <c r="L4" s="1">
        <v>19.6</v>
      </c>
      <c r="N4" s="1">
        <v>2.46</v>
      </c>
      <c r="P4" s="1">
        <v>8.46</v>
      </c>
      <c r="R4">
        <v>144</v>
      </c>
      <c r="W4" s="1" t="s">
        <v>1459</v>
      </c>
      <c r="AA4" s="1" t="s">
        <v>1460</v>
      </c>
    </row>
    <row r="5" spans="1:27">
      <c r="A5">
        <v>4</v>
      </c>
      <c r="B5" s="1" t="s">
        <v>1461</v>
      </c>
      <c r="C5" s="3">
        <v>44423</v>
      </c>
      <c r="D5" s="1">
        <v>59</v>
      </c>
      <c r="E5" s="2">
        <v>49.613</v>
      </c>
      <c r="F5" s="1">
        <v>28</v>
      </c>
      <c r="G5" s="2">
        <v>34.996</v>
      </c>
      <c r="H5" s="2">
        <v>28.5832666666667</v>
      </c>
      <c r="I5" s="2">
        <v>59.8268833333333</v>
      </c>
      <c r="J5" s="1">
        <v>1.2</v>
      </c>
      <c r="K5" s="1">
        <v>1.2</v>
      </c>
      <c r="L5" s="1">
        <v>19.6</v>
      </c>
      <c r="N5" s="1">
        <v>2.46</v>
      </c>
      <c r="P5" s="1">
        <v>8.46</v>
      </c>
      <c r="R5">
        <v>144</v>
      </c>
      <c r="V5" s="1" t="s">
        <v>1462</v>
      </c>
      <c r="W5" s="1" t="s">
        <v>353</v>
      </c>
      <c r="AA5" s="1" t="s">
        <v>1463</v>
      </c>
    </row>
    <row r="6" spans="1:27">
      <c r="A6">
        <v>5</v>
      </c>
      <c r="B6">
        <v>148</v>
      </c>
      <c r="C6" s="3">
        <v>44423</v>
      </c>
      <c r="D6" s="1">
        <v>59</v>
      </c>
      <c r="E6" s="2">
        <v>49.653</v>
      </c>
      <c r="F6" s="1">
        <v>28</v>
      </c>
      <c r="G6" s="2">
        <v>36.092</v>
      </c>
      <c r="H6" s="2">
        <v>28.6015333333333</v>
      </c>
      <c r="I6" s="2">
        <v>59.82755</v>
      </c>
      <c r="J6" s="1">
        <v>1.8</v>
      </c>
      <c r="K6" s="1">
        <v>1.8</v>
      </c>
      <c r="L6" s="1">
        <v>19.6</v>
      </c>
      <c r="N6" s="1">
        <v>2.38</v>
      </c>
      <c r="P6" s="1">
        <v>8.69</v>
      </c>
      <c r="R6">
        <v>150</v>
      </c>
      <c r="V6" s="1" t="s">
        <v>1464</v>
      </c>
      <c r="W6" s="1" t="s">
        <v>1465</v>
      </c>
      <c r="AA6" s="1" t="s">
        <v>1466</v>
      </c>
    </row>
    <row r="7" spans="1:29">
      <c r="A7">
        <v>6</v>
      </c>
      <c r="B7" s="1">
        <v>149</v>
      </c>
      <c r="C7" s="3">
        <v>44423</v>
      </c>
      <c r="D7" s="1">
        <v>59</v>
      </c>
      <c r="E7" s="2">
        <v>49.292</v>
      </c>
      <c r="F7" s="1">
        <v>28</v>
      </c>
      <c r="G7" s="2">
        <v>37.02</v>
      </c>
      <c r="H7" s="2">
        <v>28.617</v>
      </c>
      <c r="I7" s="2">
        <v>59.8215333333333</v>
      </c>
      <c r="J7" s="1">
        <v>1.4</v>
      </c>
      <c r="K7" s="1">
        <v>1.4</v>
      </c>
      <c r="L7" s="1">
        <v>19.6</v>
      </c>
      <c r="N7" s="1">
        <v>2.38</v>
      </c>
      <c r="P7" s="1">
        <v>8.6</v>
      </c>
      <c r="R7">
        <v>152</v>
      </c>
      <c r="W7" s="1" t="s">
        <v>1467</v>
      </c>
      <c r="AA7" s="1" t="s">
        <v>1354</v>
      </c>
      <c r="AC7" s="1" t="s">
        <v>1354</v>
      </c>
    </row>
    <row r="8" spans="2:27">
      <c r="B8" s="1">
        <v>117</v>
      </c>
      <c r="C8" s="3">
        <v>44423</v>
      </c>
      <c r="D8" s="1">
        <v>59</v>
      </c>
      <c r="E8" s="2">
        <v>49.651</v>
      </c>
      <c r="F8" s="1">
        <v>28</v>
      </c>
      <c r="G8" s="2">
        <v>34.299</v>
      </c>
      <c r="H8" s="2">
        <v>28.57165</v>
      </c>
      <c r="I8" s="2">
        <v>59.8275166666667</v>
      </c>
      <c r="J8" s="1">
        <v>9.5</v>
      </c>
      <c r="K8" s="1">
        <v>2.2</v>
      </c>
      <c r="L8" s="1">
        <v>19.4</v>
      </c>
      <c r="N8" s="1">
        <v>2.36</v>
      </c>
      <c r="P8" s="1">
        <v>8.6</v>
      </c>
      <c r="R8">
        <v>154</v>
      </c>
      <c r="W8" s="1" t="s">
        <v>1468</v>
      </c>
      <c r="AA8" s="1" t="s">
        <v>1469</v>
      </c>
    </row>
    <row r="9" spans="1:29">
      <c r="A9">
        <v>7</v>
      </c>
      <c r="B9" s="1">
        <v>150</v>
      </c>
      <c r="C9" s="3">
        <v>44423</v>
      </c>
      <c r="D9" s="1">
        <v>59</v>
      </c>
      <c r="E9" s="2">
        <v>49.062</v>
      </c>
      <c r="F9" s="1">
        <v>28</v>
      </c>
      <c r="G9" s="2">
        <v>38.545</v>
      </c>
      <c r="H9" s="2">
        <v>28.6424166666667</v>
      </c>
      <c r="I9" s="2">
        <v>59.8177</v>
      </c>
      <c r="J9" s="1">
        <v>1.44</v>
      </c>
      <c r="K9" s="1">
        <v>1.4</v>
      </c>
      <c r="L9" s="1">
        <v>19.5</v>
      </c>
      <c r="N9" s="1">
        <v>2.4</v>
      </c>
      <c r="P9" s="1">
        <v>8.77</v>
      </c>
      <c r="R9">
        <v>155</v>
      </c>
      <c r="V9" t="s">
        <v>1462</v>
      </c>
      <c r="W9" s="1" t="s">
        <v>1470</v>
      </c>
      <c r="AA9" s="1" t="s">
        <v>1354</v>
      </c>
      <c r="AC9" s="1" t="s">
        <v>1354</v>
      </c>
    </row>
    <row r="10" spans="1:29">
      <c r="A10">
        <v>8</v>
      </c>
      <c r="B10" s="1">
        <v>151</v>
      </c>
      <c r="C10" s="3">
        <v>44423</v>
      </c>
      <c r="D10" s="1">
        <v>59</v>
      </c>
      <c r="E10" s="2">
        <v>48.969</v>
      </c>
      <c r="F10" s="1">
        <v>28</v>
      </c>
      <c r="G10" s="2">
        <v>39.615</v>
      </c>
      <c r="H10" s="2">
        <v>28.66025</v>
      </c>
      <c r="I10" s="2">
        <v>59.81615</v>
      </c>
      <c r="J10" s="1">
        <v>1.2</v>
      </c>
      <c r="K10" s="1">
        <v>1</v>
      </c>
      <c r="L10" s="1">
        <v>19.2</v>
      </c>
      <c r="N10" s="1">
        <v>2.39</v>
      </c>
      <c r="P10" s="1">
        <v>8.78</v>
      </c>
      <c r="R10">
        <v>155</v>
      </c>
      <c r="V10" t="s">
        <v>1471</v>
      </c>
      <c r="W10" s="1" t="s">
        <v>1472</v>
      </c>
      <c r="AA10" s="1" t="s">
        <v>1354</v>
      </c>
      <c r="AB10" t="s">
        <v>1473</v>
      </c>
      <c r="AC10" s="1" t="s">
        <v>1354</v>
      </c>
    </row>
    <row r="11" spans="1:29">
      <c r="A11">
        <v>9</v>
      </c>
      <c r="B11" s="1">
        <v>152</v>
      </c>
      <c r="C11" s="3">
        <v>44423</v>
      </c>
      <c r="D11" s="1">
        <v>59</v>
      </c>
      <c r="E11" s="2">
        <v>48.56</v>
      </c>
      <c r="F11" s="1">
        <v>28</v>
      </c>
      <c r="G11" s="2">
        <v>39.754</v>
      </c>
      <c r="H11" s="2">
        <v>28.6625666666667</v>
      </c>
      <c r="I11" s="2">
        <v>59.8093333333333</v>
      </c>
      <c r="J11" s="1">
        <v>0.5</v>
      </c>
      <c r="K11" s="1">
        <v>0.5</v>
      </c>
      <c r="L11" s="1">
        <v>19.8</v>
      </c>
      <c r="N11" s="1">
        <v>2.37</v>
      </c>
      <c r="P11" s="1">
        <v>8.6</v>
      </c>
      <c r="R11">
        <v>159</v>
      </c>
      <c r="V11" t="s">
        <v>1474</v>
      </c>
      <c r="W11" s="1" t="s">
        <v>1457</v>
      </c>
      <c r="AA11" s="1" t="s">
        <v>1354</v>
      </c>
      <c r="AC11" s="1" t="s">
        <v>1354</v>
      </c>
    </row>
    <row r="12" spans="1:28">
      <c r="A12">
        <v>8</v>
      </c>
      <c r="B12" s="1">
        <v>153</v>
      </c>
      <c r="C12" s="3">
        <v>44423</v>
      </c>
      <c r="D12" s="1">
        <v>59</v>
      </c>
      <c r="E12" s="2">
        <v>48.331</v>
      </c>
      <c r="F12" s="1">
        <v>28</v>
      </c>
      <c r="G12" s="2">
        <v>40.431</v>
      </c>
      <c r="H12" s="2">
        <v>28.67385</v>
      </c>
      <c r="I12" s="2">
        <v>59.8055166666667</v>
      </c>
      <c r="J12" s="1">
        <v>1.2</v>
      </c>
      <c r="K12" s="1">
        <v>1.2</v>
      </c>
      <c r="L12" s="1">
        <v>19.8</v>
      </c>
      <c r="N12" s="1">
        <v>2.43</v>
      </c>
      <c r="P12" s="1">
        <v>8.76</v>
      </c>
      <c r="R12">
        <v>166</v>
      </c>
      <c r="W12" s="1" t="s">
        <v>1475</v>
      </c>
      <c r="AA12" s="1" t="s">
        <v>1476</v>
      </c>
      <c r="AB12" t="s">
        <v>1477</v>
      </c>
    </row>
    <row r="13" spans="1:27">
      <c r="A13">
        <v>11</v>
      </c>
      <c r="B13" t="s">
        <v>1478</v>
      </c>
      <c r="C13" s="3">
        <v>44423</v>
      </c>
      <c r="D13" s="1">
        <v>59</v>
      </c>
      <c r="E13" s="2">
        <v>47.918</v>
      </c>
      <c r="F13" s="1">
        <v>28</v>
      </c>
      <c r="G13" s="2">
        <v>40.54</v>
      </c>
      <c r="H13" s="2">
        <v>28.6756666666667</v>
      </c>
      <c r="I13" s="2">
        <v>59.7986333333333</v>
      </c>
      <c r="J13" s="1">
        <v>1.3</v>
      </c>
      <c r="K13" s="1">
        <v>1.2</v>
      </c>
      <c r="L13" s="1">
        <v>19.8</v>
      </c>
      <c r="N13" s="1">
        <v>2.35</v>
      </c>
      <c r="P13" s="1">
        <v>9.3</v>
      </c>
      <c r="R13">
        <v>157</v>
      </c>
      <c r="V13" t="s">
        <v>1462</v>
      </c>
      <c r="W13" s="1" t="s">
        <v>1479</v>
      </c>
      <c r="AA13" s="1" t="s">
        <v>1480</v>
      </c>
    </row>
    <row r="14" spans="2:27">
      <c r="B14" t="s">
        <v>1481</v>
      </c>
      <c r="C14" s="3">
        <v>44423</v>
      </c>
      <c r="D14" s="1">
        <v>59</v>
      </c>
      <c r="E14" s="2">
        <v>47.896</v>
      </c>
      <c r="F14" s="1">
        <v>28</v>
      </c>
      <c r="G14" s="2">
        <v>40.476</v>
      </c>
      <c r="H14" s="2">
        <v>28.6746</v>
      </c>
      <c r="I14" s="2">
        <v>59.7982666666667</v>
      </c>
      <c r="AA14" s="1" t="s">
        <v>1482</v>
      </c>
    </row>
    <row r="15" spans="1:29">
      <c r="A15">
        <v>12</v>
      </c>
      <c r="B15" t="s">
        <v>1483</v>
      </c>
      <c r="C15" s="3">
        <v>44424</v>
      </c>
      <c r="D15" s="1">
        <v>59</v>
      </c>
      <c r="E15" s="2">
        <v>40.368</v>
      </c>
      <c r="F15" s="1">
        <v>28</v>
      </c>
      <c r="G15" s="2">
        <v>21.137</v>
      </c>
      <c r="H15" s="2">
        <v>28.3522833333333</v>
      </c>
      <c r="I15" s="2">
        <v>59.6728</v>
      </c>
      <c r="J15" s="1">
        <v>0.6</v>
      </c>
      <c r="K15" s="1">
        <v>0.6</v>
      </c>
      <c r="L15" s="1">
        <v>18.5</v>
      </c>
      <c r="M15" s="1"/>
      <c r="N15" s="1">
        <v>1.78</v>
      </c>
      <c r="P15" s="1">
        <v>8.67</v>
      </c>
      <c r="R15">
        <v>187</v>
      </c>
      <c r="V15" t="s">
        <v>1484</v>
      </c>
      <c r="W15" s="1" t="s">
        <v>1485</v>
      </c>
      <c r="AA15" s="1" t="s">
        <v>1354</v>
      </c>
      <c r="AC15" s="1" t="s">
        <v>1354</v>
      </c>
    </row>
    <row r="16" spans="1:29">
      <c r="A16">
        <v>13</v>
      </c>
      <c r="B16" t="s">
        <v>1372</v>
      </c>
      <c r="C16" s="3">
        <v>44424</v>
      </c>
      <c r="D16" s="1">
        <v>59</v>
      </c>
      <c r="E16" s="2">
        <v>40.703</v>
      </c>
      <c r="F16" s="1">
        <v>28</v>
      </c>
      <c r="G16" s="2">
        <v>20.752</v>
      </c>
      <c r="H16" s="2">
        <v>28.3458666666667</v>
      </c>
      <c r="I16" s="2">
        <v>59.6783833333333</v>
      </c>
      <c r="J16" s="1">
        <v>0.6</v>
      </c>
      <c r="K16" s="1">
        <v>0.6</v>
      </c>
      <c r="L16" s="1">
        <v>18.7</v>
      </c>
      <c r="N16" s="1">
        <v>1.98</v>
      </c>
      <c r="P16" s="1">
        <v>8.62</v>
      </c>
      <c r="R16">
        <v>177</v>
      </c>
      <c r="V16" t="s">
        <v>1486</v>
      </c>
      <c r="W16" s="1" t="s">
        <v>1485</v>
      </c>
      <c r="AA16" s="1" t="s">
        <v>1354</v>
      </c>
      <c r="AC16" s="1" t="s">
        <v>1354</v>
      </c>
    </row>
    <row r="17" spans="1:28">
      <c r="A17">
        <v>14</v>
      </c>
      <c r="B17" t="s">
        <v>1487</v>
      </c>
      <c r="C17" s="3">
        <v>44424</v>
      </c>
      <c r="D17" s="1">
        <v>59</v>
      </c>
      <c r="E17" s="2">
        <v>40.037</v>
      </c>
      <c r="F17" s="1">
        <v>28</v>
      </c>
      <c r="G17" s="2">
        <v>21.941</v>
      </c>
      <c r="H17" s="2">
        <v>28.3656833333333</v>
      </c>
      <c r="I17" s="2">
        <v>59.6672833333333</v>
      </c>
      <c r="J17" s="1">
        <v>0.3</v>
      </c>
      <c r="K17" s="1">
        <v>0.3</v>
      </c>
      <c r="L17" s="1">
        <v>18.9</v>
      </c>
      <c r="N17" s="1">
        <v>1.13</v>
      </c>
      <c r="P17" s="1">
        <v>8.2</v>
      </c>
      <c r="W17" s="1" t="s">
        <v>1485</v>
      </c>
      <c r="AA17" s="1" t="s">
        <v>1354</v>
      </c>
      <c r="AB17" t="s">
        <v>1488</v>
      </c>
    </row>
    <row r="18" spans="1:30">
      <c r="A18">
        <v>15</v>
      </c>
      <c r="B18" t="s">
        <v>1489</v>
      </c>
      <c r="C18" s="3">
        <v>44424</v>
      </c>
      <c r="D18" s="1">
        <v>59</v>
      </c>
      <c r="E18" s="2">
        <v>40.647</v>
      </c>
      <c r="F18" s="1">
        <v>28</v>
      </c>
      <c r="G18" s="2">
        <v>18.516</v>
      </c>
      <c r="H18" s="2">
        <v>28.3086</v>
      </c>
      <c r="I18" s="2">
        <v>59.67745</v>
      </c>
      <c r="J18" s="1">
        <v>0.3</v>
      </c>
      <c r="K18" s="1">
        <v>0.3</v>
      </c>
      <c r="L18" s="1">
        <v>19.2</v>
      </c>
      <c r="N18" s="1">
        <v>1.74</v>
      </c>
      <c r="P18" s="1">
        <v>8.73</v>
      </c>
      <c r="R18">
        <v>197</v>
      </c>
      <c r="W18" s="1" t="s">
        <v>1485</v>
      </c>
      <c r="AA18" s="1" t="s">
        <v>1354</v>
      </c>
      <c r="AB18" t="s">
        <v>1488</v>
      </c>
      <c r="AC18" s="1" t="s">
        <v>1354</v>
      </c>
      <c r="AD18" t="s">
        <v>1490</v>
      </c>
    </row>
    <row r="19" spans="1:29">
      <c r="A19">
        <v>16</v>
      </c>
      <c r="B19" t="s">
        <v>1491</v>
      </c>
      <c r="C19" s="3">
        <v>44424</v>
      </c>
      <c r="D19" s="1">
        <v>59</v>
      </c>
      <c r="E19" s="2">
        <v>40.714</v>
      </c>
      <c r="F19" s="1">
        <v>28</v>
      </c>
      <c r="G19" s="2">
        <v>15.01</v>
      </c>
      <c r="H19" s="2">
        <v>28.2501666666667</v>
      </c>
      <c r="I19" s="2">
        <v>59.6785666666667</v>
      </c>
      <c r="J19" s="1">
        <v>0.6</v>
      </c>
      <c r="K19" s="1">
        <v>0.6</v>
      </c>
      <c r="L19" s="1">
        <v>20</v>
      </c>
      <c r="N19" s="1">
        <v>2.4</v>
      </c>
      <c r="P19" s="1">
        <v>8.56</v>
      </c>
      <c r="R19">
        <v>192</v>
      </c>
      <c r="V19" t="s">
        <v>1492</v>
      </c>
      <c r="W19" s="1" t="s">
        <v>1470</v>
      </c>
      <c r="Z19" t="s">
        <v>1493</v>
      </c>
      <c r="AA19" s="1" t="s">
        <v>1494</v>
      </c>
      <c r="AC19" s="1" t="s">
        <v>1354</v>
      </c>
    </row>
    <row r="20" spans="1:29">
      <c r="A20">
        <v>17</v>
      </c>
      <c r="B20" t="s">
        <v>1495</v>
      </c>
      <c r="C20" s="3">
        <v>44424</v>
      </c>
      <c r="D20" s="1">
        <v>59</v>
      </c>
      <c r="E20" s="2">
        <v>40.793</v>
      </c>
      <c r="F20" s="1">
        <v>28</v>
      </c>
      <c r="G20" s="2">
        <v>14.392</v>
      </c>
      <c r="H20" s="2">
        <v>28.2398666666667</v>
      </c>
      <c r="I20" s="2">
        <v>59.6798833333333</v>
      </c>
      <c r="J20" s="1">
        <v>0.6</v>
      </c>
      <c r="K20" s="1">
        <v>0.6</v>
      </c>
      <c r="L20" s="1">
        <v>19.7</v>
      </c>
      <c r="N20" s="1">
        <v>2.7</v>
      </c>
      <c r="P20" s="1">
        <v>8.73</v>
      </c>
      <c r="R20">
        <v>188</v>
      </c>
      <c r="W20" s="1" t="s">
        <v>1470</v>
      </c>
      <c r="AA20" s="1" t="s">
        <v>1354</v>
      </c>
      <c r="AC20" s="1" t="s">
        <v>1354</v>
      </c>
    </row>
    <row r="21" spans="1:29">
      <c r="A21">
        <v>18</v>
      </c>
      <c r="B21" t="s">
        <v>1496</v>
      </c>
      <c r="C21" s="3">
        <v>44424</v>
      </c>
      <c r="D21" s="1">
        <v>59</v>
      </c>
      <c r="E21" s="2">
        <v>42.414</v>
      </c>
      <c r="F21" s="1">
        <v>28</v>
      </c>
      <c r="G21" s="2">
        <v>13.291</v>
      </c>
      <c r="H21" s="2">
        <v>28.2215166666667</v>
      </c>
      <c r="I21" s="2">
        <v>59.7069</v>
      </c>
      <c r="J21" s="1">
        <v>0.7</v>
      </c>
      <c r="K21" s="1">
        <v>0.7</v>
      </c>
      <c r="L21" s="1">
        <v>19.1</v>
      </c>
      <c r="N21" s="1">
        <v>2.58</v>
      </c>
      <c r="P21" s="1">
        <v>8.92</v>
      </c>
      <c r="R21">
        <v>179</v>
      </c>
      <c r="V21" t="s">
        <v>1497</v>
      </c>
      <c r="W21" s="1" t="s">
        <v>1498</v>
      </c>
      <c r="AA21" s="1" t="s">
        <v>1494</v>
      </c>
      <c r="AC21" s="1" t="s">
        <v>1354</v>
      </c>
    </row>
    <row r="22" spans="1:29">
      <c r="A22">
        <v>19</v>
      </c>
      <c r="B22" t="s">
        <v>1499</v>
      </c>
      <c r="C22" s="3">
        <v>44424</v>
      </c>
      <c r="D22" s="1">
        <v>59</v>
      </c>
      <c r="E22" s="2">
        <v>42.793</v>
      </c>
      <c r="F22" s="1">
        <v>28</v>
      </c>
      <c r="G22" s="1">
        <v>13.598</v>
      </c>
      <c r="H22" s="2">
        <v>28.2266333333333</v>
      </c>
      <c r="I22" s="2">
        <v>59.7132166666667</v>
      </c>
      <c r="J22" s="1">
        <v>0.6</v>
      </c>
      <c r="K22" s="1">
        <v>0.6</v>
      </c>
      <c r="L22" s="1">
        <v>19.1</v>
      </c>
      <c r="N22" s="1">
        <v>2.6</v>
      </c>
      <c r="P22" s="1">
        <v>8.97</v>
      </c>
      <c r="R22">
        <v>185</v>
      </c>
      <c r="W22" s="1" t="s">
        <v>1500</v>
      </c>
      <c r="AA22" s="1" t="s">
        <v>1501</v>
      </c>
      <c r="AB22" t="s">
        <v>248</v>
      </c>
      <c r="AC22" s="1" t="s">
        <v>1354</v>
      </c>
    </row>
    <row r="23" spans="1:29">
      <c r="A23">
        <v>20</v>
      </c>
      <c r="B23" t="s">
        <v>1502</v>
      </c>
      <c r="C23" s="3">
        <v>44424</v>
      </c>
      <c r="D23" s="1">
        <v>59</v>
      </c>
      <c r="E23" s="2">
        <v>47.151</v>
      </c>
      <c r="F23" s="1">
        <v>28</v>
      </c>
      <c r="G23" s="2">
        <v>10.084</v>
      </c>
      <c r="H23" s="2">
        <v>28.1680666666667</v>
      </c>
      <c r="I23" s="2">
        <v>59.78585</v>
      </c>
      <c r="J23" s="1">
        <v>0.6</v>
      </c>
      <c r="K23" s="1">
        <v>0.6</v>
      </c>
      <c r="L23" s="1">
        <v>18.7</v>
      </c>
      <c r="N23" s="1">
        <v>2.81</v>
      </c>
      <c r="P23" s="1">
        <v>8.86</v>
      </c>
      <c r="R23">
        <v>181</v>
      </c>
      <c r="W23" s="1" t="s">
        <v>1503</v>
      </c>
      <c r="AA23" s="1" t="s">
        <v>1354</v>
      </c>
      <c r="AB23" t="s">
        <v>248</v>
      </c>
      <c r="AC23" s="1" t="s">
        <v>1354</v>
      </c>
    </row>
    <row r="24" spans="1:29">
      <c r="A24">
        <v>21</v>
      </c>
      <c r="B24" t="s">
        <v>1504</v>
      </c>
      <c r="C24" s="3">
        <v>44424</v>
      </c>
      <c r="D24" s="1">
        <v>59</v>
      </c>
      <c r="E24" s="2">
        <v>47.526</v>
      </c>
      <c r="F24" s="1">
        <v>28</v>
      </c>
      <c r="G24" s="2">
        <v>7.144</v>
      </c>
      <c r="H24" s="2">
        <v>28.1190666666667</v>
      </c>
      <c r="I24" s="2">
        <v>59.7921</v>
      </c>
      <c r="J24" s="1">
        <v>0.6</v>
      </c>
      <c r="K24" s="1">
        <v>0.6</v>
      </c>
      <c r="L24" s="1">
        <v>19.7</v>
      </c>
      <c r="N24" s="1">
        <v>2.66</v>
      </c>
      <c r="P24" s="1">
        <v>8.92</v>
      </c>
      <c r="R24">
        <v>182</v>
      </c>
      <c r="W24" s="1" t="s">
        <v>1485</v>
      </c>
      <c r="AA24" s="1" t="s">
        <v>1354</v>
      </c>
      <c r="AC24" s="1" t="s">
        <v>1354</v>
      </c>
    </row>
    <row r="25" spans="1:29">
      <c r="A25">
        <v>22</v>
      </c>
      <c r="B25">
        <v>186</v>
      </c>
      <c r="C25" s="3">
        <v>44424</v>
      </c>
      <c r="D25" s="1">
        <v>59</v>
      </c>
      <c r="E25" s="2">
        <v>48.231</v>
      </c>
      <c r="F25" s="1">
        <v>28</v>
      </c>
      <c r="G25" s="2">
        <v>5.889</v>
      </c>
      <c r="H25" s="2">
        <v>28.09815</v>
      </c>
      <c r="I25" s="2">
        <v>59.80385</v>
      </c>
      <c r="J25" s="1">
        <v>0.75</v>
      </c>
      <c r="K25" s="1">
        <v>0.75</v>
      </c>
      <c r="L25" s="1">
        <v>19.1</v>
      </c>
      <c r="N25" s="1">
        <v>2.81</v>
      </c>
      <c r="P25" s="1">
        <v>8.76</v>
      </c>
      <c r="R25">
        <v>183</v>
      </c>
      <c r="V25" t="s">
        <v>1505</v>
      </c>
      <c r="W25" s="1" t="s">
        <v>1506</v>
      </c>
      <c r="AA25" s="1" t="s">
        <v>1354</v>
      </c>
      <c r="AB25" t="s">
        <v>248</v>
      </c>
      <c r="AC25" s="1" t="s">
        <v>1354</v>
      </c>
    </row>
    <row r="26" spans="1:29">
      <c r="A26">
        <v>23</v>
      </c>
      <c r="B26">
        <v>64</v>
      </c>
      <c r="C26" s="3">
        <v>44424</v>
      </c>
      <c r="D26" s="1">
        <v>59</v>
      </c>
      <c r="E26" s="2">
        <v>47.952</v>
      </c>
      <c r="F26" s="1">
        <v>28</v>
      </c>
      <c r="G26" s="2">
        <v>26.214</v>
      </c>
      <c r="H26" s="2">
        <v>28.4369</v>
      </c>
      <c r="I26" s="2">
        <v>59.7992</v>
      </c>
      <c r="J26" s="1">
        <v>0.8</v>
      </c>
      <c r="K26" s="1">
        <v>0.8</v>
      </c>
      <c r="L26" s="1">
        <v>19.6</v>
      </c>
      <c r="N26" s="1">
        <v>2.86</v>
      </c>
      <c r="P26" s="1">
        <v>8.99</v>
      </c>
      <c r="R26">
        <v>189</v>
      </c>
      <c r="W26" s="1" t="s">
        <v>1470</v>
      </c>
      <c r="AA26" s="1" t="s">
        <v>1354</v>
      </c>
      <c r="AC26" s="1" t="s">
        <v>1354</v>
      </c>
    </row>
    <row r="27" spans="1:29">
      <c r="A27">
        <v>24</v>
      </c>
      <c r="B27">
        <v>185</v>
      </c>
      <c r="C27" s="3">
        <v>44424</v>
      </c>
      <c r="D27" s="1">
        <v>59</v>
      </c>
      <c r="E27" s="2">
        <v>47.776</v>
      </c>
      <c r="F27" s="1">
        <v>28</v>
      </c>
      <c r="G27" s="2">
        <v>6.522</v>
      </c>
      <c r="H27" s="2">
        <v>28.1087</v>
      </c>
      <c r="I27" s="2">
        <v>59.7962666666667</v>
      </c>
      <c r="J27" s="1">
        <v>0.7</v>
      </c>
      <c r="K27" s="1">
        <v>0.7</v>
      </c>
      <c r="L27" s="1">
        <v>19.7</v>
      </c>
      <c r="N27" s="1">
        <v>2.85</v>
      </c>
      <c r="P27" s="1">
        <v>8.99</v>
      </c>
      <c r="R27">
        <v>180</v>
      </c>
      <c r="W27" s="1" t="s">
        <v>1507</v>
      </c>
      <c r="AA27" s="1" t="s">
        <v>1354</v>
      </c>
      <c r="AC27" s="1" t="s">
        <v>1354</v>
      </c>
    </row>
    <row r="28" spans="1:29">
      <c r="A28">
        <v>25</v>
      </c>
      <c r="B28">
        <v>183</v>
      </c>
      <c r="C28" s="3">
        <v>44424</v>
      </c>
      <c r="D28" s="1">
        <v>59</v>
      </c>
      <c r="E28" s="2">
        <v>47.519</v>
      </c>
      <c r="F28" s="1">
        <v>28</v>
      </c>
      <c r="G28" s="2">
        <v>7.8</v>
      </c>
      <c r="H28" s="2">
        <v>28.13</v>
      </c>
      <c r="I28" s="2">
        <v>59.7919833333333</v>
      </c>
      <c r="J28" s="1">
        <v>1</v>
      </c>
      <c r="K28" s="1">
        <v>1</v>
      </c>
      <c r="L28" s="1">
        <v>21.1</v>
      </c>
      <c r="N28" s="1">
        <v>2.84</v>
      </c>
      <c r="P28" s="1">
        <v>9</v>
      </c>
      <c r="R28">
        <v>181</v>
      </c>
      <c r="V28" t="s">
        <v>1508</v>
      </c>
      <c r="W28" s="1" t="s">
        <v>1509</v>
      </c>
      <c r="AA28" s="1" t="s">
        <v>1354</v>
      </c>
      <c r="AC28" s="1" t="s">
        <v>1354</v>
      </c>
    </row>
    <row r="29" spans="1:29">
      <c r="A29">
        <v>26</v>
      </c>
      <c r="B29" t="s">
        <v>1510</v>
      </c>
      <c r="C29" s="3">
        <v>44424</v>
      </c>
      <c r="D29" s="1">
        <v>59</v>
      </c>
      <c r="E29" s="2">
        <v>47.403</v>
      </c>
      <c r="F29" s="1">
        <v>28</v>
      </c>
      <c r="G29" s="2">
        <v>8.412</v>
      </c>
      <c r="H29" s="2">
        <v>28.1402</v>
      </c>
      <c r="I29" s="2">
        <v>59.79005</v>
      </c>
      <c r="J29" s="1">
        <v>1.1</v>
      </c>
      <c r="K29" s="1">
        <v>1.1</v>
      </c>
      <c r="L29" s="1">
        <v>19.5</v>
      </c>
      <c r="N29" s="1">
        <v>2.82</v>
      </c>
      <c r="P29" s="1">
        <v>8.98</v>
      </c>
      <c r="R29">
        <v>185</v>
      </c>
      <c r="W29" s="1" t="s">
        <v>1511</v>
      </c>
      <c r="AA29" s="1" t="s">
        <v>1354</v>
      </c>
      <c r="AC29" s="1" t="s">
        <v>1354</v>
      </c>
    </row>
    <row r="30" spans="1:29">
      <c r="A30">
        <v>27</v>
      </c>
      <c r="B30">
        <v>182</v>
      </c>
      <c r="C30" s="3">
        <v>44424</v>
      </c>
      <c r="D30" s="1">
        <v>59</v>
      </c>
      <c r="E30" s="2">
        <v>47.236</v>
      </c>
      <c r="F30" s="1">
        <v>28</v>
      </c>
      <c r="G30" s="2">
        <v>9.644</v>
      </c>
      <c r="H30" s="2">
        <v>28.1607333333333</v>
      </c>
      <c r="I30" s="2">
        <v>59.7872666666667</v>
      </c>
      <c r="J30" s="1">
        <v>1.3</v>
      </c>
      <c r="K30" s="1">
        <v>1.3</v>
      </c>
      <c r="L30" s="1">
        <v>19</v>
      </c>
      <c r="N30" s="1">
        <v>2.81</v>
      </c>
      <c r="P30" s="1">
        <v>8.5</v>
      </c>
      <c r="R30">
        <v>184</v>
      </c>
      <c r="W30" s="1" t="s">
        <v>1512</v>
      </c>
      <c r="AA30" s="1" t="s">
        <v>1354</v>
      </c>
      <c r="AC30" s="1" t="s">
        <v>1354</v>
      </c>
    </row>
    <row r="31" spans="1:29">
      <c r="A31">
        <v>28</v>
      </c>
      <c r="B31">
        <v>300</v>
      </c>
      <c r="C31" s="3">
        <v>44425</v>
      </c>
      <c r="D31" s="1">
        <v>59</v>
      </c>
      <c r="E31" s="2">
        <v>28.677</v>
      </c>
      <c r="F31" s="1">
        <v>28</v>
      </c>
      <c r="G31" s="2">
        <v>2.651</v>
      </c>
      <c r="H31" s="2">
        <v>28.0441833333333</v>
      </c>
      <c r="I31" s="2">
        <v>59.47795</v>
      </c>
      <c r="J31" s="1">
        <v>0.7</v>
      </c>
      <c r="K31" s="1">
        <v>0.7</v>
      </c>
      <c r="L31" s="1">
        <v>19.8</v>
      </c>
      <c r="N31" s="1">
        <v>3.04</v>
      </c>
      <c r="P31" s="1">
        <v>9.09</v>
      </c>
      <c r="R31">
        <v>168</v>
      </c>
      <c r="W31" s="1" t="s">
        <v>1485</v>
      </c>
      <c r="AA31" s="1" t="s">
        <v>1354</v>
      </c>
      <c r="AC31" s="1" t="s">
        <v>1354</v>
      </c>
    </row>
    <row r="32" spans="1:29">
      <c r="A32">
        <v>29</v>
      </c>
      <c r="B32">
        <v>301</v>
      </c>
      <c r="C32" s="3">
        <v>44425</v>
      </c>
      <c r="D32" s="1">
        <v>59</v>
      </c>
      <c r="E32" s="2">
        <v>29.429</v>
      </c>
      <c r="F32" s="1">
        <v>28</v>
      </c>
      <c r="G32" s="2">
        <v>3.247</v>
      </c>
      <c r="H32" s="2">
        <v>28.0541166666667</v>
      </c>
      <c r="I32" s="2">
        <v>59.4904833333333</v>
      </c>
      <c r="J32" s="1">
        <v>0.9</v>
      </c>
      <c r="K32" s="1">
        <v>0.9</v>
      </c>
      <c r="L32" s="1">
        <v>20</v>
      </c>
      <c r="N32" s="1">
        <v>3.06</v>
      </c>
      <c r="P32" s="1">
        <v>8.87</v>
      </c>
      <c r="R32">
        <v>181</v>
      </c>
      <c r="W32" s="1" t="s">
        <v>1470</v>
      </c>
      <c r="AA32" s="1" t="s">
        <v>1354</v>
      </c>
      <c r="AC32" s="1" t="s">
        <v>1354</v>
      </c>
    </row>
    <row r="33" spans="1:29">
      <c r="A33">
        <v>30</v>
      </c>
      <c r="B33" s="6">
        <v>302</v>
      </c>
      <c r="C33" s="3">
        <v>44425</v>
      </c>
      <c r="D33" s="1">
        <v>59</v>
      </c>
      <c r="E33" s="2">
        <v>30.197</v>
      </c>
      <c r="F33" s="1">
        <v>28</v>
      </c>
      <c r="G33">
        <v>0.3959</v>
      </c>
      <c r="H33" s="2">
        <v>28.0065983333333</v>
      </c>
      <c r="I33" s="2">
        <v>59.5032833333333</v>
      </c>
      <c r="J33" s="1">
        <v>0.9</v>
      </c>
      <c r="K33" s="1">
        <v>0.9</v>
      </c>
      <c r="L33" s="1">
        <v>19.7</v>
      </c>
      <c r="N33" s="1">
        <v>3.12</v>
      </c>
      <c r="P33" s="1">
        <v>8.86</v>
      </c>
      <c r="R33">
        <v>180</v>
      </c>
      <c r="W33" s="1" t="s">
        <v>1513</v>
      </c>
      <c r="AA33" s="1" t="s">
        <v>1354</v>
      </c>
      <c r="AC33" s="1" t="s">
        <v>1354</v>
      </c>
    </row>
    <row r="34" spans="1:29">
      <c r="A34">
        <v>31</v>
      </c>
      <c r="B34">
        <v>303</v>
      </c>
      <c r="C34" s="3">
        <v>44425</v>
      </c>
      <c r="D34" s="1">
        <v>59</v>
      </c>
      <c r="E34" s="2">
        <v>32.519</v>
      </c>
      <c r="F34" s="1">
        <v>28</v>
      </c>
      <c r="G34" s="2">
        <v>5.214</v>
      </c>
      <c r="H34" s="2">
        <v>28.0869</v>
      </c>
      <c r="I34" s="2">
        <v>59.5419833333333</v>
      </c>
      <c r="J34" s="1">
        <v>0.6</v>
      </c>
      <c r="K34" s="1">
        <v>0.6</v>
      </c>
      <c r="L34" s="1">
        <v>20.4</v>
      </c>
      <c r="N34" s="1">
        <v>2.31</v>
      </c>
      <c r="P34" s="1">
        <v>8.92</v>
      </c>
      <c r="R34">
        <v>172</v>
      </c>
      <c r="V34" t="s">
        <v>1514</v>
      </c>
      <c r="W34" s="1" t="s">
        <v>1515</v>
      </c>
      <c r="AA34" s="1" t="s">
        <v>1354</v>
      </c>
      <c r="AC34" s="1" t="s">
        <v>1354</v>
      </c>
    </row>
    <row r="35" spans="1:29">
      <c r="A35">
        <v>32</v>
      </c>
      <c r="B35">
        <v>304</v>
      </c>
      <c r="C35" s="3">
        <v>44425</v>
      </c>
      <c r="D35" s="1">
        <v>59</v>
      </c>
      <c r="E35" s="2">
        <v>31.226</v>
      </c>
      <c r="F35" s="1">
        <v>28</v>
      </c>
      <c r="G35" s="2">
        <v>4.562</v>
      </c>
      <c r="H35" s="2">
        <v>28.0760333333333</v>
      </c>
      <c r="I35" s="2">
        <v>59.5204333333333</v>
      </c>
      <c r="J35" s="1">
        <v>0.9</v>
      </c>
      <c r="K35" s="1">
        <v>0.9</v>
      </c>
      <c r="L35" s="1">
        <v>20.5</v>
      </c>
      <c r="N35" s="1">
        <v>2.85</v>
      </c>
      <c r="P35" s="1">
        <v>8.84</v>
      </c>
      <c r="R35">
        <v>173</v>
      </c>
      <c r="W35" s="1" t="s">
        <v>1485</v>
      </c>
      <c r="AA35" s="1" t="s">
        <v>1354</v>
      </c>
      <c r="AC35" s="1" t="s">
        <v>1354</v>
      </c>
    </row>
    <row r="36" spans="1:29">
      <c r="A36">
        <v>33</v>
      </c>
      <c r="B36">
        <v>305</v>
      </c>
      <c r="C36" s="3">
        <v>44425</v>
      </c>
      <c r="D36" s="1">
        <v>59</v>
      </c>
      <c r="E36" s="2">
        <v>31.885</v>
      </c>
      <c r="F36" s="1">
        <v>28</v>
      </c>
      <c r="G36" s="2">
        <v>4.884</v>
      </c>
      <c r="H36" s="2">
        <v>28.0814</v>
      </c>
      <c r="I36" s="2">
        <v>59.5314166666667</v>
      </c>
      <c r="J36" s="1">
        <v>0.8</v>
      </c>
      <c r="K36" s="1">
        <v>0.8</v>
      </c>
      <c r="L36" s="1">
        <v>20</v>
      </c>
      <c r="N36" s="1">
        <v>2.58</v>
      </c>
      <c r="P36" s="1">
        <v>8.93</v>
      </c>
      <c r="R36">
        <v>170</v>
      </c>
      <c r="W36" s="1" t="s">
        <v>1485</v>
      </c>
      <c r="AA36" s="1" t="s">
        <v>1354</v>
      </c>
      <c r="AC36" s="1" t="s">
        <v>1354</v>
      </c>
    </row>
    <row r="37" spans="1:29">
      <c r="A37">
        <v>34</v>
      </c>
      <c r="B37">
        <v>306</v>
      </c>
      <c r="C37" s="3">
        <v>44425</v>
      </c>
      <c r="D37" s="1">
        <v>59</v>
      </c>
      <c r="E37" s="2">
        <v>33.328</v>
      </c>
      <c r="F37" s="1">
        <v>28</v>
      </c>
      <c r="G37" s="2">
        <v>5.37</v>
      </c>
      <c r="H37" s="2">
        <v>28.0895</v>
      </c>
      <c r="I37" s="2">
        <v>59.5554666666667</v>
      </c>
      <c r="J37" s="1">
        <v>0.8</v>
      </c>
      <c r="K37" s="1">
        <v>0.8</v>
      </c>
      <c r="L37" s="1">
        <v>19.8</v>
      </c>
      <c r="N37" s="1">
        <v>2.45</v>
      </c>
      <c r="P37" s="1">
        <v>8.84</v>
      </c>
      <c r="R37">
        <v>173</v>
      </c>
      <c r="W37" s="1" t="s">
        <v>1470</v>
      </c>
      <c r="AA37" s="1" t="s">
        <v>1354</v>
      </c>
      <c r="AC37" s="1" t="s">
        <v>1354</v>
      </c>
    </row>
    <row r="38" spans="1:28">
      <c r="A38">
        <v>35</v>
      </c>
      <c r="B38">
        <v>198</v>
      </c>
      <c r="C38" s="3">
        <v>44425</v>
      </c>
      <c r="D38" s="1">
        <v>59</v>
      </c>
      <c r="E38" s="2">
        <v>39.373</v>
      </c>
      <c r="F38" s="1">
        <v>28</v>
      </c>
      <c r="G38" s="2">
        <v>0.792</v>
      </c>
      <c r="H38" s="2">
        <v>28.0132</v>
      </c>
      <c r="I38" s="2">
        <v>59.6562166666667</v>
      </c>
      <c r="J38" s="1">
        <v>0.9</v>
      </c>
      <c r="K38" s="1">
        <v>0.9</v>
      </c>
      <c r="L38" s="1">
        <v>19.9</v>
      </c>
      <c r="N38" s="1">
        <v>1.98</v>
      </c>
      <c r="P38" s="1">
        <v>8.93</v>
      </c>
      <c r="R38">
        <v>165</v>
      </c>
      <c r="W38" s="1" t="s">
        <v>1516</v>
      </c>
      <c r="AA38" s="1" t="s">
        <v>1354</v>
      </c>
      <c r="AB38" t="s">
        <v>1517</v>
      </c>
    </row>
    <row r="39" spans="1:28">
      <c r="A39">
        <v>36</v>
      </c>
      <c r="B39">
        <v>197</v>
      </c>
      <c r="C39" s="3">
        <v>44425</v>
      </c>
      <c r="D39" s="1">
        <v>59</v>
      </c>
      <c r="E39" s="2">
        <v>40.493</v>
      </c>
      <c r="F39" s="1">
        <v>28</v>
      </c>
      <c r="G39" s="2">
        <v>0.65</v>
      </c>
      <c r="H39" s="2">
        <v>28.0108333333333</v>
      </c>
      <c r="I39" s="2">
        <v>59.6748833333333</v>
      </c>
      <c r="J39" s="1">
        <v>1</v>
      </c>
      <c r="K39" s="1">
        <v>1</v>
      </c>
      <c r="L39" s="1">
        <v>20.5</v>
      </c>
      <c r="N39" s="1">
        <v>2.4</v>
      </c>
      <c r="P39" s="1">
        <v>8.99</v>
      </c>
      <c r="R39">
        <v>155</v>
      </c>
      <c r="W39" s="1" t="s">
        <v>1518</v>
      </c>
      <c r="AB39" t="s">
        <v>1519</v>
      </c>
    </row>
    <row r="40" spans="1:28">
      <c r="A40">
        <v>37</v>
      </c>
      <c r="B40">
        <v>196</v>
      </c>
      <c r="C40" s="3">
        <v>44425</v>
      </c>
      <c r="D40" s="1">
        <v>59</v>
      </c>
      <c r="E40" s="2">
        <v>41.5</v>
      </c>
      <c r="F40" s="1">
        <v>27</v>
      </c>
      <c r="G40" s="2">
        <v>59.554</v>
      </c>
      <c r="H40" s="2">
        <v>27.9925666666667</v>
      </c>
      <c r="I40" s="2">
        <v>59.6916666666667</v>
      </c>
      <c r="J40" s="1">
        <v>1</v>
      </c>
      <c r="K40" s="1">
        <v>1</v>
      </c>
      <c r="L40" s="1">
        <v>19.8</v>
      </c>
      <c r="N40" s="1">
        <v>2.31</v>
      </c>
      <c r="P40" s="1">
        <v>9.11</v>
      </c>
      <c r="R40">
        <v>158</v>
      </c>
      <c r="V40" t="s">
        <v>1462</v>
      </c>
      <c r="W40" s="1" t="s">
        <v>1518</v>
      </c>
      <c r="AB40" t="s">
        <v>1520</v>
      </c>
    </row>
    <row r="41" spans="1:29">
      <c r="A41">
        <v>38</v>
      </c>
      <c r="B41">
        <v>194</v>
      </c>
      <c r="C41" s="3">
        <v>44425</v>
      </c>
      <c r="D41" s="1">
        <v>59</v>
      </c>
      <c r="E41" s="2">
        <v>43.862</v>
      </c>
      <c r="F41" s="1">
        <v>28</v>
      </c>
      <c r="G41" s="2">
        <v>2.248</v>
      </c>
      <c r="H41" s="2">
        <v>28.0374666666667</v>
      </c>
      <c r="I41" s="2">
        <v>59.7310333333333</v>
      </c>
      <c r="J41" s="1">
        <v>0.5</v>
      </c>
      <c r="K41" s="1">
        <v>0.5</v>
      </c>
      <c r="L41" s="1">
        <v>21.7</v>
      </c>
      <c r="N41" s="1">
        <v>2.47</v>
      </c>
      <c r="P41" s="1">
        <v>9.08</v>
      </c>
      <c r="R41">
        <v>165</v>
      </c>
      <c r="W41" s="1" t="s">
        <v>1521</v>
      </c>
      <c r="AA41" s="1" t="s">
        <v>1354</v>
      </c>
      <c r="AB41" t="s">
        <v>248</v>
      </c>
      <c r="AC41" s="1" t="s">
        <v>1354</v>
      </c>
    </row>
    <row r="42" spans="1:29">
      <c r="A42">
        <v>39</v>
      </c>
      <c r="B42">
        <v>193</v>
      </c>
      <c r="C42" s="3">
        <v>44425</v>
      </c>
      <c r="D42" s="1">
        <v>59</v>
      </c>
      <c r="E42" s="2">
        <v>44.866</v>
      </c>
      <c r="F42" s="1">
        <v>28</v>
      </c>
      <c r="G42" s="2">
        <v>1.535</v>
      </c>
      <c r="H42" s="2">
        <v>28.0255833333333</v>
      </c>
      <c r="I42" s="2">
        <v>59.7477666666667</v>
      </c>
      <c r="J42" s="1">
        <v>0.9</v>
      </c>
      <c r="K42" s="1">
        <v>0.9</v>
      </c>
      <c r="L42" s="1">
        <v>20</v>
      </c>
      <c r="N42" s="1">
        <v>2.84</v>
      </c>
      <c r="P42" s="1">
        <v>9.16</v>
      </c>
      <c r="R42">
        <v>167</v>
      </c>
      <c r="W42" s="1" t="s">
        <v>1522</v>
      </c>
      <c r="AA42" s="1" t="s">
        <v>1354</v>
      </c>
      <c r="AB42" t="s">
        <v>248</v>
      </c>
      <c r="AC42" s="1" t="s">
        <v>1354</v>
      </c>
    </row>
    <row r="43" spans="1:28">
      <c r="A43">
        <v>40</v>
      </c>
      <c r="B43" t="s">
        <v>1523</v>
      </c>
      <c r="C43" s="3">
        <v>44426</v>
      </c>
      <c r="D43" s="1">
        <v>59</v>
      </c>
      <c r="E43" s="2">
        <v>50.897</v>
      </c>
      <c r="F43" s="1">
        <v>28</v>
      </c>
      <c r="G43" s="2">
        <v>32.558</v>
      </c>
      <c r="H43" s="2">
        <v>28.5426333333333</v>
      </c>
      <c r="I43" s="2">
        <v>59.8482833333333</v>
      </c>
      <c r="J43" s="1">
        <v>0.3</v>
      </c>
      <c r="K43" s="1">
        <v>0.3</v>
      </c>
      <c r="L43" s="1">
        <v>19.7</v>
      </c>
      <c r="N43" s="1">
        <v>2.54</v>
      </c>
      <c r="P43" s="1">
        <v>8.73</v>
      </c>
      <c r="R43">
        <v>173</v>
      </c>
      <c r="W43" s="1" t="s">
        <v>1524</v>
      </c>
      <c r="AA43" s="1" t="s">
        <v>1354</v>
      </c>
      <c r="AB43" t="s">
        <v>1525</v>
      </c>
    </row>
    <row r="44" spans="1:29">
      <c r="A44">
        <v>41</v>
      </c>
      <c r="B44" t="s">
        <v>1526</v>
      </c>
      <c r="C44" s="3">
        <v>44426</v>
      </c>
      <c r="D44" s="1">
        <v>59</v>
      </c>
      <c r="E44" s="2">
        <v>50.424</v>
      </c>
      <c r="F44" s="1">
        <v>28</v>
      </c>
      <c r="G44" s="2">
        <v>31.175</v>
      </c>
      <c r="H44" s="2">
        <v>28.5195833333333</v>
      </c>
      <c r="I44" s="2">
        <v>59.8404</v>
      </c>
      <c r="J44" s="1">
        <v>0.6</v>
      </c>
      <c r="K44" s="1">
        <v>0.6</v>
      </c>
      <c r="L44" s="1">
        <v>18.8</v>
      </c>
      <c r="N44" s="1">
        <v>2.7</v>
      </c>
      <c r="P44" s="1">
        <v>8.6</v>
      </c>
      <c r="R44" s="1">
        <v>175</v>
      </c>
      <c r="W44" s="1" t="s">
        <v>1527</v>
      </c>
      <c r="AA44" s="1" t="s">
        <v>1354</v>
      </c>
      <c r="AB44" t="s">
        <v>248</v>
      </c>
      <c r="AC44" t="s">
        <v>1354</v>
      </c>
    </row>
    <row r="45" spans="1:29">
      <c r="A45">
        <v>42</v>
      </c>
      <c r="B45" t="s">
        <v>1528</v>
      </c>
      <c r="C45" s="3">
        <v>44426</v>
      </c>
      <c r="D45" s="1">
        <v>59</v>
      </c>
      <c r="E45" s="2">
        <v>49.69</v>
      </c>
      <c r="F45" s="1">
        <v>28</v>
      </c>
      <c r="G45" s="2">
        <v>28.628</v>
      </c>
      <c r="H45" s="2">
        <v>28.4771333333333</v>
      </c>
      <c r="I45" s="2">
        <v>59.8281666666667</v>
      </c>
      <c r="J45" s="1">
        <v>0.4</v>
      </c>
      <c r="K45" s="1">
        <v>0.4</v>
      </c>
      <c r="L45" s="1">
        <v>19.6</v>
      </c>
      <c r="N45" s="1">
        <v>2.64</v>
      </c>
      <c r="P45" s="1">
        <v>8.66</v>
      </c>
      <c r="R45">
        <v>176</v>
      </c>
      <c r="W45" s="1" t="s">
        <v>1529</v>
      </c>
      <c r="Y45" t="s">
        <v>1530</v>
      </c>
      <c r="Z45" t="s">
        <v>1098</v>
      </c>
      <c r="AA45" s="1" t="s">
        <v>1354</v>
      </c>
      <c r="AB45" t="s">
        <v>248</v>
      </c>
      <c r="AC45" t="s">
        <v>1354</v>
      </c>
    </row>
    <row r="46" spans="1:29">
      <c r="A46">
        <v>43</v>
      </c>
      <c r="B46" t="s">
        <v>1531</v>
      </c>
      <c r="C46" s="3">
        <v>44426</v>
      </c>
      <c r="D46" s="1">
        <v>59</v>
      </c>
      <c r="E46" s="2">
        <v>49.834</v>
      </c>
      <c r="F46" s="1">
        <v>28</v>
      </c>
      <c r="G46" s="2">
        <v>29.786</v>
      </c>
      <c r="H46" s="2">
        <v>28.4964333333333</v>
      </c>
      <c r="I46" s="2">
        <v>59.8305666666667</v>
      </c>
      <c r="J46" s="1">
        <v>0.4</v>
      </c>
      <c r="K46" s="1">
        <v>0.4</v>
      </c>
      <c r="L46" s="1">
        <v>19.5</v>
      </c>
      <c r="N46" s="1">
        <v>2.95</v>
      </c>
      <c r="P46" s="1">
        <v>8.59</v>
      </c>
      <c r="R46">
        <v>180</v>
      </c>
      <c r="W46" s="1" t="s">
        <v>1529</v>
      </c>
      <c r="AA46" s="1" t="s">
        <v>1354</v>
      </c>
      <c r="AB46" t="s">
        <v>248</v>
      </c>
      <c r="AC46" t="s">
        <v>1354</v>
      </c>
    </row>
    <row r="47" spans="3:29">
      <c r="C47" s="3"/>
      <c r="D47" s="1"/>
      <c r="E47" s="2"/>
      <c r="F47" s="1"/>
      <c r="G47" s="2"/>
      <c r="H47" s="2"/>
      <c r="I47" s="2"/>
      <c r="J47" s="1"/>
      <c r="K47" s="1"/>
      <c r="L47" s="1"/>
      <c r="N47" s="1"/>
      <c r="P47" s="1"/>
      <c r="W47" s="1"/>
      <c r="AA47" s="1"/>
      <c r="AC47" s="1"/>
    </row>
    <row r="48" spans="3:3">
      <c r="C48" s="3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5"/>
  <sheetViews>
    <sheetView zoomScale="120" zoomScaleNormal="120" workbookViewId="0">
      <pane ySplit="1" topLeftCell="A120" activePane="bottomLeft" state="frozen"/>
      <selection/>
      <selection pane="bottomLeft" activeCell="I1" sqref="I1"/>
    </sheetView>
  </sheetViews>
  <sheetFormatPr defaultColWidth="9" defaultRowHeight="14.4"/>
  <cols>
    <col min="1" max="1" width="4.33333333333333" customWidth="1"/>
    <col min="2" max="2" width="11.6666666666667" customWidth="1"/>
    <col min="3" max="3" width="10.8888888888889" customWidth="1"/>
    <col min="4" max="4" width="14.4444444444444" customWidth="1"/>
    <col min="5" max="5" width="18.4444444444444" customWidth="1"/>
    <col min="6" max="6" width="14.1111111111111" customWidth="1"/>
    <col min="7" max="7" width="18.1111111111111" customWidth="1"/>
    <col min="10" max="10" width="11.5555555555556" customWidth="1"/>
    <col min="11" max="11" width="16.8888888888889" customWidth="1"/>
    <col min="12" max="12" width="6" customWidth="1"/>
    <col min="13" max="13" width="7.11111111111111" customWidth="1"/>
    <col min="14" max="14" width="8.66666666666667" customWidth="1"/>
    <col min="15" max="15" width="10.1111111111111" customWidth="1"/>
    <col min="16" max="16" width="7.33333333333333" customWidth="1"/>
    <col min="17" max="17" width="8.44444444444444" customWidth="1"/>
    <col min="18" max="18" width="7.55555555555556" customWidth="1"/>
    <col min="19" max="19" width="27.1111111111111" customWidth="1"/>
    <col min="20" max="20" width="7.44444444444444" customWidth="1"/>
    <col min="21" max="21" width="8.66666666666667" customWidth="1"/>
    <col min="22" max="22" width="55" customWidth="1"/>
    <col min="23" max="23" width="88.3333333333333" customWidth="1"/>
    <col min="24" max="24" width="22.1111111111111" customWidth="1"/>
    <col min="25" max="25" width="28.4444444444444" customWidth="1"/>
    <col min="26" max="26" width="22.8888888888889" customWidth="1"/>
    <col min="27" max="27" width="56.3333333333333" customWidth="1"/>
    <col min="28" max="28" width="65.5555555555556" customWidth="1"/>
    <col min="29" max="29" width="42.4444444444444" customWidth="1"/>
    <col min="30" max="30" width="5.88888888888889" customWidth="1"/>
  </cols>
  <sheetData>
    <row r="1" spans="1:30">
      <c r="A1" t="s">
        <v>1314</v>
      </c>
      <c r="B1" s="1" t="s">
        <v>52</v>
      </c>
      <c r="C1" s="1" t="s">
        <v>53</v>
      </c>
      <c r="D1" s="1" t="s">
        <v>59</v>
      </c>
      <c r="E1" s="2" t="s">
        <v>60</v>
      </c>
      <c r="F1" s="1" t="s">
        <v>57</v>
      </c>
      <c r="G1" s="2" t="s">
        <v>58</v>
      </c>
      <c r="H1" s="2" t="s">
        <v>1315</v>
      </c>
      <c r="I1" s="2" t="s">
        <v>1316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66</v>
      </c>
      <c r="O1" s="1" t="s">
        <v>67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80</v>
      </c>
      <c r="AD1" s="1" t="s">
        <v>1323</v>
      </c>
    </row>
    <row r="2" spans="1:29">
      <c r="A2">
        <v>1</v>
      </c>
      <c r="B2">
        <v>94</v>
      </c>
      <c r="C2" s="3">
        <v>44433</v>
      </c>
      <c r="D2" s="1">
        <v>59</v>
      </c>
      <c r="E2" s="2">
        <v>40.612</v>
      </c>
      <c r="F2" s="1">
        <v>28</v>
      </c>
      <c r="G2" s="2">
        <v>20.791</v>
      </c>
      <c r="H2" s="2">
        <v>28.3465166666667</v>
      </c>
      <c r="I2" s="2">
        <v>59.6768666666667</v>
      </c>
      <c r="J2" s="1">
        <v>1.9</v>
      </c>
      <c r="K2" s="1">
        <v>1.2</v>
      </c>
      <c r="L2" s="1">
        <v>15</v>
      </c>
      <c r="N2" s="1">
        <v>2.7</v>
      </c>
      <c r="P2" s="1">
        <v>8.57</v>
      </c>
      <c r="R2">
        <v>181</v>
      </c>
      <c r="W2" s="1" t="s">
        <v>1532</v>
      </c>
      <c r="AA2" s="1" t="s">
        <v>1354</v>
      </c>
      <c r="AC2" s="1" t="s">
        <v>1354</v>
      </c>
    </row>
    <row r="3" spans="1:29">
      <c r="A3">
        <f>A2+1</f>
        <v>2</v>
      </c>
      <c r="B3" t="s">
        <v>1533</v>
      </c>
      <c r="C3" s="3">
        <v>44433</v>
      </c>
      <c r="D3">
        <v>59</v>
      </c>
      <c r="E3">
        <v>41.391</v>
      </c>
      <c r="F3">
        <v>28</v>
      </c>
      <c r="G3">
        <v>16.505</v>
      </c>
      <c r="H3" s="2">
        <v>28.2750833333333</v>
      </c>
      <c r="I3" s="2">
        <v>59.68985</v>
      </c>
      <c r="J3">
        <v>7</v>
      </c>
      <c r="K3">
        <v>1.1</v>
      </c>
      <c r="L3">
        <v>15.9</v>
      </c>
      <c r="N3">
        <v>2.91</v>
      </c>
      <c r="P3">
        <v>8.57</v>
      </c>
      <c r="R3">
        <v>186</v>
      </c>
      <c r="W3" t="s">
        <v>1534</v>
      </c>
      <c r="Y3" t="s">
        <v>1530</v>
      </c>
      <c r="Z3" t="s">
        <v>290</v>
      </c>
      <c r="AA3" s="1" t="s">
        <v>1354</v>
      </c>
      <c r="AC3" s="1" t="s">
        <v>1354</v>
      </c>
    </row>
    <row r="4" spans="1:29">
      <c r="A4">
        <f t="shared" ref="A4:A67" si="0">A3+1</f>
        <v>3</v>
      </c>
      <c r="B4">
        <v>87</v>
      </c>
      <c r="C4" s="3">
        <v>44433</v>
      </c>
      <c r="D4">
        <v>59</v>
      </c>
      <c r="E4">
        <v>41.983</v>
      </c>
      <c r="F4">
        <v>28</v>
      </c>
      <c r="G4">
        <v>18.167</v>
      </c>
      <c r="H4" s="2">
        <v>28.3027833333333</v>
      </c>
      <c r="I4" s="2">
        <v>59.6997166666667</v>
      </c>
      <c r="J4">
        <v>10</v>
      </c>
      <c r="K4">
        <v>1.4</v>
      </c>
      <c r="L4">
        <v>16</v>
      </c>
      <c r="M4">
        <v>15.9</v>
      </c>
      <c r="N4">
        <v>2.98</v>
      </c>
      <c r="O4">
        <v>2.97</v>
      </c>
      <c r="P4">
        <v>8.87</v>
      </c>
      <c r="Q4">
        <v>8.85</v>
      </c>
      <c r="R4">
        <v>186</v>
      </c>
      <c r="S4">
        <v>169</v>
      </c>
      <c r="W4" t="s">
        <v>1535</v>
      </c>
      <c r="AA4" s="1" t="s">
        <v>1354</v>
      </c>
      <c r="AC4" s="1" t="s">
        <v>1354</v>
      </c>
    </row>
    <row r="5" spans="1:29">
      <c r="A5">
        <f t="shared" si="0"/>
        <v>4</v>
      </c>
      <c r="B5">
        <v>88</v>
      </c>
      <c r="C5" s="3">
        <v>44433</v>
      </c>
      <c r="D5">
        <v>59</v>
      </c>
      <c r="E5">
        <v>42.876</v>
      </c>
      <c r="F5">
        <v>28</v>
      </c>
      <c r="G5">
        <v>18.615</v>
      </c>
      <c r="H5" s="2">
        <v>28.31025</v>
      </c>
      <c r="I5" s="2">
        <v>59.7146</v>
      </c>
      <c r="J5">
        <v>14</v>
      </c>
      <c r="K5">
        <v>1.6</v>
      </c>
      <c r="L5">
        <v>16.3</v>
      </c>
      <c r="N5">
        <v>3</v>
      </c>
      <c r="P5">
        <v>8.7</v>
      </c>
      <c r="R5">
        <v>158</v>
      </c>
      <c r="T5">
        <v>16.1</v>
      </c>
      <c r="U5">
        <v>7.15</v>
      </c>
      <c r="W5" t="s">
        <v>1536</v>
      </c>
      <c r="AA5" s="1" t="s">
        <v>1354</v>
      </c>
      <c r="AC5" s="1" t="s">
        <v>1354</v>
      </c>
    </row>
    <row r="6" spans="1:29">
      <c r="A6">
        <f t="shared" si="0"/>
        <v>5</v>
      </c>
      <c r="B6">
        <v>93</v>
      </c>
      <c r="C6" s="3">
        <v>44433</v>
      </c>
      <c r="D6">
        <v>59</v>
      </c>
      <c r="E6">
        <v>42.87</v>
      </c>
      <c r="F6">
        <v>28</v>
      </c>
      <c r="G6">
        <v>20.637</v>
      </c>
      <c r="H6" s="2">
        <v>28.34395</v>
      </c>
      <c r="I6" s="2">
        <v>59.7145</v>
      </c>
      <c r="J6">
        <v>9.5</v>
      </c>
      <c r="K6">
        <v>1.6</v>
      </c>
      <c r="L6">
        <v>16.1</v>
      </c>
      <c r="N6">
        <v>3.09</v>
      </c>
      <c r="P6">
        <v>8.75</v>
      </c>
      <c r="R6">
        <v>167</v>
      </c>
      <c r="T6">
        <v>16</v>
      </c>
      <c r="U6">
        <v>7.15</v>
      </c>
      <c r="W6" t="s">
        <v>1537</v>
      </c>
      <c r="AA6" s="1" t="s">
        <v>1354</v>
      </c>
      <c r="AC6" s="1" t="s">
        <v>1354</v>
      </c>
    </row>
    <row r="7" spans="1:29">
      <c r="A7">
        <f t="shared" si="0"/>
        <v>6</v>
      </c>
      <c r="B7">
        <v>90</v>
      </c>
      <c r="C7" s="3">
        <v>44433</v>
      </c>
      <c r="D7">
        <v>59</v>
      </c>
      <c r="E7">
        <v>44.065</v>
      </c>
      <c r="F7">
        <v>28</v>
      </c>
      <c r="G7">
        <v>20.142</v>
      </c>
      <c r="H7" s="2">
        <v>28.3357</v>
      </c>
      <c r="I7" s="2">
        <v>59.7344166666667</v>
      </c>
      <c r="J7">
        <v>5</v>
      </c>
      <c r="K7">
        <v>2</v>
      </c>
      <c r="L7">
        <v>16.2</v>
      </c>
      <c r="N7">
        <v>3.07</v>
      </c>
      <c r="P7">
        <v>8.7</v>
      </c>
      <c r="R7">
        <v>169</v>
      </c>
      <c r="W7" t="s">
        <v>1538</v>
      </c>
      <c r="AA7" s="1" t="s">
        <v>1539</v>
      </c>
      <c r="AB7" t="s">
        <v>1540</v>
      </c>
      <c r="AC7" s="1" t="s">
        <v>1354</v>
      </c>
    </row>
    <row r="8" spans="1:29">
      <c r="A8">
        <f t="shared" si="0"/>
        <v>7</v>
      </c>
      <c r="B8">
        <v>86</v>
      </c>
      <c r="C8" s="3">
        <v>44433</v>
      </c>
      <c r="D8">
        <v>59</v>
      </c>
      <c r="E8">
        <v>43.791</v>
      </c>
      <c r="F8">
        <v>28</v>
      </c>
      <c r="G8">
        <v>18.081</v>
      </c>
      <c r="H8" s="2">
        <v>28.30135</v>
      </c>
      <c r="I8" s="2">
        <v>59.72985</v>
      </c>
      <c r="J8">
        <v>10</v>
      </c>
      <c r="K8">
        <v>1.9</v>
      </c>
      <c r="L8">
        <v>16.4</v>
      </c>
      <c r="N8">
        <v>3.02</v>
      </c>
      <c r="P8">
        <v>8.7</v>
      </c>
      <c r="R8">
        <v>179</v>
      </c>
      <c r="W8" t="s">
        <v>1541</v>
      </c>
      <c r="AA8" s="1" t="s">
        <v>1354</v>
      </c>
      <c r="AC8" s="1" t="s">
        <v>1354</v>
      </c>
    </row>
    <row r="9" spans="1:29">
      <c r="A9">
        <f t="shared" si="0"/>
        <v>8</v>
      </c>
      <c r="B9" t="s">
        <v>1542</v>
      </c>
      <c r="C9" s="3">
        <v>44433</v>
      </c>
      <c r="D9">
        <v>59</v>
      </c>
      <c r="E9">
        <v>43.573</v>
      </c>
      <c r="F9">
        <v>28</v>
      </c>
      <c r="G9">
        <v>13.793</v>
      </c>
      <c r="H9" s="2">
        <v>28.2298833333333</v>
      </c>
      <c r="I9" s="2">
        <v>59.7262166666667</v>
      </c>
      <c r="J9">
        <v>10.5</v>
      </c>
      <c r="K9">
        <v>2</v>
      </c>
      <c r="L9">
        <v>16.2</v>
      </c>
      <c r="N9">
        <v>2.98</v>
      </c>
      <c r="P9">
        <v>8.8</v>
      </c>
      <c r="R9">
        <v>174</v>
      </c>
      <c r="W9" t="s">
        <v>1543</v>
      </c>
      <c r="Y9" t="s">
        <v>1530</v>
      </c>
      <c r="Z9" t="s">
        <v>1326</v>
      </c>
      <c r="AA9" s="1" t="s">
        <v>1354</v>
      </c>
      <c r="AC9" s="1" t="s">
        <v>1354</v>
      </c>
    </row>
    <row r="10" spans="1:29">
      <c r="A10">
        <f t="shared" si="0"/>
        <v>9</v>
      </c>
      <c r="B10">
        <v>82</v>
      </c>
      <c r="C10" s="3">
        <v>44433</v>
      </c>
      <c r="D10">
        <v>59</v>
      </c>
      <c r="E10">
        <v>44.443</v>
      </c>
      <c r="F10">
        <v>28</v>
      </c>
      <c r="G10">
        <v>16.603</v>
      </c>
      <c r="H10" s="2">
        <v>28.2767166666667</v>
      </c>
      <c r="I10" s="2">
        <v>59.7407166666667</v>
      </c>
      <c r="J10">
        <v>7</v>
      </c>
      <c r="K10">
        <v>2</v>
      </c>
      <c r="L10">
        <v>16.3</v>
      </c>
      <c r="N10">
        <v>3.02</v>
      </c>
      <c r="P10">
        <v>8.77</v>
      </c>
      <c r="R10">
        <v>179</v>
      </c>
      <c r="W10" t="s">
        <v>1544</v>
      </c>
      <c r="AA10" s="1" t="s">
        <v>1354</v>
      </c>
      <c r="AB10" t="s">
        <v>1545</v>
      </c>
      <c r="AC10" s="1" t="s">
        <v>1354</v>
      </c>
    </row>
    <row r="11" spans="1:23">
      <c r="A11">
        <f t="shared" si="0"/>
        <v>10</v>
      </c>
      <c r="B11">
        <v>80</v>
      </c>
      <c r="C11" s="3">
        <v>44433</v>
      </c>
      <c r="D11">
        <v>59</v>
      </c>
      <c r="E11">
        <v>45.314</v>
      </c>
      <c r="F11">
        <v>28</v>
      </c>
      <c r="G11">
        <v>15.77</v>
      </c>
      <c r="H11" s="2">
        <v>28.2628333333333</v>
      </c>
      <c r="I11" s="2">
        <v>59.7552333333333</v>
      </c>
      <c r="J11">
        <v>17</v>
      </c>
      <c r="K11">
        <v>2.3</v>
      </c>
      <c r="L11">
        <v>16.9</v>
      </c>
      <c r="N11">
        <v>3.06</v>
      </c>
      <c r="P11">
        <v>8.82</v>
      </c>
      <c r="R11">
        <v>188</v>
      </c>
      <c r="W11" t="s">
        <v>1546</v>
      </c>
    </row>
    <row r="12" spans="1:24">
      <c r="A12">
        <f t="shared" si="0"/>
        <v>11</v>
      </c>
      <c r="B12" t="s">
        <v>1547</v>
      </c>
      <c r="C12" s="3">
        <v>45894</v>
      </c>
      <c r="D12">
        <v>59</v>
      </c>
      <c r="E12">
        <v>45.447</v>
      </c>
      <c r="F12">
        <v>28</v>
      </c>
      <c r="G12">
        <v>16.081</v>
      </c>
      <c r="H12" s="2">
        <v>28.2680166666667</v>
      </c>
      <c r="I12" s="2">
        <v>59.75745</v>
      </c>
      <c r="J12">
        <v>9.5</v>
      </c>
      <c r="K12">
        <v>2.3</v>
      </c>
      <c r="L12">
        <v>16.9</v>
      </c>
      <c r="N12">
        <v>3.06</v>
      </c>
      <c r="P12">
        <v>8.82</v>
      </c>
      <c r="R12">
        <v>188</v>
      </c>
      <c r="W12" t="s">
        <v>1548</v>
      </c>
      <c r="X12" t="s">
        <v>1549</v>
      </c>
    </row>
    <row r="13" spans="1:29">
      <c r="A13">
        <f t="shared" si="0"/>
        <v>12</v>
      </c>
      <c r="B13" t="s">
        <v>1550</v>
      </c>
      <c r="C13" s="3">
        <v>44433</v>
      </c>
      <c r="D13">
        <v>59</v>
      </c>
      <c r="E13">
        <v>45.532</v>
      </c>
      <c r="F13">
        <v>28</v>
      </c>
      <c r="G13">
        <v>16.081</v>
      </c>
      <c r="H13" s="2">
        <v>28.2680166666667</v>
      </c>
      <c r="I13" s="2">
        <v>59.7588666666667</v>
      </c>
      <c r="J13">
        <v>6</v>
      </c>
      <c r="K13">
        <v>2.3</v>
      </c>
      <c r="W13" t="s">
        <v>1551</v>
      </c>
      <c r="AA13" s="1" t="s">
        <v>1552</v>
      </c>
      <c r="AB13" t="s">
        <v>1553</v>
      </c>
      <c r="AC13" s="1" t="s">
        <v>214</v>
      </c>
    </row>
    <row r="14" spans="1:29">
      <c r="A14">
        <f t="shared" si="0"/>
        <v>13</v>
      </c>
      <c r="B14">
        <v>84</v>
      </c>
      <c r="C14" s="3">
        <v>44433</v>
      </c>
      <c r="D14">
        <v>59</v>
      </c>
      <c r="E14">
        <v>45.312</v>
      </c>
      <c r="F14">
        <v>28</v>
      </c>
      <c r="G14">
        <v>17.805</v>
      </c>
      <c r="H14" s="2">
        <v>28.29675</v>
      </c>
      <c r="I14" s="2">
        <v>59.7552</v>
      </c>
      <c r="J14">
        <v>14.5</v>
      </c>
      <c r="K14">
        <v>2.6</v>
      </c>
      <c r="L14">
        <v>16.5</v>
      </c>
      <c r="N14">
        <v>3.11</v>
      </c>
      <c r="P14">
        <v>8.8</v>
      </c>
      <c r="R14">
        <v>197</v>
      </c>
      <c r="W14" t="s">
        <v>1554</v>
      </c>
      <c r="AA14" s="1" t="s">
        <v>1555</v>
      </c>
      <c r="AB14" t="s">
        <v>1555</v>
      </c>
      <c r="AC14" s="1" t="s">
        <v>1555</v>
      </c>
    </row>
    <row r="15" spans="1:29">
      <c r="A15">
        <f t="shared" si="0"/>
        <v>14</v>
      </c>
      <c r="B15">
        <v>96</v>
      </c>
      <c r="C15" s="3">
        <v>44433</v>
      </c>
      <c r="D15">
        <v>59</v>
      </c>
      <c r="E15">
        <v>44.657</v>
      </c>
      <c r="F15">
        <v>28</v>
      </c>
      <c r="G15">
        <v>21.956</v>
      </c>
      <c r="H15" s="2">
        <v>28.3659333333333</v>
      </c>
      <c r="I15" s="2">
        <v>59.7442833333333</v>
      </c>
      <c r="J15">
        <v>10</v>
      </c>
      <c r="K15">
        <v>2.3</v>
      </c>
      <c r="L15">
        <v>16.1</v>
      </c>
      <c r="N15">
        <v>3.03</v>
      </c>
      <c r="P15">
        <v>8.6</v>
      </c>
      <c r="R15">
        <v>206</v>
      </c>
      <c r="W15" t="s">
        <v>1556</v>
      </c>
      <c r="AA15" s="1" t="s">
        <v>1354</v>
      </c>
      <c r="AC15" s="1" t="s">
        <v>1354</v>
      </c>
    </row>
    <row r="16" spans="1:29">
      <c r="A16">
        <f t="shared" si="0"/>
        <v>15</v>
      </c>
      <c r="B16">
        <v>28</v>
      </c>
      <c r="C16" s="3">
        <v>44434</v>
      </c>
      <c r="D16">
        <v>59</v>
      </c>
      <c r="E16">
        <v>32.231</v>
      </c>
      <c r="F16">
        <v>28</v>
      </c>
      <c r="G16">
        <v>58.025</v>
      </c>
      <c r="H16" s="2">
        <v>28.9670833333333</v>
      </c>
      <c r="I16" s="2">
        <v>59.5371833333333</v>
      </c>
      <c r="J16">
        <v>17</v>
      </c>
      <c r="K16">
        <v>2.4</v>
      </c>
      <c r="L16">
        <v>16.8</v>
      </c>
      <c r="N16">
        <v>3.11</v>
      </c>
      <c r="P16">
        <v>8.5</v>
      </c>
      <c r="R16">
        <v>218</v>
      </c>
      <c r="T16">
        <v>16</v>
      </c>
      <c r="U16">
        <v>7.59</v>
      </c>
      <c r="W16" t="s">
        <v>1557</v>
      </c>
      <c r="AA16" s="1" t="s">
        <v>1558</v>
      </c>
      <c r="AC16" s="1" t="s">
        <v>1354</v>
      </c>
    </row>
    <row r="17" spans="1:29">
      <c r="A17">
        <f t="shared" si="0"/>
        <v>16</v>
      </c>
      <c r="B17">
        <v>18</v>
      </c>
      <c r="C17" s="3">
        <v>44434</v>
      </c>
      <c r="D17">
        <v>59</v>
      </c>
      <c r="E17">
        <v>31.632</v>
      </c>
      <c r="F17">
        <v>28</v>
      </c>
      <c r="G17">
        <v>55.718</v>
      </c>
      <c r="H17" s="2">
        <v>28.9286333333333</v>
      </c>
      <c r="I17" s="2">
        <v>59.5272</v>
      </c>
      <c r="J17">
        <v>20</v>
      </c>
      <c r="K17">
        <v>2.3</v>
      </c>
      <c r="L17">
        <v>16.7</v>
      </c>
      <c r="N17">
        <v>3.32</v>
      </c>
      <c r="P17">
        <v>8.7</v>
      </c>
      <c r="R17">
        <v>215</v>
      </c>
      <c r="T17">
        <v>16.2</v>
      </c>
      <c r="U17">
        <v>7.71</v>
      </c>
      <c r="W17" t="s">
        <v>1559</v>
      </c>
      <c r="AA17" s="1" t="s">
        <v>1354</v>
      </c>
      <c r="AC17" s="1" t="s">
        <v>1354</v>
      </c>
    </row>
    <row r="18" spans="1:29">
      <c r="A18">
        <f t="shared" si="0"/>
        <v>17</v>
      </c>
      <c r="B18">
        <v>22</v>
      </c>
      <c r="C18" s="3">
        <v>44434</v>
      </c>
      <c r="D18">
        <v>59</v>
      </c>
      <c r="E18">
        <v>33.374</v>
      </c>
      <c r="F18">
        <v>27</v>
      </c>
      <c r="G18">
        <v>55.197</v>
      </c>
      <c r="H18" s="2">
        <v>27.91995</v>
      </c>
      <c r="I18" s="2">
        <v>59.5562333333333</v>
      </c>
      <c r="J18">
        <v>20</v>
      </c>
      <c r="K18">
        <v>2.3</v>
      </c>
      <c r="L18">
        <v>17</v>
      </c>
      <c r="N18">
        <v>3.22</v>
      </c>
      <c r="P18">
        <v>8.7</v>
      </c>
      <c r="R18">
        <v>214</v>
      </c>
      <c r="T18">
        <v>16</v>
      </c>
      <c r="U18">
        <v>7.5</v>
      </c>
      <c r="W18" t="s">
        <v>1560</v>
      </c>
      <c r="AA18" s="1" t="s">
        <v>1354</v>
      </c>
      <c r="AC18" s="1" t="s">
        <v>1354</v>
      </c>
    </row>
    <row r="19" spans="1:29">
      <c r="A19">
        <f t="shared" si="0"/>
        <v>18</v>
      </c>
      <c r="B19">
        <v>15</v>
      </c>
      <c r="C19" s="3">
        <v>44434</v>
      </c>
      <c r="D19">
        <v>59</v>
      </c>
      <c r="E19">
        <v>33.298</v>
      </c>
      <c r="F19">
        <v>27</v>
      </c>
      <c r="G19">
        <v>53.123</v>
      </c>
      <c r="H19" s="2">
        <v>27.8853833333333</v>
      </c>
      <c r="I19" s="2">
        <v>59.5549666666667</v>
      </c>
      <c r="J19">
        <v>24</v>
      </c>
      <c r="K19">
        <v>2.7</v>
      </c>
      <c r="L19">
        <v>17</v>
      </c>
      <c r="N19">
        <v>3.24</v>
      </c>
      <c r="P19">
        <v>8.75</v>
      </c>
      <c r="R19">
        <v>222</v>
      </c>
      <c r="T19">
        <v>15.3</v>
      </c>
      <c r="U19">
        <v>7.4</v>
      </c>
      <c r="W19" t="s">
        <v>406</v>
      </c>
      <c r="AA19" s="1" t="s">
        <v>1354</v>
      </c>
      <c r="AC19" s="1" t="s">
        <v>1354</v>
      </c>
    </row>
    <row r="20" spans="1:28">
      <c r="A20">
        <f t="shared" si="0"/>
        <v>19</v>
      </c>
      <c r="B20">
        <v>31</v>
      </c>
      <c r="C20" s="3">
        <v>44434</v>
      </c>
      <c r="D20">
        <v>59</v>
      </c>
      <c r="E20">
        <v>38.93</v>
      </c>
      <c r="F20">
        <v>27</v>
      </c>
      <c r="G20">
        <v>58.501</v>
      </c>
      <c r="H20" s="2">
        <v>27.9750166666667</v>
      </c>
      <c r="I20" s="2">
        <v>59.6488333333333</v>
      </c>
      <c r="J20">
        <v>5</v>
      </c>
      <c r="K20">
        <v>2.3</v>
      </c>
      <c r="L20">
        <v>15.9</v>
      </c>
      <c r="N20">
        <v>3.04</v>
      </c>
      <c r="P20">
        <v>8.9</v>
      </c>
      <c r="R20">
        <v>211</v>
      </c>
      <c r="W20" t="s">
        <v>1561</v>
      </c>
      <c r="AA20" s="1" t="s">
        <v>1354</v>
      </c>
      <c r="AB20" t="s">
        <v>1562</v>
      </c>
    </row>
    <row r="21" spans="1:28">
      <c r="A21">
        <f t="shared" si="0"/>
        <v>20</v>
      </c>
      <c r="B21" t="s">
        <v>1563</v>
      </c>
      <c r="C21" s="3">
        <v>44434</v>
      </c>
      <c r="D21">
        <v>59</v>
      </c>
      <c r="E21">
        <v>38.021</v>
      </c>
      <c r="F21">
        <v>28</v>
      </c>
      <c r="G21">
        <v>0.127</v>
      </c>
      <c r="H21" s="2">
        <v>28.0021166666667</v>
      </c>
      <c r="I21" s="2">
        <v>59.6336833333333</v>
      </c>
      <c r="J21">
        <v>4</v>
      </c>
      <c r="K21">
        <v>2.3</v>
      </c>
      <c r="L21">
        <v>16</v>
      </c>
      <c r="N21">
        <v>3.07</v>
      </c>
      <c r="P21">
        <v>8.95</v>
      </c>
      <c r="R21">
        <v>205</v>
      </c>
      <c r="W21" t="s">
        <v>1564</v>
      </c>
      <c r="Y21" t="s">
        <v>1530</v>
      </c>
      <c r="Z21" t="s">
        <v>1565</v>
      </c>
      <c r="AB21" t="s">
        <v>1566</v>
      </c>
    </row>
    <row r="22" spans="1:29">
      <c r="A22">
        <f t="shared" si="0"/>
        <v>21</v>
      </c>
      <c r="B22">
        <v>46</v>
      </c>
      <c r="C22" s="3">
        <v>44434</v>
      </c>
      <c r="D22">
        <v>59</v>
      </c>
      <c r="E22">
        <v>36.984</v>
      </c>
      <c r="F22">
        <v>28</v>
      </c>
      <c r="G22">
        <v>1.4</v>
      </c>
      <c r="H22" s="2">
        <v>28.0233333333333</v>
      </c>
      <c r="I22" s="2">
        <v>59.6164</v>
      </c>
      <c r="J22">
        <v>4</v>
      </c>
      <c r="K22">
        <v>2.3</v>
      </c>
      <c r="L22">
        <v>16</v>
      </c>
      <c r="N22">
        <v>2.93</v>
      </c>
      <c r="P22">
        <v>8.85</v>
      </c>
      <c r="R22">
        <v>205</v>
      </c>
      <c r="W22" t="s">
        <v>353</v>
      </c>
      <c r="AA22" s="1" t="s">
        <v>1354</v>
      </c>
      <c r="AC22" s="1" t="s">
        <v>1354</v>
      </c>
    </row>
    <row r="23" spans="1:27">
      <c r="A23">
        <f t="shared" si="0"/>
        <v>22</v>
      </c>
      <c r="B23" t="s">
        <v>1567</v>
      </c>
      <c r="C23" s="3">
        <v>44434</v>
      </c>
      <c r="D23">
        <v>59</v>
      </c>
      <c r="E23">
        <v>35.96</v>
      </c>
      <c r="F23">
        <v>28</v>
      </c>
      <c r="G23">
        <v>2.951</v>
      </c>
      <c r="H23" s="2">
        <v>28.0491833333333</v>
      </c>
      <c r="I23" s="2">
        <v>59.5993333333333</v>
      </c>
      <c r="J23">
        <v>7</v>
      </c>
      <c r="K23">
        <v>2.2</v>
      </c>
      <c r="L23">
        <v>16</v>
      </c>
      <c r="N23">
        <v>2.92</v>
      </c>
      <c r="P23">
        <v>8.9</v>
      </c>
      <c r="R23">
        <v>204</v>
      </c>
      <c r="W23" t="s">
        <v>1568</v>
      </c>
      <c r="Y23" t="s">
        <v>1569</v>
      </c>
      <c r="Z23" t="s">
        <v>290</v>
      </c>
      <c r="AA23" s="1" t="s">
        <v>1354</v>
      </c>
    </row>
    <row r="24" spans="1:29">
      <c r="A24">
        <f t="shared" si="0"/>
        <v>23</v>
      </c>
      <c r="B24">
        <v>61</v>
      </c>
      <c r="C24" s="3">
        <v>44434</v>
      </c>
      <c r="D24">
        <v>59</v>
      </c>
      <c r="E24">
        <v>35.248</v>
      </c>
      <c r="F24">
        <v>28</v>
      </c>
      <c r="G24">
        <v>4.877</v>
      </c>
      <c r="H24" s="2">
        <v>28.0812833333333</v>
      </c>
      <c r="I24" s="2">
        <v>59.5874666666667</v>
      </c>
      <c r="J24">
        <v>5</v>
      </c>
      <c r="K24">
        <v>2.2</v>
      </c>
      <c r="L24">
        <v>15.9</v>
      </c>
      <c r="N24">
        <v>2.72</v>
      </c>
      <c r="P24">
        <v>8.9</v>
      </c>
      <c r="R24">
        <v>204</v>
      </c>
      <c r="W24" t="s">
        <v>1570</v>
      </c>
      <c r="AA24" s="1" t="s">
        <v>1354</v>
      </c>
      <c r="AC24" s="1" t="s">
        <v>1354</v>
      </c>
    </row>
    <row r="25" spans="1:29">
      <c r="A25">
        <f t="shared" si="0"/>
        <v>24</v>
      </c>
      <c r="B25">
        <v>55</v>
      </c>
      <c r="C25" s="3">
        <v>44434</v>
      </c>
      <c r="D25">
        <v>59</v>
      </c>
      <c r="E25">
        <v>34.943</v>
      </c>
      <c r="F25">
        <v>28</v>
      </c>
      <c r="G25">
        <v>3.154</v>
      </c>
      <c r="H25" s="2">
        <v>28.0525666666667</v>
      </c>
      <c r="I25" s="2">
        <v>59.5823833333333</v>
      </c>
      <c r="J25">
        <v>7.5</v>
      </c>
      <c r="K25">
        <v>2.3</v>
      </c>
      <c r="L25">
        <v>16.1</v>
      </c>
      <c r="N25">
        <v>2.84</v>
      </c>
      <c r="P25">
        <v>8.9</v>
      </c>
      <c r="R25">
        <v>205</v>
      </c>
      <c r="W25" t="s">
        <v>1571</v>
      </c>
      <c r="AA25" s="1" t="s">
        <v>1354</v>
      </c>
      <c r="AC25" s="1" t="s">
        <v>1354</v>
      </c>
    </row>
    <row r="26" spans="1:29">
      <c r="A26">
        <f t="shared" si="0"/>
        <v>25</v>
      </c>
      <c r="B26">
        <v>62</v>
      </c>
      <c r="C26" s="3">
        <v>44434</v>
      </c>
      <c r="D26">
        <v>59</v>
      </c>
      <c r="E26">
        <v>34.268</v>
      </c>
      <c r="F26">
        <v>28</v>
      </c>
      <c r="G26">
        <v>5.1</v>
      </c>
      <c r="H26" s="2">
        <v>28.085</v>
      </c>
      <c r="I26" s="2">
        <v>59.5711333333333</v>
      </c>
      <c r="J26">
        <v>4</v>
      </c>
      <c r="K26">
        <v>2.3</v>
      </c>
      <c r="L26">
        <v>15.7</v>
      </c>
      <c r="N26">
        <v>2.74</v>
      </c>
      <c r="P26">
        <v>9</v>
      </c>
      <c r="R26">
        <v>206</v>
      </c>
      <c r="W26" t="s">
        <v>1485</v>
      </c>
      <c r="AA26" s="1" t="s">
        <v>1354</v>
      </c>
      <c r="AC26" s="1" t="s">
        <v>1354</v>
      </c>
    </row>
    <row r="27" spans="1:29">
      <c r="A27">
        <f t="shared" si="0"/>
        <v>26</v>
      </c>
      <c r="B27">
        <v>57</v>
      </c>
      <c r="C27" s="3">
        <v>44434</v>
      </c>
      <c r="D27">
        <v>59</v>
      </c>
      <c r="E27">
        <v>33.567</v>
      </c>
      <c r="F27">
        <v>28</v>
      </c>
      <c r="G27">
        <v>3.6</v>
      </c>
      <c r="H27" s="2">
        <v>28.06</v>
      </c>
      <c r="I27" s="2">
        <v>59.55945</v>
      </c>
      <c r="J27">
        <v>8.5</v>
      </c>
      <c r="K27">
        <v>2.3</v>
      </c>
      <c r="L27">
        <v>16</v>
      </c>
      <c r="N27">
        <v>2.83</v>
      </c>
      <c r="P27">
        <v>9</v>
      </c>
      <c r="R27">
        <v>207</v>
      </c>
      <c r="W27" t="s">
        <v>1485</v>
      </c>
      <c r="AA27" s="1" t="s">
        <v>1354</v>
      </c>
      <c r="AC27" s="1" t="s">
        <v>1354</v>
      </c>
    </row>
    <row r="28" spans="1:29">
      <c r="A28">
        <f t="shared" si="0"/>
        <v>27</v>
      </c>
      <c r="B28">
        <v>49</v>
      </c>
      <c r="C28" s="3">
        <v>44434</v>
      </c>
      <c r="D28">
        <v>59</v>
      </c>
      <c r="E28">
        <v>33.212</v>
      </c>
      <c r="F28">
        <v>28</v>
      </c>
      <c r="G28">
        <v>1.696</v>
      </c>
      <c r="H28" s="2">
        <v>28.0282666666667</v>
      </c>
      <c r="I28" s="2">
        <v>59.5535333333333</v>
      </c>
      <c r="J28">
        <v>10</v>
      </c>
      <c r="K28">
        <v>2.3</v>
      </c>
      <c r="L28">
        <v>16.4</v>
      </c>
      <c r="N28">
        <v>3.13</v>
      </c>
      <c r="P28">
        <v>9</v>
      </c>
      <c r="R28">
        <v>210</v>
      </c>
      <c r="W28" t="s">
        <v>1485</v>
      </c>
      <c r="AA28" s="1" t="s">
        <v>1354</v>
      </c>
      <c r="AC28" s="1" t="s">
        <v>1354</v>
      </c>
    </row>
    <row r="29" spans="1:29">
      <c r="A29">
        <f t="shared" si="0"/>
        <v>28</v>
      </c>
      <c r="B29">
        <v>53</v>
      </c>
      <c r="C29" s="3">
        <v>44434</v>
      </c>
      <c r="D29">
        <v>59</v>
      </c>
      <c r="E29">
        <v>32.348</v>
      </c>
      <c r="F29">
        <v>28</v>
      </c>
      <c r="G29">
        <v>2.448</v>
      </c>
      <c r="H29" s="2">
        <v>28.0408</v>
      </c>
      <c r="I29" s="2">
        <v>59.5391333333333</v>
      </c>
      <c r="J29">
        <v>11</v>
      </c>
      <c r="L29">
        <v>16.2</v>
      </c>
      <c r="N29">
        <v>2.86</v>
      </c>
      <c r="P29">
        <v>9</v>
      </c>
      <c r="R29">
        <v>210</v>
      </c>
      <c r="T29">
        <v>15.9</v>
      </c>
      <c r="U29">
        <v>7.9</v>
      </c>
      <c r="V29" t="s">
        <v>1572</v>
      </c>
      <c r="W29" t="s">
        <v>1573</v>
      </c>
      <c r="AA29" s="1" t="s">
        <v>1354</v>
      </c>
      <c r="AC29" s="1" t="s">
        <v>1354</v>
      </c>
    </row>
    <row r="30" spans="1:28">
      <c r="A30">
        <f t="shared" si="0"/>
        <v>29</v>
      </c>
      <c r="B30">
        <v>56</v>
      </c>
      <c r="C30" s="3">
        <v>44435</v>
      </c>
      <c r="D30">
        <v>59</v>
      </c>
      <c r="E30">
        <v>36.84</v>
      </c>
      <c r="F30">
        <v>28</v>
      </c>
      <c r="G30">
        <v>3.671</v>
      </c>
      <c r="H30" s="2">
        <v>28.0611833333333</v>
      </c>
      <c r="I30" s="2">
        <v>59.614</v>
      </c>
      <c r="J30">
        <v>4</v>
      </c>
      <c r="K30">
        <v>2.1</v>
      </c>
      <c r="L30">
        <v>16.1</v>
      </c>
      <c r="N30">
        <v>2.8</v>
      </c>
      <c r="P30">
        <v>8.6</v>
      </c>
      <c r="R30">
        <v>213</v>
      </c>
      <c r="W30" t="s">
        <v>1574</v>
      </c>
      <c r="AA30" s="1" t="s">
        <v>214</v>
      </c>
      <c r="AB30" t="s">
        <v>1575</v>
      </c>
    </row>
    <row r="31" spans="1:28">
      <c r="A31">
        <f t="shared" si="0"/>
        <v>30</v>
      </c>
      <c r="B31">
        <v>48</v>
      </c>
      <c r="C31" s="3">
        <v>44435</v>
      </c>
      <c r="D31">
        <v>59</v>
      </c>
      <c r="E31">
        <v>37.83</v>
      </c>
      <c r="F31">
        <v>28</v>
      </c>
      <c r="G31">
        <v>1.677</v>
      </c>
      <c r="H31" s="2">
        <v>28.02795</v>
      </c>
      <c r="I31" s="2">
        <v>59.6305</v>
      </c>
      <c r="J31">
        <v>4</v>
      </c>
      <c r="K31">
        <v>2.1</v>
      </c>
      <c r="L31">
        <v>15.8</v>
      </c>
      <c r="N31">
        <v>2.82</v>
      </c>
      <c r="P31">
        <v>8.89</v>
      </c>
      <c r="R31">
        <v>211</v>
      </c>
      <c r="W31" t="s">
        <v>1576</v>
      </c>
      <c r="AA31" s="1" t="s">
        <v>214</v>
      </c>
      <c r="AB31" t="s">
        <v>1577</v>
      </c>
    </row>
    <row r="32" spans="1:28">
      <c r="A32">
        <f t="shared" si="0"/>
        <v>31</v>
      </c>
      <c r="B32">
        <v>33</v>
      </c>
      <c r="C32" s="3">
        <v>44435</v>
      </c>
      <c r="D32">
        <v>59</v>
      </c>
      <c r="E32">
        <v>39.965</v>
      </c>
      <c r="F32">
        <v>27</v>
      </c>
      <c r="G32">
        <v>58.8</v>
      </c>
      <c r="H32" s="2">
        <v>27.98</v>
      </c>
      <c r="I32" s="2">
        <v>59.6660833333333</v>
      </c>
      <c r="J32">
        <v>5</v>
      </c>
      <c r="K32">
        <v>2.2</v>
      </c>
      <c r="L32">
        <v>15.5</v>
      </c>
      <c r="N32">
        <v>3.04</v>
      </c>
      <c r="P32">
        <v>8.8</v>
      </c>
      <c r="R32">
        <v>214</v>
      </c>
      <c r="V32" t="s">
        <v>1578</v>
      </c>
      <c r="W32" t="s">
        <v>1579</v>
      </c>
      <c r="AA32" s="1" t="s">
        <v>214</v>
      </c>
      <c r="AB32" t="s">
        <v>1580</v>
      </c>
    </row>
    <row r="33" spans="1:28">
      <c r="A33">
        <f t="shared" si="0"/>
        <v>32</v>
      </c>
      <c r="B33">
        <v>32</v>
      </c>
      <c r="C33" s="3">
        <v>44435</v>
      </c>
      <c r="D33">
        <v>59</v>
      </c>
      <c r="E33">
        <v>41.1</v>
      </c>
      <c r="F33">
        <v>27</v>
      </c>
      <c r="G33">
        <v>58.72</v>
      </c>
      <c r="H33" s="2">
        <v>27.9786666666667</v>
      </c>
      <c r="I33" s="2">
        <v>59.685</v>
      </c>
      <c r="J33">
        <v>6</v>
      </c>
      <c r="K33">
        <v>2.7</v>
      </c>
      <c r="L33">
        <v>15.8</v>
      </c>
      <c r="N33">
        <v>3.15</v>
      </c>
      <c r="P33">
        <v>8.8</v>
      </c>
      <c r="R33">
        <v>214</v>
      </c>
      <c r="W33" t="s">
        <v>1581</v>
      </c>
      <c r="AA33" s="1" t="s">
        <v>214</v>
      </c>
      <c r="AB33" t="s">
        <v>1582</v>
      </c>
    </row>
    <row r="34" spans="1:28">
      <c r="A34">
        <f t="shared" si="0"/>
        <v>33</v>
      </c>
      <c r="B34" t="s">
        <v>1583</v>
      </c>
      <c r="C34" s="3">
        <v>44435</v>
      </c>
      <c r="D34">
        <v>59</v>
      </c>
      <c r="E34">
        <v>42.116</v>
      </c>
      <c r="F34">
        <v>27</v>
      </c>
      <c r="G34">
        <v>58.519</v>
      </c>
      <c r="H34" s="2">
        <v>27.9753166666667</v>
      </c>
      <c r="I34" s="2">
        <v>59.7019333333333</v>
      </c>
      <c r="J34">
        <v>4</v>
      </c>
      <c r="K34">
        <v>2.3</v>
      </c>
      <c r="L34">
        <v>15.8</v>
      </c>
      <c r="N34">
        <v>3.16</v>
      </c>
      <c r="P34">
        <v>8.9</v>
      </c>
      <c r="R34">
        <v>213</v>
      </c>
      <c r="W34" t="s">
        <v>1581</v>
      </c>
      <c r="Y34" t="s">
        <v>1530</v>
      </c>
      <c r="Z34" t="s">
        <v>1565</v>
      </c>
      <c r="AA34" s="1" t="s">
        <v>214</v>
      </c>
      <c r="AB34" t="s">
        <v>1584</v>
      </c>
    </row>
    <row r="35" spans="1:27">
      <c r="A35">
        <f t="shared" si="0"/>
        <v>34</v>
      </c>
      <c r="B35">
        <v>24</v>
      </c>
      <c r="C35" s="3">
        <v>44435</v>
      </c>
      <c r="D35">
        <v>59</v>
      </c>
      <c r="E35">
        <v>40.923</v>
      </c>
      <c r="F35">
        <v>27</v>
      </c>
      <c r="G35">
        <v>57.188</v>
      </c>
      <c r="H35" s="2">
        <v>27.9531333333333</v>
      </c>
      <c r="I35" s="2">
        <v>59.68205</v>
      </c>
      <c r="J35">
        <v>5</v>
      </c>
      <c r="K35">
        <v>2.5</v>
      </c>
      <c r="L35">
        <v>16.1</v>
      </c>
      <c r="N35">
        <v>3.23</v>
      </c>
      <c r="P35">
        <v>8.87</v>
      </c>
      <c r="R35">
        <v>219</v>
      </c>
      <c r="W35" t="s">
        <v>1585</v>
      </c>
      <c r="AA35" s="1" t="s">
        <v>214</v>
      </c>
    </row>
    <row r="36" spans="1:28">
      <c r="A36">
        <f t="shared" si="0"/>
        <v>35</v>
      </c>
      <c r="B36">
        <v>21</v>
      </c>
      <c r="C36" s="3">
        <v>44435</v>
      </c>
      <c r="D36">
        <v>59</v>
      </c>
      <c r="E36">
        <v>39.498</v>
      </c>
      <c r="F36">
        <v>27</v>
      </c>
      <c r="G36">
        <v>56.223</v>
      </c>
      <c r="H36" s="2">
        <v>27.93705</v>
      </c>
      <c r="I36" s="2">
        <v>59.6583</v>
      </c>
      <c r="J36">
        <v>11</v>
      </c>
      <c r="K36">
        <v>2.6</v>
      </c>
      <c r="L36">
        <v>16</v>
      </c>
      <c r="N36">
        <v>2.16</v>
      </c>
      <c r="P36">
        <v>8.93</v>
      </c>
      <c r="R36">
        <v>216</v>
      </c>
      <c r="W36" t="s">
        <v>1585</v>
      </c>
      <c r="AA36" s="1" t="s">
        <v>214</v>
      </c>
      <c r="AB36" t="s">
        <v>1586</v>
      </c>
    </row>
    <row r="37" spans="1:29">
      <c r="A37">
        <f t="shared" si="0"/>
        <v>36</v>
      </c>
      <c r="B37">
        <v>14</v>
      </c>
      <c r="C37" s="3">
        <v>44435</v>
      </c>
      <c r="D37">
        <v>59</v>
      </c>
      <c r="E37">
        <v>38.649</v>
      </c>
      <c r="F37">
        <v>27</v>
      </c>
      <c r="G37">
        <v>55.128</v>
      </c>
      <c r="H37" s="2">
        <v>27.9188</v>
      </c>
      <c r="I37" s="2">
        <v>59.64415</v>
      </c>
      <c r="J37">
        <v>13</v>
      </c>
      <c r="K37">
        <v>2.7</v>
      </c>
      <c r="L37">
        <v>16.3</v>
      </c>
      <c r="N37">
        <v>3.4</v>
      </c>
      <c r="P37">
        <v>8.78</v>
      </c>
      <c r="R37">
        <v>216</v>
      </c>
      <c r="V37" t="s">
        <v>1587</v>
      </c>
      <c r="W37" t="s">
        <v>1588</v>
      </c>
      <c r="AA37" s="1" t="s">
        <v>214</v>
      </c>
      <c r="AB37" s="1" t="s">
        <v>1589</v>
      </c>
      <c r="AC37" t="s">
        <v>214</v>
      </c>
    </row>
    <row r="38" spans="1:28">
      <c r="A38">
        <f t="shared" si="0"/>
        <v>37</v>
      </c>
      <c r="B38">
        <v>35</v>
      </c>
      <c r="C38" s="3">
        <v>44435</v>
      </c>
      <c r="D38">
        <v>59</v>
      </c>
      <c r="E38">
        <v>36.868</v>
      </c>
      <c r="F38">
        <v>27</v>
      </c>
      <c r="G38">
        <v>59.284</v>
      </c>
      <c r="H38" s="2">
        <v>27.9880666666667</v>
      </c>
      <c r="I38" s="2">
        <v>59.6144666666667</v>
      </c>
      <c r="J38">
        <v>6</v>
      </c>
      <c r="K38">
        <v>2.4</v>
      </c>
      <c r="L38">
        <v>16.2</v>
      </c>
      <c r="N38">
        <v>3.14</v>
      </c>
      <c r="P38">
        <v>8.84</v>
      </c>
      <c r="R38">
        <v>215</v>
      </c>
      <c r="W38" t="s">
        <v>1590</v>
      </c>
      <c r="AA38" s="1" t="s">
        <v>1591</v>
      </c>
      <c r="AB38" t="s">
        <v>1592</v>
      </c>
    </row>
    <row r="39" spans="1:29">
      <c r="A39">
        <f t="shared" si="0"/>
        <v>38</v>
      </c>
      <c r="B39">
        <v>37</v>
      </c>
      <c r="C39" s="3">
        <v>44436</v>
      </c>
      <c r="D39">
        <v>59</v>
      </c>
      <c r="E39">
        <v>31.04</v>
      </c>
      <c r="F39">
        <v>27</v>
      </c>
      <c r="G39">
        <v>59.429</v>
      </c>
      <c r="H39" s="2">
        <v>27.9904833333333</v>
      </c>
      <c r="I39" s="2">
        <v>59.5173333333333</v>
      </c>
      <c r="J39">
        <v>16</v>
      </c>
      <c r="K39">
        <v>2.4</v>
      </c>
      <c r="L39">
        <v>16.6</v>
      </c>
      <c r="N39">
        <v>2.32</v>
      </c>
      <c r="P39">
        <v>6.07</v>
      </c>
      <c r="R39">
        <v>231</v>
      </c>
      <c r="T39">
        <v>16</v>
      </c>
      <c r="U39">
        <v>7.63</v>
      </c>
      <c r="W39" t="s">
        <v>1593</v>
      </c>
      <c r="AA39" s="1" t="s">
        <v>1354</v>
      </c>
      <c r="AC39" t="s">
        <v>1354</v>
      </c>
    </row>
    <row r="40" spans="1:29">
      <c r="A40">
        <f t="shared" si="0"/>
        <v>39</v>
      </c>
      <c r="B40">
        <v>9</v>
      </c>
      <c r="C40" s="3">
        <v>44436</v>
      </c>
      <c r="D40">
        <v>59</v>
      </c>
      <c r="E40">
        <v>33.308</v>
      </c>
      <c r="F40">
        <v>27</v>
      </c>
      <c r="G40">
        <v>53.11</v>
      </c>
      <c r="H40" s="2">
        <v>27.8851666666667</v>
      </c>
      <c r="I40" s="2">
        <v>59.5551333333333</v>
      </c>
      <c r="J40">
        <v>23</v>
      </c>
      <c r="K40">
        <v>3.7</v>
      </c>
      <c r="L40">
        <v>16.5</v>
      </c>
      <c r="N40">
        <v>3.57</v>
      </c>
      <c r="P40">
        <v>8.8</v>
      </c>
      <c r="R40">
        <v>219</v>
      </c>
      <c r="T40">
        <v>13.1</v>
      </c>
      <c r="U40">
        <v>7.45</v>
      </c>
      <c r="W40" t="s">
        <v>1594</v>
      </c>
      <c r="AA40" s="1" t="s">
        <v>1354</v>
      </c>
      <c r="AC40" t="s">
        <v>1354</v>
      </c>
    </row>
    <row r="41" spans="1:29">
      <c r="A41">
        <f t="shared" si="0"/>
        <v>40</v>
      </c>
      <c r="B41" t="s">
        <v>1595</v>
      </c>
      <c r="C41" s="3">
        <v>44436</v>
      </c>
      <c r="D41">
        <v>59</v>
      </c>
      <c r="E41">
        <v>33.089</v>
      </c>
      <c r="F41">
        <v>27</v>
      </c>
      <c r="G41">
        <v>51.291</v>
      </c>
      <c r="H41" s="2">
        <v>27.85485</v>
      </c>
      <c r="I41" s="2">
        <v>59.5514833333333</v>
      </c>
      <c r="J41">
        <v>27</v>
      </c>
      <c r="K41">
        <v>3.5</v>
      </c>
      <c r="L41">
        <v>16.5</v>
      </c>
      <c r="M41">
        <v>16.3</v>
      </c>
      <c r="N41">
        <v>3.73</v>
      </c>
      <c r="O41">
        <v>3.88</v>
      </c>
      <c r="P41">
        <v>8.84</v>
      </c>
      <c r="Q41">
        <v>8.78</v>
      </c>
      <c r="R41">
        <v>215</v>
      </c>
      <c r="S41">
        <v>217</v>
      </c>
      <c r="T41">
        <v>7.9</v>
      </c>
      <c r="U41">
        <v>7.5</v>
      </c>
      <c r="W41" t="s">
        <v>1596</v>
      </c>
      <c r="Y41" t="s">
        <v>1597</v>
      </c>
      <c r="Z41" t="s">
        <v>1598</v>
      </c>
      <c r="AA41" s="1" t="s">
        <v>1354</v>
      </c>
      <c r="AC41" t="s">
        <v>1354</v>
      </c>
    </row>
    <row r="42" spans="1:29">
      <c r="A42">
        <f t="shared" si="0"/>
        <v>41</v>
      </c>
      <c r="B42">
        <v>3</v>
      </c>
      <c r="C42" s="3">
        <v>44436</v>
      </c>
      <c r="D42">
        <v>59</v>
      </c>
      <c r="E42">
        <v>34.174</v>
      </c>
      <c r="F42">
        <v>27</v>
      </c>
      <c r="G42">
        <v>50.96</v>
      </c>
      <c r="H42" s="2">
        <v>27.8493333333333</v>
      </c>
      <c r="I42" s="2">
        <v>59.5695666666667</v>
      </c>
      <c r="J42">
        <v>28</v>
      </c>
      <c r="K42">
        <v>3.4</v>
      </c>
      <c r="L42">
        <v>16.8</v>
      </c>
      <c r="N42">
        <v>3.78</v>
      </c>
      <c r="P42">
        <v>8.82</v>
      </c>
      <c r="R42">
        <v>223</v>
      </c>
      <c r="T42">
        <v>6.9</v>
      </c>
      <c r="U42">
        <v>7.77</v>
      </c>
      <c r="W42" t="s">
        <v>1599</v>
      </c>
      <c r="AA42" s="1" t="s">
        <v>1600</v>
      </c>
      <c r="AC42" t="s">
        <v>1354</v>
      </c>
    </row>
    <row r="43" spans="1:29">
      <c r="A43">
        <f t="shared" si="0"/>
        <v>42</v>
      </c>
      <c r="B43">
        <v>7</v>
      </c>
      <c r="C43" s="3">
        <v>44436</v>
      </c>
      <c r="D43">
        <v>59</v>
      </c>
      <c r="E43">
        <v>35.89</v>
      </c>
      <c r="F43">
        <v>27</v>
      </c>
      <c r="G43">
        <v>52.528</v>
      </c>
      <c r="H43" s="2">
        <v>27.8754666666667</v>
      </c>
      <c r="I43" s="2">
        <v>59.5981666666667</v>
      </c>
      <c r="J43">
        <v>23</v>
      </c>
      <c r="K43">
        <v>3</v>
      </c>
      <c r="L43">
        <v>16.6</v>
      </c>
      <c r="N43">
        <v>3.87</v>
      </c>
      <c r="P43">
        <v>8.9</v>
      </c>
      <c r="R43">
        <v>212</v>
      </c>
      <c r="T43">
        <v>6.9</v>
      </c>
      <c r="U43">
        <v>7.5</v>
      </c>
      <c r="W43" t="s">
        <v>1601</v>
      </c>
      <c r="AA43" s="1" t="s">
        <v>1354</v>
      </c>
      <c r="AC43" t="s">
        <v>1354</v>
      </c>
    </row>
    <row r="44" spans="1:29">
      <c r="A44">
        <f t="shared" si="0"/>
        <v>43</v>
      </c>
      <c r="B44">
        <v>2</v>
      </c>
      <c r="C44" s="3">
        <v>44436</v>
      </c>
      <c r="D44">
        <v>59</v>
      </c>
      <c r="E44">
        <v>36.414</v>
      </c>
      <c r="F44">
        <v>27</v>
      </c>
      <c r="G44">
        <v>50.731</v>
      </c>
      <c r="H44" s="2">
        <v>27.8455166666667</v>
      </c>
      <c r="I44" s="2">
        <v>59.6069</v>
      </c>
      <c r="J44">
        <v>24</v>
      </c>
      <c r="K44">
        <v>3</v>
      </c>
      <c r="L44">
        <v>16.6</v>
      </c>
      <c r="N44">
        <v>3.89</v>
      </c>
      <c r="P44">
        <v>8.9</v>
      </c>
      <c r="R44">
        <v>200</v>
      </c>
      <c r="T44">
        <v>15.5</v>
      </c>
      <c r="U44">
        <v>7.45</v>
      </c>
      <c r="W44" t="s">
        <v>1602</v>
      </c>
      <c r="AA44" s="1" t="s">
        <v>1354</v>
      </c>
      <c r="AC44" t="s">
        <v>1354</v>
      </c>
    </row>
    <row r="45" spans="1:29">
      <c r="A45">
        <f t="shared" si="0"/>
        <v>44</v>
      </c>
      <c r="B45">
        <v>6</v>
      </c>
      <c r="C45" s="3">
        <v>44436</v>
      </c>
      <c r="D45">
        <v>59</v>
      </c>
      <c r="E45">
        <v>37.133</v>
      </c>
      <c r="F45">
        <v>27</v>
      </c>
      <c r="G45">
        <v>52.316</v>
      </c>
      <c r="H45" s="2">
        <v>27.8719333333333</v>
      </c>
      <c r="I45" s="2">
        <v>59.6188833333333</v>
      </c>
      <c r="J45">
        <v>19</v>
      </c>
      <c r="K45">
        <v>2.8</v>
      </c>
      <c r="L45">
        <v>17</v>
      </c>
      <c r="N45">
        <v>3.87</v>
      </c>
      <c r="P45">
        <v>9</v>
      </c>
      <c r="R45">
        <v>210</v>
      </c>
      <c r="T45">
        <v>15.5</v>
      </c>
      <c r="U45">
        <v>7.15</v>
      </c>
      <c r="W45" t="s">
        <v>1603</v>
      </c>
      <c r="AA45" s="1" t="s">
        <v>1354</v>
      </c>
      <c r="AC45" t="s">
        <v>1354</v>
      </c>
    </row>
    <row r="46" spans="1:29">
      <c r="A46">
        <f t="shared" si="0"/>
        <v>45</v>
      </c>
      <c r="B46">
        <v>8</v>
      </c>
      <c r="C46" s="3">
        <v>44436</v>
      </c>
      <c r="D46">
        <v>59</v>
      </c>
      <c r="E46">
        <v>38.556</v>
      </c>
      <c r="F46">
        <v>27</v>
      </c>
      <c r="G46">
        <v>52.767</v>
      </c>
      <c r="H46" s="2">
        <v>27.87945</v>
      </c>
      <c r="I46" s="2">
        <v>59.6426</v>
      </c>
      <c r="J46">
        <v>15.5</v>
      </c>
      <c r="K46">
        <v>3</v>
      </c>
      <c r="L46">
        <v>17.2</v>
      </c>
      <c r="N46">
        <v>3.65</v>
      </c>
      <c r="P46">
        <v>8.74</v>
      </c>
      <c r="R46">
        <v>210</v>
      </c>
      <c r="W46" t="s">
        <v>1604</v>
      </c>
      <c r="AA46" s="1" t="s">
        <v>1605</v>
      </c>
      <c r="AC46" t="s">
        <v>1354</v>
      </c>
    </row>
    <row r="47" spans="1:29">
      <c r="A47">
        <f t="shared" si="0"/>
        <v>46</v>
      </c>
      <c r="B47">
        <v>16</v>
      </c>
      <c r="C47" s="3">
        <v>44436</v>
      </c>
      <c r="D47">
        <v>59</v>
      </c>
      <c r="E47">
        <v>37.084</v>
      </c>
      <c r="F47">
        <v>27</v>
      </c>
      <c r="G47">
        <v>55.281</v>
      </c>
      <c r="H47" s="2">
        <v>27.92135</v>
      </c>
      <c r="I47" s="2">
        <v>59.6180666666667</v>
      </c>
      <c r="J47">
        <v>16</v>
      </c>
      <c r="K47">
        <v>2.4</v>
      </c>
      <c r="L47">
        <v>17.3</v>
      </c>
      <c r="N47">
        <v>3.42</v>
      </c>
      <c r="P47">
        <v>8.9</v>
      </c>
      <c r="R47">
        <v>208</v>
      </c>
      <c r="W47" t="s">
        <v>1606</v>
      </c>
      <c r="AA47" s="1" t="s">
        <v>1354</v>
      </c>
      <c r="AC47" t="s">
        <v>1354</v>
      </c>
    </row>
    <row r="48" spans="1:29">
      <c r="A48">
        <f t="shared" si="0"/>
        <v>47</v>
      </c>
      <c r="B48">
        <v>13</v>
      </c>
      <c r="C48" s="3">
        <v>44436</v>
      </c>
      <c r="D48">
        <v>59</v>
      </c>
      <c r="E48">
        <v>36.252</v>
      </c>
      <c r="F48">
        <v>27</v>
      </c>
      <c r="G48">
        <v>54.66</v>
      </c>
      <c r="H48" s="2">
        <v>27.911</v>
      </c>
      <c r="I48" s="2">
        <v>59.6042</v>
      </c>
      <c r="J48">
        <v>16.5</v>
      </c>
      <c r="K48">
        <v>1.9</v>
      </c>
      <c r="L48">
        <v>17.4</v>
      </c>
      <c r="N48">
        <v>3.51</v>
      </c>
      <c r="P48">
        <v>9.1</v>
      </c>
      <c r="R48">
        <v>208</v>
      </c>
      <c r="W48" t="s">
        <v>1607</v>
      </c>
      <c r="AA48" s="1" t="s">
        <v>1354</v>
      </c>
      <c r="AC48" t="s">
        <v>1354</v>
      </c>
    </row>
    <row r="49" spans="1:29">
      <c r="A49">
        <f t="shared" si="0"/>
        <v>48</v>
      </c>
      <c r="B49">
        <v>19</v>
      </c>
      <c r="C49" s="3">
        <v>44436</v>
      </c>
      <c r="D49">
        <v>59</v>
      </c>
      <c r="E49">
        <v>34.579</v>
      </c>
      <c r="F49">
        <v>27</v>
      </c>
      <c r="G49">
        <v>55.87</v>
      </c>
      <c r="H49" s="2">
        <v>27.9311666666667</v>
      </c>
      <c r="I49" s="2">
        <v>59.5763166666667</v>
      </c>
      <c r="J49">
        <v>18</v>
      </c>
      <c r="K49">
        <v>2.3</v>
      </c>
      <c r="L49">
        <v>17.3</v>
      </c>
      <c r="N49">
        <v>3.35</v>
      </c>
      <c r="P49">
        <v>8.85</v>
      </c>
      <c r="R49">
        <v>212</v>
      </c>
      <c r="T49">
        <v>16</v>
      </c>
      <c r="U49">
        <v>7.75</v>
      </c>
      <c r="W49" t="s">
        <v>1608</v>
      </c>
      <c r="AA49" s="1" t="s">
        <v>1354</v>
      </c>
      <c r="AC49" t="s">
        <v>1354</v>
      </c>
    </row>
    <row r="50" spans="1:29">
      <c r="A50">
        <f t="shared" si="0"/>
        <v>49</v>
      </c>
      <c r="B50">
        <v>27</v>
      </c>
      <c r="C50" s="3">
        <v>44436</v>
      </c>
      <c r="D50">
        <v>59</v>
      </c>
      <c r="E50">
        <v>34.874</v>
      </c>
      <c r="F50">
        <v>27</v>
      </c>
      <c r="G50">
        <v>57.993</v>
      </c>
      <c r="H50" s="2">
        <v>27.96655</v>
      </c>
      <c r="I50" s="2">
        <v>59.5812333333333</v>
      </c>
      <c r="J50">
        <v>14.5</v>
      </c>
      <c r="K50">
        <v>2.3</v>
      </c>
      <c r="L50">
        <v>17.3</v>
      </c>
      <c r="N50">
        <v>3.23</v>
      </c>
      <c r="P50">
        <v>9.1</v>
      </c>
      <c r="R50">
        <v>213</v>
      </c>
      <c r="W50" t="s">
        <v>1609</v>
      </c>
      <c r="AA50" s="1" t="s">
        <v>1354</v>
      </c>
      <c r="AC50" t="s">
        <v>232</v>
      </c>
    </row>
    <row r="51" spans="1:29">
      <c r="A51">
        <f t="shared" si="0"/>
        <v>50</v>
      </c>
      <c r="B51">
        <v>41</v>
      </c>
      <c r="C51" s="3">
        <v>44436</v>
      </c>
      <c r="D51">
        <v>59</v>
      </c>
      <c r="E51">
        <v>34.792</v>
      </c>
      <c r="F51">
        <v>28</v>
      </c>
      <c r="G51">
        <v>0.22</v>
      </c>
      <c r="H51" s="2">
        <v>28.0036666666667</v>
      </c>
      <c r="I51" s="2">
        <v>59.5798666666667</v>
      </c>
      <c r="J51">
        <v>10</v>
      </c>
      <c r="K51">
        <v>2.2</v>
      </c>
      <c r="L51">
        <v>17.3</v>
      </c>
      <c r="N51">
        <v>2.2</v>
      </c>
      <c r="P51">
        <v>9.02</v>
      </c>
      <c r="R51">
        <v>215</v>
      </c>
      <c r="W51" t="s">
        <v>1610</v>
      </c>
      <c r="AA51" s="1" t="s">
        <v>1354</v>
      </c>
      <c r="AC51" t="s">
        <v>232</v>
      </c>
    </row>
    <row r="52" spans="1:29">
      <c r="A52">
        <f t="shared" si="0"/>
        <v>51</v>
      </c>
      <c r="B52">
        <v>38</v>
      </c>
      <c r="C52" s="3">
        <v>44436</v>
      </c>
      <c r="D52">
        <v>59</v>
      </c>
      <c r="E52">
        <v>32.924</v>
      </c>
      <c r="F52">
        <v>27</v>
      </c>
      <c r="G52">
        <v>59.618</v>
      </c>
      <c r="H52" s="2">
        <v>27.9936333333333</v>
      </c>
      <c r="I52" s="2">
        <v>59.5487333333333</v>
      </c>
      <c r="J52">
        <v>14.5</v>
      </c>
      <c r="K52">
        <v>2.1</v>
      </c>
      <c r="L52">
        <v>17.3</v>
      </c>
      <c r="N52">
        <v>3.14</v>
      </c>
      <c r="P52">
        <v>9.06</v>
      </c>
      <c r="R52">
        <v>212</v>
      </c>
      <c r="T52">
        <v>16.8</v>
      </c>
      <c r="U52">
        <v>7.61</v>
      </c>
      <c r="W52" t="s">
        <v>1611</v>
      </c>
      <c r="AA52" s="1" t="s">
        <v>1354</v>
      </c>
      <c r="AC52" t="s">
        <v>1354</v>
      </c>
    </row>
    <row r="53" spans="1:29">
      <c r="A53">
        <f t="shared" si="0"/>
        <v>52</v>
      </c>
      <c r="B53">
        <v>42</v>
      </c>
      <c r="C53" s="3">
        <v>44436</v>
      </c>
      <c r="D53">
        <v>59</v>
      </c>
      <c r="E53">
        <v>31.921</v>
      </c>
      <c r="F53">
        <v>27</v>
      </c>
      <c r="G53">
        <v>0.38</v>
      </c>
      <c r="H53" s="2">
        <v>27.0063333333333</v>
      </c>
      <c r="I53" s="2">
        <v>59.5320166666667</v>
      </c>
      <c r="J53">
        <v>13.5</v>
      </c>
      <c r="K53">
        <v>2.2</v>
      </c>
      <c r="L53">
        <v>17.7</v>
      </c>
      <c r="N53">
        <v>3.03</v>
      </c>
      <c r="P53">
        <v>8.96</v>
      </c>
      <c r="R53">
        <v>212</v>
      </c>
      <c r="T53">
        <v>16.8</v>
      </c>
      <c r="U53">
        <v>7.62</v>
      </c>
      <c r="W53" s="4" t="s">
        <v>1612</v>
      </c>
      <c r="AA53" s="1" t="s">
        <v>1354</v>
      </c>
      <c r="AC53" t="s">
        <v>1354</v>
      </c>
    </row>
    <row r="54" spans="1:29">
      <c r="A54">
        <f t="shared" si="0"/>
        <v>53</v>
      </c>
      <c r="B54">
        <v>52</v>
      </c>
      <c r="C54" s="3">
        <v>44436</v>
      </c>
      <c r="D54">
        <v>59</v>
      </c>
      <c r="E54">
        <v>30.539</v>
      </c>
      <c r="F54">
        <v>28</v>
      </c>
      <c r="G54">
        <v>2.147</v>
      </c>
      <c r="H54" s="2">
        <v>28.0357833333333</v>
      </c>
      <c r="I54" s="2">
        <v>59.5089833333333</v>
      </c>
      <c r="J54">
        <v>12</v>
      </c>
      <c r="K54">
        <v>2.2</v>
      </c>
      <c r="L54">
        <v>17.1</v>
      </c>
      <c r="N54">
        <v>3.04</v>
      </c>
      <c r="P54">
        <v>9.1</v>
      </c>
      <c r="R54">
        <v>215</v>
      </c>
      <c r="T54">
        <v>15.9</v>
      </c>
      <c r="U54">
        <v>7.68</v>
      </c>
      <c r="W54" s="4" t="s">
        <v>1612</v>
      </c>
      <c r="AA54" s="1" t="s">
        <v>1354</v>
      </c>
      <c r="AC54" t="s">
        <v>1354</v>
      </c>
    </row>
    <row r="55" spans="1:29">
      <c r="A55">
        <f t="shared" si="0"/>
        <v>54</v>
      </c>
      <c r="B55">
        <v>44</v>
      </c>
      <c r="C55" s="3">
        <v>44437</v>
      </c>
      <c r="D55">
        <v>59</v>
      </c>
      <c r="E55">
        <v>35.674</v>
      </c>
      <c r="F55">
        <v>28</v>
      </c>
      <c r="G55">
        <v>1.064</v>
      </c>
      <c r="H55" s="2">
        <v>28.0177333333333</v>
      </c>
      <c r="I55" s="2">
        <v>59.5945666666667</v>
      </c>
      <c r="J55">
        <v>9.5</v>
      </c>
      <c r="K55">
        <v>2.4</v>
      </c>
      <c r="L55">
        <v>16.5</v>
      </c>
      <c r="N55">
        <v>3.22</v>
      </c>
      <c r="P55">
        <v>8.8</v>
      </c>
      <c r="R55">
        <v>216</v>
      </c>
      <c r="W55" t="s">
        <v>1613</v>
      </c>
      <c r="AA55" s="1" t="s">
        <v>1354</v>
      </c>
      <c r="AC55" t="s">
        <v>1354</v>
      </c>
    </row>
    <row r="56" spans="1:29">
      <c r="A56">
        <f t="shared" si="0"/>
        <v>55</v>
      </c>
      <c r="B56">
        <v>12</v>
      </c>
      <c r="C56" s="3">
        <v>44437</v>
      </c>
      <c r="D56">
        <v>59</v>
      </c>
      <c r="E56">
        <v>39.611</v>
      </c>
      <c r="F56">
        <v>27</v>
      </c>
      <c r="G56">
        <v>54.298</v>
      </c>
      <c r="H56" s="2">
        <v>27.9049666666667</v>
      </c>
      <c r="I56" s="2">
        <v>59.6601833333333</v>
      </c>
      <c r="J56">
        <v>10</v>
      </c>
      <c r="K56">
        <v>2.6</v>
      </c>
      <c r="L56">
        <v>16.3</v>
      </c>
      <c r="N56">
        <v>3.44</v>
      </c>
      <c r="P56">
        <v>8.9</v>
      </c>
      <c r="R56">
        <v>219</v>
      </c>
      <c r="W56" t="s">
        <v>1614</v>
      </c>
      <c r="AA56" s="1" t="s">
        <v>1354</v>
      </c>
      <c r="AC56" t="s">
        <v>1354</v>
      </c>
    </row>
    <row r="57" spans="1:29">
      <c r="A57">
        <f t="shared" si="0"/>
        <v>56</v>
      </c>
      <c r="B57">
        <v>4</v>
      </c>
      <c r="C57" s="3">
        <v>44437</v>
      </c>
      <c r="D57">
        <v>59</v>
      </c>
      <c r="E57">
        <v>38.978</v>
      </c>
      <c r="F57">
        <v>27</v>
      </c>
      <c r="G57">
        <v>50.994</v>
      </c>
      <c r="H57" s="2">
        <v>27.8499</v>
      </c>
      <c r="I57" s="2">
        <v>59.6496333333333</v>
      </c>
      <c r="J57">
        <v>15</v>
      </c>
      <c r="K57">
        <v>3.7</v>
      </c>
      <c r="L57">
        <v>15.8</v>
      </c>
      <c r="N57">
        <v>3.83</v>
      </c>
      <c r="P57">
        <v>8.8</v>
      </c>
      <c r="R57">
        <v>216</v>
      </c>
      <c r="W57" t="s">
        <v>1485</v>
      </c>
      <c r="AA57" s="1" t="s">
        <v>1354</v>
      </c>
      <c r="AC57" t="s">
        <v>1354</v>
      </c>
    </row>
    <row r="58" spans="1:29">
      <c r="A58">
        <f t="shared" si="0"/>
        <v>57</v>
      </c>
      <c r="B58">
        <v>1</v>
      </c>
      <c r="C58" s="3">
        <v>44437</v>
      </c>
      <c r="D58">
        <v>59</v>
      </c>
      <c r="E58">
        <v>39.948</v>
      </c>
      <c r="F58">
        <v>27</v>
      </c>
      <c r="G58">
        <v>50.662</v>
      </c>
      <c r="H58" s="2">
        <v>27.8443666666667</v>
      </c>
      <c r="I58" s="2">
        <v>59.6658</v>
      </c>
      <c r="J58">
        <v>13.5</v>
      </c>
      <c r="K58">
        <v>3.4</v>
      </c>
      <c r="L58">
        <v>16</v>
      </c>
      <c r="N58">
        <v>3.83</v>
      </c>
      <c r="P58">
        <v>8.8</v>
      </c>
      <c r="R58">
        <v>218</v>
      </c>
      <c r="W58" t="s">
        <v>1485</v>
      </c>
      <c r="AA58" s="1" t="s">
        <v>1354</v>
      </c>
      <c r="AC58" t="s">
        <v>1354</v>
      </c>
    </row>
    <row r="59" spans="1:27">
      <c r="A59">
        <f t="shared" si="0"/>
        <v>58</v>
      </c>
      <c r="B59">
        <v>5</v>
      </c>
      <c r="C59" s="3">
        <v>44437</v>
      </c>
      <c r="D59">
        <v>59</v>
      </c>
      <c r="E59">
        <v>40.865</v>
      </c>
      <c r="F59">
        <v>27</v>
      </c>
      <c r="G59">
        <v>51.37</v>
      </c>
      <c r="H59" s="2">
        <v>27.8561666666667</v>
      </c>
      <c r="I59" s="2">
        <v>59.6810833333333</v>
      </c>
      <c r="J59">
        <v>12</v>
      </c>
      <c r="K59">
        <v>2.7</v>
      </c>
      <c r="L59">
        <v>16.1</v>
      </c>
      <c r="N59">
        <v>3.78</v>
      </c>
      <c r="P59">
        <v>8.9</v>
      </c>
      <c r="R59">
        <v>215</v>
      </c>
      <c r="W59" t="s">
        <v>1615</v>
      </c>
      <c r="AA59" s="1" t="s">
        <v>1616</v>
      </c>
    </row>
    <row r="60" spans="1:29">
      <c r="A60">
        <f t="shared" si="0"/>
        <v>59</v>
      </c>
      <c r="B60">
        <v>29</v>
      </c>
      <c r="C60" s="3">
        <v>44437</v>
      </c>
      <c r="D60">
        <v>59</v>
      </c>
      <c r="E60">
        <v>43.798</v>
      </c>
      <c r="F60">
        <v>27</v>
      </c>
      <c r="G60">
        <v>58.088</v>
      </c>
      <c r="H60" s="2">
        <v>27.9681333333333</v>
      </c>
      <c r="I60" s="2">
        <v>59.7299666666667</v>
      </c>
      <c r="J60">
        <v>3</v>
      </c>
      <c r="K60">
        <v>2</v>
      </c>
      <c r="L60">
        <v>15.6</v>
      </c>
      <c r="N60">
        <v>3.21</v>
      </c>
      <c r="P60">
        <v>8.9</v>
      </c>
      <c r="R60">
        <v>214</v>
      </c>
      <c r="W60" t="s">
        <v>172</v>
      </c>
      <c r="AA60" s="1" t="s">
        <v>1354</v>
      </c>
      <c r="AC60" t="s">
        <v>1354</v>
      </c>
    </row>
    <row r="61" spans="1:29">
      <c r="A61">
        <f t="shared" si="0"/>
        <v>60</v>
      </c>
      <c r="B61">
        <v>36</v>
      </c>
      <c r="C61" s="3">
        <v>44437</v>
      </c>
      <c r="D61">
        <v>59</v>
      </c>
      <c r="E61">
        <v>44.642</v>
      </c>
      <c r="F61">
        <v>27</v>
      </c>
      <c r="G61">
        <v>59.382</v>
      </c>
      <c r="H61" s="2">
        <v>27.9897</v>
      </c>
      <c r="I61" s="2">
        <v>59.7440333333333</v>
      </c>
      <c r="J61">
        <v>3.5</v>
      </c>
      <c r="K61">
        <v>2.1</v>
      </c>
      <c r="L61">
        <v>15.8</v>
      </c>
      <c r="N61">
        <v>3.28</v>
      </c>
      <c r="P61">
        <v>8.98</v>
      </c>
      <c r="R61">
        <v>214</v>
      </c>
      <c r="W61" t="s">
        <v>1617</v>
      </c>
      <c r="AA61" s="1" t="s">
        <v>1618</v>
      </c>
      <c r="AC61" t="s">
        <v>1619</v>
      </c>
    </row>
    <row r="62" spans="1:29">
      <c r="A62">
        <f t="shared" si="0"/>
        <v>61</v>
      </c>
      <c r="B62">
        <v>47</v>
      </c>
      <c r="C62" s="3">
        <v>44437</v>
      </c>
      <c r="D62">
        <v>59</v>
      </c>
      <c r="E62">
        <v>45.464</v>
      </c>
      <c r="F62">
        <v>28</v>
      </c>
      <c r="G62">
        <v>1.631</v>
      </c>
      <c r="H62" s="2">
        <v>28.0271833333333</v>
      </c>
      <c r="I62" s="2">
        <v>59.7577333333333</v>
      </c>
      <c r="J62">
        <v>3.5</v>
      </c>
      <c r="K62">
        <v>1.6</v>
      </c>
      <c r="L62">
        <v>15.5</v>
      </c>
      <c r="N62">
        <v>3.06</v>
      </c>
      <c r="P62">
        <v>9</v>
      </c>
      <c r="R62">
        <v>210</v>
      </c>
      <c r="W62" t="s">
        <v>172</v>
      </c>
      <c r="AA62" s="1" t="s">
        <v>1354</v>
      </c>
      <c r="AC62" t="s">
        <v>1354</v>
      </c>
    </row>
    <row r="63" spans="1:29">
      <c r="A63">
        <f t="shared" si="0"/>
        <v>62</v>
      </c>
      <c r="B63">
        <v>40</v>
      </c>
      <c r="C63" s="3">
        <v>44437</v>
      </c>
      <c r="D63">
        <v>59</v>
      </c>
      <c r="E63">
        <v>43.651</v>
      </c>
      <c r="F63">
        <v>28</v>
      </c>
      <c r="G63">
        <v>0.08</v>
      </c>
      <c r="H63" s="2">
        <v>28.0013333333333</v>
      </c>
      <c r="I63" s="2">
        <v>59.7275166666667</v>
      </c>
      <c r="J63">
        <v>4</v>
      </c>
      <c r="K63">
        <v>2</v>
      </c>
      <c r="L63">
        <v>15.8</v>
      </c>
      <c r="N63">
        <v>3.2</v>
      </c>
      <c r="P63">
        <v>8.9</v>
      </c>
      <c r="R63">
        <v>212</v>
      </c>
      <c r="W63" t="s">
        <v>1620</v>
      </c>
      <c r="AA63" s="1" t="s">
        <v>1354</v>
      </c>
      <c r="AC63" t="s">
        <v>1354</v>
      </c>
    </row>
    <row r="64" spans="1:27">
      <c r="A64">
        <f t="shared" si="0"/>
        <v>63</v>
      </c>
      <c r="B64">
        <v>115</v>
      </c>
      <c r="C64" s="3">
        <v>44438</v>
      </c>
      <c r="D64">
        <v>59</v>
      </c>
      <c r="E64">
        <v>50.323</v>
      </c>
      <c r="F64">
        <v>28</v>
      </c>
      <c r="G64">
        <v>28.461</v>
      </c>
      <c r="H64" s="2">
        <v>28.47435</v>
      </c>
      <c r="I64" s="2">
        <v>59.8387166666667</v>
      </c>
      <c r="J64">
        <v>5</v>
      </c>
      <c r="K64">
        <v>2.5</v>
      </c>
      <c r="L64">
        <v>15</v>
      </c>
      <c r="N64">
        <v>2.97</v>
      </c>
      <c r="P64">
        <v>8.6</v>
      </c>
      <c r="R64">
        <v>250</v>
      </c>
      <c r="W64" t="s">
        <v>1621</v>
      </c>
      <c r="AA64" s="1" t="s">
        <v>1354</v>
      </c>
    </row>
    <row r="65" spans="1:29">
      <c r="A65">
        <f t="shared" si="0"/>
        <v>64</v>
      </c>
      <c r="B65">
        <v>112</v>
      </c>
      <c r="C65" s="3">
        <v>44438</v>
      </c>
      <c r="D65">
        <v>59</v>
      </c>
      <c r="E65">
        <v>48.518</v>
      </c>
      <c r="F65">
        <v>28</v>
      </c>
      <c r="G65">
        <v>26.204</v>
      </c>
      <c r="H65" s="2">
        <v>28.4367333333333</v>
      </c>
      <c r="I65" s="2">
        <v>59.8086333333333</v>
      </c>
      <c r="J65">
        <v>10.5</v>
      </c>
      <c r="K65">
        <v>2.3</v>
      </c>
      <c r="L65">
        <v>14.7</v>
      </c>
      <c r="N65">
        <v>3.08</v>
      </c>
      <c r="P65">
        <v>8.6</v>
      </c>
      <c r="R65">
        <v>242</v>
      </c>
      <c r="W65" t="s">
        <v>1622</v>
      </c>
      <c r="AA65" s="1" t="s">
        <v>1354</v>
      </c>
      <c r="AC65" t="s">
        <v>1354</v>
      </c>
    </row>
    <row r="66" spans="1:29">
      <c r="A66">
        <f t="shared" si="0"/>
        <v>65</v>
      </c>
      <c r="B66">
        <v>105</v>
      </c>
      <c r="C66" s="3">
        <v>44438</v>
      </c>
      <c r="D66">
        <v>59</v>
      </c>
      <c r="E66">
        <v>48.381</v>
      </c>
      <c r="F66">
        <v>28</v>
      </c>
      <c r="G66">
        <v>23.898</v>
      </c>
      <c r="H66" s="2">
        <v>28.3983</v>
      </c>
      <c r="I66" s="2">
        <v>59.80635</v>
      </c>
      <c r="J66">
        <v>19</v>
      </c>
      <c r="K66">
        <v>3</v>
      </c>
      <c r="L66">
        <v>14.8</v>
      </c>
      <c r="N66">
        <v>3.07</v>
      </c>
      <c r="P66">
        <v>8.6</v>
      </c>
      <c r="R66">
        <v>238</v>
      </c>
      <c r="W66" t="s">
        <v>1623</v>
      </c>
      <c r="AA66" s="1" t="s">
        <v>1354</v>
      </c>
      <c r="AC66" t="s">
        <v>1354</v>
      </c>
    </row>
    <row r="67" spans="1:29">
      <c r="A67">
        <f t="shared" si="0"/>
        <v>66</v>
      </c>
      <c r="B67">
        <v>106</v>
      </c>
      <c r="C67" s="3">
        <v>44438</v>
      </c>
      <c r="D67">
        <v>59</v>
      </c>
      <c r="E67">
        <v>47.132</v>
      </c>
      <c r="F67">
        <v>28</v>
      </c>
      <c r="G67">
        <v>23.872</v>
      </c>
      <c r="H67" s="2">
        <v>28.3978666666667</v>
      </c>
      <c r="I67" s="2">
        <v>59.7855333333333</v>
      </c>
      <c r="J67">
        <v>20</v>
      </c>
      <c r="K67">
        <v>2.7</v>
      </c>
      <c r="L67">
        <v>15</v>
      </c>
      <c r="N67">
        <v>3.07</v>
      </c>
      <c r="P67">
        <v>8.6</v>
      </c>
      <c r="R67">
        <v>236</v>
      </c>
      <c r="W67" t="s">
        <v>1624</v>
      </c>
      <c r="AA67" s="1" t="s">
        <v>1354</v>
      </c>
      <c r="AC67" t="s">
        <v>1354</v>
      </c>
    </row>
    <row r="68" spans="1:29">
      <c r="A68">
        <f t="shared" ref="A68:A120" si="1">A67+1</f>
        <v>67</v>
      </c>
      <c r="B68">
        <v>104</v>
      </c>
      <c r="C68" s="3">
        <v>44438</v>
      </c>
      <c r="D68">
        <v>59</v>
      </c>
      <c r="E68">
        <v>46.051</v>
      </c>
      <c r="F68">
        <v>28</v>
      </c>
      <c r="G68">
        <v>23.075</v>
      </c>
      <c r="H68" s="2">
        <v>28.3845833333333</v>
      </c>
      <c r="I68" s="2">
        <v>59.7675166666667</v>
      </c>
      <c r="J68">
        <v>12</v>
      </c>
      <c r="K68">
        <v>2.3</v>
      </c>
      <c r="L68">
        <v>15.6</v>
      </c>
      <c r="N68">
        <v>3.16</v>
      </c>
      <c r="P68">
        <v>8.9</v>
      </c>
      <c r="R68">
        <v>234</v>
      </c>
      <c r="W68" t="s">
        <v>1625</v>
      </c>
      <c r="AA68" s="1" t="s">
        <v>1354</v>
      </c>
      <c r="AC68" t="s">
        <v>1354</v>
      </c>
    </row>
    <row r="69" spans="1:29">
      <c r="A69">
        <f t="shared" si="1"/>
        <v>68</v>
      </c>
      <c r="B69">
        <v>103</v>
      </c>
      <c r="C69" s="3">
        <v>44438</v>
      </c>
      <c r="D69">
        <v>59</v>
      </c>
      <c r="E69">
        <v>45.468</v>
      </c>
      <c r="F69">
        <v>28</v>
      </c>
      <c r="G69">
        <v>22.552</v>
      </c>
      <c r="H69" s="2">
        <v>28.3758666666667</v>
      </c>
      <c r="I69" s="2">
        <v>59.7578</v>
      </c>
      <c r="J69">
        <v>12</v>
      </c>
      <c r="K69">
        <v>2.6</v>
      </c>
      <c r="L69">
        <v>15.4</v>
      </c>
      <c r="N69">
        <v>3.13</v>
      </c>
      <c r="P69">
        <v>8.59</v>
      </c>
      <c r="R69">
        <v>231</v>
      </c>
      <c r="W69" t="s">
        <v>1626</v>
      </c>
      <c r="AA69" s="1" t="s">
        <v>1354</v>
      </c>
      <c r="AC69" t="s">
        <v>1354</v>
      </c>
    </row>
    <row r="70" spans="1:29">
      <c r="A70">
        <f t="shared" si="1"/>
        <v>69</v>
      </c>
      <c r="B70">
        <v>99</v>
      </c>
      <c r="C70" s="3">
        <v>44438</v>
      </c>
      <c r="D70">
        <v>59</v>
      </c>
      <c r="E70">
        <v>43.918</v>
      </c>
      <c r="F70">
        <v>28</v>
      </c>
      <c r="G70">
        <v>21.762</v>
      </c>
      <c r="H70" s="2">
        <v>28.3627</v>
      </c>
      <c r="I70" s="2">
        <v>59.7319666666667</v>
      </c>
      <c r="J70">
        <v>8</v>
      </c>
      <c r="K70">
        <v>1.4</v>
      </c>
      <c r="L70">
        <v>16.1</v>
      </c>
      <c r="N70">
        <v>3.13</v>
      </c>
      <c r="P70">
        <v>8.7</v>
      </c>
      <c r="R70">
        <v>230</v>
      </c>
      <c r="W70" t="s">
        <v>1627</v>
      </c>
      <c r="AA70" s="1" t="s">
        <v>1354</v>
      </c>
      <c r="AC70" t="s">
        <v>1354</v>
      </c>
    </row>
    <row r="71" spans="1:29">
      <c r="A71">
        <f t="shared" si="1"/>
        <v>70</v>
      </c>
      <c r="B71">
        <v>111</v>
      </c>
      <c r="C71" s="3">
        <v>44438</v>
      </c>
      <c r="D71">
        <v>59</v>
      </c>
      <c r="E71">
        <v>47.831</v>
      </c>
      <c r="F71">
        <v>28</v>
      </c>
      <c r="G71">
        <v>24.575</v>
      </c>
      <c r="H71" s="2">
        <v>28.4095833333333</v>
      </c>
      <c r="I71" s="2">
        <v>59.7971833333333</v>
      </c>
      <c r="J71">
        <v>27</v>
      </c>
      <c r="K71">
        <v>3</v>
      </c>
      <c r="L71">
        <v>15.1</v>
      </c>
      <c r="N71">
        <v>3.05</v>
      </c>
      <c r="P71">
        <v>8.7</v>
      </c>
      <c r="R71">
        <v>231</v>
      </c>
      <c r="T71">
        <v>15.7</v>
      </c>
      <c r="U71">
        <v>7.09</v>
      </c>
      <c r="W71" t="s">
        <v>1628</v>
      </c>
      <c r="AA71" s="1" t="s">
        <v>1354</v>
      </c>
      <c r="AC71" t="s">
        <v>1354</v>
      </c>
    </row>
    <row r="72" spans="1:26">
      <c r="A72">
        <f t="shared" si="1"/>
        <v>71</v>
      </c>
      <c r="B72" t="s">
        <v>1629</v>
      </c>
      <c r="C72" s="3">
        <v>44438</v>
      </c>
      <c r="D72">
        <v>59</v>
      </c>
      <c r="E72">
        <v>47.903</v>
      </c>
      <c r="F72">
        <v>28</v>
      </c>
      <c r="G72">
        <v>24.452</v>
      </c>
      <c r="H72" s="2">
        <v>28.4075333333333</v>
      </c>
      <c r="I72" s="2">
        <v>59.7983833333333</v>
      </c>
      <c r="J72">
        <v>27</v>
      </c>
      <c r="M72">
        <v>13.5</v>
      </c>
      <c r="O72">
        <v>3.1</v>
      </c>
      <c r="Q72">
        <v>8.47</v>
      </c>
      <c r="S72">
        <v>232</v>
      </c>
      <c r="Y72" t="s">
        <v>1630</v>
      </c>
      <c r="Z72" t="s">
        <v>1631</v>
      </c>
    </row>
    <row r="73" spans="1:27">
      <c r="A73">
        <f t="shared" si="1"/>
        <v>72</v>
      </c>
      <c r="B73">
        <v>79</v>
      </c>
      <c r="C73" s="3">
        <v>59</v>
      </c>
      <c r="D73">
        <v>59</v>
      </c>
      <c r="E73">
        <v>50.231</v>
      </c>
      <c r="F73">
        <v>28</v>
      </c>
      <c r="G73">
        <v>15.366</v>
      </c>
      <c r="H73" s="2">
        <v>28.2561</v>
      </c>
      <c r="I73" s="2">
        <v>59.8371833333333</v>
      </c>
      <c r="J73">
        <v>25.5</v>
      </c>
      <c r="K73">
        <v>2.7</v>
      </c>
      <c r="L73">
        <v>15.7</v>
      </c>
      <c r="N73">
        <v>3.02</v>
      </c>
      <c r="P73">
        <v>8.57</v>
      </c>
      <c r="R73">
        <v>243</v>
      </c>
      <c r="T73">
        <v>7.8</v>
      </c>
      <c r="U73">
        <v>7.48</v>
      </c>
      <c r="W73" t="s">
        <v>1632</v>
      </c>
      <c r="AA73" s="1" t="s">
        <v>1354</v>
      </c>
    </row>
    <row r="74" spans="1:29">
      <c r="A74">
        <f t="shared" si="1"/>
        <v>73</v>
      </c>
      <c r="B74">
        <v>76</v>
      </c>
      <c r="C74" s="3">
        <v>44439</v>
      </c>
      <c r="D74">
        <v>59</v>
      </c>
      <c r="E74">
        <v>50.969</v>
      </c>
      <c r="F74">
        <v>28</v>
      </c>
      <c r="G74">
        <v>14.377</v>
      </c>
      <c r="H74" s="2">
        <v>28.2396166666667</v>
      </c>
      <c r="I74" s="2">
        <v>59.8494833333333</v>
      </c>
      <c r="J74">
        <v>25.5</v>
      </c>
      <c r="K74">
        <v>3</v>
      </c>
      <c r="L74">
        <v>15.5</v>
      </c>
      <c r="N74">
        <v>3.05</v>
      </c>
      <c r="P74">
        <v>8.6</v>
      </c>
      <c r="R74">
        <v>236</v>
      </c>
      <c r="T74">
        <v>8.9</v>
      </c>
      <c r="U74">
        <v>7.37</v>
      </c>
      <c r="W74" t="s">
        <v>1633</v>
      </c>
      <c r="AA74" s="1" t="s">
        <v>1354</v>
      </c>
      <c r="AC74" t="s">
        <v>1354</v>
      </c>
    </row>
    <row r="75" spans="1:29">
      <c r="A75">
        <f t="shared" si="1"/>
        <v>74</v>
      </c>
      <c r="B75">
        <v>75</v>
      </c>
      <c r="C75" s="3">
        <v>44439</v>
      </c>
      <c r="D75">
        <v>59</v>
      </c>
      <c r="E75">
        <v>50.001</v>
      </c>
      <c r="F75">
        <v>28</v>
      </c>
      <c r="G75">
        <v>13.613</v>
      </c>
      <c r="H75" s="2">
        <v>28.2268833333333</v>
      </c>
      <c r="I75" s="2">
        <v>59.83335</v>
      </c>
      <c r="J75">
        <v>23</v>
      </c>
      <c r="K75">
        <v>1.9</v>
      </c>
      <c r="L75">
        <v>15.9</v>
      </c>
      <c r="N75">
        <v>3.14</v>
      </c>
      <c r="P75">
        <v>8.6</v>
      </c>
      <c r="R75">
        <v>235</v>
      </c>
      <c r="T75">
        <v>10.4</v>
      </c>
      <c r="U75">
        <v>7.46</v>
      </c>
      <c r="W75" t="s">
        <v>1634</v>
      </c>
      <c r="AA75" s="1" t="s">
        <v>1354</v>
      </c>
      <c r="AC75" t="s">
        <v>1354</v>
      </c>
    </row>
    <row r="76" spans="1:29">
      <c r="A76">
        <f t="shared" si="1"/>
        <v>75</v>
      </c>
      <c r="B76" t="s">
        <v>1635</v>
      </c>
      <c r="C76" s="3">
        <v>44439</v>
      </c>
      <c r="D76">
        <v>59</v>
      </c>
      <c r="E76">
        <v>49.096</v>
      </c>
      <c r="F76">
        <v>28</v>
      </c>
      <c r="G76">
        <v>12.903</v>
      </c>
      <c r="H76" s="2">
        <v>28.21505</v>
      </c>
      <c r="I76" s="2">
        <v>59.8182666666667</v>
      </c>
      <c r="J76">
        <v>24.5</v>
      </c>
      <c r="K76">
        <v>2.3</v>
      </c>
      <c r="L76">
        <v>16.1</v>
      </c>
      <c r="M76">
        <v>15</v>
      </c>
      <c r="N76">
        <v>3.15</v>
      </c>
      <c r="O76">
        <v>3.31</v>
      </c>
      <c r="P76">
        <v>8.7</v>
      </c>
      <c r="Q76">
        <v>8.48</v>
      </c>
      <c r="R76">
        <v>233</v>
      </c>
      <c r="S76">
        <v>230</v>
      </c>
      <c r="T76">
        <v>10.6</v>
      </c>
      <c r="U76">
        <v>7.4</v>
      </c>
      <c r="W76" t="s">
        <v>1636</v>
      </c>
      <c r="Y76" t="s">
        <v>1637</v>
      </c>
      <c r="Z76" t="s">
        <v>1638</v>
      </c>
      <c r="AA76" s="1" t="s">
        <v>1354</v>
      </c>
      <c r="AC76" t="s">
        <v>1354</v>
      </c>
    </row>
    <row r="77" spans="1:19">
      <c r="A77">
        <f t="shared" si="1"/>
        <v>76</v>
      </c>
      <c r="B77">
        <v>73</v>
      </c>
      <c r="C77" s="3">
        <v>44439</v>
      </c>
      <c r="D77">
        <v>59</v>
      </c>
      <c r="E77">
        <v>50.721</v>
      </c>
      <c r="F77">
        <v>28</v>
      </c>
      <c r="G77">
        <v>12.025</v>
      </c>
      <c r="H77" s="2">
        <v>28.2004166666667</v>
      </c>
      <c r="I77" s="2">
        <v>59.84535</v>
      </c>
      <c r="J77">
        <v>25.5</v>
      </c>
      <c r="K77">
        <v>2.3</v>
      </c>
      <c r="L77">
        <v>16</v>
      </c>
      <c r="N77">
        <v>3.15</v>
      </c>
      <c r="P77">
        <v>8.6</v>
      </c>
      <c r="R77">
        <v>230</v>
      </c>
      <c r="S77" t="s">
        <v>1639</v>
      </c>
    </row>
    <row r="78" spans="1:29">
      <c r="A78">
        <f t="shared" si="1"/>
        <v>77</v>
      </c>
      <c r="B78">
        <v>70</v>
      </c>
      <c r="C78" s="3">
        <v>44439</v>
      </c>
      <c r="D78">
        <v>59</v>
      </c>
      <c r="E78">
        <v>47.896</v>
      </c>
      <c r="F78">
        <v>28</v>
      </c>
      <c r="G78">
        <v>9.978</v>
      </c>
      <c r="H78" s="2">
        <v>28.1663</v>
      </c>
      <c r="I78" s="2">
        <v>59.7982666666667</v>
      </c>
      <c r="J78">
        <v>11</v>
      </c>
      <c r="K78">
        <v>2.1</v>
      </c>
      <c r="L78">
        <v>16.4</v>
      </c>
      <c r="N78">
        <v>3.12</v>
      </c>
      <c r="P78">
        <v>8.8</v>
      </c>
      <c r="R78">
        <v>221</v>
      </c>
      <c r="W78" t="s">
        <v>1640</v>
      </c>
      <c r="AA78" s="1" t="s">
        <v>1354</v>
      </c>
      <c r="AC78" t="s">
        <v>1354</v>
      </c>
    </row>
    <row r="79" spans="1:29">
      <c r="A79">
        <f t="shared" si="1"/>
        <v>78</v>
      </c>
      <c r="B79">
        <v>74</v>
      </c>
      <c r="C79" s="3">
        <v>44439</v>
      </c>
      <c r="D79">
        <v>59</v>
      </c>
      <c r="E79">
        <v>46.804</v>
      </c>
      <c r="F79">
        <v>28</v>
      </c>
      <c r="G79">
        <v>12.953</v>
      </c>
      <c r="H79" s="2">
        <v>28.2158833333333</v>
      </c>
      <c r="I79" s="2">
        <v>59.7800666666667</v>
      </c>
      <c r="J79">
        <v>23</v>
      </c>
      <c r="K79">
        <v>2.2</v>
      </c>
      <c r="L79">
        <v>16.8</v>
      </c>
      <c r="N79">
        <v>3.14</v>
      </c>
      <c r="P79">
        <v>8.85</v>
      </c>
      <c r="R79">
        <v>206</v>
      </c>
      <c r="T79">
        <v>10.1</v>
      </c>
      <c r="U79">
        <v>7.83</v>
      </c>
      <c r="W79" t="s">
        <v>1641</v>
      </c>
      <c r="AA79" s="1" t="s">
        <v>1354</v>
      </c>
      <c r="AC79" t="s">
        <v>1354</v>
      </c>
    </row>
    <row r="80" spans="1:29">
      <c r="A80">
        <f t="shared" si="1"/>
        <v>79</v>
      </c>
      <c r="B80">
        <v>77</v>
      </c>
      <c r="C80" s="3">
        <v>44439</v>
      </c>
      <c r="D80">
        <v>59</v>
      </c>
      <c r="E80">
        <v>28.247</v>
      </c>
      <c r="F80">
        <v>28</v>
      </c>
      <c r="G80">
        <v>14.541</v>
      </c>
      <c r="H80" s="2">
        <v>28.24235</v>
      </c>
      <c r="I80" s="2">
        <v>59.4707833333333</v>
      </c>
      <c r="J80">
        <v>23.5</v>
      </c>
      <c r="K80">
        <v>1.7</v>
      </c>
      <c r="L80">
        <v>15.6</v>
      </c>
      <c r="N80">
        <v>3.18</v>
      </c>
      <c r="P80">
        <v>8.6</v>
      </c>
      <c r="R80">
        <v>211</v>
      </c>
      <c r="T80">
        <v>7.2</v>
      </c>
      <c r="U80">
        <v>7.77</v>
      </c>
      <c r="W80" t="s">
        <v>1642</v>
      </c>
      <c r="AA80" s="1" t="s">
        <v>1354</v>
      </c>
      <c r="AC80" t="s">
        <v>1354</v>
      </c>
    </row>
    <row r="81" spans="1:29">
      <c r="A81">
        <f t="shared" si="1"/>
        <v>80</v>
      </c>
      <c r="B81">
        <v>78</v>
      </c>
      <c r="C81" s="3">
        <v>44439</v>
      </c>
      <c r="D81">
        <v>59</v>
      </c>
      <c r="E81">
        <v>47.152</v>
      </c>
      <c r="F81">
        <v>28</v>
      </c>
      <c r="G81">
        <v>14.964</v>
      </c>
      <c r="H81" s="2">
        <v>28.2494</v>
      </c>
      <c r="I81" s="2">
        <v>59.7858666666667</v>
      </c>
      <c r="J81">
        <v>23</v>
      </c>
      <c r="K81">
        <v>2</v>
      </c>
      <c r="L81">
        <v>16.7</v>
      </c>
      <c r="N81">
        <v>3.12</v>
      </c>
      <c r="P81">
        <v>8.8</v>
      </c>
      <c r="R81">
        <v>212</v>
      </c>
      <c r="T81">
        <v>8.3</v>
      </c>
      <c r="U81">
        <v>7.68</v>
      </c>
      <c r="W81" t="s">
        <v>1643</v>
      </c>
      <c r="AA81" s="1" t="s">
        <v>1354</v>
      </c>
      <c r="AC81" t="s">
        <v>1354</v>
      </c>
    </row>
    <row r="82" spans="1:29">
      <c r="A82">
        <f t="shared" si="1"/>
        <v>81</v>
      </c>
      <c r="B82">
        <v>81</v>
      </c>
      <c r="C82" s="3">
        <v>44439</v>
      </c>
      <c r="D82">
        <v>59</v>
      </c>
      <c r="E82">
        <v>46.291</v>
      </c>
      <c r="F82">
        <v>28</v>
      </c>
      <c r="G82">
        <v>16.565</v>
      </c>
      <c r="H82" s="2">
        <v>28.2760833333333</v>
      </c>
      <c r="I82" s="2">
        <v>59.7715166666667</v>
      </c>
      <c r="J82">
        <v>7</v>
      </c>
      <c r="K82">
        <v>1.7</v>
      </c>
      <c r="L82">
        <v>16.2</v>
      </c>
      <c r="N82">
        <v>3.15</v>
      </c>
      <c r="P82">
        <v>8.7</v>
      </c>
      <c r="R82">
        <v>215</v>
      </c>
      <c r="W82" t="s">
        <v>1644</v>
      </c>
      <c r="AA82" s="1" t="s">
        <v>1645</v>
      </c>
      <c r="AC82" t="s">
        <v>214</v>
      </c>
    </row>
    <row r="83" spans="1:29">
      <c r="A83">
        <f t="shared" si="1"/>
        <v>82</v>
      </c>
      <c r="B83">
        <v>83</v>
      </c>
      <c r="C83" s="3">
        <v>44439</v>
      </c>
      <c r="D83">
        <v>59</v>
      </c>
      <c r="E83">
        <v>47.259</v>
      </c>
      <c r="F83">
        <v>28</v>
      </c>
      <c r="G83">
        <v>16.999</v>
      </c>
      <c r="H83" s="2">
        <v>28.2833166666667</v>
      </c>
      <c r="I83" s="2">
        <v>59.78765</v>
      </c>
      <c r="J83">
        <v>17</v>
      </c>
      <c r="K83">
        <v>2.6</v>
      </c>
      <c r="L83">
        <v>15.3</v>
      </c>
      <c r="N83">
        <v>3.1</v>
      </c>
      <c r="P83">
        <v>8.7</v>
      </c>
      <c r="R83">
        <v>224</v>
      </c>
      <c r="W83" t="s">
        <v>1646</v>
      </c>
      <c r="AA83" s="1" t="s">
        <v>1354</v>
      </c>
      <c r="AC83" t="s">
        <v>1647</v>
      </c>
    </row>
    <row r="84" spans="1:29">
      <c r="A84">
        <f t="shared" si="1"/>
        <v>83</v>
      </c>
      <c r="B84">
        <v>89</v>
      </c>
      <c r="C84" s="3">
        <v>44439</v>
      </c>
      <c r="D84">
        <v>59</v>
      </c>
      <c r="E84">
        <v>46.078</v>
      </c>
      <c r="F84">
        <v>28</v>
      </c>
      <c r="G84">
        <v>18.981</v>
      </c>
      <c r="H84" s="2">
        <v>28.31635</v>
      </c>
      <c r="I84" s="2">
        <v>59.7679666666667</v>
      </c>
      <c r="J84">
        <v>16.5</v>
      </c>
      <c r="K84">
        <v>3.5</v>
      </c>
      <c r="L84">
        <v>15.4</v>
      </c>
      <c r="N84">
        <v>3.11</v>
      </c>
      <c r="P84">
        <v>8.6</v>
      </c>
      <c r="R84">
        <v>228</v>
      </c>
      <c r="W84" t="s">
        <v>1648</v>
      </c>
      <c r="AA84" s="1" t="s">
        <v>1354</v>
      </c>
      <c r="AC84" t="s">
        <v>1354</v>
      </c>
    </row>
    <row r="85" spans="1:27">
      <c r="A85">
        <f t="shared" si="1"/>
        <v>84</v>
      </c>
      <c r="B85">
        <v>98</v>
      </c>
      <c r="C85" s="3">
        <v>44439</v>
      </c>
      <c r="D85">
        <v>59</v>
      </c>
      <c r="E85">
        <v>47.409</v>
      </c>
      <c r="F85">
        <v>28</v>
      </c>
      <c r="G85">
        <v>22.382</v>
      </c>
      <c r="H85" s="2">
        <v>28.3730333333333</v>
      </c>
      <c r="I85" s="2">
        <v>59.79015</v>
      </c>
      <c r="J85">
        <v>2.7</v>
      </c>
      <c r="K85">
        <v>2.7</v>
      </c>
      <c r="L85">
        <v>15.8</v>
      </c>
      <c r="N85">
        <v>3.08</v>
      </c>
      <c r="P85">
        <v>8.6</v>
      </c>
      <c r="R85">
        <v>226</v>
      </c>
      <c r="W85" t="s">
        <v>1649</v>
      </c>
      <c r="AA85" s="1" t="s">
        <v>1650</v>
      </c>
    </row>
    <row r="86" spans="1:29">
      <c r="A86">
        <f t="shared" si="1"/>
        <v>85</v>
      </c>
      <c r="B86">
        <v>91</v>
      </c>
      <c r="C86" s="3">
        <v>44439</v>
      </c>
      <c r="D86">
        <v>59</v>
      </c>
      <c r="E86">
        <v>47.92</v>
      </c>
      <c r="F86">
        <v>28</v>
      </c>
      <c r="G86">
        <v>20.454</v>
      </c>
      <c r="H86" s="2">
        <v>28.3409</v>
      </c>
      <c r="I86" s="2">
        <v>59.7986666666667</v>
      </c>
      <c r="J86">
        <v>18</v>
      </c>
      <c r="K86">
        <v>2.7</v>
      </c>
      <c r="L86">
        <v>16.1</v>
      </c>
      <c r="N86">
        <v>2.94</v>
      </c>
      <c r="P86">
        <v>8.6</v>
      </c>
      <c r="R86">
        <v>224</v>
      </c>
      <c r="W86" t="s">
        <v>1651</v>
      </c>
      <c r="AA86" s="1" t="s">
        <v>1354</v>
      </c>
      <c r="AC86" t="s">
        <v>1652</v>
      </c>
    </row>
    <row r="87" spans="1:29">
      <c r="A87">
        <f t="shared" si="1"/>
        <v>86</v>
      </c>
      <c r="B87">
        <v>97</v>
      </c>
      <c r="C87" s="3">
        <v>44439</v>
      </c>
      <c r="D87">
        <v>59</v>
      </c>
      <c r="E87">
        <v>48.386</v>
      </c>
      <c r="F87">
        <v>28</v>
      </c>
      <c r="G87">
        <v>22.219</v>
      </c>
      <c r="H87" s="2">
        <v>28.3703166666667</v>
      </c>
      <c r="I87" s="2">
        <v>59.8064333333333</v>
      </c>
      <c r="J87">
        <v>4</v>
      </c>
      <c r="K87">
        <v>2.7</v>
      </c>
      <c r="L87">
        <v>15.8</v>
      </c>
      <c r="N87">
        <v>2.98</v>
      </c>
      <c r="P87">
        <v>8.7</v>
      </c>
      <c r="R87">
        <v>227</v>
      </c>
      <c r="W87" t="s">
        <v>1653</v>
      </c>
      <c r="AA87" s="1" t="s">
        <v>1654</v>
      </c>
      <c r="AB87" t="s">
        <v>1655</v>
      </c>
      <c r="AC87" t="s">
        <v>214</v>
      </c>
    </row>
    <row r="88" spans="1:29">
      <c r="A88">
        <f t="shared" si="1"/>
        <v>87</v>
      </c>
      <c r="B88">
        <v>10</v>
      </c>
      <c r="C88" s="3">
        <v>44449</v>
      </c>
      <c r="D88">
        <v>59</v>
      </c>
      <c r="E88">
        <v>40.768</v>
      </c>
      <c r="F88">
        <v>27</v>
      </c>
      <c r="G88">
        <v>53.814</v>
      </c>
      <c r="H88" s="2">
        <v>27.8969</v>
      </c>
      <c r="I88" s="2">
        <v>59.6794666666667</v>
      </c>
      <c r="J88">
        <v>12</v>
      </c>
      <c r="K88">
        <v>2.5</v>
      </c>
      <c r="L88">
        <v>14.9</v>
      </c>
      <c r="N88">
        <v>3.25</v>
      </c>
      <c r="P88">
        <v>8.59</v>
      </c>
      <c r="R88">
        <v>182</v>
      </c>
      <c r="W88" t="s">
        <v>1656</v>
      </c>
      <c r="AA88" s="1" t="s">
        <v>1354</v>
      </c>
      <c r="AC88" t="s">
        <v>1354</v>
      </c>
    </row>
    <row r="89" spans="1:29">
      <c r="A89">
        <f t="shared" si="1"/>
        <v>88</v>
      </c>
      <c r="B89">
        <v>11</v>
      </c>
      <c r="C89" s="3">
        <v>44449</v>
      </c>
      <c r="D89">
        <v>59</v>
      </c>
      <c r="E89">
        <v>42.17</v>
      </c>
      <c r="F89">
        <v>27</v>
      </c>
      <c r="G89">
        <v>54.168</v>
      </c>
      <c r="H89" s="2">
        <v>27.9028</v>
      </c>
      <c r="I89" s="2">
        <v>59.7028333333333</v>
      </c>
      <c r="J89">
        <v>8.5</v>
      </c>
      <c r="K89">
        <v>2.5</v>
      </c>
      <c r="L89">
        <v>14.4</v>
      </c>
      <c r="N89">
        <v>3.21</v>
      </c>
      <c r="P89">
        <v>8.58</v>
      </c>
      <c r="R89">
        <v>188</v>
      </c>
      <c r="V89" t="s">
        <v>1657</v>
      </c>
      <c r="W89" t="s">
        <v>1656</v>
      </c>
      <c r="AA89" s="1" t="s">
        <v>1354</v>
      </c>
      <c r="AC89" t="s">
        <v>1354</v>
      </c>
    </row>
    <row r="90" spans="1:29">
      <c r="A90">
        <f t="shared" si="1"/>
        <v>89</v>
      </c>
      <c r="B90">
        <v>17</v>
      </c>
      <c r="C90" s="3">
        <v>44449</v>
      </c>
      <c r="D90">
        <v>59</v>
      </c>
      <c r="E90">
        <v>43.708</v>
      </c>
      <c r="F90">
        <v>27</v>
      </c>
      <c r="G90">
        <v>55.407</v>
      </c>
      <c r="H90" s="2">
        <v>27.92345</v>
      </c>
      <c r="I90" s="2">
        <v>59.7284666666667</v>
      </c>
      <c r="J90">
        <v>4</v>
      </c>
      <c r="K90">
        <v>2.6</v>
      </c>
      <c r="L90">
        <v>14.1</v>
      </c>
      <c r="N90">
        <v>3.1</v>
      </c>
      <c r="P90">
        <v>8.38</v>
      </c>
      <c r="R90">
        <v>192</v>
      </c>
      <c r="W90" t="s">
        <v>1658</v>
      </c>
      <c r="AA90" s="1" t="s">
        <v>1659</v>
      </c>
      <c r="AB90" t="s">
        <v>1660</v>
      </c>
      <c r="AC90" t="s">
        <v>214</v>
      </c>
    </row>
    <row r="91" spans="1:29">
      <c r="A91">
        <f t="shared" si="1"/>
        <v>90</v>
      </c>
      <c r="B91">
        <v>20</v>
      </c>
      <c r="C91" s="3">
        <v>44449</v>
      </c>
      <c r="D91">
        <v>59</v>
      </c>
      <c r="E91">
        <v>44.784</v>
      </c>
      <c r="F91">
        <v>27</v>
      </c>
      <c r="G91">
        <v>56.037</v>
      </c>
      <c r="H91" s="2">
        <v>27.93395</v>
      </c>
      <c r="I91" s="2">
        <v>59.7464</v>
      </c>
      <c r="J91">
        <v>6</v>
      </c>
      <c r="K91">
        <v>2.5</v>
      </c>
      <c r="L91">
        <v>14.1</v>
      </c>
      <c r="N91">
        <v>3.07</v>
      </c>
      <c r="P91">
        <v>8.08</v>
      </c>
      <c r="R91">
        <v>193</v>
      </c>
      <c r="W91" t="s">
        <v>1661</v>
      </c>
      <c r="AA91" s="1" t="s">
        <v>1662</v>
      </c>
      <c r="AB91" t="s">
        <v>1663</v>
      </c>
      <c r="AC91" t="s">
        <v>214</v>
      </c>
    </row>
    <row r="92" spans="1:29">
      <c r="A92">
        <f t="shared" si="1"/>
        <v>91</v>
      </c>
      <c r="B92">
        <v>26</v>
      </c>
      <c r="C92" s="3">
        <v>44449</v>
      </c>
      <c r="D92">
        <v>59</v>
      </c>
      <c r="E92">
        <v>45.386</v>
      </c>
      <c r="F92">
        <v>27</v>
      </c>
      <c r="G92">
        <v>57.889</v>
      </c>
      <c r="H92" s="2">
        <v>27.9648166666667</v>
      </c>
      <c r="I92" s="2">
        <v>59.7564333333333</v>
      </c>
      <c r="J92">
        <v>6</v>
      </c>
      <c r="K92">
        <v>2.2</v>
      </c>
      <c r="L92">
        <v>14.3</v>
      </c>
      <c r="N92">
        <v>3.07</v>
      </c>
      <c r="P92">
        <v>8.68</v>
      </c>
      <c r="R92">
        <v>197</v>
      </c>
      <c r="W92" t="s">
        <v>1664</v>
      </c>
      <c r="AA92" t="s">
        <v>1665</v>
      </c>
      <c r="AB92" t="s">
        <v>1666</v>
      </c>
      <c r="AC92" t="s">
        <v>214</v>
      </c>
    </row>
    <row r="93" spans="1:29">
      <c r="A93">
        <f t="shared" si="1"/>
        <v>92</v>
      </c>
      <c r="B93">
        <v>23</v>
      </c>
      <c r="C93" s="3">
        <v>44449</v>
      </c>
      <c r="D93">
        <v>59</v>
      </c>
      <c r="E93">
        <v>46.709</v>
      </c>
      <c r="F93">
        <v>27</v>
      </c>
      <c r="G93">
        <v>56.783</v>
      </c>
      <c r="H93" s="2">
        <v>27.9463833333333</v>
      </c>
      <c r="I93" s="2">
        <v>59.7784833333333</v>
      </c>
      <c r="J93">
        <v>12</v>
      </c>
      <c r="K93">
        <v>2.7</v>
      </c>
      <c r="L93">
        <v>14.4</v>
      </c>
      <c r="N93">
        <v>3.15</v>
      </c>
      <c r="P93">
        <v>8.52</v>
      </c>
      <c r="R93">
        <v>202</v>
      </c>
      <c r="W93" t="s">
        <v>1667</v>
      </c>
      <c r="AA93" s="1" t="s">
        <v>1668</v>
      </c>
      <c r="AB93" t="s">
        <v>1669</v>
      </c>
      <c r="AC93" t="s">
        <v>214</v>
      </c>
    </row>
    <row r="94" spans="1:29">
      <c r="A94">
        <f t="shared" si="1"/>
        <v>93</v>
      </c>
      <c r="B94">
        <v>54</v>
      </c>
      <c r="C94" s="3">
        <v>44449</v>
      </c>
      <c r="D94">
        <v>59</v>
      </c>
      <c r="E94">
        <v>48.203</v>
      </c>
      <c r="F94">
        <v>28</v>
      </c>
      <c r="G94">
        <v>2.767</v>
      </c>
      <c r="H94" s="2">
        <v>28.0461166666667</v>
      </c>
      <c r="I94" s="2">
        <v>59.8033833333333</v>
      </c>
      <c r="J94">
        <v>9.5</v>
      </c>
      <c r="K94">
        <v>2.3</v>
      </c>
      <c r="L94">
        <v>14.6</v>
      </c>
      <c r="N94">
        <v>3.04</v>
      </c>
      <c r="P94">
        <v>8.6</v>
      </c>
      <c r="R94">
        <v>197</v>
      </c>
      <c r="W94" t="s">
        <v>1670</v>
      </c>
      <c r="AA94" s="1" t="s">
        <v>1671</v>
      </c>
      <c r="AB94" t="s">
        <v>1672</v>
      </c>
      <c r="AC94" t="s">
        <v>214</v>
      </c>
    </row>
    <row r="95" spans="1:29">
      <c r="A95">
        <f t="shared" si="1"/>
        <v>94</v>
      </c>
      <c r="B95" t="s">
        <v>1673</v>
      </c>
      <c r="C95" s="3">
        <v>44449</v>
      </c>
      <c r="D95">
        <v>59</v>
      </c>
      <c r="E95">
        <v>47.61</v>
      </c>
      <c r="F95">
        <v>28</v>
      </c>
      <c r="G95">
        <v>4.031</v>
      </c>
      <c r="H95" s="2">
        <v>28.0671833333333</v>
      </c>
      <c r="I95" s="2">
        <v>59.7935</v>
      </c>
      <c r="J95">
        <v>2.4</v>
      </c>
      <c r="K95">
        <v>2</v>
      </c>
      <c r="L95">
        <v>14.6</v>
      </c>
      <c r="N95">
        <v>3.04</v>
      </c>
      <c r="P95">
        <v>8.52</v>
      </c>
      <c r="R95">
        <v>206</v>
      </c>
      <c r="W95" t="s">
        <v>172</v>
      </c>
      <c r="Y95" t="s">
        <v>1530</v>
      </c>
      <c r="Z95" t="s">
        <v>1674</v>
      </c>
      <c r="AA95" s="1" t="s">
        <v>1354</v>
      </c>
      <c r="AC95" t="s">
        <v>1354</v>
      </c>
    </row>
    <row r="96" spans="1:29">
      <c r="A96">
        <f t="shared" si="1"/>
        <v>95</v>
      </c>
      <c r="B96">
        <v>43</v>
      </c>
      <c r="C96" s="3">
        <v>44449</v>
      </c>
      <c r="D96">
        <v>59</v>
      </c>
      <c r="E96">
        <v>46.661</v>
      </c>
      <c r="F96">
        <v>28</v>
      </c>
      <c r="G96">
        <v>0.606</v>
      </c>
      <c r="H96" s="2">
        <v>28.0101</v>
      </c>
      <c r="I96" s="2">
        <v>59.7776833333333</v>
      </c>
      <c r="J96">
        <v>12</v>
      </c>
      <c r="K96">
        <v>2.5</v>
      </c>
      <c r="L96">
        <v>14.5</v>
      </c>
      <c r="N96">
        <v>3.07</v>
      </c>
      <c r="P96">
        <v>8.2</v>
      </c>
      <c r="R96">
        <v>205</v>
      </c>
      <c r="W96" t="s">
        <v>1675</v>
      </c>
      <c r="AA96" s="1" t="s">
        <v>1354</v>
      </c>
      <c r="AC96" t="s">
        <v>1354</v>
      </c>
    </row>
    <row r="97" spans="1:29">
      <c r="A97">
        <f t="shared" si="1"/>
        <v>96</v>
      </c>
      <c r="B97">
        <v>25</v>
      </c>
      <c r="C97" s="3">
        <v>44449</v>
      </c>
      <c r="D97">
        <v>59</v>
      </c>
      <c r="E97">
        <v>47.748</v>
      </c>
      <c r="F97">
        <v>27</v>
      </c>
      <c r="G97">
        <v>57.367</v>
      </c>
      <c r="H97" s="2">
        <v>27.9561166666667</v>
      </c>
      <c r="I97" s="2">
        <v>59.7958</v>
      </c>
      <c r="J97">
        <v>8</v>
      </c>
      <c r="K97">
        <v>2.6</v>
      </c>
      <c r="L97">
        <v>14.9</v>
      </c>
      <c r="N97">
        <v>3.16</v>
      </c>
      <c r="P97">
        <v>8.11</v>
      </c>
      <c r="R97">
        <v>203</v>
      </c>
      <c r="W97" t="s">
        <v>1676</v>
      </c>
      <c r="AA97" s="1" t="s">
        <v>1677</v>
      </c>
      <c r="AB97" t="s">
        <v>1678</v>
      </c>
      <c r="AC97" t="s">
        <v>214</v>
      </c>
    </row>
    <row r="98" spans="1:29">
      <c r="A98">
        <f t="shared" si="1"/>
        <v>97</v>
      </c>
      <c r="B98" t="s">
        <v>1679</v>
      </c>
      <c r="C98" s="3">
        <v>44450</v>
      </c>
      <c r="D98">
        <v>59</v>
      </c>
      <c r="E98">
        <v>53.444</v>
      </c>
      <c r="F98">
        <v>28</v>
      </c>
      <c r="G98">
        <v>6.848</v>
      </c>
      <c r="H98" s="2">
        <v>28.1141333333333</v>
      </c>
      <c r="I98" s="2">
        <v>59.8907333333333</v>
      </c>
      <c r="J98">
        <v>31</v>
      </c>
      <c r="K98">
        <v>1.8</v>
      </c>
      <c r="L98">
        <v>14.6</v>
      </c>
      <c r="M98">
        <v>14.4</v>
      </c>
      <c r="N98">
        <v>3.02</v>
      </c>
      <c r="O98">
        <v>3.12</v>
      </c>
      <c r="P98">
        <v>8.6</v>
      </c>
      <c r="Q98">
        <v>8.01</v>
      </c>
      <c r="R98">
        <v>188</v>
      </c>
      <c r="S98">
        <v>194</v>
      </c>
      <c r="T98">
        <v>6.7</v>
      </c>
      <c r="U98">
        <v>7.54</v>
      </c>
      <c r="W98" t="s">
        <v>1680</v>
      </c>
      <c r="Y98" t="s">
        <v>1681</v>
      </c>
      <c r="Z98" t="s">
        <v>1682</v>
      </c>
      <c r="AA98" s="1" t="s">
        <v>1354</v>
      </c>
      <c r="AC98" t="s">
        <v>1354</v>
      </c>
    </row>
    <row r="99" spans="1:28">
      <c r="A99">
        <f t="shared" si="1"/>
        <v>98</v>
      </c>
      <c r="B99">
        <v>59</v>
      </c>
      <c r="C99" s="3">
        <v>44450</v>
      </c>
      <c r="D99">
        <v>59</v>
      </c>
      <c r="E99">
        <v>52.659</v>
      </c>
      <c r="F99">
        <v>28</v>
      </c>
      <c r="G99">
        <v>3.802</v>
      </c>
      <c r="H99" s="2">
        <v>28.0633666666667</v>
      </c>
      <c r="I99" s="2">
        <v>59.87765</v>
      </c>
      <c r="J99">
        <v>4</v>
      </c>
      <c r="K99">
        <v>2.8</v>
      </c>
      <c r="L99">
        <v>14.7</v>
      </c>
      <c r="N99">
        <v>3.12</v>
      </c>
      <c r="P99">
        <v>8.09</v>
      </c>
      <c r="R99">
        <v>203</v>
      </c>
      <c r="W99" t="s">
        <v>1683</v>
      </c>
      <c r="AB99" t="s">
        <v>1684</v>
      </c>
    </row>
    <row r="100" spans="1:29">
      <c r="A100">
        <f t="shared" si="1"/>
        <v>99</v>
      </c>
      <c r="B100">
        <v>63</v>
      </c>
      <c r="C100" s="3">
        <v>44450</v>
      </c>
      <c r="D100">
        <v>59</v>
      </c>
      <c r="E100">
        <v>51.951</v>
      </c>
      <c r="F100">
        <v>28</v>
      </c>
      <c r="G100">
        <v>5.439</v>
      </c>
      <c r="H100" s="2">
        <v>28.09065</v>
      </c>
      <c r="I100" s="2">
        <v>59.86585</v>
      </c>
      <c r="J100">
        <v>2.5</v>
      </c>
      <c r="K100">
        <v>2.3</v>
      </c>
      <c r="L100">
        <v>14.7</v>
      </c>
      <c r="N100">
        <v>3.03</v>
      </c>
      <c r="P100">
        <v>8.14</v>
      </c>
      <c r="R100">
        <v>204</v>
      </c>
      <c r="W100" t="s">
        <v>1685</v>
      </c>
      <c r="AA100" s="1" t="s">
        <v>1686</v>
      </c>
      <c r="AB100" t="s">
        <v>1687</v>
      </c>
      <c r="AC100" t="s">
        <v>214</v>
      </c>
    </row>
    <row r="101" spans="1:29">
      <c r="A101">
        <f t="shared" si="1"/>
        <v>100</v>
      </c>
      <c r="B101">
        <v>58</v>
      </c>
      <c r="C101" s="3">
        <v>44450</v>
      </c>
      <c r="D101">
        <v>59</v>
      </c>
      <c r="E101">
        <v>51.496</v>
      </c>
      <c r="F101">
        <v>28</v>
      </c>
      <c r="G101">
        <v>3.754</v>
      </c>
      <c r="H101" s="2">
        <v>28.0625666666667</v>
      </c>
      <c r="I101" s="2">
        <v>59.8582666666667</v>
      </c>
      <c r="J101">
        <v>3</v>
      </c>
      <c r="K101">
        <v>2.5</v>
      </c>
      <c r="L101">
        <v>14.8</v>
      </c>
      <c r="N101">
        <v>3.04</v>
      </c>
      <c r="P101">
        <v>8.12</v>
      </c>
      <c r="R101">
        <v>213</v>
      </c>
      <c r="W101" t="s">
        <v>1688</v>
      </c>
      <c r="AA101" s="1" t="s">
        <v>214</v>
      </c>
      <c r="AB101" t="s">
        <v>1689</v>
      </c>
      <c r="AC101" t="s">
        <v>214</v>
      </c>
    </row>
    <row r="102" spans="1:29">
      <c r="A102">
        <f t="shared" si="1"/>
        <v>101</v>
      </c>
      <c r="B102">
        <v>51</v>
      </c>
      <c r="C102" s="3">
        <v>44450</v>
      </c>
      <c r="D102">
        <v>59</v>
      </c>
      <c r="E102">
        <v>52.076</v>
      </c>
      <c r="F102">
        <v>28</v>
      </c>
      <c r="G102">
        <v>2.107</v>
      </c>
      <c r="H102" s="2">
        <v>28.0351166666667</v>
      </c>
      <c r="I102" s="2">
        <v>59.8679333333333</v>
      </c>
      <c r="J102">
        <v>12</v>
      </c>
      <c r="K102">
        <v>3.3</v>
      </c>
      <c r="L102">
        <v>14.8</v>
      </c>
      <c r="N102">
        <v>3.29</v>
      </c>
      <c r="P102">
        <v>8.12</v>
      </c>
      <c r="R102">
        <v>211</v>
      </c>
      <c r="W102" t="s">
        <v>1690</v>
      </c>
      <c r="AA102" s="1" t="s">
        <v>1354</v>
      </c>
      <c r="AC102" t="s">
        <v>1354</v>
      </c>
    </row>
    <row r="103" spans="1:29">
      <c r="A103">
        <f t="shared" si="1"/>
        <v>102</v>
      </c>
      <c r="B103">
        <v>50</v>
      </c>
      <c r="C103" s="3">
        <v>44450</v>
      </c>
      <c r="D103">
        <v>59</v>
      </c>
      <c r="E103">
        <v>50.644</v>
      </c>
      <c r="F103">
        <v>28</v>
      </c>
      <c r="G103">
        <v>1.993</v>
      </c>
      <c r="H103" s="2">
        <v>28.0332166666667</v>
      </c>
      <c r="I103" s="2">
        <v>59.8440666666667</v>
      </c>
      <c r="J103">
        <v>21</v>
      </c>
      <c r="K103">
        <v>2.6</v>
      </c>
      <c r="L103">
        <v>14.8</v>
      </c>
      <c r="N103">
        <v>3.1</v>
      </c>
      <c r="P103">
        <v>8.15</v>
      </c>
      <c r="R103">
        <v>208</v>
      </c>
      <c r="W103" t="s">
        <v>172</v>
      </c>
      <c r="AA103" s="1" t="s">
        <v>1354</v>
      </c>
      <c r="AC103" t="s">
        <v>1354</v>
      </c>
    </row>
    <row r="104" spans="1:29">
      <c r="A104">
        <f t="shared" si="1"/>
        <v>103</v>
      </c>
      <c r="B104">
        <v>39</v>
      </c>
      <c r="C104" s="3">
        <v>44450</v>
      </c>
      <c r="D104">
        <v>59</v>
      </c>
      <c r="E104">
        <v>50.575</v>
      </c>
      <c r="F104">
        <v>27</v>
      </c>
      <c r="G104">
        <v>59.704</v>
      </c>
      <c r="H104" s="2">
        <v>27.9950666666667</v>
      </c>
      <c r="I104" s="2">
        <v>59.8429166666667</v>
      </c>
      <c r="J104">
        <v>15</v>
      </c>
      <c r="K104">
        <v>3</v>
      </c>
      <c r="L104">
        <v>14.8</v>
      </c>
      <c r="N104">
        <v>3.26</v>
      </c>
      <c r="P104">
        <v>8.13</v>
      </c>
      <c r="R104">
        <v>211</v>
      </c>
      <c r="W104" t="s">
        <v>1691</v>
      </c>
      <c r="AA104" s="5" t="s">
        <v>1354</v>
      </c>
      <c r="AB104" s="4"/>
      <c r="AC104" s="4" t="s">
        <v>1354</v>
      </c>
    </row>
    <row r="105" spans="1:29">
      <c r="A105">
        <f t="shared" si="1"/>
        <v>104</v>
      </c>
      <c r="B105">
        <v>45</v>
      </c>
      <c r="C105" s="3">
        <v>44450</v>
      </c>
      <c r="D105">
        <v>59</v>
      </c>
      <c r="E105">
        <v>49.796</v>
      </c>
      <c r="F105">
        <v>28</v>
      </c>
      <c r="G105">
        <v>1.128</v>
      </c>
      <c r="H105" s="2">
        <v>28.0188</v>
      </c>
      <c r="I105" s="2">
        <v>59.8299333333333</v>
      </c>
      <c r="J105">
        <v>13.5</v>
      </c>
      <c r="K105">
        <v>2.9</v>
      </c>
      <c r="L105">
        <v>14.7</v>
      </c>
      <c r="N105">
        <v>3.15</v>
      </c>
      <c r="P105">
        <v>8.13</v>
      </c>
      <c r="R105">
        <v>211</v>
      </c>
      <c r="W105" t="s">
        <v>1692</v>
      </c>
      <c r="AA105" s="1" t="s">
        <v>1686</v>
      </c>
      <c r="AB105" t="s">
        <v>1693</v>
      </c>
      <c r="AC105" t="s">
        <v>214</v>
      </c>
    </row>
    <row r="106" spans="1:29">
      <c r="A106">
        <f t="shared" si="1"/>
        <v>105</v>
      </c>
      <c r="B106">
        <v>34</v>
      </c>
      <c r="C106" s="3">
        <v>44450</v>
      </c>
      <c r="D106">
        <v>59</v>
      </c>
      <c r="E106">
        <v>49.622</v>
      </c>
      <c r="F106">
        <v>27</v>
      </c>
      <c r="G106">
        <v>59.028</v>
      </c>
      <c r="H106" s="2">
        <v>27.9838</v>
      </c>
      <c r="I106" s="2">
        <v>59.8270333333333</v>
      </c>
      <c r="J106">
        <v>9.5</v>
      </c>
      <c r="K106">
        <v>2.5</v>
      </c>
      <c r="L106">
        <v>14.7</v>
      </c>
      <c r="N106">
        <v>3.15</v>
      </c>
      <c r="P106">
        <v>8.78</v>
      </c>
      <c r="R106">
        <v>213</v>
      </c>
      <c r="W106" t="s">
        <v>1694</v>
      </c>
      <c r="AA106" s="1" t="s">
        <v>1695</v>
      </c>
      <c r="AB106" t="s">
        <v>1696</v>
      </c>
      <c r="AC106" t="s">
        <v>214</v>
      </c>
    </row>
    <row r="107" spans="1:28">
      <c r="A107">
        <f t="shared" si="1"/>
        <v>106</v>
      </c>
      <c r="B107">
        <v>30</v>
      </c>
      <c r="C107" s="3">
        <v>44450</v>
      </c>
      <c r="D107">
        <v>59</v>
      </c>
      <c r="E107">
        <v>48.68</v>
      </c>
      <c r="F107">
        <v>27</v>
      </c>
      <c r="G107">
        <v>58.193</v>
      </c>
      <c r="H107" s="2">
        <v>27.9698833333333</v>
      </c>
      <c r="I107" s="2">
        <v>59.8113333333333</v>
      </c>
      <c r="J107">
        <v>6</v>
      </c>
      <c r="K107">
        <v>2.6</v>
      </c>
      <c r="L107">
        <v>14.9</v>
      </c>
      <c r="N107">
        <v>3.17</v>
      </c>
      <c r="P107">
        <v>8.78</v>
      </c>
      <c r="R107">
        <v>218</v>
      </c>
      <c r="W107" t="s">
        <v>1697</v>
      </c>
      <c r="AA107" s="1" t="s">
        <v>1695</v>
      </c>
      <c r="AB107" t="s">
        <v>1698</v>
      </c>
    </row>
    <row r="108" spans="1:29">
      <c r="A108">
        <f t="shared" si="1"/>
        <v>107</v>
      </c>
      <c r="B108">
        <v>60</v>
      </c>
      <c r="C108" s="3">
        <v>44450</v>
      </c>
      <c r="D108">
        <v>59</v>
      </c>
      <c r="E108">
        <v>50.532</v>
      </c>
      <c r="F108">
        <v>28</v>
      </c>
      <c r="G108">
        <v>4.187</v>
      </c>
      <c r="H108" s="2">
        <v>28.0697833333333</v>
      </c>
      <c r="I108" s="2">
        <v>59.8422</v>
      </c>
      <c r="J108">
        <v>3.5</v>
      </c>
      <c r="K108">
        <v>2.6</v>
      </c>
      <c r="L108">
        <v>15</v>
      </c>
      <c r="N108">
        <v>3.02</v>
      </c>
      <c r="P108">
        <v>8.83</v>
      </c>
      <c r="R108">
        <v>213</v>
      </c>
      <c r="W108" t="s">
        <v>1699</v>
      </c>
      <c r="AA108" s="5" t="s">
        <v>1354</v>
      </c>
      <c r="AB108" s="4"/>
      <c r="AC108" s="4" t="s">
        <v>1354</v>
      </c>
    </row>
    <row r="109" spans="1:29">
      <c r="A109">
        <f t="shared" si="1"/>
        <v>108</v>
      </c>
      <c r="B109">
        <v>69</v>
      </c>
      <c r="C109" s="3">
        <v>44450</v>
      </c>
      <c r="D109">
        <v>59</v>
      </c>
      <c r="E109">
        <v>49.075</v>
      </c>
      <c r="F109">
        <v>28</v>
      </c>
      <c r="G109">
        <v>9.849</v>
      </c>
      <c r="H109" s="2">
        <v>28.16415</v>
      </c>
      <c r="I109" s="2">
        <v>59.8179166666667</v>
      </c>
      <c r="J109">
        <v>26</v>
      </c>
      <c r="K109">
        <v>2</v>
      </c>
      <c r="L109">
        <v>25.4</v>
      </c>
      <c r="N109">
        <v>2.93</v>
      </c>
      <c r="P109">
        <v>8.85</v>
      </c>
      <c r="R109">
        <v>216</v>
      </c>
      <c r="T109">
        <v>7.6</v>
      </c>
      <c r="U109">
        <v>7.46</v>
      </c>
      <c r="W109" t="s">
        <v>1700</v>
      </c>
      <c r="AA109" s="5" t="s">
        <v>1354</v>
      </c>
      <c r="AB109" s="4"/>
      <c r="AC109" s="4" t="s">
        <v>1354</v>
      </c>
    </row>
    <row r="110" spans="1:29">
      <c r="A110">
        <f t="shared" si="1"/>
        <v>109</v>
      </c>
      <c r="B110">
        <v>92</v>
      </c>
      <c r="C110" s="3">
        <v>44450</v>
      </c>
      <c r="D110">
        <v>59</v>
      </c>
      <c r="E110">
        <v>50.449</v>
      </c>
      <c r="F110">
        <v>28</v>
      </c>
      <c r="G110">
        <v>20.608</v>
      </c>
      <c r="H110" s="2">
        <v>28.3434666666667</v>
      </c>
      <c r="I110" s="2">
        <v>59.8408166666667</v>
      </c>
      <c r="J110">
        <v>11</v>
      </c>
      <c r="K110">
        <v>1.7</v>
      </c>
      <c r="L110">
        <v>15.3</v>
      </c>
      <c r="N110">
        <v>2.87</v>
      </c>
      <c r="P110">
        <v>8</v>
      </c>
      <c r="R110">
        <v>216</v>
      </c>
      <c r="W110" t="s">
        <v>1485</v>
      </c>
      <c r="AA110" s="5" t="s">
        <v>1354</v>
      </c>
      <c r="AB110" s="4"/>
      <c r="AC110" s="4" t="s">
        <v>1354</v>
      </c>
    </row>
    <row r="111" spans="1:29">
      <c r="A111">
        <f t="shared" si="1"/>
        <v>110</v>
      </c>
      <c r="B111">
        <v>101</v>
      </c>
      <c r="C111" s="3">
        <v>44450</v>
      </c>
      <c r="D111">
        <v>59</v>
      </c>
      <c r="E111">
        <v>50.426</v>
      </c>
      <c r="F111">
        <v>28</v>
      </c>
      <c r="G111">
        <v>22.64</v>
      </c>
      <c r="H111" s="2">
        <v>28.3773333333333</v>
      </c>
      <c r="I111" s="2">
        <v>59.8404333333333</v>
      </c>
      <c r="J111">
        <v>9</v>
      </c>
      <c r="K111">
        <v>1.4</v>
      </c>
      <c r="L111">
        <v>15.1</v>
      </c>
      <c r="N111">
        <v>2.78</v>
      </c>
      <c r="P111">
        <v>8.89</v>
      </c>
      <c r="R111">
        <v>218</v>
      </c>
      <c r="W111" t="s">
        <v>1701</v>
      </c>
      <c r="AA111" s="5" t="s">
        <v>1702</v>
      </c>
      <c r="AB111" t="s">
        <v>1703</v>
      </c>
      <c r="AC111" s="4" t="s">
        <v>214</v>
      </c>
    </row>
    <row r="112" spans="1:29">
      <c r="A112">
        <f t="shared" si="1"/>
        <v>111</v>
      </c>
      <c r="B112">
        <v>110</v>
      </c>
      <c r="C112" s="3">
        <v>110</v>
      </c>
      <c r="D112">
        <v>59</v>
      </c>
      <c r="E112">
        <v>50.542</v>
      </c>
      <c r="F112">
        <v>28</v>
      </c>
      <c r="G112">
        <v>24.683</v>
      </c>
      <c r="H112" s="2">
        <v>28.4113833333333</v>
      </c>
      <c r="I112" s="2">
        <v>59.8423666666667</v>
      </c>
      <c r="J112">
        <v>30</v>
      </c>
      <c r="K112">
        <v>2.5</v>
      </c>
      <c r="L112">
        <v>14.6</v>
      </c>
      <c r="N112">
        <v>2.73</v>
      </c>
      <c r="P112">
        <v>8.78</v>
      </c>
      <c r="R112">
        <v>226</v>
      </c>
      <c r="T112">
        <v>9.63</v>
      </c>
      <c r="U112">
        <v>7.45</v>
      </c>
      <c r="W112" t="s">
        <v>1704</v>
      </c>
      <c r="AA112" s="5" t="s">
        <v>1354</v>
      </c>
      <c r="AB112" s="4"/>
      <c r="AC112" s="4" t="s">
        <v>1354</v>
      </c>
    </row>
    <row r="113" spans="1:29">
      <c r="A113">
        <f t="shared" si="1"/>
        <v>112</v>
      </c>
      <c r="B113">
        <v>113</v>
      </c>
      <c r="C113" s="3">
        <v>44305</v>
      </c>
      <c r="D113">
        <v>59</v>
      </c>
      <c r="E113">
        <v>50.603</v>
      </c>
      <c r="F113">
        <v>28</v>
      </c>
      <c r="G113">
        <v>27.06</v>
      </c>
      <c r="H113" s="2">
        <v>28.451</v>
      </c>
      <c r="I113" s="2">
        <v>59.8433833333333</v>
      </c>
      <c r="J113">
        <v>30</v>
      </c>
      <c r="K113">
        <v>2.6</v>
      </c>
      <c r="L113">
        <v>14.7</v>
      </c>
      <c r="N113">
        <v>2.75</v>
      </c>
      <c r="P113">
        <v>8.8</v>
      </c>
      <c r="R113">
        <v>228</v>
      </c>
      <c r="T113">
        <v>8.4</v>
      </c>
      <c r="U113">
        <v>7.49</v>
      </c>
      <c r="W113" t="s">
        <v>1704</v>
      </c>
      <c r="AA113" s="5" t="s">
        <v>1354</v>
      </c>
      <c r="AB113" s="4"/>
      <c r="AC113" s="4" t="s">
        <v>1354</v>
      </c>
    </row>
    <row r="114" spans="1:29">
      <c r="A114">
        <f t="shared" si="1"/>
        <v>113</v>
      </c>
      <c r="B114">
        <v>73</v>
      </c>
      <c r="C114" s="3">
        <v>44451</v>
      </c>
      <c r="D114">
        <v>59</v>
      </c>
      <c r="E114">
        <v>50.698</v>
      </c>
      <c r="F114">
        <v>28</v>
      </c>
      <c r="G114">
        <v>12.006</v>
      </c>
      <c r="H114" s="2">
        <v>28.2001</v>
      </c>
      <c r="I114" s="2">
        <v>59.8449666666667</v>
      </c>
      <c r="J114">
        <v>26</v>
      </c>
      <c r="K114">
        <v>2.2</v>
      </c>
      <c r="L114">
        <v>14.5</v>
      </c>
      <c r="N114">
        <v>2.94</v>
      </c>
      <c r="P114">
        <v>8.59</v>
      </c>
      <c r="R114">
        <v>210</v>
      </c>
      <c r="T114">
        <v>7.2</v>
      </c>
      <c r="U114">
        <v>7.52</v>
      </c>
      <c r="V114" t="s">
        <v>1705</v>
      </c>
      <c r="W114" t="s">
        <v>1704</v>
      </c>
      <c r="AA114" s="5" t="s">
        <v>1354</v>
      </c>
      <c r="AB114" s="4"/>
      <c r="AC114" s="4" t="s">
        <v>1354</v>
      </c>
    </row>
    <row r="115" spans="1:29">
      <c r="A115">
        <f t="shared" si="1"/>
        <v>114</v>
      </c>
      <c r="B115">
        <v>71</v>
      </c>
      <c r="C115" s="3">
        <v>44451</v>
      </c>
      <c r="D115">
        <v>59</v>
      </c>
      <c r="E115">
        <v>51.278</v>
      </c>
      <c r="F115">
        <v>28</v>
      </c>
      <c r="G115">
        <v>10.224</v>
      </c>
      <c r="H115" s="2">
        <v>28.1704</v>
      </c>
      <c r="I115" s="2">
        <v>59.8546333333333</v>
      </c>
      <c r="J115">
        <v>29.5</v>
      </c>
      <c r="K115">
        <v>2.4</v>
      </c>
      <c r="L115">
        <v>14.3</v>
      </c>
      <c r="N115">
        <v>2.93</v>
      </c>
      <c r="P115">
        <v>8.63</v>
      </c>
      <c r="R115">
        <v>227</v>
      </c>
      <c r="T115">
        <v>8</v>
      </c>
      <c r="U115">
        <v>7.54</v>
      </c>
      <c r="V115" t="s">
        <v>1706</v>
      </c>
      <c r="W115" t="s">
        <v>1704</v>
      </c>
      <c r="AA115" s="5" t="s">
        <v>1354</v>
      </c>
      <c r="AB115" s="4"/>
      <c r="AC115" s="4" t="s">
        <v>1354</v>
      </c>
    </row>
    <row r="116" spans="1:29">
      <c r="A116">
        <f t="shared" si="1"/>
        <v>115</v>
      </c>
      <c r="B116">
        <v>67</v>
      </c>
      <c r="C116" s="3">
        <v>44451</v>
      </c>
      <c r="D116">
        <v>59</v>
      </c>
      <c r="E116">
        <v>50.772</v>
      </c>
      <c r="F116">
        <v>28</v>
      </c>
      <c r="G116">
        <v>8.547</v>
      </c>
      <c r="H116" s="2">
        <v>28.14245</v>
      </c>
      <c r="I116" s="2">
        <v>59.8462</v>
      </c>
      <c r="J116">
        <v>31</v>
      </c>
      <c r="K116">
        <v>2.2</v>
      </c>
      <c r="L116">
        <v>14.5</v>
      </c>
      <c r="N116">
        <v>2.91</v>
      </c>
      <c r="P116">
        <v>8.5</v>
      </c>
      <c r="R116">
        <v>229</v>
      </c>
      <c r="T116">
        <v>7.2</v>
      </c>
      <c r="U116">
        <v>7.65</v>
      </c>
      <c r="V116" t="s">
        <v>1706</v>
      </c>
      <c r="W116" t="s">
        <v>1707</v>
      </c>
      <c r="AA116" s="5" t="s">
        <v>1354</v>
      </c>
      <c r="AB116" s="4"/>
      <c r="AC116" s="4" t="s">
        <v>1354</v>
      </c>
    </row>
    <row r="117" spans="1:29">
      <c r="A117">
        <f t="shared" si="1"/>
        <v>116</v>
      </c>
      <c r="B117">
        <v>66</v>
      </c>
      <c r="C117" s="3">
        <v>44451</v>
      </c>
      <c r="D117">
        <v>59</v>
      </c>
      <c r="E117">
        <v>51.88</v>
      </c>
      <c r="F117">
        <v>28</v>
      </c>
      <c r="G117">
        <v>7.812</v>
      </c>
      <c r="H117" s="2">
        <v>28.1302</v>
      </c>
      <c r="I117" s="2">
        <v>59.8646666666667</v>
      </c>
      <c r="J117">
        <v>34</v>
      </c>
      <c r="K117">
        <v>2.3</v>
      </c>
      <c r="L117">
        <v>14.6</v>
      </c>
      <c r="N117">
        <v>2.98</v>
      </c>
      <c r="P117">
        <v>8.77</v>
      </c>
      <c r="R117">
        <v>231</v>
      </c>
      <c r="T117">
        <v>6.7</v>
      </c>
      <c r="U117">
        <v>7.52</v>
      </c>
      <c r="V117" t="s">
        <v>1708</v>
      </c>
      <c r="W117" t="s">
        <v>1709</v>
      </c>
      <c r="AA117" s="5" t="s">
        <v>1354</v>
      </c>
      <c r="AB117" s="4"/>
      <c r="AC117" s="4" t="s">
        <v>1354</v>
      </c>
    </row>
    <row r="118" spans="1:29">
      <c r="A118">
        <f t="shared" si="1"/>
        <v>117</v>
      </c>
      <c r="B118">
        <v>68</v>
      </c>
      <c r="C118" s="3">
        <v>44451</v>
      </c>
      <c r="D118">
        <v>59</v>
      </c>
      <c r="E118">
        <v>52.659</v>
      </c>
      <c r="F118">
        <v>28</v>
      </c>
      <c r="G118">
        <v>9.234</v>
      </c>
      <c r="H118" s="2">
        <v>28.1539</v>
      </c>
      <c r="I118" s="2">
        <v>59.87765</v>
      </c>
      <c r="J118">
        <v>32</v>
      </c>
      <c r="K118">
        <v>2.4</v>
      </c>
      <c r="L118">
        <v>14.5</v>
      </c>
      <c r="N118">
        <v>2.94</v>
      </c>
      <c r="P118">
        <v>8.56</v>
      </c>
      <c r="R118">
        <v>232</v>
      </c>
      <c r="T118">
        <v>6.5</v>
      </c>
      <c r="U118">
        <v>7.63</v>
      </c>
      <c r="V118" t="s">
        <v>1708</v>
      </c>
      <c r="W118" t="s">
        <v>1707</v>
      </c>
      <c r="AA118" s="5" t="s">
        <v>1354</v>
      </c>
      <c r="AB118" s="4"/>
      <c r="AC118" s="4" t="s">
        <v>1354</v>
      </c>
    </row>
    <row r="119" spans="1:29">
      <c r="A119">
        <f t="shared" si="1"/>
        <v>118</v>
      </c>
      <c r="B119">
        <v>72</v>
      </c>
      <c r="C119" s="3">
        <v>44451</v>
      </c>
      <c r="D119">
        <v>59</v>
      </c>
      <c r="E119">
        <v>52.094</v>
      </c>
      <c r="F119">
        <v>28</v>
      </c>
      <c r="G119">
        <v>11.274</v>
      </c>
      <c r="H119" s="2">
        <v>28.1879</v>
      </c>
      <c r="I119" s="2">
        <v>59.8682333333333</v>
      </c>
      <c r="J119">
        <v>31</v>
      </c>
      <c r="K119">
        <v>2.5</v>
      </c>
      <c r="L119">
        <v>14.5</v>
      </c>
      <c r="N119">
        <v>2.88</v>
      </c>
      <c r="P119">
        <v>8.68</v>
      </c>
      <c r="R119">
        <v>234</v>
      </c>
      <c r="T119">
        <v>8.1</v>
      </c>
      <c r="U119">
        <v>7.55</v>
      </c>
      <c r="V119" t="s">
        <v>1710</v>
      </c>
      <c r="W119" t="s">
        <v>960</v>
      </c>
      <c r="AA119" s="5" t="s">
        <v>1354</v>
      </c>
      <c r="AB119" s="4"/>
      <c r="AC119" s="4" t="s">
        <v>1354</v>
      </c>
    </row>
    <row r="120" spans="1:29">
      <c r="A120">
        <f t="shared" si="1"/>
        <v>119</v>
      </c>
      <c r="B120">
        <v>85</v>
      </c>
      <c r="C120" s="3">
        <v>44451</v>
      </c>
      <c r="D120">
        <v>59</v>
      </c>
      <c r="E120">
        <v>51.663</v>
      </c>
      <c r="F120">
        <v>28</v>
      </c>
      <c r="G120">
        <v>17.829</v>
      </c>
      <c r="H120" s="2">
        <v>28.29715</v>
      </c>
      <c r="I120" s="2">
        <v>59.86105</v>
      </c>
      <c r="J120">
        <v>26.5</v>
      </c>
      <c r="K120">
        <v>2.3</v>
      </c>
      <c r="L120">
        <v>14.6</v>
      </c>
      <c r="N120">
        <v>2.89</v>
      </c>
      <c r="P120">
        <v>8.52</v>
      </c>
      <c r="R120">
        <v>235</v>
      </c>
      <c r="T120">
        <v>7.3</v>
      </c>
      <c r="U120">
        <v>7.63</v>
      </c>
      <c r="V120" t="s">
        <v>1711</v>
      </c>
      <c r="AA120" s="5"/>
      <c r="AB120" s="4"/>
      <c r="AC120" s="4"/>
    </row>
    <row r="121" spans="2:29">
      <c r="B121" t="s">
        <v>1712</v>
      </c>
      <c r="C121" s="3">
        <v>44451</v>
      </c>
      <c r="D121">
        <v>59</v>
      </c>
      <c r="E121">
        <v>51.81</v>
      </c>
      <c r="F121">
        <v>28</v>
      </c>
      <c r="G121">
        <v>18.063</v>
      </c>
      <c r="H121" s="2">
        <v>28.30105</v>
      </c>
      <c r="I121" s="2">
        <v>59.8635</v>
      </c>
      <c r="J121">
        <v>26</v>
      </c>
      <c r="W121" t="s">
        <v>1713</v>
      </c>
      <c r="AA121" s="5" t="s">
        <v>1354</v>
      </c>
      <c r="AB121" s="4"/>
      <c r="AC121" s="4" t="s">
        <v>1354</v>
      </c>
    </row>
    <row r="122" spans="1:29">
      <c r="A122">
        <v>120</v>
      </c>
      <c r="B122">
        <v>114</v>
      </c>
      <c r="C122" s="3">
        <v>44451</v>
      </c>
      <c r="D122">
        <v>59</v>
      </c>
      <c r="E122">
        <v>52.251</v>
      </c>
      <c r="F122">
        <v>28</v>
      </c>
      <c r="G122">
        <v>27.594</v>
      </c>
      <c r="H122" s="2">
        <v>28.4599</v>
      </c>
      <c r="I122" s="2">
        <v>59.87085</v>
      </c>
      <c r="J122">
        <v>36</v>
      </c>
      <c r="K122">
        <v>2.4</v>
      </c>
      <c r="L122">
        <v>14.8</v>
      </c>
      <c r="N122">
        <v>2.68</v>
      </c>
      <c r="P122">
        <v>8.79</v>
      </c>
      <c r="R122">
        <v>240</v>
      </c>
      <c r="T122">
        <v>9.4</v>
      </c>
      <c r="U122">
        <v>7.7</v>
      </c>
      <c r="V122" t="s">
        <v>1710</v>
      </c>
      <c r="W122" t="s">
        <v>960</v>
      </c>
      <c r="AA122" s="5" t="s">
        <v>1354</v>
      </c>
      <c r="AB122" s="4"/>
      <c r="AC122" s="4" t="s">
        <v>1354</v>
      </c>
    </row>
    <row r="123" spans="1:29">
      <c r="A123">
        <v>121</v>
      </c>
      <c r="B123">
        <v>116</v>
      </c>
      <c r="C123" s="3">
        <v>44451</v>
      </c>
      <c r="D123">
        <v>59</v>
      </c>
      <c r="E123">
        <v>52.305</v>
      </c>
      <c r="F123">
        <v>28</v>
      </c>
      <c r="G123">
        <v>30.889</v>
      </c>
      <c r="H123" s="2">
        <v>28.5148166666667</v>
      </c>
      <c r="I123" s="2">
        <v>59.87175</v>
      </c>
      <c r="J123">
        <v>26</v>
      </c>
      <c r="K123">
        <v>2.8</v>
      </c>
      <c r="L123">
        <v>15</v>
      </c>
      <c r="N123">
        <v>2.53</v>
      </c>
      <c r="P123">
        <v>8.8</v>
      </c>
      <c r="R123">
        <v>239</v>
      </c>
      <c r="T123">
        <v>10</v>
      </c>
      <c r="U123">
        <v>7.8</v>
      </c>
      <c r="V123" t="s">
        <v>1714</v>
      </c>
      <c r="W123" t="s">
        <v>1715</v>
      </c>
      <c r="AA123" t="s">
        <v>1716</v>
      </c>
      <c r="AC123" t="s">
        <v>1716</v>
      </c>
    </row>
    <row r="124" spans="1:26">
      <c r="A124">
        <v>122</v>
      </c>
      <c r="B124" t="s">
        <v>1717</v>
      </c>
      <c r="C124" s="3">
        <v>44451</v>
      </c>
      <c r="D124">
        <v>59</v>
      </c>
      <c r="E124">
        <v>50.884</v>
      </c>
      <c r="F124">
        <v>28</v>
      </c>
      <c r="G124">
        <v>30.554</v>
      </c>
      <c r="H124" s="2">
        <v>28.5092333333333</v>
      </c>
      <c r="I124" s="2">
        <v>59.8480666666667</v>
      </c>
      <c r="J124">
        <v>3.5</v>
      </c>
      <c r="K124">
        <v>2</v>
      </c>
      <c r="L124">
        <v>15</v>
      </c>
      <c r="N124">
        <v>2.7</v>
      </c>
      <c r="P124">
        <v>8.89</v>
      </c>
      <c r="R124">
        <v>241</v>
      </c>
      <c r="V124" t="s">
        <v>1718</v>
      </c>
      <c r="Y124" t="s">
        <v>1530</v>
      </c>
      <c r="Z124" t="s">
        <v>1719</v>
      </c>
    </row>
    <row r="125" spans="1:29">
      <c r="A125">
        <v>123</v>
      </c>
      <c r="B125" t="s">
        <v>1720</v>
      </c>
      <c r="C125" s="3">
        <v>44455</v>
      </c>
      <c r="D125">
        <v>59</v>
      </c>
      <c r="E125">
        <v>45.369</v>
      </c>
      <c r="F125">
        <v>28</v>
      </c>
      <c r="G125">
        <v>15.145</v>
      </c>
      <c r="H125" s="2">
        <v>28.2524166666667</v>
      </c>
      <c r="I125" s="2">
        <v>59.75615</v>
      </c>
      <c r="J125">
        <v>19.5</v>
      </c>
      <c r="K125">
        <v>1.4</v>
      </c>
      <c r="L125">
        <v>13</v>
      </c>
      <c r="M125">
        <v>12.6</v>
      </c>
      <c r="N125">
        <v>2.85</v>
      </c>
      <c r="O125">
        <v>2.86</v>
      </c>
      <c r="P125">
        <v>8.3</v>
      </c>
      <c r="Q125">
        <v>8.12</v>
      </c>
      <c r="R125">
        <v>245</v>
      </c>
      <c r="S125">
        <v>273</v>
      </c>
      <c r="T125">
        <v>13</v>
      </c>
      <c r="U125">
        <v>7.65</v>
      </c>
      <c r="V125" t="s">
        <v>1721</v>
      </c>
      <c r="W125" t="s">
        <v>1722</v>
      </c>
      <c r="Y125" t="s">
        <v>1723</v>
      </c>
      <c r="Z125" t="s">
        <v>1724</v>
      </c>
      <c r="AA125" s="5" t="s">
        <v>1354</v>
      </c>
      <c r="AB125" s="4"/>
      <c r="AC125" s="4" t="s">
        <v>1354</v>
      </c>
    </row>
    <row r="126" spans="1:29">
      <c r="A126">
        <v>124</v>
      </c>
      <c r="B126">
        <v>107</v>
      </c>
      <c r="C126" s="3">
        <v>44455</v>
      </c>
      <c r="D126">
        <v>59</v>
      </c>
      <c r="E126">
        <v>44.216</v>
      </c>
      <c r="F126">
        <v>28</v>
      </c>
      <c r="G126">
        <v>24.365</v>
      </c>
      <c r="H126" s="2">
        <v>28.4060833333333</v>
      </c>
      <c r="I126" s="2">
        <v>59.7369333333333</v>
      </c>
      <c r="J126">
        <v>13.5</v>
      </c>
      <c r="K126">
        <v>1.5</v>
      </c>
      <c r="L126">
        <v>12.4</v>
      </c>
      <c r="N126">
        <v>2.82</v>
      </c>
      <c r="P126">
        <v>8.28</v>
      </c>
      <c r="R126">
        <v>248</v>
      </c>
      <c r="T126">
        <v>13.1</v>
      </c>
      <c r="U126">
        <v>7.69</v>
      </c>
      <c r="V126" t="s">
        <v>1721</v>
      </c>
      <c r="W126" t="s">
        <v>1725</v>
      </c>
      <c r="AA126" s="5" t="s">
        <v>1354</v>
      </c>
      <c r="AB126" s="4"/>
      <c r="AC126" s="4" t="s">
        <v>1354</v>
      </c>
    </row>
    <row r="127" spans="1:29">
      <c r="A127">
        <v>125</v>
      </c>
      <c r="B127">
        <v>108</v>
      </c>
      <c r="C127" s="3">
        <v>44455</v>
      </c>
      <c r="D127">
        <v>59</v>
      </c>
      <c r="E127">
        <v>42.985</v>
      </c>
      <c r="F127">
        <v>28</v>
      </c>
      <c r="G127">
        <v>24.426</v>
      </c>
      <c r="H127" s="2">
        <v>28.4071</v>
      </c>
      <c r="I127" s="2">
        <v>59.7164166666667</v>
      </c>
      <c r="J127">
        <v>8</v>
      </c>
      <c r="K127">
        <v>1.2</v>
      </c>
      <c r="L127">
        <v>12.7</v>
      </c>
      <c r="N127">
        <v>2.78</v>
      </c>
      <c r="P127">
        <v>8.48</v>
      </c>
      <c r="R127">
        <v>244</v>
      </c>
      <c r="T127">
        <v>11</v>
      </c>
      <c r="U127">
        <v>7.77</v>
      </c>
      <c r="V127" t="s">
        <v>1721</v>
      </c>
      <c r="W127" t="s">
        <v>1726</v>
      </c>
      <c r="AA127" s="5" t="s">
        <v>1354</v>
      </c>
      <c r="AB127" s="4"/>
      <c r="AC127" s="4" t="s">
        <v>1354</v>
      </c>
    </row>
    <row r="128" spans="1:29">
      <c r="A128">
        <v>126</v>
      </c>
      <c r="B128">
        <v>100</v>
      </c>
      <c r="C128" s="3">
        <v>44455</v>
      </c>
      <c r="D128">
        <v>59</v>
      </c>
      <c r="E128">
        <v>42.464</v>
      </c>
      <c r="F128">
        <v>28</v>
      </c>
      <c r="G128">
        <v>22.612</v>
      </c>
      <c r="H128" s="2">
        <v>28.3768666666667</v>
      </c>
      <c r="I128" s="2">
        <v>59.7077333333333</v>
      </c>
      <c r="J128">
        <v>10</v>
      </c>
      <c r="K128">
        <v>2</v>
      </c>
      <c r="L128">
        <v>12.3</v>
      </c>
      <c r="N128">
        <v>2.89</v>
      </c>
      <c r="P128">
        <v>8.48</v>
      </c>
      <c r="R128">
        <v>235</v>
      </c>
      <c r="T128">
        <v>12.9</v>
      </c>
      <c r="U128">
        <v>7.51</v>
      </c>
      <c r="V128" t="s">
        <v>1721</v>
      </c>
      <c r="W128" t="s">
        <v>1727</v>
      </c>
      <c r="AA128" s="5" t="s">
        <v>1354</v>
      </c>
      <c r="AB128" s="4"/>
      <c r="AC128" s="4" t="s">
        <v>1354</v>
      </c>
    </row>
    <row r="129" spans="1:29">
      <c r="A129">
        <v>127</v>
      </c>
      <c r="B129" t="s">
        <v>1728</v>
      </c>
      <c r="C129" s="3">
        <v>44455</v>
      </c>
      <c r="D129">
        <v>59</v>
      </c>
      <c r="E129">
        <v>41.954</v>
      </c>
      <c r="F129">
        <v>28</v>
      </c>
      <c r="G129">
        <v>24.634</v>
      </c>
      <c r="H129" s="2">
        <v>28.4105666666667</v>
      </c>
      <c r="I129" s="2">
        <v>59.6992333333333</v>
      </c>
      <c r="J129">
        <v>5.5</v>
      </c>
      <c r="K129">
        <v>1</v>
      </c>
      <c r="L129">
        <v>12</v>
      </c>
      <c r="N129">
        <v>2.67</v>
      </c>
      <c r="P129">
        <v>8.63</v>
      </c>
      <c r="R129">
        <v>244</v>
      </c>
      <c r="V129" t="s">
        <v>1721</v>
      </c>
      <c r="W129" t="s">
        <v>1729</v>
      </c>
      <c r="Y129" t="s">
        <v>1530</v>
      </c>
      <c r="Z129" t="s">
        <v>1730</v>
      </c>
      <c r="AA129" s="5" t="s">
        <v>1354</v>
      </c>
      <c r="AB129" s="4"/>
      <c r="AC129" s="4" t="s">
        <v>1354</v>
      </c>
    </row>
    <row r="130" spans="1:29">
      <c r="A130">
        <v>128</v>
      </c>
      <c r="B130">
        <v>109</v>
      </c>
      <c r="C130" s="3">
        <v>44455</v>
      </c>
      <c r="D130">
        <v>59</v>
      </c>
      <c r="E130">
        <v>41.487</v>
      </c>
      <c r="F130">
        <v>28</v>
      </c>
      <c r="G130">
        <v>24.561</v>
      </c>
      <c r="H130" s="2">
        <v>28.40935</v>
      </c>
      <c r="I130" s="2">
        <v>59.69145</v>
      </c>
      <c r="J130">
        <v>15</v>
      </c>
      <c r="K130">
        <v>1</v>
      </c>
      <c r="L130">
        <v>12</v>
      </c>
      <c r="N130">
        <v>2.71</v>
      </c>
      <c r="P130">
        <v>8.4</v>
      </c>
      <c r="R130">
        <v>244</v>
      </c>
      <c r="T130">
        <v>12.6</v>
      </c>
      <c r="U130">
        <v>7.87</v>
      </c>
      <c r="V130" t="s">
        <v>1721</v>
      </c>
      <c r="W130" t="s">
        <v>406</v>
      </c>
      <c r="AA130" s="5" t="s">
        <v>1354</v>
      </c>
      <c r="AB130" s="4"/>
      <c r="AC130" s="4" t="s">
        <v>1354</v>
      </c>
    </row>
    <row r="131" spans="1:29">
      <c r="A131">
        <v>129</v>
      </c>
      <c r="B131">
        <v>102</v>
      </c>
      <c r="C131" s="3">
        <v>44455</v>
      </c>
      <c r="D131">
        <v>59</v>
      </c>
      <c r="E131">
        <v>40.754</v>
      </c>
      <c r="F131">
        <v>28</v>
      </c>
      <c r="G131">
        <v>22.672</v>
      </c>
      <c r="H131" s="2">
        <v>28.3778666666667</v>
      </c>
      <c r="I131" s="2">
        <v>59.6792333333333</v>
      </c>
      <c r="J131">
        <v>4.5</v>
      </c>
      <c r="K131">
        <v>1.1</v>
      </c>
      <c r="L131">
        <v>12</v>
      </c>
      <c r="N131">
        <v>2.66</v>
      </c>
      <c r="P131">
        <v>8.63</v>
      </c>
      <c r="R131">
        <v>244</v>
      </c>
      <c r="T131">
        <v>11.6</v>
      </c>
      <c r="U131">
        <v>7.77</v>
      </c>
      <c r="V131" t="s">
        <v>1721</v>
      </c>
      <c r="W131" t="s">
        <v>1731</v>
      </c>
      <c r="AA131" s="5" t="s">
        <v>1354</v>
      </c>
      <c r="AB131" s="4"/>
      <c r="AC131" s="4" t="s">
        <v>1354</v>
      </c>
    </row>
    <row r="132" spans="1:29">
      <c r="A132">
        <v>130</v>
      </c>
      <c r="B132">
        <v>95</v>
      </c>
      <c r="C132" s="3">
        <v>44455</v>
      </c>
      <c r="D132">
        <v>59</v>
      </c>
      <c r="E132">
        <v>41.467</v>
      </c>
      <c r="F132">
        <v>28</v>
      </c>
      <c r="G132">
        <v>21.789</v>
      </c>
      <c r="H132" s="2">
        <v>28.36315</v>
      </c>
      <c r="I132" s="2">
        <v>59.6911166666667</v>
      </c>
      <c r="J132">
        <v>8</v>
      </c>
      <c r="K132">
        <v>1.5</v>
      </c>
      <c r="L132">
        <v>12.4</v>
      </c>
      <c r="N132">
        <v>2.82</v>
      </c>
      <c r="P132">
        <v>8.56</v>
      </c>
      <c r="R132">
        <v>232</v>
      </c>
      <c r="T132">
        <v>12.7</v>
      </c>
      <c r="U132">
        <v>7.74</v>
      </c>
      <c r="V132" t="s">
        <v>1721</v>
      </c>
      <c r="W132" t="s">
        <v>1732</v>
      </c>
      <c r="AA132" s="5" t="s">
        <v>1354</v>
      </c>
      <c r="AB132" s="4"/>
      <c r="AC132" s="4" t="s">
        <v>1354</v>
      </c>
    </row>
    <row r="133" spans="1:28">
      <c r="A133">
        <v>131</v>
      </c>
      <c r="B133" t="s">
        <v>1733</v>
      </c>
      <c r="C133" s="3">
        <v>44456</v>
      </c>
      <c r="D133">
        <v>59</v>
      </c>
      <c r="E133">
        <v>53.562</v>
      </c>
      <c r="F133">
        <v>28</v>
      </c>
      <c r="G133">
        <v>59.892</v>
      </c>
      <c r="H133" s="2">
        <v>28.9982</v>
      </c>
      <c r="I133" s="2">
        <v>59.8927</v>
      </c>
      <c r="J133">
        <v>5</v>
      </c>
      <c r="K133">
        <v>2</v>
      </c>
      <c r="L133">
        <v>13.2</v>
      </c>
      <c r="N133">
        <v>2.52</v>
      </c>
      <c r="P133">
        <v>8.05</v>
      </c>
      <c r="R133">
        <v>288</v>
      </c>
      <c r="W133" t="s">
        <v>159</v>
      </c>
      <c r="Y133" t="s">
        <v>1734</v>
      </c>
      <c r="Z133" t="s">
        <v>1730</v>
      </c>
      <c r="AA133" s="5" t="s">
        <v>1662</v>
      </c>
      <c r="AB133" t="s">
        <v>1735</v>
      </c>
    </row>
    <row r="134" spans="1:29">
      <c r="A134">
        <v>132</v>
      </c>
      <c r="B134">
        <v>135</v>
      </c>
      <c r="C134" s="3">
        <v>44457</v>
      </c>
      <c r="D134">
        <v>59</v>
      </c>
      <c r="E134">
        <v>52.464</v>
      </c>
      <c r="F134">
        <v>28</v>
      </c>
      <c r="G134">
        <v>59.562</v>
      </c>
      <c r="H134" s="2">
        <v>28.9927</v>
      </c>
      <c r="I134" s="2">
        <v>59.8744</v>
      </c>
      <c r="J134">
        <v>8.8</v>
      </c>
      <c r="K134">
        <v>1.8</v>
      </c>
      <c r="L134">
        <v>13</v>
      </c>
      <c r="N134">
        <v>2.57</v>
      </c>
      <c r="P134">
        <v>7.88</v>
      </c>
      <c r="R134">
        <v>302</v>
      </c>
      <c r="W134" t="s">
        <v>1736</v>
      </c>
      <c r="AA134" s="5" t="s">
        <v>214</v>
      </c>
      <c r="AB134" t="s">
        <v>1737</v>
      </c>
      <c r="AC134" s="4" t="s">
        <v>214</v>
      </c>
    </row>
    <row r="135" spans="1:29">
      <c r="A135">
        <v>133</v>
      </c>
      <c r="B135" t="s">
        <v>1738</v>
      </c>
      <c r="C135" s="3">
        <v>44457</v>
      </c>
      <c r="D135">
        <v>59</v>
      </c>
      <c r="E135">
        <v>49.968</v>
      </c>
      <c r="F135">
        <v>28</v>
      </c>
      <c r="G135">
        <v>57.885</v>
      </c>
      <c r="H135" s="2">
        <v>28.96475</v>
      </c>
      <c r="I135" s="2">
        <v>59.8328</v>
      </c>
      <c r="J135">
        <v>2</v>
      </c>
      <c r="K135">
        <v>1.9</v>
      </c>
      <c r="L135">
        <v>13.7</v>
      </c>
      <c r="N135">
        <v>2.45</v>
      </c>
      <c r="P135">
        <v>8.62</v>
      </c>
      <c r="R135">
        <v>260</v>
      </c>
      <c r="W135" t="s">
        <v>1739</v>
      </c>
      <c r="Y135" t="s">
        <v>1530</v>
      </c>
      <c r="Z135" t="s">
        <v>1740</v>
      </c>
      <c r="AA135" s="5" t="s">
        <v>214</v>
      </c>
      <c r="AB135" t="s">
        <v>1741</v>
      </c>
      <c r="AC135" s="4" t="s">
        <v>214</v>
      </c>
    </row>
    <row r="136" spans="1:29">
      <c r="A136">
        <v>134</v>
      </c>
      <c r="B136">
        <v>119</v>
      </c>
      <c r="C136" s="3">
        <v>44457</v>
      </c>
      <c r="D136">
        <v>59</v>
      </c>
      <c r="E136">
        <v>46.787</v>
      </c>
      <c r="F136">
        <v>28</v>
      </c>
      <c r="G136">
        <v>44.986</v>
      </c>
      <c r="H136" s="2">
        <v>28.7497666666667</v>
      </c>
      <c r="I136" s="2">
        <v>59.7797833333333</v>
      </c>
      <c r="J136">
        <v>5</v>
      </c>
      <c r="K136">
        <v>2.2</v>
      </c>
      <c r="L136">
        <v>11.7</v>
      </c>
      <c r="N136">
        <v>2.68</v>
      </c>
      <c r="P136">
        <v>8.01</v>
      </c>
      <c r="R136">
        <v>261</v>
      </c>
      <c r="W136" t="s">
        <v>1742</v>
      </c>
      <c r="AA136" s="5" t="s">
        <v>1354</v>
      </c>
      <c r="AB136" s="4"/>
      <c r="AC136" s="4" t="s">
        <v>1354</v>
      </c>
    </row>
    <row r="137" spans="1:29">
      <c r="A137">
        <v>135</v>
      </c>
      <c r="B137">
        <v>137</v>
      </c>
      <c r="C137" s="3">
        <v>44457</v>
      </c>
      <c r="D137">
        <v>59</v>
      </c>
      <c r="E137">
        <v>55.671</v>
      </c>
      <c r="F137">
        <v>29</v>
      </c>
      <c r="G137">
        <v>0.981</v>
      </c>
      <c r="H137" s="2">
        <v>29.01635</v>
      </c>
      <c r="I137" s="2">
        <v>59.92785</v>
      </c>
      <c r="J137">
        <v>6.6</v>
      </c>
      <c r="K137">
        <v>2.1</v>
      </c>
      <c r="L137">
        <v>12.1</v>
      </c>
      <c r="N137">
        <v>2.75</v>
      </c>
      <c r="P137">
        <v>7.9</v>
      </c>
      <c r="R137">
        <v>267</v>
      </c>
      <c r="W137" t="s">
        <v>172</v>
      </c>
      <c r="AA137" s="5" t="s">
        <v>1354</v>
      </c>
      <c r="AB137" s="4"/>
      <c r="AC137" s="4" t="s">
        <v>1354</v>
      </c>
    </row>
    <row r="138" spans="1:29">
      <c r="A138">
        <v>136</v>
      </c>
      <c r="B138">
        <v>139</v>
      </c>
      <c r="C138" s="3">
        <v>44457</v>
      </c>
      <c r="D138">
        <v>59</v>
      </c>
      <c r="E138">
        <v>56.52</v>
      </c>
      <c r="F138">
        <v>29</v>
      </c>
      <c r="G138">
        <v>1.822</v>
      </c>
      <c r="H138" s="2">
        <v>29.0303666666667</v>
      </c>
      <c r="I138" s="2">
        <v>59.942</v>
      </c>
      <c r="J138">
        <v>8.5</v>
      </c>
      <c r="K138">
        <v>2.6</v>
      </c>
      <c r="L138">
        <v>12</v>
      </c>
      <c r="N138">
        <v>2.85</v>
      </c>
      <c r="P138">
        <v>7.84</v>
      </c>
      <c r="R138">
        <v>265</v>
      </c>
      <c r="W138" t="s">
        <v>172</v>
      </c>
      <c r="AA138" s="5" t="s">
        <v>1354</v>
      </c>
      <c r="AB138" s="4"/>
      <c r="AC138" s="4" t="s">
        <v>1354</v>
      </c>
    </row>
    <row r="139" spans="1:29">
      <c r="A139">
        <v>137</v>
      </c>
      <c r="B139">
        <v>136</v>
      </c>
      <c r="C139" s="3">
        <v>44457</v>
      </c>
      <c r="D139">
        <v>59</v>
      </c>
      <c r="E139">
        <v>55.304</v>
      </c>
      <c r="F139">
        <v>28</v>
      </c>
      <c r="G139">
        <v>59.591</v>
      </c>
      <c r="H139" s="2">
        <v>28.9931833333333</v>
      </c>
      <c r="I139" s="2">
        <v>59.9217333333333</v>
      </c>
      <c r="J139">
        <v>6.2</v>
      </c>
      <c r="K139">
        <v>2.5</v>
      </c>
      <c r="L139">
        <v>11.8</v>
      </c>
      <c r="N139">
        <v>2.68</v>
      </c>
      <c r="P139">
        <v>7.97</v>
      </c>
      <c r="R139">
        <v>261</v>
      </c>
      <c r="W139" t="s">
        <v>1743</v>
      </c>
      <c r="AA139" s="5" t="s">
        <v>1354</v>
      </c>
      <c r="AB139" s="4"/>
      <c r="AC139" s="4" t="s">
        <v>1354</v>
      </c>
    </row>
    <row r="140" spans="1:29">
      <c r="A140">
        <v>138</v>
      </c>
      <c r="B140" t="s">
        <v>1744</v>
      </c>
      <c r="C140" s="3">
        <v>44467</v>
      </c>
      <c r="D140">
        <v>59</v>
      </c>
      <c r="E140">
        <v>59.281</v>
      </c>
      <c r="F140">
        <v>29</v>
      </c>
      <c r="G140">
        <v>9.938</v>
      </c>
      <c r="H140" s="2">
        <v>29.1656333333333</v>
      </c>
      <c r="I140" s="2">
        <v>59.9880166666667</v>
      </c>
      <c r="J140">
        <v>5.2</v>
      </c>
      <c r="K140">
        <v>2.1</v>
      </c>
      <c r="L140">
        <v>10.6</v>
      </c>
      <c r="N140">
        <v>1.89</v>
      </c>
      <c r="P140">
        <v>7.72</v>
      </c>
      <c r="R140">
        <v>237</v>
      </c>
      <c r="T140">
        <v>8.5</v>
      </c>
      <c r="U140">
        <v>7.6</v>
      </c>
      <c r="W140" t="s">
        <v>1470</v>
      </c>
      <c r="Y140" t="s">
        <v>1530</v>
      </c>
      <c r="Z140" t="s">
        <v>256</v>
      </c>
      <c r="AA140" s="5" t="s">
        <v>1354</v>
      </c>
      <c r="AB140" s="4"/>
      <c r="AC140" s="4" t="s">
        <v>1354</v>
      </c>
    </row>
    <row r="141" spans="1:29">
      <c r="A141">
        <v>139</v>
      </c>
      <c r="B141">
        <v>144</v>
      </c>
      <c r="C141" s="3">
        <v>44467</v>
      </c>
      <c r="D141">
        <v>60</v>
      </c>
      <c r="E141">
        <v>0.137</v>
      </c>
      <c r="F141">
        <v>29</v>
      </c>
      <c r="G141">
        <v>11.118</v>
      </c>
      <c r="H141" s="2">
        <v>29.1853</v>
      </c>
      <c r="I141" s="2">
        <v>60.0022833333333</v>
      </c>
      <c r="J141">
        <v>14.4</v>
      </c>
      <c r="K141">
        <v>2.2</v>
      </c>
      <c r="L141">
        <v>10.3</v>
      </c>
      <c r="N141">
        <v>1.86</v>
      </c>
      <c r="P141">
        <v>8.64</v>
      </c>
      <c r="R141">
        <v>231</v>
      </c>
      <c r="T141">
        <v>11</v>
      </c>
      <c r="U141">
        <v>8.05</v>
      </c>
      <c r="W141" t="s">
        <v>125</v>
      </c>
      <c r="AA141" s="5" t="s">
        <v>1354</v>
      </c>
      <c r="AB141" s="4"/>
      <c r="AC141" s="4" t="s">
        <v>1354</v>
      </c>
    </row>
    <row r="142" spans="1:29">
      <c r="A142">
        <v>140</v>
      </c>
      <c r="B142">
        <v>143</v>
      </c>
      <c r="C142" s="3">
        <v>44467</v>
      </c>
      <c r="D142">
        <v>60</v>
      </c>
      <c r="E142">
        <v>0.103</v>
      </c>
      <c r="F142">
        <v>29</v>
      </c>
      <c r="G142">
        <v>8.705</v>
      </c>
      <c r="H142" s="2">
        <v>29.1450833333333</v>
      </c>
      <c r="I142" s="2">
        <v>60.0017166666667</v>
      </c>
      <c r="J142">
        <v>17</v>
      </c>
      <c r="K142">
        <v>2.3</v>
      </c>
      <c r="L142">
        <v>10.8</v>
      </c>
      <c r="N142">
        <v>1.84</v>
      </c>
      <c r="P142">
        <v>7.94</v>
      </c>
      <c r="R142">
        <v>227</v>
      </c>
      <c r="T142">
        <v>11</v>
      </c>
      <c r="U142">
        <v>7.85</v>
      </c>
      <c r="W142" t="s">
        <v>1485</v>
      </c>
      <c r="AA142" s="5" t="s">
        <v>1745</v>
      </c>
      <c r="AC142" s="5" t="s">
        <v>1745</v>
      </c>
    </row>
    <row r="143" spans="1:29">
      <c r="A143">
        <v>141</v>
      </c>
      <c r="B143">
        <v>142</v>
      </c>
      <c r="C143" s="3">
        <v>44467</v>
      </c>
      <c r="D143">
        <v>60</v>
      </c>
      <c r="E143">
        <v>1.047</v>
      </c>
      <c r="F143">
        <v>29</v>
      </c>
      <c r="G143">
        <v>7.9</v>
      </c>
      <c r="H143" s="2">
        <v>29.1316666666667</v>
      </c>
      <c r="I143" s="2">
        <v>60.01745</v>
      </c>
      <c r="J143">
        <v>29.3</v>
      </c>
      <c r="K143">
        <v>1.9</v>
      </c>
      <c r="L143">
        <v>10.5</v>
      </c>
      <c r="N143">
        <v>1.82</v>
      </c>
      <c r="P143">
        <v>7.94</v>
      </c>
      <c r="R143">
        <v>230</v>
      </c>
      <c r="T143">
        <v>9.2</v>
      </c>
      <c r="U143">
        <v>7.63</v>
      </c>
      <c r="W143" t="s">
        <v>1746</v>
      </c>
      <c r="AA143" s="5" t="s">
        <v>1745</v>
      </c>
      <c r="AC143" s="5" t="s">
        <v>1745</v>
      </c>
    </row>
    <row r="144" spans="1:29">
      <c r="A144">
        <v>142</v>
      </c>
      <c r="B144">
        <v>140</v>
      </c>
      <c r="C144" s="3">
        <v>44467</v>
      </c>
      <c r="D144">
        <v>60</v>
      </c>
      <c r="E144">
        <v>0.925</v>
      </c>
      <c r="F144">
        <v>29</v>
      </c>
      <c r="G144">
        <v>4.725</v>
      </c>
      <c r="H144" s="2">
        <v>29.07875</v>
      </c>
      <c r="I144" s="2">
        <v>60.0154166666667</v>
      </c>
      <c r="J144">
        <v>29.4</v>
      </c>
      <c r="K144">
        <v>1.7</v>
      </c>
      <c r="L144">
        <v>10.6</v>
      </c>
      <c r="N144">
        <v>1.8</v>
      </c>
      <c r="P144">
        <v>7.9</v>
      </c>
      <c r="R144">
        <v>238</v>
      </c>
      <c r="T144">
        <v>10</v>
      </c>
      <c r="U144">
        <v>7.6</v>
      </c>
      <c r="W144" t="s">
        <v>1747</v>
      </c>
      <c r="AA144" s="5" t="s">
        <v>1745</v>
      </c>
      <c r="AC144" s="5" t="s">
        <v>1745</v>
      </c>
    </row>
    <row r="145" spans="1:29">
      <c r="A145">
        <v>143</v>
      </c>
      <c r="B145">
        <v>141</v>
      </c>
      <c r="C145" s="3">
        <v>44467</v>
      </c>
      <c r="D145">
        <v>59</v>
      </c>
      <c r="E145">
        <v>59.408</v>
      </c>
      <c r="F145">
        <v>29</v>
      </c>
      <c r="G145">
        <v>5.471</v>
      </c>
      <c r="H145" s="2">
        <v>29.0911833333333</v>
      </c>
      <c r="I145" s="2">
        <v>59.9901333333333</v>
      </c>
      <c r="J145">
        <v>14.8</v>
      </c>
      <c r="K145">
        <v>1.7</v>
      </c>
      <c r="L145">
        <v>10.6</v>
      </c>
      <c r="N145">
        <v>1.87</v>
      </c>
      <c r="P145">
        <v>7.91</v>
      </c>
      <c r="R145">
        <v>241</v>
      </c>
      <c r="T145">
        <v>11</v>
      </c>
      <c r="U145">
        <v>7.63</v>
      </c>
      <c r="W145" t="s">
        <v>1748</v>
      </c>
      <c r="AA145" s="5" t="s">
        <v>1745</v>
      </c>
      <c r="AC145" s="5" t="s">
        <v>1745</v>
      </c>
    </row>
    <row r="146" spans="1:29">
      <c r="A146">
        <v>144</v>
      </c>
      <c r="B146">
        <v>138</v>
      </c>
      <c r="C146" s="3">
        <v>44467</v>
      </c>
      <c r="D146">
        <v>60</v>
      </c>
      <c r="E146">
        <v>0.024</v>
      </c>
      <c r="F146">
        <v>29</v>
      </c>
      <c r="G146">
        <v>1.411</v>
      </c>
      <c r="H146" s="2">
        <v>29.0235166666667</v>
      </c>
      <c r="I146" s="2">
        <v>60.0004</v>
      </c>
      <c r="J146">
        <v>32</v>
      </c>
      <c r="K146">
        <v>1.9</v>
      </c>
      <c r="L146">
        <v>10.7</v>
      </c>
      <c r="N146">
        <v>1.9</v>
      </c>
      <c r="P146">
        <v>7.98</v>
      </c>
      <c r="R146">
        <v>269</v>
      </c>
      <c r="T146">
        <v>9.3</v>
      </c>
      <c r="U146">
        <v>7.6</v>
      </c>
      <c r="W146" t="s">
        <v>1746</v>
      </c>
      <c r="AA146" s="5" t="s">
        <v>1745</v>
      </c>
      <c r="AC146" s="5" t="s">
        <v>1745</v>
      </c>
    </row>
    <row r="147" spans="1:29">
      <c r="A147">
        <v>145</v>
      </c>
      <c r="B147">
        <v>132</v>
      </c>
      <c r="C147" s="3">
        <v>44467</v>
      </c>
      <c r="D147">
        <v>60</v>
      </c>
      <c r="E147">
        <v>0.503</v>
      </c>
      <c r="F147">
        <v>28</v>
      </c>
      <c r="G147">
        <v>57.603</v>
      </c>
      <c r="H147" s="2">
        <v>28.96005</v>
      </c>
      <c r="I147" s="2">
        <v>60.0083833333333</v>
      </c>
      <c r="J147">
        <v>32</v>
      </c>
      <c r="K147">
        <v>2.5</v>
      </c>
      <c r="L147">
        <v>11</v>
      </c>
      <c r="N147">
        <v>2.52</v>
      </c>
      <c r="P147">
        <v>7.93</v>
      </c>
      <c r="R147">
        <v>270</v>
      </c>
      <c r="T147">
        <v>8.6</v>
      </c>
      <c r="U147">
        <v>7.77</v>
      </c>
      <c r="W147" t="s">
        <v>1746</v>
      </c>
      <c r="AA147" s="5" t="s">
        <v>1745</v>
      </c>
      <c r="AC147" s="5" t="s">
        <v>1745</v>
      </c>
    </row>
    <row r="148" spans="1:29">
      <c r="A148">
        <v>146</v>
      </c>
      <c r="B148" t="s">
        <v>1749</v>
      </c>
      <c r="C148" s="3">
        <v>44467</v>
      </c>
      <c r="D148">
        <v>59</v>
      </c>
      <c r="E148">
        <v>59.087</v>
      </c>
      <c r="F148">
        <v>28</v>
      </c>
      <c r="G148">
        <v>59.882</v>
      </c>
      <c r="H148" s="2">
        <v>28.9980333333333</v>
      </c>
      <c r="I148" s="2">
        <v>59.9847833333333</v>
      </c>
      <c r="J148">
        <v>26.5</v>
      </c>
      <c r="K148">
        <v>2.2</v>
      </c>
      <c r="L148">
        <v>10.4</v>
      </c>
      <c r="N148">
        <v>1.99</v>
      </c>
      <c r="P148">
        <v>8</v>
      </c>
      <c r="R148">
        <v>261</v>
      </c>
      <c r="T148">
        <v>10</v>
      </c>
      <c r="U148">
        <v>7.68</v>
      </c>
      <c r="W148" t="s">
        <v>1746</v>
      </c>
      <c r="Y148" t="s">
        <v>1750</v>
      </c>
      <c r="Z148" t="s">
        <v>1751</v>
      </c>
      <c r="AA148" s="5" t="s">
        <v>1745</v>
      </c>
      <c r="AC148" s="5" t="s">
        <v>1745</v>
      </c>
    </row>
    <row r="149" spans="1:29">
      <c r="A149">
        <v>147</v>
      </c>
      <c r="B149">
        <v>130</v>
      </c>
      <c r="C149" s="3">
        <v>44467</v>
      </c>
      <c r="D149">
        <v>59</v>
      </c>
      <c r="E149">
        <v>57.686</v>
      </c>
      <c r="F149">
        <v>28</v>
      </c>
      <c r="G149">
        <v>57.308</v>
      </c>
      <c r="H149" s="2">
        <v>28.9551333333333</v>
      </c>
      <c r="I149" s="2">
        <v>59.9614333333333</v>
      </c>
      <c r="J149">
        <v>19.3</v>
      </c>
      <c r="K149">
        <v>2</v>
      </c>
      <c r="L149">
        <v>10.7</v>
      </c>
      <c r="N149">
        <v>1.96</v>
      </c>
      <c r="P149">
        <v>8.03</v>
      </c>
      <c r="R149">
        <v>258</v>
      </c>
      <c r="T149">
        <v>10.9</v>
      </c>
      <c r="U149">
        <v>8.08</v>
      </c>
      <c r="W149" t="s">
        <v>1752</v>
      </c>
      <c r="AA149" s="5" t="s">
        <v>1745</v>
      </c>
      <c r="AC149" s="5" t="s">
        <v>1745</v>
      </c>
    </row>
    <row r="150" spans="1:29">
      <c r="A150">
        <v>148</v>
      </c>
      <c r="B150">
        <v>134</v>
      </c>
      <c r="C150" s="3">
        <v>44467</v>
      </c>
      <c r="D150">
        <v>59</v>
      </c>
      <c r="E150">
        <v>56.768</v>
      </c>
      <c r="F150">
        <v>28</v>
      </c>
      <c r="G150">
        <v>58.128</v>
      </c>
      <c r="H150" s="2">
        <v>28.9688</v>
      </c>
      <c r="I150" s="2">
        <v>59.9461333333333</v>
      </c>
      <c r="J150">
        <v>14.1</v>
      </c>
      <c r="K150">
        <v>2</v>
      </c>
      <c r="L150">
        <v>10.8</v>
      </c>
      <c r="N150">
        <v>2.05</v>
      </c>
      <c r="P150">
        <v>7.87</v>
      </c>
      <c r="R150">
        <v>262</v>
      </c>
      <c r="T150">
        <v>11.2</v>
      </c>
      <c r="U150">
        <v>8.02</v>
      </c>
      <c r="W150" t="s">
        <v>172</v>
      </c>
      <c r="AA150" s="5" t="s">
        <v>1745</v>
      </c>
      <c r="AC150" s="5" t="s">
        <v>1745</v>
      </c>
    </row>
    <row r="151" spans="1:29">
      <c r="A151">
        <v>149</v>
      </c>
      <c r="B151">
        <v>125</v>
      </c>
      <c r="C151" s="3">
        <v>44467</v>
      </c>
      <c r="D151">
        <v>59</v>
      </c>
      <c r="E151">
        <v>57.414</v>
      </c>
      <c r="F151">
        <v>28</v>
      </c>
      <c r="G151">
        <v>55.264</v>
      </c>
      <c r="H151" s="2">
        <v>28.9210666666667</v>
      </c>
      <c r="I151" s="2">
        <v>59.9569</v>
      </c>
      <c r="J151">
        <v>20.4</v>
      </c>
      <c r="K151">
        <v>2</v>
      </c>
      <c r="L151">
        <v>10.9</v>
      </c>
      <c r="N151">
        <v>1.93</v>
      </c>
      <c r="P151">
        <v>7.99</v>
      </c>
      <c r="R151">
        <v>260</v>
      </c>
      <c r="T151">
        <v>11.2</v>
      </c>
      <c r="U151">
        <v>8.06</v>
      </c>
      <c r="W151" t="s">
        <v>172</v>
      </c>
      <c r="AA151" s="5" t="s">
        <v>1745</v>
      </c>
      <c r="AC151" s="5" t="s">
        <v>1745</v>
      </c>
    </row>
    <row r="152" spans="1:29">
      <c r="A152">
        <v>150</v>
      </c>
      <c r="B152">
        <v>124</v>
      </c>
      <c r="C152" s="3">
        <v>44467</v>
      </c>
      <c r="D152">
        <v>59</v>
      </c>
      <c r="E152">
        <v>56.444</v>
      </c>
      <c r="F152">
        <v>28</v>
      </c>
      <c r="G152">
        <v>54.414</v>
      </c>
      <c r="H152" s="2">
        <v>28.9069</v>
      </c>
      <c r="I152" s="2">
        <v>59.9407333333333</v>
      </c>
      <c r="J152">
        <v>20.7</v>
      </c>
      <c r="K152">
        <v>2.5</v>
      </c>
      <c r="L152">
        <v>11</v>
      </c>
      <c r="N152">
        <v>2.14</v>
      </c>
      <c r="P152">
        <v>7.9</v>
      </c>
      <c r="R152">
        <v>263</v>
      </c>
      <c r="T152">
        <v>11.2</v>
      </c>
      <c r="U152">
        <v>7.96</v>
      </c>
      <c r="W152" t="s">
        <v>1485</v>
      </c>
      <c r="AA152" s="5" t="s">
        <v>1745</v>
      </c>
      <c r="AC152" s="5" t="s">
        <v>1745</v>
      </c>
    </row>
    <row r="153" spans="1:29">
      <c r="A153">
        <v>151</v>
      </c>
      <c r="B153">
        <v>128</v>
      </c>
      <c r="C153" s="3">
        <v>44467</v>
      </c>
      <c r="D153">
        <v>59</v>
      </c>
      <c r="E153">
        <v>56.159</v>
      </c>
      <c r="F153">
        <v>28</v>
      </c>
      <c r="G153">
        <v>56.424</v>
      </c>
      <c r="H153" s="2">
        <v>28.9404</v>
      </c>
      <c r="I153" s="2">
        <v>59.9359833333333</v>
      </c>
      <c r="J153">
        <v>16.5</v>
      </c>
      <c r="K153">
        <v>3.1</v>
      </c>
      <c r="L153">
        <v>11.4</v>
      </c>
      <c r="N153">
        <v>2.65</v>
      </c>
      <c r="P153">
        <v>7.87</v>
      </c>
      <c r="R153">
        <v>266</v>
      </c>
      <c r="T153">
        <v>11.9</v>
      </c>
      <c r="U153">
        <v>8.17</v>
      </c>
      <c r="W153" t="s">
        <v>1753</v>
      </c>
      <c r="AA153" s="5" t="s">
        <v>1745</v>
      </c>
      <c r="AC153" s="5" t="s">
        <v>1745</v>
      </c>
    </row>
    <row r="154" spans="1:21">
      <c r="A154">
        <v>152</v>
      </c>
      <c r="B154">
        <v>133</v>
      </c>
      <c r="C154" s="3">
        <v>44467</v>
      </c>
      <c r="D154">
        <v>59</v>
      </c>
      <c r="E154">
        <v>55.875</v>
      </c>
      <c r="F154">
        <v>28</v>
      </c>
      <c r="G154">
        <v>58.138</v>
      </c>
      <c r="H154" s="2">
        <v>28.9689666666667</v>
      </c>
      <c r="I154" s="2">
        <v>59.93125</v>
      </c>
      <c r="J154">
        <v>8.9</v>
      </c>
      <c r="K154">
        <v>2.5</v>
      </c>
      <c r="L154">
        <v>10.8</v>
      </c>
      <c r="N154">
        <v>2.44</v>
      </c>
      <c r="P154">
        <v>7.88</v>
      </c>
      <c r="R154">
        <v>262</v>
      </c>
      <c r="T154">
        <v>11.5</v>
      </c>
      <c r="U154">
        <v>8.1</v>
      </c>
    </row>
    <row r="155" spans="2:27">
      <c r="B155">
        <v>133</v>
      </c>
      <c r="C155" s="3">
        <v>44468</v>
      </c>
      <c r="D155">
        <v>59</v>
      </c>
      <c r="E155">
        <v>55.884</v>
      </c>
      <c r="F155">
        <v>28</v>
      </c>
      <c r="G155">
        <v>58.13</v>
      </c>
      <c r="H155" s="2">
        <v>28.9688333333333</v>
      </c>
      <c r="I155" s="2">
        <v>59.9314</v>
      </c>
      <c r="J155">
        <v>9.4</v>
      </c>
      <c r="L155">
        <v>11</v>
      </c>
      <c r="W155" t="s">
        <v>1754</v>
      </c>
      <c r="AA155" s="5" t="s">
        <v>304</v>
      </c>
    </row>
    <row r="156" spans="1:29">
      <c r="A156">
        <v>153</v>
      </c>
      <c r="B156">
        <v>127</v>
      </c>
      <c r="C156" s="3">
        <v>44467</v>
      </c>
      <c r="D156">
        <v>59</v>
      </c>
      <c r="E156">
        <v>55.228</v>
      </c>
      <c r="F156">
        <v>28</v>
      </c>
      <c r="G156">
        <v>55.786</v>
      </c>
      <c r="H156" s="2">
        <v>28.9297666666667</v>
      </c>
      <c r="I156" s="2">
        <v>59.9204666666667</v>
      </c>
      <c r="J156">
        <v>17.5</v>
      </c>
      <c r="K156">
        <v>2</v>
      </c>
      <c r="L156">
        <v>10.8</v>
      </c>
      <c r="N156">
        <v>2.46</v>
      </c>
      <c r="P156">
        <v>7.85</v>
      </c>
      <c r="R156">
        <v>248</v>
      </c>
      <c r="T156">
        <v>10.5</v>
      </c>
      <c r="U156">
        <v>8.05</v>
      </c>
      <c r="W156" t="s">
        <v>1485</v>
      </c>
      <c r="AA156" s="5" t="s">
        <v>1745</v>
      </c>
      <c r="AC156" s="5" t="s">
        <v>1745</v>
      </c>
    </row>
    <row r="157" spans="1:29">
      <c r="A157">
        <v>154</v>
      </c>
      <c r="B157">
        <v>122</v>
      </c>
      <c r="C157" s="3">
        <v>44467</v>
      </c>
      <c r="D157">
        <v>59</v>
      </c>
      <c r="E157">
        <v>55.317</v>
      </c>
      <c r="F157">
        <v>28</v>
      </c>
      <c r="G157">
        <v>53.613</v>
      </c>
      <c r="H157" s="2">
        <v>28.89355</v>
      </c>
      <c r="I157" s="2">
        <v>59.92195</v>
      </c>
      <c r="J157">
        <v>20.4</v>
      </c>
      <c r="K157">
        <v>2.3</v>
      </c>
      <c r="L157">
        <v>10.6</v>
      </c>
      <c r="N157">
        <v>2.34</v>
      </c>
      <c r="P157">
        <v>7.93</v>
      </c>
      <c r="R157">
        <v>254</v>
      </c>
      <c r="T157">
        <v>10.8</v>
      </c>
      <c r="U157">
        <v>7.87</v>
      </c>
      <c r="W157" t="s">
        <v>1485</v>
      </c>
      <c r="AA157" s="5" t="s">
        <v>1745</v>
      </c>
      <c r="AC157" s="5" t="s">
        <v>1745</v>
      </c>
    </row>
    <row r="158" spans="1:29">
      <c r="A158">
        <v>155</v>
      </c>
      <c r="B158">
        <v>131</v>
      </c>
      <c r="C158" s="3">
        <v>44467</v>
      </c>
      <c r="D158">
        <v>59</v>
      </c>
      <c r="E158">
        <v>53.84</v>
      </c>
      <c r="F158">
        <v>28</v>
      </c>
      <c r="G158">
        <v>57.438</v>
      </c>
      <c r="H158" s="2">
        <v>28.9573</v>
      </c>
      <c r="I158" s="2">
        <v>59.8973333333333</v>
      </c>
      <c r="J158">
        <v>13.3</v>
      </c>
      <c r="K158">
        <v>2.3</v>
      </c>
      <c r="L158">
        <v>10.7</v>
      </c>
      <c r="N158">
        <v>2.77</v>
      </c>
      <c r="P158">
        <v>7.8</v>
      </c>
      <c r="R158">
        <v>256</v>
      </c>
      <c r="T158">
        <v>10.6</v>
      </c>
      <c r="U158">
        <v>8.06</v>
      </c>
      <c r="W158" t="s">
        <v>1755</v>
      </c>
      <c r="AA158" s="5" t="s">
        <v>1745</v>
      </c>
      <c r="AC158" s="5" t="s">
        <v>1745</v>
      </c>
    </row>
    <row r="159" spans="1:29">
      <c r="A159">
        <v>156</v>
      </c>
      <c r="B159">
        <v>126</v>
      </c>
      <c r="C159" s="3">
        <v>59</v>
      </c>
      <c r="D159">
        <v>59</v>
      </c>
      <c r="E159">
        <v>53.294</v>
      </c>
      <c r="F159">
        <v>28</v>
      </c>
      <c r="G159">
        <v>55.226</v>
      </c>
      <c r="H159" s="2">
        <v>28.9204333333333</v>
      </c>
      <c r="I159" s="2">
        <v>59.8882333333333</v>
      </c>
      <c r="J159">
        <v>16</v>
      </c>
      <c r="K159">
        <v>2.3</v>
      </c>
      <c r="L159">
        <v>10.4</v>
      </c>
      <c r="N159">
        <v>2.97</v>
      </c>
      <c r="P159">
        <v>7.8</v>
      </c>
      <c r="R159">
        <v>275</v>
      </c>
      <c r="T159">
        <v>10.4</v>
      </c>
      <c r="U159">
        <v>7.9</v>
      </c>
      <c r="W159" t="s">
        <v>1485</v>
      </c>
      <c r="AA159" s="5" t="s">
        <v>1745</v>
      </c>
      <c r="AC159" s="5" t="s">
        <v>1745</v>
      </c>
    </row>
    <row r="160" spans="1:29">
      <c r="A160">
        <v>157</v>
      </c>
      <c r="B160">
        <v>121</v>
      </c>
      <c r="C160" s="3">
        <v>44467</v>
      </c>
      <c r="D160">
        <v>59</v>
      </c>
      <c r="E160">
        <v>53.327</v>
      </c>
      <c r="F160">
        <v>28</v>
      </c>
      <c r="G160">
        <v>53.027</v>
      </c>
      <c r="H160" s="2">
        <v>28.8837833333333</v>
      </c>
      <c r="I160" s="2">
        <v>59.8887833333333</v>
      </c>
      <c r="J160">
        <v>18.5</v>
      </c>
      <c r="K160">
        <v>2.6</v>
      </c>
      <c r="L160">
        <v>10.4</v>
      </c>
      <c r="N160">
        <v>3</v>
      </c>
      <c r="P160">
        <v>7.8</v>
      </c>
      <c r="R160">
        <v>279</v>
      </c>
      <c r="T160">
        <v>10.3</v>
      </c>
      <c r="U160">
        <v>7.73</v>
      </c>
      <c r="W160" t="s">
        <v>1485</v>
      </c>
      <c r="AA160" s="5" t="s">
        <v>1745</v>
      </c>
      <c r="AC160" s="5" t="s">
        <v>1745</v>
      </c>
    </row>
    <row r="161" spans="1:29">
      <c r="A161">
        <v>158</v>
      </c>
      <c r="B161">
        <v>129</v>
      </c>
      <c r="C161" s="3">
        <v>44467</v>
      </c>
      <c r="D161">
        <v>59</v>
      </c>
      <c r="E161">
        <v>51.656</v>
      </c>
      <c r="F161">
        <v>28</v>
      </c>
      <c r="G161">
        <v>56.591</v>
      </c>
      <c r="H161" s="2">
        <v>28.9431833333333</v>
      </c>
      <c r="I161" s="2">
        <v>59.8609333333333</v>
      </c>
      <c r="J161">
        <v>12.6</v>
      </c>
      <c r="K161">
        <v>2.9</v>
      </c>
      <c r="L161">
        <v>12</v>
      </c>
      <c r="N161">
        <v>3.4</v>
      </c>
      <c r="P161">
        <v>8.01</v>
      </c>
      <c r="R161">
        <v>274</v>
      </c>
      <c r="T161">
        <v>11.9</v>
      </c>
      <c r="U161">
        <v>7.96</v>
      </c>
      <c r="W161" t="s">
        <v>1756</v>
      </c>
      <c r="AA161" s="5" t="s">
        <v>1745</v>
      </c>
      <c r="AC161" s="5" t="s">
        <v>1745</v>
      </c>
    </row>
    <row r="162" spans="1:29">
      <c r="A162">
        <v>159</v>
      </c>
      <c r="B162">
        <v>123</v>
      </c>
      <c r="C162" s="3">
        <v>44467</v>
      </c>
      <c r="D162">
        <v>59</v>
      </c>
      <c r="E162">
        <v>51.431</v>
      </c>
      <c r="F162">
        <v>28</v>
      </c>
      <c r="G162">
        <v>54.188</v>
      </c>
      <c r="H162" s="2">
        <v>28.9031333333333</v>
      </c>
      <c r="I162" s="2">
        <v>59.8571833333333</v>
      </c>
      <c r="J162">
        <v>14.7</v>
      </c>
      <c r="K162">
        <v>2.7</v>
      </c>
      <c r="L162">
        <v>10.5</v>
      </c>
      <c r="N162">
        <v>3.27</v>
      </c>
      <c r="P162">
        <v>7.85</v>
      </c>
      <c r="R162">
        <v>275</v>
      </c>
      <c r="T162">
        <v>105</v>
      </c>
      <c r="U162">
        <v>8.5</v>
      </c>
      <c r="W162" t="s">
        <v>1757</v>
      </c>
      <c r="AA162" s="5" t="s">
        <v>1745</v>
      </c>
      <c r="AC162" s="5" t="s">
        <v>1745</v>
      </c>
    </row>
    <row r="163" spans="1:29">
      <c r="A163">
        <v>160</v>
      </c>
      <c r="B163">
        <v>120</v>
      </c>
      <c r="C163" s="3">
        <v>44467</v>
      </c>
      <c r="D163">
        <v>59</v>
      </c>
      <c r="E163">
        <v>50.179</v>
      </c>
      <c r="F163">
        <v>28</v>
      </c>
      <c r="G163">
        <v>50.654</v>
      </c>
      <c r="H163" s="2">
        <v>28.8442333333333</v>
      </c>
      <c r="I163" s="2">
        <v>59.8363166666667</v>
      </c>
      <c r="J163">
        <v>21.6</v>
      </c>
      <c r="K163">
        <v>2.5</v>
      </c>
      <c r="L163">
        <v>10.7</v>
      </c>
      <c r="N163">
        <v>3</v>
      </c>
      <c r="P163">
        <v>7.9</v>
      </c>
      <c r="R163">
        <v>270</v>
      </c>
      <c r="T163">
        <v>10.2</v>
      </c>
      <c r="U163">
        <v>7.4</v>
      </c>
      <c r="W163" t="s">
        <v>1746</v>
      </c>
      <c r="AA163" s="5" t="s">
        <v>1745</v>
      </c>
      <c r="AC163" s="5" t="s">
        <v>1745</v>
      </c>
    </row>
    <row r="164" spans="1:29">
      <c r="A164">
        <v>161</v>
      </c>
      <c r="B164">
        <v>118</v>
      </c>
      <c r="C164" s="3">
        <v>44468</v>
      </c>
      <c r="D164">
        <v>59</v>
      </c>
      <c r="E164">
        <v>49.586</v>
      </c>
      <c r="F164">
        <v>28</v>
      </c>
      <c r="G164">
        <v>44.316</v>
      </c>
      <c r="H164" s="2">
        <v>28.7386</v>
      </c>
      <c r="I164" s="2">
        <v>59.8264333333333</v>
      </c>
      <c r="J164">
        <v>15.3</v>
      </c>
      <c r="K164">
        <v>3.3</v>
      </c>
      <c r="L164">
        <v>10.8</v>
      </c>
      <c r="N164">
        <v>2.93</v>
      </c>
      <c r="P164">
        <v>7.89</v>
      </c>
      <c r="R164">
        <v>254</v>
      </c>
      <c r="T164">
        <v>11</v>
      </c>
      <c r="U164">
        <v>7.95</v>
      </c>
      <c r="W164" t="s">
        <v>1485</v>
      </c>
      <c r="AA164" s="5" t="s">
        <v>1745</v>
      </c>
      <c r="AC164" s="5" t="s">
        <v>1745</v>
      </c>
    </row>
    <row r="165" spans="1:29">
      <c r="A165">
        <v>162</v>
      </c>
      <c r="B165">
        <v>117</v>
      </c>
      <c r="C165" s="3">
        <v>44468</v>
      </c>
      <c r="D165">
        <v>59</v>
      </c>
      <c r="E165">
        <v>49.653</v>
      </c>
      <c r="F165">
        <v>28</v>
      </c>
      <c r="G165">
        <v>38.294</v>
      </c>
      <c r="H165" s="2">
        <v>28.6382333333333</v>
      </c>
      <c r="I165" s="2">
        <v>59.82755</v>
      </c>
      <c r="J165">
        <v>10</v>
      </c>
      <c r="K165">
        <v>3.3</v>
      </c>
      <c r="L165">
        <v>11.2</v>
      </c>
      <c r="N165">
        <v>2.81</v>
      </c>
      <c r="P165">
        <v>7.88</v>
      </c>
      <c r="R165">
        <v>254</v>
      </c>
      <c r="T165">
        <v>11</v>
      </c>
      <c r="U165">
        <v>8.06</v>
      </c>
      <c r="W165" t="s">
        <v>1758</v>
      </c>
      <c r="AA165" s="5" t="s">
        <v>1759</v>
      </c>
      <c r="AC165" s="5" t="s">
        <v>1759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comments</vt:lpstr>
      <vt:lpstr>data_fieldnotes 2019_2020</vt:lpstr>
      <vt:lpstr>2021 seasonal observations</vt:lpstr>
      <vt:lpstr>2021 fish nursery areas</vt:lpstr>
      <vt:lpstr>all 2022</vt:lpstr>
      <vt:lpstr>2021 littoral and phyto</vt:lpstr>
      <vt:lpstr>2021 major sampling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2015-06-05T18:19:00Z</dcterms:created>
  <dcterms:modified xsi:type="dcterms:W3CDTF">2023-03-04T14:34:09Z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A19D9B8F189942A692C79E72393AE6D9</vt:lpwstr>
  </property>
</Properties>
</file>