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3.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0.xml" ContentType="application/vnd.openxmlformats-officedocument.drawing+xml"/>
  <Override PartName="/xl/charts/chart1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defaultThemeVersion="124226"/>
  <mc:AlternateContent xmlns:mc="http://schemas.openxmlformats.org/markup-compatibility/2006">
    <mc:Choice Requires="x15">
      <x15ac:absPath xmlns:x15ac="http://schemas.microsoft.com/office/spreadsheetml/2010/11/ac" url="https://d.docs.live.net/123266c75649137c/Documents/ERC/ERC ReSource/"/>
    </mc:Choice>
  </mc:AlternateContent>
  <xr:revisionPtr revIDLastSave="686" documentId="8_{BFBF2AB3-FBA7-48B3-9B30-B8F75BE72041}" xr6:coauthVersionLast="47" xr6:coauthVersionMax="47" xr10:uidLastSave="{E24971A4-7A18-456F-95B3-8487D06692A2}"/>
  <bookViews>
    <workbookView xWindow="-120" yWindow="-120" windowWidth="29040" windowHeight="15720" tabRatio="690" activeTab="1" xr2:uid="{00000000-000D-0000-FFFF-FFFF00000000}"/>
  </bookViews>
  <sheets>
    <sheet name="FIT Summary" sheetId="12" r:id="rId1"/>
    <sheet name="GEA Summary" sheetId="31" r:id="rId2"/>
    <sheet name="FIT.pvt" sheetId="19" r:id="rId3"/>
    <sheet name="Sheet3" sheetId="21" state="hidden" r:id="rId4"/>
    <sheet name="FIT Plants" sheetId="7" r:id="rId5"/>
    <sheet name="Per RE" sheetId="6" r:id="rId6"/>
    <sheet name="Sheet4" sheetId="22" state="hidden" r:id="rId7"/>
    <sheet name="Per Island" sheetId="5" r:id="rId8"/>
    <sheet name="GEA Sum" sheetId="29" state="hidden" r:id="rId9"/>
    <sheet name="GEA Reports" sheetId="32" r:id="rId10"/>
    <sheet name="GEA Plants" sheetId="24" r:id="rId11"/>
    <sheet name="location" sheetId="33" state="hidden" r:id="rId12"/>
    <sheet name="GEA.pvt" sheetId="25" r:id="rId13"/>
    <sheet name="Solar" sheetId="17" state="hidden" r:id="rId14"/>
    <sheet name="Biomass" sheetId="13" state="hidden" r:id="rId15"/>
    <sheet name="comments" sheetId="20" state="hidden" r:id="rId16"/>
    <sheet name="Wind" sheetId="16" state="hidden" r:id="rId17"/>
    <sheet name="Hydro" sheetId="15" state="hidden" r:id="rId18"/>
    <sheet name="Sheet5" sheetId="14" state="hidden" r:id="rId19"/>
    <sheet name="Sheet2" sheetId="11" state="hidden" r:id="rId20"/>
    <sheet name="graph" sheetId="8" state="hidden" r:id="rId21"/>
    <sheet name="main (2)" sheetId="9" state="hidden" r:id="rId22"/>
    <sheet name="Sheet1" sheetId="10" state="hidden" r:id="rId23"/>
  </sheets>
  <externalReferences>
    <externalReference r:id="rId24"/>
    <externalReference r:id="rId25"/>
  </externalReferences>
  <definedNames>
    <definedName name="_xlnm._FilterDatabase" localSheetId="14" hidden="1">Biomass!$A$2:$S$40</definedName>
    <definedName name="_xlnm._FilterDatabase" localSheetId="4" hidden="1">'FIT Plants'!$A$2:$S$137</definedName>
    <definedName name="_xlnm._FilterDatabase" localSheetId="17" hidden="1">Hydro!$A$2:$S$27</definedName>
    <definedName name="_xlnm._FilterDatabase" localSheetId="21">'main (2)'!$A$1:$M$58</definedName>
    <definedName name="_xlnm._FilterDatabase" localSheetId="13" hidden="1">Solar!$A$2:$S$29</definedName>
    <definedName name="_xlnm._FilterDatabase" localSheetId="16" hidden="1">Wind!$A$2:$S$13</definedName>
    <definedName name="_xleta.COUNT" hidden="1" xlm="1">#NAME?</definedName>
    <definedName name="_xlnm.Print_Area" localSheetId="14">Biomass!$A$1:$S$40</definedName>
    <definedName name="_xlnm.Print_Area" localSheetId="4">'FIT Plants'!$A$1:$U$137</definedName>
    <definedName name="_xlnm.Print_Area" localSheetId="0">'FIT Summary'!$A$1:$I$22</definedName>
    <definedName name="_xlnm.Print_Area" localSheetId="17">Hydro!$A$1:$S$27</definedName>
    <definedName name="_xlnm.Print_Area" localSheetId="21">'main (2)'!$A$1:$M$58</definedName>
    <definedName name="_xlnm.Print_Area" localSheetId="7">'Per Island'!$A$1:$O$20</definedName>
    <definedName name="_xlnm.Print_Area" localSheetId="5">'Per RE'!$B$1:$H$7</definedName>
    <definedName name="_xlnm.Print_Area" localSheetId="13">Solar!$A$1:$S$29</definedName>
    <definedName name="_xlnm.Print_Area" localSheetId="16">Wind!$A$1:$S$13</definedName>
    <definedName name="_xlnm.Print_Titles" localSheetId="14">Biomass!$1:$2</definedName>
    <definedName name="_xlnm.Print_Titles" localSheetId="4">'FIT Plants'!$1:$2</definedName>
    <definedName name="_xlnm.Print_Titles" localSheetId="17">Hydro!$1:$2</definedName>
    <definedName name="_xlnm.Print_Titles" localSheetId="21">'main (2)'!$1:$1</definedName>
    <definedName name="_xlnm.Print_Titles" localSheetId="19">Sheet2!$6:$8</definedName>
    <definedName name="_xlnm.Print_Titles" localSheetId="13">Solar!$1:$2</definedName>
    <definedName name="_xlnm.Print_Titles" localSheetId="16">Wind!$1:$2</definedName>
  </definedNames>
  <calcPr calcId="191028"/>
  <pivotCaches>
    <pivotCache cacheId="10" r:id="rId26"/>
    <pivotCache cacheId="16" r:id="rId27"/>
    <pivotCache cacheId="23" r:id="rId28"/>
    <pivotCache cacheId="30" r:id="rId2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0" i="31" l="1"/>
  <c r="M156" i="31"/>
  <c r="M158" i="31"/>
  <c r="M157" i="31"/>
  <c r="L158" i="31"/>
  <c r="L157" i="31"/>
  <c r="L156" i="31"/>
  <c r="J158" i="31"/>
  <c r="J157" i="31"/>
  <c r="H158" i="31"/>
  <c r="G158" i="31"/>
  <c r="F158" i="31"/>
  <c r="E158" i="31"/>
  <c r="D158" i="31"/>
  <c r="C158" i="31"/>
  <c r="B158" i="31"/>
  <c r="A158" i="31"/>
  <c r="H157" i="31"/>
  <c r="G157" i="31"/>
  <c r="F157" i="31"/>
  <c r="E157" i="31"/>
  <c r="D157" i="31"/>
  <c r="C157" i="31"/>
  <c r="B157" i="31"/>
  <c r="A157" i="31"/>
  <c r="J156" i="31"/>
  <c r="H156" i="31"/>
  <c r="G156" i="31"/>
  <c r="F156" i="31"/>
  <c r="E156" i="31"/>
  <c r="D156" i="31"/>
  <c r="C156" i="31"/>
  <c r="B156" i="31"/>
  <c r="A156" i="31"/>
  <c r="AA143" i="24"/>
  <c r="Z143" i="24"/>
  <c r="V143" i="24"/>
  <c r="AA142" i="24" a="1"/>
  <c r="AA141" i="24" a="1"/>
  <c r="V142" i="24" a="1"/>
  <c r="V141" i="24" a="1"/>
  <c r="AA262" i="24"/>
  <c r="AA261" i="24"/>
  <c r="AA260" i="24"/>
  <c r="AA259" i="24"/>
  <c r="AA258" i="24"/>
  <c r="AA257" i="24"/>
  <c r="AA256" i="24"/>
  <c r="AA255" i="24"/>
  <c r="AA254" i="24"/>
  <c r="AA253" i="24"/>
  <c r="AA252" i="24"/>
  <c r="AA251" i="24"/>
  <c r="AA250" i="24"/>
  <c r="AA249" i="24"/>
  <c r="AA248" i="24"/>
  <c r="AA247" i="24"/>
  <c r="AA246" i="24"/>
  <c r="AA245" i="24"/>
  <c r="AA244" i="24"/>
  <c r="AA243" i="24"/>
  <c r="AA242" i="24"/>
  <c r="AA241" i="24"/>
  <c r="AA240" i="24"/>
  <c r="AA239" i="24"/>
  <c r="AA238" i="24"/>
  <c r="AA237" i="24"/>
  <c r="AA236" i="24"/>
  <c r="AA235" i="24"/>
  <c r="AA234" i="24"/>
  <c r="AA233" i="24"/>
  <c r="AA232" i="24"/>
  <c r="AA231" i="24"/>
  <c r="AA230" i="24"/>
  <c r="AA229" i="24"/>
  <c r="AA228" i="24"/>
  <c r="AA227" i="24"/>
  <c r="AA226" i="24"/>
  <c r="AA225" i="24"/>
  <c r="AA224" i="24"/>
  <c r="AA223" i="24"/>
  <c r="AA222" i="24"/>
  <c r="AA221" i="24"/>
  <c r="AA220" i="24"/>
  <c r="AA219" i="24"/>
  <c r="AA218" i="24"/>
  <c r="AA217" i="24"/>
  <c r="AA216" i="24"/>
  <c r="AA215" i="24"/>
  <c r="AA214" i="24"/>
  <c r="AA213" i="24"/>
  <c r="AA212" i="24"/>
  <c r="AA211" i="24"/>
  <c r="AA210" i="24"/>
  <c r="AA209" i="24"/>
  <c r="AA208" i="24"/>
  <c r="AA207" i="24"/>
  <c r="AA206" i="24"/>
  <c r="AA205" i="24"/>
  <c r="AA204" i="24"/>
  <c r="AA203" i="24"/>
  <c r="AA202" i="24"/>
  <c r="AA201" i="24"/>
  <c r="AA200" i="24"/>
  <c r="AA199" i="24"/>
  <c r="AA198" i="24"/>
  <c r="AA197" i="24"/>
  <c r="AA196" i="24"/>
  <c r="AA195" i="24"/>
  <c r="AA194" i="24"/>
  <c r="AA193" i="24"/>
  <c r="AA192" i="24"/>
  <c r="AA191" i="24"/>
  <c r="AA190" i="24"/>
  <c r="AA189" i="24"/>
  <c r="AA188" i="24"/>
  <c r="AA187" i="24"/>
  <c r="AA186" i="24"/>
  <c r="AA185" i="24"/>
  <c r="AA184" i="24"/>
  <c r="AA183" i="24"/>
  <c r="AA182" i="24"/>
  <c r="AA181" i="24"/>
  <c r="AA180" i="24"/>
  <c r="AA179" i="24"/>
  <c r="AA178" i="24"/>
  <c r="AA177" i="24"/>
  <c r="AA176" i="24"/>
  <c r="AA175" i="24"/>
  <c r="AA174" i="24"/>
  <c r="AA173" i="24"/>
  <c r="AA172" i="24"/>
  <c r="AA171" i="24"/>
  <c r="AA170" i="24"/>
  <c r="AA169" i="24"/>
  <c r="AA168" i="24"/>
  <c r="AA167" i="24"/>
  <c r="AA166" i="24"/>
  <c r="AA165" i="24"/>
  <c r="AA164" i="24"/>
  <c r="AA163" i="24"/>
  <c r="AA162" i="24"/>
  <c r="AA161" i="24"/>
  <c r="AA160" i="24"/>
  <c r="AA159" i="24"/>
  <c r="AA158" i="24"/>
  <c r="AA157" i="24"/>
  <c r="AA156" i="24"/>
  <c r="AA155" i="24"/>
  <c r="AA154" i="24"/>
  <c r="AA153" i="24"/>
  <c r="AA152" i="24"/>
  <c r="AA151" i="24"/>
  <c r="AA150" i="24"/>
  <c r="AA149" i="24"/>
  <c r="AA148" i="24"/>
  <c r="AA147" i="24"/>
  <c r="AA146" i="24"/>
  <c r="AA145" i="24"/>
  <c r="AA144" i="24"/>
  <c r="AA140" i="24"/>
  <c r="AA139" i="24"/>
  <c r="AA138" i="24"/>
  <c r="AA137" i="24"/>
  <c r="AA136" i="24"/>
  <c r="AA135" i="24"/>
  <c r="AA134" i="24"/>
  <c r="AA133" i="24"/>
  <c r="AA132" i="24"/>
  <c r="AA131" i="24"/>
  <c r="AA130" i="24"/>
  <c r="AA129" i="24"/>
  <c r="AA128" i="24"/>
  <c r="AA127" i="24"/>
  <c r="AA126" i="24"/>
  <c r="AA125" i="24"/>
  <c r="AA123" i="24"/>
  <c r="AA121" i="24"/>
  <c r="AA120" i="24"/>
  <c r="AA119" i="24"/>
  <c r="AA118" i="24"/>
  <c r="AA117" i="24"/>
  <c r="AA116" i="24"/>
  <c r="AA115" i="24"/>
  <c r="AA114" i="24"/>
  <c r="AA113" i="24"/>
  <c r="AA112" i="24"/>
  <c r="AA111" i="24"/>
  <c r="AA110" i="24"/>
  <c r="AA109" i="24"/>
  <c r="AA108" i="24"/>
  <c r="AA107" i="24"/>
  <c r="AA106" i="24"/>
  <c r="AA105" i="24"/>
  <c r="AA103" i="24"/>
  <c r="AA102" i="24"/>
  <c r="AA101" i="24"/>
  <c r="AA100" i="24"/>
  <c r="AA99" i="24"/>
  <c r="AA98" i="24"/>
  <c r="AA97" i="24"/>
  <c r="AA96" i="24"/>
  <c r="AA95" i="24"/>
  <c r="AA94" i="24"/>
  <c r="AA93" i="24"/>
  <c r="AA92" i="24"/>
  <c r="AA91" i="24"/>
  <c r="AA90" i="24"/>
  <c r="AA89" i="24"/>
  <c r="AA88" i="24"/>
  <c r="AA87" i="24"/>
  <c r="AA86" i="24"/>
  <c r="AA85" i="24"/>
  <c r="AA84" i="24"/>
  <c r="AA83" i="24"/>
  <c r="AA82" i="24"/>
  <c r="AA81" i="24"/>
  <c r="AA80" i="24"/>
  <c r="AA79" i="24"/>
  <c r="AA78" i="24"/>
  <c r="AA77" i="24"/>
  <c r="AA76" i="24"/>
  <c r="AA75" i="24"/>
  <c r="AA74" i="24"/>
  <c r="AA73" i="24"/>
  <c r="AA72" i="24"/>
  <c r="AA71" i="24"/>
  <c r="AA70" i="24"/>
  <c r="AA69" i="24"/>
  <c r="AA68" i="24"/>
  <c r="AA67" i="24"/>
  <c r="AA66" i="24"/>
  <c r="AA65" i="24"/>
  <c r="AA64" i="24"/>
  <c r="AA63" i="24"/>
  <c r="AA62" i="24"/>
  <c r="AA61" i="24"/>
  <c r="AA60" i="24"/>
  <c r="AA59" i="24"/>
  <c r="AA58" i="24"/>
  <c r="AA57" i="24"/>
  <c r="AA56" i="24"/>
  <c r="AA55" i="24"/>
  <c r="AA54" i="24"/>
  <c r="AA53" i="24"/>
  <c r="AA52" i="24"/>
  <c r="AA51" i="24"/>
  <c r="AA49" i="24"/>
  <c r="AA46" i="24"/>
  <c r="AA45" i="24"/>
  <c r="AA44" i="24"/>
  <c r="AA43" i="24"/>
  <c r="AA42" i="24"/>
  <c r="AA41" i="24"/>
  <c r="AA40" i="24"/>
  <c r="AA39" i="24"/>
  <c r="AA38" i="24"/>
  <c r="AA37" i="24"/>
  <c r="AA36" i="24"/>
  <c r="AA35" i="24"/>
  <c r="AA34" i="24"/>
  <c r="AA33" i="24"/>
  <c r="AA32" i="24"/>
  <c r="AA31" i="24"/>
  <c r="AA30" i="24"/>
  <c r="AA28" i="24"/>
  <c r="AA27" i="24"/>
  <c r="AA21" i="24"/>
  <c r="AA19" i="24"/>
  <c r="AA17" i="24"/>
  <c r="AA16" i="24"/>
  <c r="AA15" i="24"/>
  <c r="AA14" i="24"/>
  <c r="AA13" i="24"/>
  <c r="AA12" i="24"/>
  <c r="AA11" i="24"/>
  <c r="AA10" i="24"/>
  <c r="AA9" i="24"/>
  <c r="AA8" i="24"/>
  <c r="AA7" i="24"/>
  <c r="AA6" i="24"/>
  <c r="AA5" i="24"/>
  <c r="AA4" i="24"/>
  <c r="V262" i="24"/>
  <c r="V261" i="24"/>
  <c r="V260" i="24"/>
  <c r="V259" i="24"/>
  <c r="V258" i="24"/>
  <c r="V257" i="24"/>
  <c r="V256" i="24"/>
  <c r="V255" i="24"/>
  <c r="V254" i="24"/>
  <c r="V253" i="24"/>
  <c r="V252" i="24"/>
  <c r="V251" i="24"/>
  <c r="V250" i="24"/>
  <c r="V249" i="24"/>
  <c r="V248" i="24"/>
  <c r="V247" i="24"/>
  <c r="V246" i="24"/>
  <c r="V245" i="24"/>
  <c r="V244" i="24"/>
  <c r="V243" i="24"/>
  <c r="V242" i="24"/>
  <c r="V241" i="24"/>
  <c r="V240" i="24"/>
  <c r="V239" i="24"/>
  <c r="V238" i="24"/>
  <c r="V237" i="24"/>
  <c r="V236" i="24"/>
  <c r="V235" i="24"/>
  <c r="V234" i="24"/>
  <c r="V233" i="24"/>
  <c r="V232" i="24"/>
  <c r="V231" i="24"/>
  <c r="V230" i="24"/>
  <c r="V229" i="24"/>
  <c r="V228" i="24"/>
  <c r="V227" i="24"/>
  <c r="V226" i="24"/>
  <c r="V225" i="24"/>
  <c r="V224" i="24"/>
  <c r="V223" i="24"/>
  <c r="V222" i="24"/>
  <c r="V221" i="24"/>
  <c r="V220" i="24"/>
  <c r="V219" i="24"/>
  <c r="V218" i="24"/>
  <c r="V217" i="24"/>
  <c r="V216" i="24"/>
  <c r="V215" i="24"/>
  <c r="V214" i="24"/>
  <c r="V213" i="24"/>
  <c r="V212" i="24"/>
  <c r="V211" i="24"/>
  <c r="V210" i="24"/>
  <c r="V209" i="24"/>
  <c r="V208" i="24"/>
  <c r="V207" i="24"/>
  <c r="V206" i="24"/>
  <c r="V205" i="24"/>
  <c r="V204" i="24"/>
  <c r="V203" i="24"/>
  <c r="V202" i="24"/>
  <c r="V201" i="24"/>
  <c r="V200" i="24"/>
  <c r="V199" i="24"/>
  <c r="V198" i="24"/>
  <c r="V197" i="24"/>
  <c r="V196" i="24"/>
  <c r="V195" i="24"/>
  <c r="V194" i="24"/>
  <c r="V193" i="24"/>
  <c r="V192" i="24"/>
  <c r="V191" i="24"/>
  <c r="V190" i="24"/>
  <c r="V189" i="24"/>
  <c r="V188" i="24"/>
  <c r="V187" i="24"/>
  <c r="V186" i="24"/>
  <c r="V185" i="24"/>
  <c r="V184" i="24"/>
  <c r="V183" i="24"/>
  <c r="V182" i="24"/>
  <c r="V181" i="24"/>
  <c r="V180" i="24"/>
  <c r="V179" i="24"/>
  <c r="V178" i="24"/>
  <c r="V177" i="24"/>
  <c r="V176" i="24"/>
  <c r="V175" i="24"/>
  <c r="V174" i="24"/>
  <c r="V173" i="24"/>
  <c r="V172" i="24"/>
  <c r="V171" i="24"/>
  <c r="V170" i="24"/>
  <c r="V169" i="24"/>
  <c r="V168" i="24"/>
  <c r="V167" i="24"/>
  <c r="V166" i="24"/>
  <c r="V165" i="24"/>
  <c r="V164" i="24"/>
  <c r="V163" i="24"/>
  <c r="V162" i="24"/>
  <c r="V161" i="24"/>
  <c r="V160" i="24"/>
  <c r="V159" i="24"/>
  <c r="V158" i="24"/>
  <c r="V157" i="24"/>
  <c r="V156" i="24"/>
  <c r="V155" i="24"/>
  <c r="V154" i="24"/>
  <c r="V153" i="24"/>
  <c r="V152" i="24"/>
  <c r="V151" i="24"/>
  <c r="V150" i="24"/>
  <c r="V149" i="24"/>
  <c r="V148" i="24"/>
  <c r="V147" i="24"/>
  <c r="V146" i="24"/>
  <c r="V145" i="24"/>
  <c r="V144" i="24"/>
  <c r="V140" i="24"/>
  <c r="V139" i="24"/>
  <c r="V138" i="24"/>
  <c r="V137" i="24"/>
  <c r="V136" i="24"/>
  <c r="V135" i="24"/>
  <c r="V134" i="24"/>
  <c r="V133" i="24"/>
  <c r="V132" i="24"/>
  <c r="V131" i="24"/>
  <c r="V130" i="24"/>
  <c r="V129" i="24"/>
  <c r="V128" i="24"/>
  <c r="V121" i="24"/>
  <c r="V119" i="24"/>
  <c r="V116" i="24"/>
  <c r="V113" i="24"/>
  <c r="V108" i="24"/>
  <c r="V103" i="24"/>
  <c r="V102" i="24"/>
  <c r="V101" i="24"/>
  <c r="V98" i="24"/>
  <c r="V97" i="24"/>
  <c r="V89" i="24"/>
  <c r="V55" i="24"/>
  <c r="V46" i="24"/>
  <c r="V44" i="24"/>
  <c r="V31" i="24"/>
  <c r="V28" i="24"/>
  <c r="V21" i="24"/>
  <c r="V19" i="24"/>
  <c r="V17" i="24"/>
  <c r="V16" i="24"/>
  <c r="V15" i="24"/>
  <c r="V14" i="24"/>
  <c r="V13" i="24"/>
  <c r="V12" i="24"/>
  <c r="V11" i="24"/>
  <c r="V10" i="24"/>
  <c r="V9" i="24"/>
  <c r="V8" i="24"/>
  <c r="V7" i="24"/>
  <c r="V6" i="24"/>
  <c r="V5" i="24"/>
  <c r="V4" i="24"/>
  <c r="V127" i="24"/>
  <c r="AA124" i="24"/>
  <c r="AA122" i="24"/>
  <c r="AA104" i="24"/>
  <c r="AA50" i="24"/>
  <c r="AA48" i="24"/>
  <c r="AA47" i="24"/>
  <c r="AA29" i="24"/>
  <c r="AA26" i="24"/>
  <c r="AA25" i="24"/>
  <c r="AA24" i="24"/>
  <c r="V126" i="24"/>
  <c r="V125" i="24"/>
  <c r="V124" i="24"/>
  <c r="V123" i="24"/>
  <c r="V122" i="24"/>
  <c r="V120" i="24"/>
  <c r="V118" i="24"/>
  <c r="V117" i="24"/>
  <c r="V115" i="24"/>
  <c r="V114" i="24"/>
  <c r="V112" i="24"/>
  <c r="V111" i="24"/>
  <c r="V110" i="24"/>
  <c r="V109" i="24"/>
  <c r="V107" i="24"/>
  <c r="V106" i="24"/>
  <c r="V105" i="24"/>
  <c r="V104" i="24"/>
  <c r="V100" i="24"/>
  <c r="V99" i="24"/>
  <c r="V96" i="24"/>
  <c r="V95" i="24"/>
  <c r="V94" i="24"/>
  <c r="V93" i="24"/>
  <c r="V92" i="24"/>
  <c r="V91" i="24"/>
  <c r="V90" i="24"/>
  <c r="V88" i="24"/>
  <c r="V87" i="24"/>
  <c r="V86" i="24"/>
  <c r="V85" i="24"/>
  <c r="V84" i="24"/>
  <c r="V83" i="24"/>
  <c r="V82" i="24"/>
  <c r="V81" i="24"/>
  <c r="V80" i="24"/>
  <c r="V79" i="24"/>
  <c r="V78" i="24"/>
  <c r="V77" i="24"/>
  <c r="V76" i="24"/>
  <c r="V75" i="24"/>
  <c r="V74" i="24"/>
  <c r="V73" i="24"/>
  <c r="V72" i="24"/>
  <c r="V71" i="24"/>
  <c r="V70" i="24"/>
  <c r="V69" i="24"/>
  <c r="V68" i="24"/>
  <c r="V67" i="24"/>
  <c r="V66" i="24"/>
  <c r="V65" i="24"/>
  <c r="V64" i="24"/>
  <c r="V63" i="24"/>
  <c r="V62" i="24"/>
  <c r="V61" i="24"/>
  <c r="V60" i="24"/>
  <c r="V59" i="24"/>
  <c r="V58" i="24"/>
  <c r="V57" i="24"/>
  <c r="V56" i="24"/>
  <c r="V54" i="24"/>
  <c r="V53" i="24"/>
  <c r="V52" i="24"/>
  <c r="V51" i="24"/>
  <c r="V50" i="24"/>
  <c r="V49" i="24"/>
  <c r="V47" i="24"/>
  <c r="V45" i="24"/>
  <c r="V43" i="24"/>
  <c r="V42" i="24"/>
  <c r="V41" i="24"/>
  <c r="V40" i="24"/>
  <c r="V39" i="24"/>
  <c r="V38" i="24"/>
  <c r="V37" i="24"/>
  <c r="V36" i="24"/>
  <c r="V35" i="24"/>
  <c r="V34" i="24"/>
  <c r="V33" i="24"/>
  <c r="V32" i="24"/>
  <c r="V30" i="24"/>
  <c r="V29" i="24"/>
  <c r="V27" i="24"/>
  <c r="J117" i="7"/>
  <c r="I117" i="7"/>
  <c r="H117" i="7"/>
  <c r="J115" i="7"/>
  <c r="I115" i="7"/>
  <c r="H115" i="7"/>
  <c r="J97" i="7"/>
  <c r="I97" i="7"/>
  <c r="H97" i="7"/>
  <c r="J95" i="7"/>
  <c r="I95" i="7"/>
  <c r="H95" i="7"/>
  <c r="J86" i="7"/>
  <c r="I86" i="7"/>
  <c r="H86" i="7"/>
  <c r="J84" i="7"/>
  <c r="I84" i="7"/>
  <c r="H84" i="7"/>
  <c r="J77" i="7"/>
  <c r="I77" i="7"/>
  <c r="H77" i="7"/>
  <c r="D77" i="7"/>
  <c r="P73" i="7"/>
  <c r="J62" i="7"/>
  <c r="I62" i="7"/>
  <c r="H62" i="7"/>
  <c r="J56" i="7"/>
  <c r="I56" i="7"/>
  <c r="H56" i="7"/>
  <c r="W56" i="7"/>
  <c r="X56" i="7" s="1"/>
  <c r="D9" i="7"/>
  <c r="W117" i="7"/>
  <c r="X117" i="7" s="1"/>
  <c r="W118" i="7"/>
  <c r="X118" i="7" s="1"/>
  <c r="W115" i="7"/>
  <c r="X115" i="7" s="1"/>
  <c r="W97" i="7"/>
  <c r="X97" i="7" s="1"/>
  <c r="W95" i="7"/>
  <c r="X95" i="7" s="1"/>
  <c r="W86" i="7"/>
  <c r="X86" i="7" s="1"/>
  <c r="W84" i="7"/>
  <c r="X84" i="7" s="1"/>
  <c r="W77" i="7"/>
  <c r="X77" i="7" s="1"/>
  <c r="W78" i="7"/>
  <c r="X78" i="7" s="1"/>
  <c r="W62" i="7"/>
  <c r="X62" i="7" s="1"/>
  <c r="W41" i="7"/>
  <c r="X41" i="7" s="1"/>
  <c r="W39" i="7"/>
  <c r="X39" i="7" s="1"/>
  <c r="W40" i="7"/>
  <c r="X40" i="7" s="1"/>
  <c r="W37" i="7"/>
  <c r="X37" i="7" s="1"/>
  <c r="W33" i="7"/>
  <c r="X33" i="7" s="1"/>
  <c r="W28" i="7"/>
  <c r="X28" i="7" s="1"/>
  <c r="W29" i="7"/>
  <c r="X29" i="7" s="1"/>
  <c r="W9" i="7"/>
  <c r="X9" i="7" s="1"/>
  <c r="P116" i="7"/>
  <c r="O116" i="7"/>
  <c r="W122" i="7"/>
  <c r="X122" i="7" s="1"/>
  <c r="Z5" i="24"/>
  <c r="Z6" i="24"/>
  <c r="Z7" i="24"/>
  <c r="Z8" i="24"/>
  <c r="Z9" i="24"/>
  <c r="Z10" i="24"/>
  <c r="Z11" i="24"/>
  <c r="Z12" i="24"/>
  <c r="Z13" i="24"/>
  <c r="Z14" i="24"/>
  <c r="Z15" i="24"/>
  <c r="Z16" i="24"/>
  <c r="Z17" i="24"/>
  <c r="Z18" i="24"/>
  <c r="Z19" i="24"/>
  <c r="Z20" i="24"/>
  <c r="Z21" i="24"/>
  <c r="Z22" i="24"/>
  <c r="Z23" i="24"/>
  <c r="Z24" i="24"/>
  <c r="Z25" i="24"/>
  <c r="Z26" i="24"/>
  <c r="Z27" i="24"/>
  <c r="Z28" i="24"/>
  <c r="Z30" i="24"/>
  <c r="Z31" i="24"/>
  <c r="Z32" i="24"/>
  <c r="Z33" i="24"/>
  <c r="Z34" i="24"/>
  <c r="Z35" i="24"/>
  <c r="Z36" i="24"/>
  <c r="Z37" i="24"/>
  <c r="Z38" i="24"/>
  <c r="Z39" i="24"/>
  <c r="Z40" i="24"/>
  <c r="Z41" i="24"/>
  <c r="Z42" i="24"/>
  <c r="Z43" i="24"/>
  <c r="Z44" i="24"/>
  <c r="Z45" i="24"/>
  <c r="Z46" i="24"/>
  <c r="Z47" i="24"/>
  <c r="Z48" i="24"/>
  <c r="Z49" i="24"/>
  <c r="Z50" i="24"/>
  <c r="Z51" i="24"/>
  <c r="Z52" i="24"/>
  <c r="Z53" i="24"/>
  <c r="Z54" i="24"/>
  <c r="Z55" i="24"/>
  <c r="Z56" i="24"/>
  <c r="Z57" i="24"/>
  <c r="Z58" i="24"/>
  <c r="Z59" i="24"/>
  <c r="Z60" i="24"/>
  <c r="Z61" i="24"/>
  <c r="Z62" i="24"/>
  <c r="Z63" i="24"/>
  <c r="Z64" i="24"/>
  <c r="Z65" i="24"/>
  <c r="Z66" i="24"/>
  <c r="Z67" i="24"/>
  <c r="Z68" i="24"/>
  <c r="Z69" i="24"/>
  <c r="Z70" i="24"/>
  <c r="Z71" i="24"/>
  <c r="Z72" i="24"/>
  <c r="Z73" i="24"/>
  <c r="Z74" i="24"/>
  <c r="Z75" i="24"/>
  <c r="Z76" i="24"/>
  <c r="Z77" i="24"/>
  <c r="Z78" i="24"/>
  <c r="Z79" i="24"/>
  <c r="Z80" i="24"/>
  <c r="Z81" i="24"/>
  <c r="Z82" i="24"/>
  <c r="Z83" i="24"/>
  <c r="Z84" i="24"/>
  <c r="Z85" i="24"/>
  <c r="Z86" i="24"/>
  <c r="Z87" i="24"/>
  <c r="Z88" i="24"/>
  <c r="Z89" i="24"/>
  <c r="Z90" i="24"/>
  <c r="Z91" i="24"/>
  <c r="Z92" i="24"/>
  <c r="Z93" i="24"/>
  <c r="Z94" i="24"/>
  <c r="Z95" i="24"/>
  <c r="Z96" i="24"/>
  <c r="Z97" i="24"/>
  <c r="Z98" i="24"/>
  <c r="Z99" i="24"/>
  <c r="Z100" i="24"/>
  <c r="Z101" i="24"/>
  <c r="Z102" i="24"/>
  <c r="Z103" i="24"/>
  <c r="Z104" i="24"/>
  <c r="Z105" i="24"/>
  <c r="Z106" i="24"/>
  <c r="Z107" i="24"/>
  <c r="Z108" i="24"/>
  <c r="Z109" i="24"/>
  <c r="Z110" i="24"/>
  <c r="Z111" i="24"/>
  <c r="Z112" i="24"/>
  <c r="Z113" i="24"/>
  <c r="Z114" i="24"/>
  <c r="Z115" i="24"/>
  <c r="Z116" i="24"/>
  <c r="Z117" i="24"/>
  <c r="Z118" i="24"/>
  <c r="Z119" i="24"/>
  <c r="Z120" i="24"/>
  <c r="Z121" i="24"/>
  <c r="Z122" i="24"/>
  <c r="Z123" i="24"/>
  <c r="Z124" i="24"/>
  <c r="Z125" i="24"/>
  <c r="Z126" i="24"/>
  <c r="Z127" i="24"/>
  <c r="Z128" i="24"/>
  <c r="Z129" i="24"/>
  <c r="Z130" i="24"/>
  <c r="Z131" i="24"/>
  <c r="Z132" i="24"/>
  <c r="Z133" i="24"/>
  <c r="Z134" i="24"/>
  <c r="Z135" i="24"/>
  <c r="Z136" i="24"/>
  <c r="Z137" i="24"/>
  <c r="Z138" i="24"/>
  <c r="Z139" i="24"/>
  <c r="Z140" i="24"/>
  <c r="Z141" i="24"/>
  <c r="Z142" i="24"/>
  <c r="Z144" i="24"/>
  <c r="Z145" i="24"/>
  <c r="Z146" i="24"/>
  <c r="Z147" i="24"/>
  <c r="Z148" i="24"/>
  <c r="Z149" i="24"/>
  <c r="Z150" i="24"/>
  <c r="Z151" i="24"/>
  <c r="Z152" i="24"/>
  <c r="Z153" i="24"/>
  <c r="Z154" i="24"/>
  <c r="Z155" i="24"/>
  <c r="Z156" i="24"/>
  <c r="Z157" i="24"/>
  <c r="Z158" i="24"/>
  <c r="Z159" i="24"/>
  <c r="Z160" i="24"/>
  <c r="Z161" i="24"/>
  <c r="Z162" i="24"/>
  <c r="Z163" i="24"/>
  <c r="Z164" i="24"/>
  <c r="Z165" i="24"/>
  <c r="Z166" i="24"/>
  <c r="Z167" i="24"/>
  <c r="Z168" i="24"/>
  <c r="Z169" i="24"/>
  <c r="Z170" i="24"/>
  <c r="Z171" i="24"/>
  <c r="Z172" i="24"/>
  <c r="Z173" i="24"/>
  <c r="Z174" i="24"/>
  <c r="Z175" i="24"/>
  <c r="Z176" i="24"/>
  <c r="Z177" i="24"/>
  <c r="Z178" i="24"/>
  <c r="Z179" i="24"/>
  <c r="Z180" i="24"/>
  <c r="Z181" i="24"/>
  <c r="Z182" i="24"/>
  <c r="Z183" i="24"/>
  <c r="Z184" i="24"/>
  <c r="Z185" i="24"/>
  <c r="Z186" i="24"/>
  <c r="Z187" i="24"/>
  <c r="Z188" i="24"/>
  <c r="Z189" i="24"/>
  <c r="Z190" i="24"/>
  <c r="Z191" i="24"/>
  <c r="Z192" i="24"/>
  <c r="Z193" i="24"/>
  <c r="Z194" i="24"/>
  <c r="Z195" i="24"/>
  <c r="Z196" i="24"/>
  <c r="Z197" i="24"/>
  <c r="Z198" i="24"/>
  <c r="Z199" i="24"/>
  <c r="Z200" i="24"/>
  <c r="Z201" i="24"/>
  <c r="Z202" i="24"/>
  <c r="Z203" i="24"/>
  <c r="Z204" i="24"/>
  <c r="Z205" i="24"/>
  <c r="Z206" i="24"/>
  <c r="Z207" i="24"/>
  <c r="Z208" i="24"/>
  <c r="Z209" i="24"/>
  <c r="Z210" i="24"/>
  <c r="Z211" i="24"/>
  <c r="Z212" i="24"/>
  <c r="Z213" i="24"/>
  <c r="Z214" i="24"/>
  <c r="Z215" i="24"/>
  <c r="Z216" i="24"/>
  <c r="Z217" i="24"/>
  <c r="Z218" i="24"/>
  <c r="Z219" i="24"/>
  <c r="Z220" i="24"/>
  <c r="Z221" i="24"/>
  <c r="Z222" i="24"/>
  <c r="Z223" i="24"/>
  <c r="Z224" i="24"/>
  <c r="Z225" i="24"/>
  <c r="Z226" i="24"/>
  <c r="Z227" i="24"/>
  <c r="Z228" i="24"/>
  <c r="Z229" i="24"/>
  <c r="Z230" i="24"/>
  <c r="Z231" i="24"/>
  <c r="Z232" i="24"/>
  <c r="Z233" i="24"/>
  <c r="Z234" i="24"/>
  <c r="Z235" i="24"/>
  <c r="Z236" i="24"/>
  <c r="Z237" i="24"/>
  <c r="Z238" i="24"/>
  <c r="Z239" i="24"/>
  <c r="Z240" i="24"/>
  <c r="Z241" i="24"/>
  <c r="Z242" i="24"/>
  <c r="Z243" i="24"/>
  <c r="Z244" i="24"/>
  <c r="Z245" i="24"/>
  <c r="Z246" i="24"/>
  <c r="Z247" i="24"/>
  <c r="Z248" i="24"/>
  <c r="Z249" i="24"/>
  <c r="Z250" i="24"/>
  <c r="Z251" i="24"/>
  <c r="Z252" i="24"/>
  <c r="Z253" i="24"/>
  <c r="Z254" i="24"/>
  <c r="Z255" i="24"/>
  <c r="Z256" i="24"/>
  <c r="Z257" i="24"/>
  <c r="Z258" i="24"/>
  <c r="Z259" i="24"/>
  <c r="Z260" i="24"/>
  <c r="Z261" i="24"/>
  <c r="Z262" i="24"/>
  <c r="M202" i="32"/>
  <c r="L202" i="32"/>
  <c r="M197" i="32"/>
  <c r="L197" i="32"/>
  <c r="M196" i="32"/>
  <c r="L196" i="32"/>
  <c r="I21" i="12"/>
  <c r="H21" i="12"/>
  <c r="F21" i="12"/>
  <c r="G21" i="12"/>
  <c r="M193" i="32"/>
  <c r="L193" i="32"/>
  <c r="M192" i="32"/>
  <c r="L192" i="32"/>
  <c r="A146" i="31" l="1"/>
  <c r="P111" i="7"/>
  <c r="P110" i="7"/>
  <c r="O111" i="7"/>
  <c r="O110" i="7"/>
  <c r="W110" i="7"/>
  <c r="X110" i="7" s="1"/>
  <c r="W111" i="7"/>
  <c r="X111" i="7" s="1"/>
  <c r="A2" i="24"/>
  <c r="A121" i="32"/>
  <c r="D134" i="31"/>
  <c r="D133" i="31"/>
  <c r="F133" i="31" s="1"/>
  <c r="D132" i="31"/>
  <c r="F132" i="31" s="1"/>
  <c r="D131" i="31"/>
  <c r="F131" i="31" s="1"/>
  <c r="D130" i="31"/>
  <c r="D129" i="31"/>
  <c r="D128" i="31"/>
  <c r="D127" i="31"/>
  <c r="D126" i="31"/>
  <c r="D125" i="31"/>
  <c r="D124" i="31"/>
  <c r="D123" i="31"/>
  <c r="D122" i="31"/>
  <c r="D121" i="31"/>
  <c r="G121" i="31" s="1"/>
  <c r="D120" i="31"/>
  <c r="G120" i="31" s="1"/>
  <c r="D119" i="31"/>
  <c r="D118" i="31"/>
  <c r="D117" i="31"/>
  <c r="F117" i="31" s="1"/>
  <c r="D116" i="31"/>
  <c r="D104" i="31"/>
  <c r="D105" i="31"/>
  <c r="F105" i="31" s="1"/>
  <c r="D106" i="31"/>
  <c r="D107" i="31"/>
  <c r="G107" i="31" s="1"/>
  <c r="D108" i="31"/>
  <c r="F108" i="31" s="1"/>
  <c r="D109" i="31"/>
  <c r="F109" i="31" s="1"/>
  <c r="D110" i="31"/>
  <c r="G110" i="31" s="1"/>
  <c r="D111" i="31"/>
  <c r="D112" i="31"/>
  <c r="D113" i="31"/>
  <c r="F113" i="31" s="1"/>
  <c r="D114" i="31"/>
  <c r="G114" i="31" s="1"/>
  <c r="D115" i="31"/>
  <c r="F115" i="31" s="1"/>
  <c r="D96" i="31"/>
  <c r="G96" i="31" s="1"/>
  <c r="D97" i="31"/>
  <c r="D98" i="31"/>
  <c r="D99" i="31"/>
  <c r="D100" i="31"/>
  <c r="D101" i="31"/>
  <c r="D102" i="31"/>
  <c r="D103" i="31"/>
  <c r="D71" i="31"/>
  <c r="G71" i="31" s="1"/>
  <c r="D72" i="31"/>
  <c r="D73" i="31"/>
  <c r="F73" i="31" s="1"/>
  <c r="D74" i="31"/>
  <c r="D75" i="31"/>
  <c r="F75" i="31" s="1"/>
  <c r="D76" i="31"/>
  <c r="D77" i="31"/>
  <c r="D78" i="31"/>
  <c r="F78" i="31" s="1"/>
  <c r="D79" i="31"/>
  <c r="F79" i="31" s="1"/>
  <c r="D80" i="31"/>
  <c r="D81" i="31"/>
  <c r="D82" i="31"/>
  <c r="D83" i="31"/>
  <c r="F83" i="31" s="1"/>
  <c r="D84" i="31"/>
  <c r="D85" i="31"/>
  <c r="G85" i="31" s="1"/>
  <c r="D86" i="31"/>
  <c r="F86" i="31" s="1"/>
  <c r="D87" i="31"/>
  <c r="G87" i="31" s="1"/>
  <c r="D88" i="31"/>
  <c r="F88" i="31" s="1"/>
  <c r="D89" i="31"/>
  <c r="F89" i="31" s="1"/>
  <c r="D90" i="31"/>
  <c r="G90" i="31" s="1"/>
  <c r="D91" i="31"/>
  <c r="D92" i="31"/>
  <c r="D93" i="31"/>
  <c r="G93" i="31" s="1"/>
  <c r="D94" i="31"/>
  <c r="F94" i="31" s="1"/>
  <c r="D95" i="31"/>
  <c r="G95" i="31" s="1"/>
  <c r="D70" i="31"/>
  <c r="K262" i="24"/>
  <c r="K261" i="24"/>
  <c r="K260" i="24"/>
  <c r="K259" i="24"/>
  <c r="K255" i="24"/>
  <c r="K244" i="24"/>
  <c r="K237" i="24"/>
  <c r="K236" i="24"/>
  <c r="K235" i="24"/>
  <c r="K223" i="24"/>
  <c r="K222" i="24"/>
  <c r="K221" i="24"/>
  <c r="K210" i="24"/>
  <c r="K209" i="24"/>
  <c r="K208" i="24"/>
  <c r="K190" i="24"/>
  <c r="K189" i="24"/>
  <c r="K184" i="24"/>
  <c r="K180" i="24"/>
  <c r="K177" i="24"/>
  <c r="K173" i="24"/>
  <c r="K172" i="24"/>
  <c r="K171" i="24"/>
  <c r="K165" i="24"/>
  <c r="K143" i="24"/>
  <c r="A171" i="24"/>
  <c r="A178" i="24"/>
  <c r="A202" i="24"/>
  <c r="A203" i="24"/>
  <c r="A210" i="24"/>
  <c r="A235" i="24"/>
  <c r="H141" i="24"/>
  <c r="A141" i="24" s="1"/>
  <c r="H142" i="24"/>
  <c r="A142" i="24" s="1"/>
  <c r="H143" i="24"/>
  <c r="A143" i="24" s="1"/>
  <c r="H144" i="24"/>
  <c r="A144" i="24" s="1"/>
  <c r="H145" i="24"/>
  <c r="A145" i="24" s="1"/>
  <c r="H146" i="24"/>
  <c r="A146" i="24" s="1"/>
  <c r="H147" i="24"/>
  <c r="A147" i="24" s="1"/>
  <c r="H148" i="24"/>
  <c r="A148" i="24" s="1"/>
  <c r="H149" i="24"/>
  <c r="A149" i="24" s="1"/>
  <c r="H150" i="24"/>
  <c r="A150" i="24" s="1"/>
  <c r="H151" i="24"/>
  <c r="A151" i="24" s="1"/>
  <c r="H152" i="24"/>
  <c r="A152" i="24" s="1"/>
  <c r="H153" i="24"/>
  <c r="A153" i="24" s="1"/>
  <c r="H154" i="24"/>
  <c r="A154" i="24" s="1"/>
  <c r="H155" i="24"/>
  <c r="A155" i="24" s="1"/>
  <c r="H156" i="24"/>
  <c r="A156" i="24" s="1"/>
  <c r="H157" i="24"/>
  <c r="A157" i="24" s="1"/>
  <c r="H158" i="24"/>
  <c r="A158" i="24" s="1"/>
  <c r="H159" i="24"/>
  <c r="A159" i="24" s="1"/>
  <c r="H160" i="24"/>
  <c r="A160" i="24" s="1"/>
  <c r="H161" i="24"/>
  <c r="A161" i="24" s="1"/>
  <c r="H162" i="24"/>
  <c r="A162" i="24" s="1"/>
  <c r="H163" i="24"/>
  <c r="A163" i="24" s="1"/>
  <c r="H164" i="24"/>
  <c r="A164" i="24" s="1"/>
  <c r="A165" i="24"/>
  <c r="H166" i="24"/>
  <c r="A166" i="24" s="1"/>
  <c r="H167" i="24"/>
  <c r="A167" i="24" s="1"/>
  <c r="H168" i="24"/>
  <c r="A168" i="24" s="1"/>
  <c r="H169" i="24"/>
  <c r="A169" i="24" s="1"/>
  <c r="H170" i="24"/>
  <c r="A170" i="24" s="1"/>
  <c r="A172" i="24"/>
  <c r="A173" i="24"/>
  <c r="H174" i="24"/>
  <c r="A174" i="24" s="1"/>
  <c r="H175" i="24"/>
  <c r="A175" i="24" s="1"/>
  <c r="H176" i="24"/>
  <c r="A176" i="24" s="1"/>
  <c r="A177" i="24"/>
  <c r="H179" i="24"/>
  <c r="A179" i="24" s="1"/>
  <c r="A180" i="24"/>
  <c r="H181" i="24"/>
  <c r="A181" i="24" s="1"/>
  <c r="H182" i="24"/>
  <c r="A182" i="24" s="1"/>
  <c r="H183" i="24"/>
  <c r="A183" i="24" s="1"/>
  <c r="H184" i="24"/>
  <c r="A184" i="24" s="1"/>
  <c r="H185" i="24"/>
  <c r="A185" i="24" s="1"/>
  <c r="H186" i="24"/>
  <c r="A186" i="24" s="1"/>
  <c r="H187" i="24"/>
  <c r="A187" i="24" s="1"/>
  <c r="H188" i="24"/>
  <c r="A188" i="24" s="1"/>
  <c r="H189" i="24"/>
  <c r="A189" i="24" s="1"/>
  <c r="H190" i="24"/>
  <c r="A190" i="24" s="1"/>
  <c r="H191" i="24"/>
  <c r="A191" i="24" s="1"/>
  <c r="H192" i="24"/>
  <c r="A192" i="24" s="1"/>
  <c r="H193" i="24"/>
  <c r="A193" i="24" s="1"/>
  <c r="H194" i="24"/>
  <c r="A194" i="24" s="1"/>
  <c r="H195" i="24"/>
  <c r="A195" i="24" s="1"/>
  <c r="A196" i="24"/>
  <c r="A197" i="24"/>
  <c r="A198" i="24"/>
  <c r="A199" i="24"/>
  <c r="A200" i="24"/>
  <c r="A201" i="24"/>
  <c r="A204" i="24"/>
  <c r="A205" i="24"/>
  <c r="H206" i="24"/>
  <c r="A206" i="24" s="1"/>
  <c r="H207" i="24"/>
  <c r="A207" i="24" s="1"/>
  <c r="A208" i="24"/>
  <c r="H209" i="24"/>
  <c r="A209" i="24" s="1"/>
  <c r="H211" i="24"/>
  <c r="A211" i="24" s="1"/>
  <c r="H212" i="24"/>
  <c r="A212" i="24" s="1"/>
  <c r="H213" i="24"/>
  <c r="A213" i="24" s="1"/>
  <c r="H214" i="24"/>
  <c r="A214" i="24" s="1"/>
  <c r="H215" i="24"/>
  <c r="A215" i="24" s="1"/>
  <c r="H216" i="24"/>
  <c r="A216" i="24" s="1"/>
  <c r="H217" i="24"/>
  <c r="A217" i="24" s="1"/>
  <c r="H218" i="24"/>
  <c r="A218" i="24" s="1"/>
  <c r="H219" i="24"/>
  <c r="A219" i="24" s="1"/>
  <c r="H220" i="24"/>
  <c r="A220" i="24" s="1"/>
  <c r="A221" i="24"/>
  <c r="H222" i="24"/>
  <c r="A222" i="24" s="1"/>
  <c r="H223" i="24"/>
  <c r="A223" i="24" s="1"/>
  <c r="H224" i="24"/>
  <c r="A224" i="24" s="1"/>
  <c r="H225" i="24"/>
  <c r="A225" i="24" s="1"/>
  <c r="H226" i="24"/>
  <c r="A226" i="24" s="1"/>
  <c r="H227" i="24"/>
  <c r="A227" i="24" s="1"/>
  <c r="H228" i="24"/>
  <c r="A228" i="24" s="1"/>
  <c r="H229" i="24"/>
  <c r="A229" i="24" s="1"/>
  <c r="H230" i="24"/>
  <c r="A230" i="24" s="1"/>
  <c r="H231" i="24"/>
  <c r="A231" i="24" s="1"/>
  <c r="H232" i="24"/>
  <c r="A232" i="24" s="1"/>
  <c r="H233" i="24"/>
  <c r="A233" i="24" s="1"/>
  <c r="H234" i="24"/>
  <c r="A234" i="24" s="1"/>
  <c r="A236" i="24"/>
  <c r="H237" i="24"/>
  <c r="A237" i="24" s="1"/>
  <c r="H238" i="24"/>
  <c r="A238" i="24" s="1"/>
  <c r="H239" i="24"/>
  <c r="A239" i="24" s="1"/>
  <c r="H240" i="24"/>
  <c r="A240" i="24" s="1"/>
  <c r="H241" i="24"/>
  <c r="A241" i="24" s="1"/>
  <c r="H242" i="24"/>
  <c r="A242" i="24" s="1"/>
  <c r="H243" i="24"/>
  <c r="A243" i="24" s="1"/>
  <c r="H244" i="24"/>
  <c r="A244" i="24" s="1"/>
  <c r="H245" i="24"/>
  <c r="A245" i="24" s="1"/>
  <c r="H246" i="24"/>
  <c r="A246" i="24" s="1"/>
  <c r="H247" i="24"/>
  <c r="A247" i="24" s="1"/>
  <c r="H248" i="24"/>
  <c r="A248" i="24" s="1"/>
  <c r="H249" i="24"/>
  <c r="A249" i="24" s="1"/>
  <c r="H250" i="24"/>
  <c r="A250" i="24" s="1"/>
  <c r="H251" i="24"/>
  <c r="A251" i="24" s="1"/>
  <c r="H252" i="24"/>
  <c r="A252" i="24" s="1"/>
  <c r="H253" i="24"/>
  <c r="A253" i="24" s="1"/>
  <c r="H254" i="24"/>
  <c r="A254" i="24" s="1"/>
  <c r="H255" i="24"/>
  <c r="A255" i="24" s="1"/>
  <c r="H256" i="24"/>
  <c r="A256" i="24" s="1"/>
  <c r="H257" i="24"/>
  <c r="A257" i="24" s="1"/>
  <c r="H258" i="24"/>
  <c r="A258" i="24" s="1"/>
  <c r="H259" i="24"/>
  <c r="A259" i="24" s="1"/>
  <c r="A260" i="24"/>
  <c r="A261" i="24"/>
  <c r="H262" i="24"/>
  <c r="A262" i="24" s="1"/>
  <c r="H140" i="24"/>
  <c r="A140" i="24" s="1"/>
  <c r="K258" i="24"/>
  <c r="K257" i="24"/>
  <c r="K256" i="24"/>
  <c r="K254" i="24"/>
  <c r="K253" i="24"/>
  <c r="K252" i="24"/>
  <c r="K251" i="24"/>
  <c r="K250" i="24"/>
  <c r="K249" i="24"/>
  <c r="K248" i="24"/>
  <c r="K247" i="24"/>
  <c r="K246" i="24"/>
  <c r="K245" i="24"/>
  <c r="K243" i="24"/>
  <c r="K242" i="24"/>
  <c r="K241" i="24"/>
  <c r="K240" i="24"/>
  <c r="K239" i="24"/>
  <c r="K238" i="24"/>
  <c r="K234" i="24"/>
  <c r="K233" i="24"/>
  <c r="K232" i="24"/>
  <c r="K231" i="24"/>
  <c r="K230" i="24"/>
  <c r="K229" i="24"/>
  <c r="K228" i="24"/>
  <c r="K227" i="24"/>
  <c r="K226" i="24"/>
  <c r="K225" i="24"/>
  <c r="K224" i="24"/>
  <c r="K220" i="24"/>
  <c r="K219" i="24"/>
  <c r="K218" i="24"/>
  <c r="K217" i="24"/>
  <c r="K216" i="24"/>
  <c r="K215" i="24"/>
  <c r="K214" i="24"/>
  <c r="K213" i="24"/>
  <c r="K212" i="24"/>
  <c r="K211" i="24"/>
  <c r="K207" i="24"/>
  <c r="K206" i="24"/>
  <c r="K205" i="24"/>
  <c r="K204" i="24"/>
  <c r="K203" i="24"/>
  <c r="K202" i="24"/>
  <c r="K201" i="24"/>
  <c r="K200" i="24"/>
  <c r="K199" i="24"/>
  <c r="K198" i="24"/>
  <c r="K197" i="24"/>
  <c r="K196" i="24"/>
  <c r="K195" i="24"/>
  <c r="K194" i="24"/>
  <c r="K193" i="24"/>
  <c r="K192" i="24"/>
  <c r="K191" i="24"/>
  <c r="K188" i="24"/>
  <c r="K187" i="24"/>
  <c r="K186" i="24"/>
  <c r="K185" i="24"/>
  <c r="K183" i="24"/>
  <c r="K182" i="24"/>
  <c r="K181" i="24"/>
  <c r="K179" i="24"/>
  <c r="K178" i="24"/>
  <c r="K176" i="24"/>
  <c r="K175" i="24"/>
  <c r="K174" i="24"/>
  <c r="K170" i="24"/>
  <c r="K169" i="24"/>
  <c r="K168" i="24"/>
  <c r="K167" i="24"/>
  <c r="K166" i="24"/>
  <c r="K164" i="24"/>
  <c r="K163" i="24"/>
  <c r="K162" i="24"/>
  <c r="K161" i="24"/>
  <c r="K160" i="24"/>
  <c r="K159" i="24"/>
  <c r="K158" i="24"/>
  <c r="K157" i="24"/>
  <c r="K156" i="24"/>
  <c r="K155" i="24"/>
  <c r="K154" i="24"/>
  <c r="K153" i="24"/>
  <c r="K152" i="24"/>
  <c r="K151" i="24"/>
  <c r="K150" i="24"/>
  <c r="K149" i="24"/>
  <c r="K148" i="24"/>
  <c r="K147" i="24"/>
  <c r="K146" i="24"/>
  <c r="K145" i="24"/>
  <c r="K144" i="24"/>
  <c r="K142" i="24"/>
  <c r="K141" i="24"/>
  <c r="K140" i="24"/>
  <c r="G135" i="31"/>
  <c r="F67" i="31"/>
  <c r="G68" i="31"/>
  <c r="F135" i="31"/>
  <c r="G63" i="31"/>
  <c r="F66" i="31"/>
  <c r="G69" i="31"/>
  <c r="G15" i="12"/>
  <c r="G62" i="31"/>
  <c r="G67" i="31"/>
  <c r="H15" i="12"/>
  <c r="G66" i="31"/>
  <c r="F65" i="31"/>
  <c r="F64" i="31"/>
  <c r="F69" i="31"/>
  <c r="G64" i="31"/>
  <c r="G131" i="31"/>
  <c r="I15" i="12"/>
  <c r="F62" i="31"/>
  <c r="G65" i="31"/>
  <c r="F63" i="31"/>
  <c r="F15" i="12"/>
  <c r="F68" i="31"/>
  <c r="F128" i="31"/>
  <c r="F134" i="31"/>
  <c r="G124" i="31"/>
  <c r="F129" i="31"/>
  <c r="F125" i="31"/>
  <c r="F126" i="31"/>
  <c r="G123" i="31"/>
  <c r="F130" i="31"/>
  <c r="F98" i="31" l="1"/>
  <c r="G98" i="31"/>
  <c r="G82" i="31"/>
  <c r="F82" i="31"/>
  <c r="F84" i="31"/>
  <c r="G84" i="31"/>
  <c r="G92" i="31"/>
  <c r="F92" i="31"/>
  <c r="G70" i="31"/>
  <c r="F70" i="31"/>
  <c r="H69" i="31"/>
  <c r="Z4" i="24"/>
  <c r="F123" i="31"/>
  <c r="G89" i="31"/>
  <c r="G75" i="31"/>
  <c r="G113" i="31"/>
  <c r="G101" i="31"/>
  <c r="G72" i="31"/>
  <c r="G126" i="31"/>
  <c r="F97" i="31"/>
  <c r="F122" i="31"/>
  <c r="G83" i="31"/>
  <c r="F74" i="31"/>
  <c r="F104" i="31"/>
  <c r="G134" i="31"/>
  <c r="G78" i="31"/>
  <c r="G104" i="31"/>
  <c r="G91" i="31"/>
  <c r="G133" i="31"/>
  <c r="G116" i="31"/>
  <c r="G88" i="31"/>
  <c r="G81" i="31"/>
  <c r="F99" i="31"/>
  <c r="F124" i="31"/>
  <c r="G100" i="31"/>
  <c r="G102" i="31"/>
  <c r="F114" i="31"/>
  <c r="F96" i="31"/>
  <c r="G122" i="31"/>
  <c r="F102" i="31"/>
  <c r="F120" i="31"/>
  <c r="F127" i="31"/>
  <c r="G79" i="31"/>
  <c r="G125" i="31"/>
  <c r="G94" i="31"/>
  <c r="G106" i="31"/>
  <c r="G109" i="31"/>
  <c r="G73" i="31"/>
  <c r="F93" i="31"/>
  <c r="G119" i="31"/>
  <c r="F77" i="31"/>
  <c r="G115" i="31"/>
  <c r="G99" i="31"/>
  <c r="F76" i="31"/>
  <c r="F80" i="31"/>
  <c r="G128" i="31"/>
  <c r="F72" i="31"/>
  <c r="F110" i="31"/>
  <c r="F85" i="31"/>
  <c r="G117" i="31"/>
  <c r="F71" i="31"/>
  <c r="F87" i="31"/>
  <c r="F81" i="31"/>
  <c r="F101" i="31"/>
  <c r="G118" i="31"/>
  <c r="G97" i="31"/>
  <c r="G77" i="31"/>
  <c r="F121" i="31"/>
  <c r="F91" i="31"/>
  <c r="G80" i="31"/>
  <c r="F107" i="31"/>
  <c r="G130" i="31"/>
  <c r="F111" i="31"/>
  <c r="G108" i="31"/>
  <c r="G129" i="31"/>
  <c r="F116" i="31"/>
  <c r="G112" i="31"/>
  <c r="G103" i="31"/>
  <c r="F106" i="31"/>
  <c r="F100" i="31"/>
  <c r="G74" i="31"/>
  <c r="F95" i="31"/>
  <c r="G86" i="31"/>
  <c r="G132" i="31"/>
  <c r="F119" i="31"/>
  <c r="F103" i="31"/>
  <c r="F90" i="31"/>
  <c r="G76" i="31"/>
  <c r="G111" i="31"/>
  <c r="G127" i="31"/>
  <c r="G105" i="31"/>
  <c r="F112" i="31"/>
  <c r="F118" i="31"/>
  <c r="H134" i="31" l="1"/>
  <c r="H103" i="31"/>
  <c r="H115" i="31"/>
  <c r="C10" i="6"/>
  <c r="D10" i="6" a="1"/>
  <c r="O109" i="7"/>
  <c r="O108" i="7"/>
  <c r="O107" i="7"/>
  <c r="P107" i="7"/>
  <c r="P108" i="7"/>
  <c r="P105" i="7"/>
  <c r="P109" i="7"/>
  <c r="H20" i="12"/>
  <c r="G20" i="12"/>
  <c r="I20" i="12"/>
  <c r="F20" i="12"/>
  <c r="D20" i="12" l="1"/>
  <c r="D19" i="12"/>
  <c r="W109" i="7" l="1"/>
  <c r="X109" i="7" s="1"/>
  <c r="A1" i="31"/>
  <c r="J266" i="24"/>
  <c r="C133" i="32"/>
  <c r="C132" i="32"/>
  <c r="C144" i="32"/>
  <c r="C138" i="32"/>
  <c r="C127" i="32"/>
  <c r="D59" i="32"/>
  <c r="C59" i="32"/>
  <c r="G34" i="32"/>
  <c r="D68" i="32"/>
  <c r="C68" i="32"/>
  <c r="G35" i="32"/>
  <c r="D49" i="32"/>
  <c r="C49" i="32"/>
  <c r="G33" i="32"/>
  <c r="A36" i="32"/>
  <c r="A1" i="32"/>
  <c r="G36" i="32"/>
  <c r="H36" i="32"/>
  <c r="E138" i="31"/>
  <c r="E136" i="31"/>
  <c r="E61" i="31"/>
  <c r="E49" i="31"/>
  <c r="E16" i="31"/>
  <c r="I61" i="29"/>
  <c r="H61" i="29"/>
  <c r="G61" i="29"/>
  <c r="I55" i="29"/>
  <c r="H55" i="29"/>
  <c r="G55" i="29"/>
  <c r="H36" i="29"/>
  <c r="G36" i="29"/>
  <c r="G43" i="29"/>
  <c r="H43" i="29"/>
  <c r="H29" i="29"/>
  <c r="H27" i="29"/>
  <c r="H26" i="29"/>
  <c r="H25" i="29"/>
  <c r="E25" i="29"/>
  <c r="D17" i="29"/>
  <c r="D18" i="29"/>
  <c r="H33" i="32"/>
  <c r="H35" i="32"/>
  <c r="H34" i="32"/>
  <c r="C69" i="32"/>
  <c r="D69" i="32"/>
  <c r="J263" i="24"/>
  <c r="J264" i="24" s="1"/>
  <c r="W66" i="7"/>
  <c r="X66" i="7" s="1"/>
  <c r="W76" i="7"/>
  <c r="X76" i="7" s="1"/>
  <c r="W108" i="7"/>
  <c r="X108" i="7" s="1"/>
  <c r="W107" i="7"/>
  <c r="X107" i="7" s="1"/>
  <c r="W93" i="7"/>
  <c r="X93" i="7" s="1"/>
  <c r="W22" i="7"/>
  <c r="X22" i="7" s="1"/>
  <c r="W92" i="7"/>
  <c r="X92" i="7" s="1"/>
  <c r="W13" i="7"/>
  <c r="X13" i="7" s="1"/>
  <c r="W85" i="7"/>
  <c r="X85" i="7" s="1"/>
  <c r="W103" i="7"/>
  <c r="X103" i="7" s="1"/>
  <c r="W6" i="7"/>
  <c r="X6" i="7" s="1"/>
  <c r="W81" i="7"/>
  <c r="X81" i="7" s="1"/>
  <c r="W101" i="7"/>
  <c r="X101" i="7" s="1"/>
  <c r="W4" i="7"/>
  <c r="X4" i="7" s="1"/>
  <c r="W79" i="7"/>
  <c r="X79" i="7" s="1"/>
  <c r="W113" i="7"/>
  <c r="X113" i="7" s="1"/>
  <c r="W11" i="7"/>
  <c r="X11" i="7" s="1"/>
  <c r="W25" i="7"/>
  <c r="X25" i="7" s="1"/>
  <c r="W98" i="7"/>
  <c r="X98" i="7" s="1"/>
  <c r="W34" i="7"/>
  <c r="X34" i="7" s="1"/>
  <c r="W26" i="7"/>
  <c r="X26" i="7" s="1"/>
  <c r="W90" i="7"/>
  <c r="X90" i="7" s="1"/>
  <c r="W35" i="7"/>
  <c r="X35" i="7" s="1"/>
  <c r="W27" i="7"/>
  <c r="X27" i="7" s="1"/>
  <c r="W32" i="7"/>
  <c r="X32" i="7" s="1"/>
  <c r="W31" i="7"/>
  <c r="X31" i="7" s="1"/>
  <c r="W88" i="7"/>
  <c r="X88" i="7" s="1"/>
  <c r="W30" i="7"/>
  <c r="X30" i="7" s="1"/>
  <c r="W87" i="7"/>
  <c r="X87" i="7" s="1"/>
  <c r="W14" i="7"/>
  <c r="X14" i="7" s="1"/>
  <c r="W104" i="7"/>
  <c r="X104" i="7" s="1"/>
  <c r="W114" i="7"/>
  <c r="X114" i="7" s="1"/>
  <c r="W7" i="7"/>
  <c r="X7" i="7" s="1"/>
  <c r="W82" i="7"/>
  <c r="X82" i="7" s="1"/>
  <c r="W102" i="7"/>
  <c r="X102" i="7" s="1"/>
  <c r="W5" i="7"/>
  <c r="X5" i="7" s="1"/>
  <c r="W80" i="7"/>
  <c r="X80" i="7" s="1"/>
  <c r="W100" i="7"/>
  <c r="X100" i="7" s="1"/>
  <c r="W3" i="7"/>
  <c r="X3" i="7" s="1"/>
  <c r="W83" i="7"/>
  <c r="X83" i="7" s="1"/>
  <c r="W99" i="7"/>
  <c r="X99" i="7" s="1"/>
  <c r="W38" i="7"/>
  <c r="X38" i="7" s="1"/>
  <c r="W21" i="7"/>
  <c r="X21" i="7" s="1"/>
  <c r="W96" i="7"/>
  <c r="X96" i="7" s="1"/>
  <c r="W36" i="7"/>
  <c r="X36" i="7" s="1"/>
  <c r="W8" i="7"/>
  <c r="X8" i="7" s="1"/>
  <c r="W94" i="7"/>
  <c r="X94" i="7" s="1"/>
  <c r="W89" i="7"/>
  <c r="X89" i="7" s="1"/>
  <c r="W20" i="7"/>
  <c r="X20" i="7" s="1"/>
  <c r="W19" i="7"/>
  <c r="X19" i="7" s="1"/>
  <c r="W75" i="7"/>
  <c r="X75" i="7" s="1"/>
  <c r="W49" i="7"/>
  <c r="X49" i="7" s="1"/>
  <c r="W127" i="7"/>
  <c r="X127" i="7" s="1"/>
  <c r="W128" i="7"/>
  <c r="X128" i="7" s="1"/>
  <c r="W131" i="7"/>
  <c r="X131" i="7" s="1"/>
  <c r="W54" i="7"/>
  <c r="X54" i="7" s="1"/>
  <c r="W136" i="7"/>
  <c r="X136" i="7" s="1"/>
  <c r="W53" i="7"/>
  <c r="X53" i="7" s="1"/>
  <c r="W121" i="7"/>
  <c r="X121" i="7" s="1"/>
  <c r="W45" i="7"/>
  <c r="X45" i="7" s="1"/>
  <c r="W71" i="7"/>
  <c r="X71" i="7" s="1"/>
  <c r="W47" i="7"/>
  <c r="X47" i="7" s="1"/>
  <c r="W132" i="7"/>
  <c r="X132" i="7" s="1"/>
  <c r="W48" i="7"/>
  <c r="X48" i="7" s="1"/>
  <c r="W74" i="7"/>
  <c r="X74" i="7" s="1"/>
  <c r="W46" i="7"/>
  <c r="X46" i="7" s="1"/>
  <c r="W134" i="7"/>
  <c r="X134" i="7" s="1"/>
  <c r="W64" i="7"/>
  <c r="X64" i="7" s="1"/>
  <c r="W73" i="7"/>
  <c r="X73" i="7" s="1"/>
  <c r="W52" i="7"/>
  <c r="X52" i="7" s="1"/>
  <c r="W125" i="7"/>
  <c r="X125" i="7" s="1"/>
  <c r="W129" i="7"/>
  <c r="X129" i="7" s="1"/>
  <c r="W70" i="7"/>
  <c r="X70" i="7" s="1"/>
  <c r="W44" i="7"/>
  <c r="X44" i="7" s="1"/>
  <c r="W16" i="7"/>
  <c r="X16" i="7" s="1"/>
  <c r="W126" i="7"/>
  <c r="X126" i="7" s="1"/>
  <c r="W69" i="7"/>
  <c r="X69" i="7" s="1"/>
  <c r="W43" i="7"/>
  <c r="X43" i="7" s="1"/>
  <c r="W17" i="7"/>
  <c r="X17" i="7" s="1"/>
  <c r="W120" i="7"/>
  <c r="X120" i="7" s="1"/>
  <c r="W72" i="7"/>
  <c r="X72" i="7" s="1"/>
  <c r="W63" i="7"/>
  <c r="X63" i="7" s="1"/>
  <c r="W42" i="7"/>
  <c r="X42" i="7" s="1"/>
  <c r="W15" i="7"/>
  <c r="X15" i="7" s="1"/>
  <c r="W123" i="7"/>
  <c r="X123" i="7" s="1"/>
  <c r="W65" i="7"/>
  <c r="X65" i="7" s="1"/>
  <c r="W61" i="7"/>
  <c r="X61" i="7" s="1"/>
  <c r="W51" i="7"/>
  <c r="X51" i="7" s="1"/>
  <c r="W18" i="7"/>
  <c r="X18" i="7" s="1"/>
  <c r="W59" i="7"/>
  <c r="X59" i="7" s="1"/>
  <c r="W10" i="7"/>
  <c r="X10" i="7" s="1"/>
  <c r="W112" i="7"/>
  <c r="X112" i="7" s="1"/>
  <c r="W67" i="7"/>
  <c r="X67" i="7" s="1"/>
  <c r="W57" i="7"/>
  <c r="X57" i="7" s="1"/>
  <c r="W23" i="7"/>
  <c r="X23" i="7" s="1"/>
  <c r="W68" i="7"/>
  <c r="X68" i="7" s="1"/>
  <c r="W58" i="7"/>
  <c r="X58" i="7" s="1"/>
  <c r="W24" i="7"/>
  <c r="X24" i="7" s="1"/>
  <c r="W124" i="7"/>
  <c r="X124" i="7" s="1"/>
  <c r="W60" i="7"/>
  <c r="X60" i="7" s="1"/>
  <c r="W105" i="7"/>
  <c r="X105" i="7" s="1"/>
  <c r="W130" i="7"/>
  <c r="X130" i="7" s="1"/>
  <c r="W55" i="7"/>
  <c r="X55" i="7" s="1"/>
  <c r="W119" i="7"/>
  <c r="X119" i="7" s="1"/>
  <c r="W106" i="7"/>
  <c r="X106" i="7" s="1"/>
  <c r="W137" i="7"/>
  <c r="X137" i="7" s="1"/>
  <c r="W50" i="7"/>
  <c r="X50" i="7" s="1"/>
  <c r="W12" i="7"/>
  <c r="X12" i="7" s="1"/>
  <c r="W135" i="7"/>
  <c r="X135" i="7" s="1"/>
  <c r="W91" i="7"/>
  <c r="X91" i="7" s="1"/>
  <c r="W133" i="7"/>
  <c r="X133" i="7" s="1"/>
  <c r="P76" i="7"/>
  <c r="C13" i="6"/>
  <c r="F31" i="12" s="1"/>
  <c r="D13" i="6"/>
  <c r="G29" i="29" s="1"/>
  <c r="D12" i="6"/>
  <c r="G30" i="12" s="1"/>
  <c r="D11" i="6"/>
  <c r="G29" i="12" s="1"/>
  <c r="D9" i="6"/>
  <c r="G27" i="12" s="1"/>
  <c r="O105" i="7"/>
  <c r="P106" i="7"/>
  <c r="O106" i="7"/>
  <c r="J147" i="7"/>
  <c r="I169" i="7"/>
  <c r="I168" i="7"/>
  <c r="I158" i="7"/>
  <c r="I160" i="7"/>
  <c r="I161" i="7"/>
  <c r="I159" i="7"/>
  <c r="I162" i="7"/>
  <c r="I163" i="7"/>
  <c r="I164" i="7"/>
  <c r="I165" i="7"/>
  <c r="I166" i="7"/>
  <c r="I167" i="7"/>
  <c r="I157" i="7"/>
  <c r="F170" i="7"/>
  <c r="T6" i="17" s="1"/>
  <c r="G170" i="7"/>
  <c r="C12" i="6"/>
  <c r="F30" i="12" s="1"/>
  <c r="C11" i="6"/>
  <c r="F29" i="12" s="1"/>
  <c r="F26" i="29"/>
  <c r="C9" i="6"/>
  <c r="F25" i="29" s="1"/>
  <c r="D6" i="21"/>
  <c r="D7" i="21"/>
  <c r="D8" i="21"/>
  <c r="D9" i="21"/>
  <c r="D10" i="21"/>
  <c r="D11" i="21"/>
  <c r="D12" i="21"/>
  <c r="D13" i="21"/>
  <c r="D14" i="21"/>
  <c r="P104" i="7"/>
  <c r="O104" i="7"/>
  <c r="C10" i="10"/>
  <c r="C5" i="10"/>
  <c r="C4" i="10"/>
  <c r="C2" i="10"/>
  <c r="H53" i="9"/>
  <c r="G53" i="9"/>
  <c r="L51" i="9"/>
  <c r="L27" i="9"/>
  <c r="L20" i="9"/>
  <c r="L2" i="9"/>
  <c r="K19" i="8"/>
  <c r="G19" i="8"/>
  <c r="C19" i="8"/>
  <c r="L18" i="8"/>
  <c r="H18" i="8"/>
  <c r="D18" i="8"/>
  <c r="L17" i="8"/>
  <c r="H17" i="8"/>
  <c r="D17" i="8"/>
  <c r="L16" i="8"/>
  <c r="H16" i="8"/>
  <c r="D16" i="8"/>
  <c r="L15" i="8"/>
  <c r="H15" i="8"/>
  <c r="D15" i="8"/>
  <c r="C5" i="8"/>
  <c r="D4" i="8"/>
  <c r="D3" i="8"/>
  <c r="D2" i="8"/>
  <c r="D1" i="8"/>
  <c r="G96" i="11"/>
  <c r="A95" i="11"/>
  <c r="A94" i="11"/>
  <c r="A93" i="11"/>
  <c r="A92" i="11"/>
  <c r="P91" i="11"/>
  <c r="A91" i="11"/>
  <c r="A90" i="11"/>
  <c r="A89" i="11"/>
  <c r="G86" i="11"/>
  <c r="G78" i="11"/>
  <c r="A77" i="11"/>
  <c r="A76" i="11"/>
  <c r="A75" i="11"/>
  <c r="A74" i="11"/>
  <c r="A73" i="11"/>
  <c r="A72" i="11"/>
  <c r="A71" i="11"/>
  <c r="A70" i="11"/>
  <c r="P69" i="11"/>
  <c r="A69" i="11"/>
  <c r="A68" i="11"/>
  <c r="G67" i="11"/>
  <c r="A67" i="11"/>
  <c r="A66" i="11"/>
  <c r="A65" i="11"/>
  <c r="A64" i="11"/>
  <c r="A63" i="11"/>
  <c r="A62" i="11"/>
  <c r="G61" i="11"/>
  <c r="A61" i="11"/>
  <c r="A60" i="11"/>
  <c r="A59" i="11"/>
  <c r="A58" i="11"/>
  <c r="A57" i="11"/>
  <c r="Q56" i="11"/>
  <c r="P56" i="11"/>
  <c r="A56" i="11"/>
  <c r="A55" i="11"/>
  <c r="A54" i="11"/>
  <c r="A53" i="11"/>
  <c r="A52" i="11"/>
  <c r="A51" i="11"/>
  <c r="A50" i="11"/>
  <c r="A49" i="11"/>
  <c r="A48" i="11"/>
  <c r="A47" i="11"/>
  <c r="A46" i="11"/>
  <c r="A45" i="11"/>
  <c r="G42" i="11"/>
  <c r="A41" i="11"/>
  <c r="A40" i="11"/>
  <c r="A39" i="11"/>
  <c r="A38" i="11"/>
  <c r="A37" i="11"/>
  <c r="A36" i="11"/>
  <c r="A35" i="11"/>
  <c r="A34" i="11"/>
  <c r="A33" i="11"/>
  <c r="A32" i="11"/>
  <c r="A31" i="11"/>
  <c r="A30" i="11"/>
  <c r="A29" i="11"/>
  <c r="A28" i="11"/>
  <c r="A27" i="11"/>
  <c r="A26" i="11"/>
  <c r="A25" i="11"/>
  <c r="A24" i="11"/>
  <c r="A23" i="11"/>
  <c r="A22" i="11"/>
  <c r="A21" i="11"/>
  <c r="A20" i="11"/>
  <c r="A19" i="11"/>
  <c r="A18" i="11"/>
  <c r="G16" i="11"/>
  <c r="V46" i="15"/>
  <c r="J27" i="15"/>
  <c r="D27" i="15"/>
  <c r="J24" i="15"/>
  <c r="J19" i="15"/>
  <c r="J10" i="15"/>
  <c r="J8" i="15"/>
  <c r="V23" i="16"/>
  <c r="J13" i="16"/>
  <c r="D13" i="16"/>
  <c r="J12" i="16"/>
  <c r="D12" i="16"/>
  <c r="J10" i="16"/>
  <c r="D10" i="16"/>
  <c r="J6" i="16"/>
  <c r="D6" i="16"/>
  <c r="I4" i="16"/>
  <c r="H4" i="16"/>
  <c r="V61" i="13"/>
  <c r="J42" i="13"/>
  <c r="J41" i="13"/>
  <c r="J40" i="13"/>
  <c r="I40" i="13"/>
  <c r="H40" i="13"/>
  <c r="D40" i="13"/>
  <c r="J39" i="13"/>
  <c r="I39" i="13"/>
  <c r="H39" i="13"/>
  <c r="D39" i="13"/>
  <c r="P37" i="13"/>
  <c r="O37" i="13"/>
  <c r="P36" i="13"/>
  <c r="O36" i="13"/>
  <c r="P34" i="13"/>
  <c r="O34" i="13"/>
  <c r="P32" i="13"/>
  <c r="O32" i="13"/>
  <c r="P31" i="13"/>
  <c r="O31" i="13"/>
  <c r="P27" i="13"/>
  <c r="O27" i="13"/>
  <c r="U26" i="13"/>
  <c r="P26" i="13"/>
  <c r="O26" i="13"/>
  <c r="P25" i="13"/>
  <c r="O25" i="13"/>
  <c r="U24" i="13"/>
  <c r="P24" i="13"/>
  <c r="O24" i="13"/>
  <c r="J22" i="13"/>
  <c r="I22" i="13"/>
  <c r="H22" i="13"/>
  <c r="D22" i="13"/>
  <c r="U21" i="13"/>
  <c r="J17" i="13"/>
  <c r="I17" i="13"/>
  <c r="H17" i="13"/>
  <c r="D17" i="13"/>
  <c r="U15" i="13"/>
  <c r="P11" i="13"/>
  <c r="O11" i="13"/>
  <c r="J29" i="17"/>
  <c r="I29" i="17"/>
  <c r="H29" i="17"/>
  <c r="D29" i="17"/>
  <c r="J28" i="17"/>
  <c r="I28" i="17"/>
  <c r="H28" i="17"/>
  <c r="D28" i="17"/>
  <c r="T27" i="17"/>
  <c r="T26" i="17"/>
  <c r="T24" i="17"/>
  <c r="T23" i="17"/>
  <c r="T22" i="17"/>
  <c r="T21" i="17"/>
  <c r="T20" i="17"/>
  <c r="T19" i="17"/>
  <c r="T18" i="17"/>
  <c r="T17" i="17"/>
  <c r="T16" i="17"/>
  <c r="T15" i="17"/>
  <c r="T14" i="17"/>
  <c r="T13" i="17"/>
  <c r="T12" i="17"/>
  <c r="T11" i="17"/>
  <c r="T10" i="17"/>
  <c r="J9" i="17"/>
  <c r="I9" i="17"/>
  <c r="H9" i="17"/>
  <c r="D9" i="17"/>
  <c r="T8" i="17"/>
  <c r="T7" i="17"/>
  <c r="T5" i="17"/>
  <c r="T4" i="17"/>
  <c r="T3" i="17"/>
  <c r="AB136" i="7"/>
  <c r="P74" i="7"/>
  <c r="O74" i="7"/>
  <c r="O76" i="7"/>
  <c r="P67" i="7"/>
  <c r="O67" i="7"/>
  <c r="P66" i="7"/>
  <c r="O66" i="7"/>
  <c r="P65" i="7"/>
  <c r="O65" i="7"/>
  <c r="P72" i="7"/>
  <c r="O72" i="7"/>
  <c r="P70" i="7"/>
  <c r="O70" i="7"/>
  <c r="P69" i="7"/>
  <c r="O69" i="7"/>
  <c r="P64" i="7"/>
  <c r="O64" i="7"/>
  <c r="P63" i="7"/>
  <c r="O63" i="7"/>
  <c r="P54" i="7"/>
  <c r="O54" i="7"/>
  <c r="P114" i="7"/>
  <c r="O114" i="7"/>
  <c r="P112" i="7"/>
  <c r="O112" i="7"/>
  <c r="P103" i="7"/>
  <c r="O103" i="7"/>
  <c r="P102" i="7"/>
  <c r="O102" i="7"/>
  <c r="P101" i="7"/>
  <c r="O101" i="7"/>
  <c r="P100" i="7"/>
  <c r="O100" i="7"/>
  <c r="P113" i="7"/>
  <c r="O113" i="7"/>
  <c r="P99" i="7"/>
  <c r="O99" i="7"/>
  <c r="P98" i="7"/>
  <c r="O98" i="7"/>
  <c r="P91" i="7"/>
  <c r="O91" i="7"/>
  <c r="P90" i="7"/>
  <c r="O90" i="7"/>
  <c r="P94" i="7"/>
  <c r="O94" i="7"/>
  <c r="P89" i="7"/>
  <c r="O89" i="7"/>
  <c r="P88" i="7"/>
  <c r="O88" i="7"/>
  <c r="P93" i="7"/>
  <c r="O93" i="7"/>
  <c r="P87" i="7"/>
  <c r="O87" i="7"/>
  <c r="P82" i="7"/>
  <c r="O82" i="7"/>
  <c r="J119" i="7"/>
  <c r="I119" i="7"/>
  <c r="H119" i="7"/>
  <c r="D119" i="7"/>
  <c r="C8" i="10"/>
  <c r="C7" i="10"/>
  <c r="I31" i="7"/>
  <c r="H31" i="7"/>
  <c r="C6" i="10"/>
  <c r="P25" i="7"/>
  <c r="O25" i="7"/>
  <c r="C3" i="10"/>
  <c r="N1" i="7"/>
  <c r="E18" i="5"/>
  <c r="E17" i="5"/>
  <c r="E12" i="5"/>
  <c r="E7" i="5"/>
  <c r="A1" i="5"/>
  <c r="A1" i="16" s="1"/>
  <c r="A1" i="7"/>
  <c r="D14" i="5" s="1"/>
  <c r="B1" i="6"/>
  <c r="H31" i="12"/>
  <c r="H29" i="12"/>
  <c r="H28" i="12"/>
  <c r="H27" i="12"/>
  <c r="E27" i="12"/>
  <c r="D17" i="12"/>
  <c r="D18" i="12"/>
  <c r="C9" i="10"/>
  <c r="L140" i="7"/>
  <c r="J139" i="7"/>
  <c r="C11" i="10"/>
  <c r="Z89" i="7"/>
  <c r="Z96" i="7"/>
  <c r="H4" i="29"/>
  <c r="C15" i="5"/>
  <c r="F16" i="29"/>
  <c r="I5" i="29"/>
  <c r="B5" i="32"/>
  <c r="I9" i="29"/>
  <c r="F21" i="31"/>
  <c r="G20" i="31"/>
  <c r="G54" i="31"/>
  <c r="F30" i="31"/>
  <c r="G9" i="31"/>
  <c r="G19" i="12"/>
  <c r="F3" i="29"/>
  <c r="G17" i="12"/>
  <c r="G28" i="31"/>
  <c r="C11" i="5"/>
  <c r="H19" i="12"/>
  <c r="I19" i="29"/>
  <c r="F38" i="31"/>
  <c r="D6" i="5"/>
  <c r="D140" i="32"/>
  <c r="D123" i="32"/>
  <c r="H12" i="29"/>
  <c r="G21" i="31"/>
  <c r="B4" i="32"/>
  <c r="C4" i="5"/>
  <c r="F33" i="31"/>
  <c r="F47" i="31"/>
  <c r="I17" i="29"/>
  <c r="F36" i="31"/>
  <c r="F137" i="31"/>
  <c r="G43" i="31"/>
  <c r="F18" i="12"/>
  <c r="H16" i="12"/>
  <c r="H9" i="29"/>
  <c r="I13" i="29"/>
  <c r="B8" i="32"/>
  <c r="D3" i="6"/>
  <c r="D125" i="32"/>
  <c r="G4" i="12"/>
  <c r="F40" i="31"/>
  <c r="I10" i="12"/>
  <c r="I14" i="29"/>
  <c r="G137" i="31"/>
  <c r="F12" i="12"/>
  <c r="F17" i="29"/>
  <c r="G173" i="7"/>
  <c r="G15" i="31"/>
  <c r="G14" i="12"/>
  <c r="F18" i="29"/>
  <c r="H11" i="29"/>
  <c r="D129" i="32"/>
  <c r="C3" i="32"/>
  <c r="D13" i="5"/>
  <c r="F13" i="29"/>
  <c r="F43" i="31"/>
  <c r="H18" i="12"/>
  <c r="C9" i="5"/>
  <c r="G32" i="31"/>
  <c r="F26" i="31"/>
  <c r="G26" i="31"/>
  <c r="C10" i="32"/>
  <c r="D16" i="5"/>
  <c r="G33" i="31"/>
  <c r="B12" i="32"/>
  <c r="G46" i="31"/>
  <c r="F17" i="31"/>
  <c r="C3" i="5"/>
  <c r="G10" i="12"/>
  <c r="F24" i="31"/>
  <c r="G34" i="31"/>
  <c r="G11" i="29"/>
  <c r="F25" i="31"/>
  <c r="I12" i="12"/>
  <c r="H16" i="29"/>
  <c r="F3" i="12"/>
  <c r="F19" i="31"/>
  <c r="H19" i="29"/>
  <c r="C16" i="6"/>
  <c r="I3" i="29"/>
  <c r="G45" i="31"/>
  <c r="H14" i="12"/>
  <c r="J200" i="32"/>
  <c r="C6" i="5"/>
  <c r="G14" i="31"/>
  <c r="F8" i="31"/>
  <c r="B9" i="32"/>
  <c r="D126" i="32"/>
  <c r="G41" i="31"/>
  <c r="G57" i="31"/>
  <c r="I9" i="12"/>
  <c r="H10" i="12"/>
  <c r="F16" i="12"/>
  <c r="G48" i="31"/>
  <c r="I16" i="12"/>
  <c r="C13" i="5"/>
  <c r="I18" i="12"/>
  <c r="I3" i="12"/>
  <c r="H17" i="12"/>
  <c r="F17" i="12"/>
  <c r="D131" i="32"/>
  <c r="I17" i="12"/>
  <c r="F15" i="29"/>
  <c r="I201" i="32"/>
  <c r="D6" i="6"/>
  <c r="C14" i="32"/>
  <c r="D5" i="6"/>
  <c r="F19" i="29"/>
  <c r="H12" i="12"/>
  <c r="F4" i="12"/>
  <c r="D3" i="5"/>
  <c r="C9" i="32"/>
  <c r="F31" i="31"/>
  <c r="G8" i="31"/>
  <c r="J199" i="32"/>
  <c r="F14" i="31"/>
  <c r="D9" i="5"/>
  <c r="F51" i="31"/>
  <c r="F28" i="31"/>
  <c r="D11" i="5"/>
  <c r="F4" i="29"/>
  <c r="F12" i="29"/>
  <c r="H14" i="29"/>
  <c r="F12" i="31"/>
  <c r="B7" i="32"/>
  <c r="I200" i="32"/>
  <c r="D8" i="5"/>
  <c r="G38" i="31"/>
  <c r="B10" i="32"/>
  <c r="B6" i="32"/>
  <c r="G3" i="31"/>
  <c r="C5" i="6"/>
  <c r="I19" i="12"/>
  <c r="F57" i="31"/>
  <c r="G12" i="31"/>
  <c r="G9" i="29"/>
  <c r="I4" i="29"/>
  <c r="G18" i="31"/>
  <c r="H6" i="29"/>
  <c r="G18" i="12"/>
  <c r="F15" i="31"/>
  <c r="G31" i="31"/>
  <c r="G11" i="31"/>
  <c r="H4" i="12"/>
  <c r="C6" i="32"/>
  <c r="F9" i="12"/>
  <c r="G14" i="29"/>
  <c r="D4" i="6"/>
  <c r="F3" i="31"/>
  <c r="G29" i="31"/>
  <c r="D142" i="32"/>
  <c r="I12" i="29"/>
  <c r="F58" i="31"/>
  <c r="F20" i="31"/>
  <c r="I4" i="12"/>
  <c r="D4" i="5"/>
  <c r="G11" i="12"/>
  <c r="F9" i="31"/>
  <c r="F14" i="12"/>
  <c r="G10" i="31"/>
  <c r="C5" i="32"/>
  <c r="F22" i="31"/>
  <c r="C5" i="5"/>
  <c r="H9" i="12"/>
  <c r="G3" i="12"/>
  <c r="G19" i="31"/>
  <c r="H3" i="29"/>
  <c r="D128" i="32"/>
  <c r="H13" i="29"/>
  <c r="F45" i="31"/>
  <c r="I13" i="12"/>
  <c r="G55" i="31"/>
  <c r="G12" i="12"/>
  <c r="G58" i="31"/>
  <c r="G13" i="12"/>
  <c r="F10" i="29"/>
  <c r="I11" i="29"/>
  <c r="F6" i="12"/>
  <c r="G50" i="31"/>
  <c r="G53" i="31"/>
  <c r="C6" i="6"/>
  <c r="F52" i="31"/>
  <c r="F23" i="31"/>
  <c r="F27" i="31"/>
  <c r="F5" i="12"/>
  <c r="G13" i="29"/>
  <c r="G5" i="31"/>
  <c r="G10" i="29"/>
  <c r="C8" i="5"/>
  <c r="G40" i="31"/>
  <c r="F5" i="29"/>
  <c r="D136" i="32"/>
  <c r="G18" i="29"/>
  <c r="G30" i="31"/>
  <c r="F18" i="31"/>
  <c r="I18" i="29"/>
  <c r="D15" i="5"/>
  <c r="D130" i="32"/>
  <c r="F6" i="29"/>
  <c r="F46" i="31"/>
  <c r="G42" i="31"/>
  <c r="F44" i="31"/>
  <c r="F59" i="31"/>
  <c r="C11" i="32"/>
  <c r="F41" i="31"/>
  <c r="G27" i="31"/>
  <c r="I16" i="29"/>
  <c r="G24" i="31"/>
  <c r="J201" i="32"/>
  <c r="D143" i="32"/>
  <c r="F13" i="12"/>
  <c r="G36" i="31"/>
  <c r="F7" i="31"/>
  <c r="D137" i="32"/>
  <c r="G44" i="31"/>
  <c r="G17" i="29"/>
  <c r="G16" i="29"/>
  <c r="F11" i="29"/>
  <c r="G35" i="31"/>
  <c r="C13" i="32"/>
  <c r="D10" i="5"/>
  <c r="H18" i="29"/>
  <c r="F5" i="31"/>
  <c r="G4" i="31"/>
  <c r="D124" i="32"/>
  <c r="I199" i="32"/>
  <c r="H10" i="29"/>
  <c r="G15" i="29"/>
  <c r="C4" i="32"/>
  <c r="G6" i="31"/>
  <c r="F50" i="31"/>
  <c r="G5" i="12"/>
  <c r="B14" i="32"/>
  <c r="I6" i="12"/>
  <c r="F37" i="31"/>
  <c r="F4" i="31"/>
  <c r="G60" i="31"/>
  <c r="G3" i="29"/>
  <c r="H5" i="29"/>
  <c r="F11" i="31"/>
  <c r="F13" i="31"/>
  <c r="C10" i="5"/>
  <c r="G9" i="12"/>
  <c r="F19" i="12"/>
  <c r="I15" i="29"/>
  <c r="G6" i="12"/>
  <c r="G25" i="31"/>
  <c r="H17" i="29"/>
  <c r="G6" i="29"/>
  <c r="B13" i="32"/>
  <c r="C17" i="6"/>
  <c r="D135" i="32"/>
  <c r="F55" i="31"/>
  <c r="C12" i="32"/>
  <c r="F53" i="31"/>
  <c r="G17" i="31"/>
  <c r="F14" i="29"/>
  <c r="F48" i="31"/>
  <c r="H6" i="12"/>
  <c r="F35" i="31"/>
  <c r="C3" i="6"/>
  <c r="G56" i="31"/>
  <c r="D5" i="5"/>
  <c r="G16" i="12"/>
  <c r="D139" i="32"/>
  <c r="C16" i="5"/>
  <c r="G5" i="29"/>
  <c r="G23" i="31"/>
  <c r="C7" i="32"/>
  <c r="F54" i="31"/>
  <c r="H13" i="12"/>
  <c r="F10" i="31"/>
  <c r="G12" i="29"/>
  <c r="H11" i="12"/>
  <c r="C8" i="32"/>
  <c r="F6" i="31"/>
  <c r="F56" i="31"/>
  <c r="F42" i="31"/>
  <c r="F29" i="31"/>
  <c r="I14" i="12"/>
  <c r="H3" i="12"/>
  <c r="F34" i="31"/>
  <c r="G47" i="31"/>
  <c r="G37" i="31"/>
  <c r="F11" i="12"/>
  <c r="F32" i="31"/>
  <c r="G13" i="31"/>
  <c r="H5" i="12"/>
  <c r="I5" i="12"/>
  <c r="C4" i="6"/>
  <c r="G7" i="31"/>
  <c r="I6" i="29"/>
  <c r="F39" i="31"/>
  <c r="G59" i="31"/>
  <c r="C15" i="6"/>
  <c r="F9" i="29"/>
  <c r="F60" i="31"/>
  <c r="I11" i="12"/>
  <c r="G51" i="31"/>
  <c r="G4" i="29"/>
  <c r="C18" i="6"/>
  <c r="I10" i="29"/>
  <c r="G52" i="31"/>
  <c r="G22" i="31"/>
  <c r="B11" i="32"/>
  <c r="B3" i="32"/>
  <c r="G39" i="31"/>
  <c r="G19" i="29"/>
  <c r="F10" i="12"/>
  <c r="D141" i="32"/>
  <c r="K12" i="12" l="1"/>
  <c r="J12" i="12"/>
  <c r="J13" i="12" s="1"/>
  <c r="J120" i="7"/>
  <c r="I120" i="7"/>
  <c r="H120" i="7"/>
  <c r="D120" i="7"/>
  <c r="C134" i="32"/>
  <c r="C145" i="32" s="1"/>
  <c r="I170" i="7"/>
  <c r="E139" i="31"/>
  <c r="D18" i="6"/>
  <c r="D7" i="6"/>
  <c r="D17" i="6"/>
  <c r="D15" i="6"/>
  <c r="C19" i="6"/>
  <c r="D16" i="6"/>
  <c r="C7" i="6"/>
  <c r="G22" i="12"/>
  <c r="I22" i="12"/>
  <c r="H22" i="12"/>
  <c r="J149" i="7" s="1"/>
  <c r="F22" i="12"/>
  <c r="I20" i="29"/>
  <c r="H20" i="29"/>
  <c r="F20" i="29"/>
  <c r="G20" i="29"/>
  <c r="H137" i="31"/>
  <c r="F138" i="31"/>
  <c r="F136" i="31"/>
  <c r="H53" i="31"/>
  <c r="H51" i="31"/>
  <c r="F61" i="31"/>
  <c r="H61" i="31" s="1"/>
  <c r="H3" i="31"/>
  <c r="F16" i="31"/>
  <c r="H16" i="31" s="1"/>
  <c r="H60" i="31"/>
  <c r="G16" i="31"/>
  <c r="D127" i="32"/>
  <c r="E127" i="32" s="1"/>
  <c r="H45" i="31"/>
  <c r="H6" i="31"/>
  <c r="G61" i="31"/>
  <c r="D12" i="5"/>
  <c r="H135" i="31"/>
  <c r="D134" i="32"/>
  <c r="D144" i="32"/>
  <c r="E144" i="32" s="1"/>
  <c r="H46" i="31"/>
  <c r="H15" i="31"/>
  <c r="G138" i="31"/>
  <c r="B15" i="32"/>
  <c r="C15" i="32"/>
  <c r="H33" i="31"/>
  <c r="G136" i="31"/>
  <c r="F49" i="31"/>
  <c r="H17" i="31"/>
  <c r="D138" i="32"/>
  <c r="E138" i="32" s="1"/>
  <c r="H48" i="31"/>
  <c r="H47" i="31"/>
  <c r="G49" i="31"/>
  <c r="D7" i="5"/>
  <c r="C12" i="5"/>
  <c r="Q8" i="5" s="1"/>
  <c r="C7" i="5"/>
  <c r="Q3" i="5" s="1"/>
  <c r="H10" i="31"/>
  <c r="D17" i="5"/>
  <c r="A1" i="17"/>
  <c r="A1" i="13"/>
  <c r="A1" i="15"/>
  <c r="J9" i="12"/>
  <c r="K5" i="12"/>
  <c r="J5" i="12"/>
  <c r="K9" i="12"/>
  <c r="K3" i="12"/>
  <c r="J3" i="12"/>
  <c r="G31" i="12"/>
  <c r="F28" i="29"/>
  <c r="I173" i="7"/>
  <c r="T25" i="17"/>
  <c r="C14" i="5"/>
  <c r="C17" i="5" s="1"/>
  <c r="Q16" i="5" s="1"/>
  <c r="F27" i="29"/>
  <c r="F27" i="12"/>
  <c r="F28" i="12"/>
  <c r="F29" i="29"/>
  <c r="G27" i="29"/>
  <c r="D143" i="7"/>
  <c r="G25" i="29"/>
  <c r="G28" i="29"/>
  <c r="J121" i="7" l="1"/>
  <c r="I121" i="7"/>
  <c r="H121" i="7"/>
  <c r="D121" i="7"/>
  <c r="E134" i="32"/>
  <c r="G23" i="12"/>
  <c r="G139" i="31"/>
  <c r="I23" i="12"/>
  <c r="H49" i="31"/>
  <c r="D19" i="6"/>
  <c r="G21" i="29"/>
  <c r="Q5" i="5"/>
  <c r="D145" i="32"/>
  <c r="E145" i="32" s="1"/>
  <c r="Q6" i="5"/>
  <c r="Q10" i="5"/>
  <c r="D18" i="5"/>
  <c r="Q4" i="5"/>
  <c r="Q11" i="5"/>
  <c r="Q9" i="5"/>
  <c r="F139" i="31"/>
  <c r="Q13" i="5"/>
  <c r="Q15" i="5"/>
  <c r="C18" i="5"/>
  <c r="J33" i="5" s="1"/>
  <c r="H143" i="7"/>
  <c r="Q14" i="5"/>
  <c r="I21" i="29"/>
  <c r="J143" i="7"/>
  <c r="I143" i="7"/>
  <c r="J122" i="7" l="1"/>
  <c r="I122" i="7"/>
  <c r="H122" i="7"/>
  <c r="D122" i="7"/>
  <c r="J32" i="5"/>
  <c r="J31" i="5"/>
  <c r="C20" i="5"/>
  <c r="D20" i="5"/>
  <c r="J123" i="7" l="1"/>
  <c r="J124" i="7" s="1"/>
  <c r="I123" i="7"/>
  <c r="I124" i="7" s="1"/>
  <c r="H123" i="7"/>
  <c r="D123" i="7"/>
  <c r="D124" i="7" s="1"/>
  <c r="Z99" i="7"/>
  <c r="Z101" i="7" l="1"/>
  <c r="J125" i="7"/>
  <c r="H124" i="7"/>
  <c r="H125" i="7" s="1"/>
  <c r="D125" i="7"/>
  <c r="I125" i="7"/>
  <c r="J126" i="7" l="1"/>
  <c r="H126" i="7"/>
  <c r="D126" i="7"/>
  <c r="I126" i="7"/>
  <c r="I127" i="7" s="1"/>
  <c r="I128" i="7" s="1"/>
  <c r="I129" i="7" s="1"/>
  <c r="I130" i="7" s="1"/>
  <c r="I131" i="7" s="1"/>
  <c r="D127" i="7" l="1"/>
  <c r="D128" i="7" s="1"/>
  <c r="J127" i="7"/>
  <c r="J128" i="7" s="1"/>
  <c r="J129" i="7" s="1"/>
  <c r="C13" i="10"/>
  <c r="I132" i="7"/>
  <c r="I133" i="7"/>
  <c r="H127" i="7"/>
  <c r="H128" i="7" s="1"/>
  <c r="H129" i="7" s="1"/>
  <c r="H130" i="7" s="1"/>
  <c r="H131" i="7" s="1"/>
  <c r="D129" i="7" l="1"/>
  <c r="J130" i="7"/>
  <c r="J131" i="7" s="1"/>
  <c r="C12" i="10"/>
  <c r="C14" i="10" s="1"/>
  <c r="I134" i="7"/>
  <c r="I135" i="7" s="1"/>
  <c r="I136" i="7" s="1"/>
  <c r="H132" i="7"/>
  <c r="H133" i="7"/>
  <c r="D130" i="7" l="1"/>
  <c r="D131" i="7" s="1"/>
  <c r="J133" i="7"/>
  <c r="J132" i="7"/>
  <c r="H134" i="7"/>
  <c r="H135" i="7" s="1"/>
  <c r="H136" i="7" s="1"/>
  <c r="D133" i="7" l="1"/>
  <c r="D132" i="7"/>
  <c r="J138" i="7"/>
  <c r="J134" i="7"/>
  <c r="J135" i="7" l="1"/>
  <c r="J136" i="7" s="1"/>
  <c r="J148" i="7"/>
  <c r="G28" i="12" l="1"/>
  <c r="G2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tc={B0DBC471-9ED0-4B18-A441-5DC4ACD04F8E}</author>
    <author>USER</author>
    <author>Jake Jerald M. Gines</author>
  </authors>
  <commentList>
    <comment ref="E35" authorId="0" shapeId="0" xr:uid="{B0DBC471-9ED0-4B18-A441-5DC4ACD04F8E}">
      <text>
        <t>[Threaded comment]
Your version of Excel allows you to read this threaded comment; however, any edits to it will get removed if the file is opened in a newer version of Excel. Learn more: https://go.microsoft.com/fwlink/?linkid=870924
Comment:
    PHINMA Renewable Energy Corp. (PREC) formerly Trans-Asia Renewable Energy Corporation</t>
      </text>
    </comment>
    <comment ref="L38" authorId="1" shapeId="0" xr:uid="{00000000-0006-0000-0700-000001000000}">
      <text>
        <r>
          <rPr>
            <b/>
            <sz val="9"/>
            <color indexed="81"/>
            <rFont val="Tahoma"/>
            <family val="2"/>
          </rPr>
          <t>USER:</t>
        </r>
        <r>
          <rPr>
            <sz val="9"/>
            <color indexed="81"/>
            <rFont val="Tahoma"/>
            <family val="2"/>
          </rPr>
          <t xml:space="preserve">
based on COC FIT Eligiblility
</t>
        </r>
      </text>
    </comment>
    <comment ref="J51" authorId="2" shapeId="0" xr:uid="{3202021A-6810-414C-A7E0-720B828FF33D}">
      <text>
        <r>
          <rPr>
            <b/>
            <sz val="9"/>
            <color rgb="FF000000"/>
            <rFont val="Tahoma"/>
            <family val="2"/>
          </rPr>
          <t>Jake Jerald M. Gines:</t>
        </r>
        <r>
          <rPr>
            <sz val="9"/>
            <color rgb="FF000000"/>
            <rFont val="Tahoma"/>
            <family val="2"/>
          </rPr>
          <t xml:space="preserve">
</t>
        </r>
        <r>
          <rPr>
            <sz val="9"/>
            <color rgb="FF000000"/>
            <rFont val="Tahoma"/>
            <family val="2"/>
          </rPr>
          <t xml:space="preserve">2.21 permanently shutdown 
</t>
        </r>
        <r>
          <rPr>
            <sz val="9"/>
            <color rgb="FF000000"/>
            <rFont val="Tahoma"/>
            <family val="2"/>
          </rPr>
          <t>(17-Jan-2018)</t>
        </r>
      </text>
    </comment>
    <comment ref="J59" authorId="2" shapeId="0" xr:uid="{15BCFD32-D539-4C8F-8B91-06B479E915C4}">
      <text>
        <r>
          <rPr>
            <b/>
            <sz val="9"/>
            <color rgb="FF000000"/>
            <rFont val="Tahoma"/>
            <family val="2"/>
          </rPr>
          <t>Jake Jerald M. Gines:</t>
        </r>
        <r>
          <rPr>
            <sz val="9"/>
            <color rgb="FF000000"/>
            <rFont val="Tahoma"/>
            <family val="2"/>
          </rPr>
          <t xml:space="preserve">
</t>
        </r>
        <r>
          <rPr>
            <sz val="9"/>
            <color rgb="FF000000"/>
            <rFont val="Tahoma"/>
            <family val="2"/>
          </rPr>
          <t xml:space="preserve">1.7 directed cease and desist to operate 
</t>
        </r>
        <r>
          <rPr>
            <sz val="9"/>
            <color rgb="FF000000"/>
            <rFont val="Tahoma"/>
            <family val="2"/>
          </rPr>
          <t>(3-Mar-2019)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tc={3EF45171-7F9A-416E-8A22-60419E7AA675}</author>
  </authors>
  <commentList>
    <comment ref="R3" authorId="0" shapeId="0" xr:uid="{3EF45171-7F9A-416E-8A22-60419E7AA675}">
      <text>
        <t>[Threaded comment]
Your version of Excel allows you to read this threaded comment; however, any edits to it will get removed if the file is opened in a newer version of Excel. Learn more: https://go.microsoft.com/fwlink/?linkid=870924
Comment:
    TransCo: 
With REPA dtd. xxxxx</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Jake Jerald M. Gines</author>
  </authors>
  <commentList>
    <comment ref="Q43" authorId="0" shapeId="0" xr:uid="{00000000-0006-0000-0300-000001000000}">
      <text>
        <r>
          <rPr>
            <b/>
            <sz val="9"/>
            <color indexed="81"/>
            <rFont val="Tahoma"/>
            <family val="2"/>
          </rPr>
          <t>Jake Jerald M. Gines:</t>
        </r>
        <r>
          <rPr>
            <sz val="9"/>
            <color indexed="81"/>
            <rFont val="Tahoma"/>
            <family val="2"/>
          </rPr>
          <t xml:space="preserve">
2.21 permanently shutdown 
(17-Jan-2018)</t>
        </r>
      </text>
    </comment>
    <comment ref="Q47" authorId="0" shapeId="0" xr:uid="{00000000-0006-0000-0300-000002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Jake Jerald M. Gines</author>
  </authors>
  <commentList>
    <comment ref="J16" authorId="0" shapeId="0" xr:uid="{00000000-0006-0000-0400-000001000000}">
      <text>
        <r>
          <rPr>
            <b/>
            <sz val="9"/>
            <color rgb="FF000000"/>
            <rFont val="Tahoma"/>
            <family val="2"/>
          </rPr>
          <t>Jake Jerald M. Gines:</t>
        </r>
        <r>
          <rPr>
            <sz val="9"/>
            <color rgb="FF000000"/>
            <rFont val="Tahoma"/>
            <family val="2"/>
          </rPr>
          <t xml:space="preserve">
</t>
        </r>
        <r>
          <rPr>
            <sz val="9"/>
            <color rgb="FF000000"/>
            <rFont val="Tahoma"/>
            <family val="2"/>
          </rPr>
          <t xml:space="preserve">2.21 permanently shutdown 
</t>
        </r>
        <r>
          <rPr>
            <sz val="9"/>
            <color rgb="FF000000"/>
            <rFont val="Tahoma"/>
            <family val="2"/>
          </rPr>
          <t>(17-Jan-2018)</t>
        </r>
      </text>
    </comment>
    <comment ref="J21" authorId="0" shapeId="0" xr:uid="{00000000-0006-0000-0400-000002000000}">
      <text>
        <r>
          <rPr>
            <b/>
            <sz val="9"/>
            <color rgb="FF000000"/>
            <rFont val="Tahoma"/>
            <family val="2"/>
          </rPr>
          <t>Jake Jerald M. Gines:</t>
        </r>
        <r>
          <rPr>
            <sz val="9"/>
            <color rgb="FF000000"/>
            <rFont val="Tahoma"/>
            <family val="2"/>
          </rPr>
          <t xml:space="preserve">
</t>
        </r>
        <r>
          <rPr>
            <sz val="9"/>
            <color rgb="FF000000"/>
            <rFont val="Tahoma"/>
            <family val="2"/>
          </rPr>
          <t xml:space="preserve">1.7 directed cease and desist to operate 
</t>
        </r>
        <r>
          <rPr>
            <sz val="9"/>
            <color rgb="FF000000"/>
            <rFont val="Tahoma"/>
            <family val="2"/>
          </rPr>
          <t>(3-Mar-2019)</t>
        </r>
      </text>
    </comment>
    <comment ref="Q58" authorId="0" shapeId="0" xr:uid="{00000000-0006-0000-0400-000003000000}">
      <text>
        <r>
          <rPr>
            <b/>
            <sz val="9"/>
            <color indexed="81"/>
            <rFont val="Tahoma"/>
            <family val="2"/>
          </rPr>
          <t>Jake Jerald M. Gines:</t>
        </r>
        <r>
          <rPr>
            <sz val="9"/>
            <color indexed="81"/>
            <rFont val="Tahoma"/>
            <family val="2"/>
          </rPr>
          <t xml:space="preserve">
2.21 permanently shutdown 
(17-Jan-2018)</t>
        </r>
      </text>
    </comment>
    <comment ref="Q62" authorId="0" shapeId="0" xr:uid="{00000000-0006-0000-0400-000004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Jake Jerald M. Gines</author>
  </authors>
  <commentList>
    <comment ref="L11" authorId="0" shapeId="0" xr:uid="{00000000-0006-0000-0500-000001000000}">
      <text>
        <r>
          <rPr>
            <b/>
            <sz val="9"/>
            <color indexed="81"/>
            <rFont val="Tahoma"/>
            <family val="2"/>
          </rPr>
          <t>USER:</t>
        </r>
        <r>
          <rPr>
            <sz val="9"/>
            <color indexed="81"/>
            <rFont val="Tahoma"/>
            <family val="2"/>
          </rPr>
          <t xml:space="preserve">
based on COC FIT Eligiblility
</t>
        </r>
      </text>
    </comment>
    <comment ref="Q20" authorId="1" shapeId="0" xr:uid="{00000000-0006-0000-0500-000002000000}">
      <text>
        <r>
          <rPr>
            <b/>
            <sz val="9"/>
            <color indexed="81"/>
            <rFont val="Tahoma"/>
            <family val="2"/>
          </rPr>
          <t>Jake Jerald M. Gines:</t>
        </r>
        <r>
          <rPr>
            <sz val="9"/>
            <color indexed="81"/>
            <rFont val="Tahoma"/>
            <family val="2"/>
          </rPr>
          <t xml:space="preserve">
2.21 permanently shutdown 
(17-Jan-2018)</t>
        </r>
      </text>
    </comment>
    <comment ref="Q24" authorId="1" shapeId="0" xr:uid="{00000000-0006-0000-0500-000003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Jake Jerald M. Gines</author>
  </authors>
  <commentList>
    <comment ref="Q43" authorId="0" shapeId="0" xr:uid="{00000000-0006-0000-0600-000001000000}">
      <text>
        <r>
          <rPr>
            <b/>
            <sz val="9"/>
            <color indexed="81"/>
            <rFont val="Tahoma"/>
            <family val="2"/>
          </rPr>
          <t>Jake Jerald M. Gines:</t>
        </r>
        <r>
          <rPr>
            <sz val="9"/>
            <color indexed="81"/>
            <rFont val="Tahoma"/>
            <family val="2"/>
          </rPr>
          <t xml:space="preserve">
2.21 permanently shutdown 
(17-Jan-2018)</t>
        </r>
      </text>
    </comment>
    <comment ref="Q47" authorId="0" shapeId="0" xr:uid="{00000000-0006-0000-0600-000002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Rochelle V. Moreno</author>
  </authors>
  <commentList>
    <comment ref="M44" authorId="0" shapeId="0" xr:uid="{00000000-0006-0000-0A00-000001000000}">
      <text>
        <r>
          <rPr>
            <b/>
            <sz val="9"/>
            <color indexed="81"/>
            <rFont val="Tahoma"/>
            <family val="2"/>
          </rPr>
          <t>Per record, the first COC was issued on 29 Apr 2013</t>
        </r>
      </text>
    </comment>
    <comment ref="M46" authorId="0" shapeId="0" xr:uid="{00000000-0006-0000-0A00-000002000000}">
      <text>
        <r>
          <rPr>
            <b/>
            <sz val="9"/>
            <color indexed="81"/>
            <rFont val="Tahoma"/>
            <family val="2"/>
          </rPr>
          <t>Per record the first issuance of COC was on 12 Nov 2012</t>
        </r>
      </text>
    </comment>
    <comment ref="M47" authorId="0" shapeId="0" xr:uid="{00000000-0006-0000-0A00-000003000000}">
      <text>
        <r>
          <rPr>
            <b/>
            <sz val="9"/>
            <color indexed="81"/>
            <rFont val="Tahoma"/>
            <family val="2"/>
          </rPr>
          <t>Per record, the approval of the first COC is on 09 Feb 2009</t>
        </r>
      </text>
    </comment>
    <comment ref="M48" authorId="0" shapeId="0" xr:uid="{00000000-0006-0000-0A00-000004000000}">
      <text>
        <r>
          <rPr>
            <b/>
            <sz val="9"/>
            <color indexed="81"/>
            <rFont val="Tahoma"/>
            <family val="2"/>
          </rPr>
          <t>Per Record the first issuance of COC was on 15 Feb 2010</t>
        </r>
      </text>
    </comment>
    <comment ref="M81" authorId="0" shapeId="0" xr:uid="{00000000-0006-0000-0A00-000005000000}">
      <text>
        <r>
          <rPr>
            <b/>
            <sz val="9"/>
            <color indexed="81"/>
            <rFont val="Tahoma"/>
            <family val="2"/>
          </rPr>
          <t>First issuance of regular COC: 30 Apr 2012</t>
        </r>
      </text>
    </comment>
    <comment ref="M82" authorId="0" shapeId="0" xr:uid="{00000000-0006-0000-0A00-000006000000}">
      <text>
        <r>
          <rPr>
            <b/>
            <sz val="9"/>
            <color indexed="81"/>
            <rFont val="Tahoma"/>
            <family val="2"/>
          </rPr>
          <t>As per record, the first COC was issued on 15 Dec2010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<sst xmlns="http://schemas.openxmlformats.org/spreadsheetml/2006/main" count="5255" uniqueCount="1794">
  <si>
    <t>Island</t>
  </si>
  <si>
    <t>RE Resources</t>
  </si>
  <si>
    <t>Count</t>
  </si>
  <si>
    <t>RE Developer</t>
  </si>
  <si>
    <t>RE Plant</t>
  </si>
  <si>
    <t>FIT Rate</t>
  </si>
  <si>
    <t>HYDRO</t>
  </si>
  <si>
    <t>Luzon</t>
  </si>
  <si>
    <t>Mindanao</t>
  </si>
  <si>
    <t>SOLAR</t>
  </si>
  <si>
    <t>WIND</t>
  </si>
  <si>
    <t>EDC Burgos Wind Power Corporation</t>
  </si>
  <si>
    <t>Burgos Wind Power Plant Phase I &amp; II</t>
  </si>
  <si>
    <t>Northwind Power Development Corporation</t>
  </si>
  <si>
    <t>Bangui Bay Wind Farm Power Plant Phase III</t>
  </si>
  <si>
    <t>Caparispisan Wind Energy Plant</t>
  </si>
  <si>
    <t>Trans-Asia Renewable Energy Corporation</t>
  </si>
  <si>
    <t>San Lorenzo Wind Power Plant</t>
  </si>
  <si>
    <t>Alternergy Wind one Corporation</t>
  </si>
  <si>
    <t>Pililia Wind Power Plant</t>
  </si>
  <si>
    <t>Petro Wind Energy, Inc.</t>
  </si>
  <si>
    <t>Nabas Wind Energy Plant</t>
  </si>
  <si>
    <t xml:space="preserve">Northwind Power Development Corporation </t>
  </si>
  <si>
    <t>Bangui Wind Power Plant Phase I</t>
  </si>
  <si>
    <t>HedCor (Aboitiz)</t>
  </si>
  <si>
    <t>Irisan 1 HEP</t>
  </si>
  <si>
    <t>Hedcor Tudaya, Inc.</t>
  </si>
  <si>
    <t>Tudaya 2 HEP</t>
  </si>
  <si>
    <t>Hedcor Sabangan, Inc</t>
  </si>
  <si>
    <t>Sabangan Hydroelectric Power Project</t>
  </si>
  <si>
    <t>Smith Bell</t>
  </si>
  <si>
    <t>Communal-Uddlawan HEP</t>
  </si>
  <si>
    <t>Visayas</t>
  </si>
  <si>
    <t>Pangea Green Energy Philippines, Inc</t>
  </si>
  <si>
    <t>San Jose City I Power Corporation</t>
  </si>
  <si>
    <t>First Farmers Holding Corporation</t>
  </si>
  <si>
    <t>Montalban Methane Power Corporation</t>
  </si>
  <si>
    <t>Bataan 2020, Inc.</t>
  </si>
  <si>
    <t>Green Future Innovations, Inc.</t>
  </si>
  <si>
    <t>Universal Robina Coorporation</t>
  </si>
  <si>
    <t>Green Innovations for Tomorrow Corporation</t>
  </si>
  <si>
    <t>Bicol Biomass Energy Corporation</t>
  </si>
  <si>
    <t>Lamsan Power Corporation</t>
  </si>
  <si>
    <t>Lucky PPH International, Inc.</t>
  </si>
  <si>
    <t>BIOMASS</t>
  </si>
  <si>
    <t>Solar Philippines Comercial Rooftop Projects, Inc.</t>
  </si>
  <si>
    <t>Phil. Solar Farm-Leyte, Inc.</t>
  </si>
  <si>
    <t>First Cabanatuan Renewable Ventures, Inc.</t>
  </si>
  <si>
    <t>FIT</t>
  </si>
  <si>
    <t>FIT I</t>
  </si>
  <si>
    <t>FIT II</t>
  </si>
  <si>
    <t>Degressed</t>
  </si>
  <si>
    <t>RE Technology</t>
  </si>
  <si>
    <t>Approved FIT Rates</t>
  </si>
  <si>
    <t>Subscribed FIT Capacity with COC (MW)</t>
  </si>
  <si>
    <t>No. RE Plants</t>
  </si>
  <si>
    <t>ROR HYDRO</t>
  </si>
  <si>
    <t>Installation Target (MW)</t>
  </si>
  <si>
    <t>SOLAR FIT II - Resolution No. 06, Series of 2015</t>
  </si>
  <si>
    <t>GRID</t>
  </si>
  <si>
    <t xml:space="preserve">LUZON </t>
  </si>
  <si>
    <t>VISAYAS</t>
  </si>
  <si>
    <t>MINDANAO</t>
  </si>
  <si>
    <t>Location</t>
  </si>
  <si>
    <t xml:space="preserve">Installed Capacity as per COC (MW) </t>
  </si>
  <si>
    <t xml:space="preserve">Installed Capacity as per COE (MW) </t>
  </si>
  <si>
    <t>COD per COE</t>
  </si>
  <si>
    <t>COC Date Approved</t>
  </si>
  <si>
    <t>San Carlos Solar Energy, Inc.  (SACASOL)</t>
  </si>
  <si>
    <t>San Carlos Solar Energy, Inc. - Phase 1A (SACASOL)</t>
  </si>
  <si>
    <t>Brgy. Punao, San Carlos City, Negros Occidental</t>
  </si>
  <si>
    <t>San Carlos Solar Energy, Inc. - Phase 1B (SACASOL)</t>
  </si>
  <si>
    <t xml:space="preserve">Raslag Corporation </t>
  </si>
  <si>
    <t>Pampanga Solar Power Project (Phase I)</t>
  </si>
  <si>
    <t>Brgy. Suclaban, Mexico, Pampanga</t>
  </si>
  <si>
    <t xml:space="preserve">Energy Development Corporation </t>
  </si>
  <si>
    <t>Burgos Solar Power Project</t>
  </si>
  <si>
    <t>Brgy. Saoit, Burgos, Ilocos Norte</t>
  </si>
  <si>
    <t xml:space="preserve">Ormoc Solar Power Project </t>
  </si>
  <si>
    <t>Brgy. Dolores, Ormoc CIty</t>
  </si>
  <si>
    <t>1.5 MW Sm North Solar Rooftop Power Plant</t>
  </si>
  <si>
    <t>SM North EDSA, Quezon City</t>
  </si>
  <si>
    <t>SACASOL Power Project Plant (Phases I-C &amp;I-)D</t>
  </si>
  <si>
    <t>19-Jan-16 (PAO FIT) / 
4-May-16 (FINAL FIT COC)</t>
  </si>
  <si>
    <t>Nv Vogt Philippines Solar Energy One, Inc.</t>
  </si>
  <si>
    <t>Centrala Solar Power Plant</t>
  </si>
  <si>
    <t>Centralla, Surallah, South Cotabato</t>
  </si>
  <si>
    <t>Pampanga Solar Power Project (Phase II)</t>
  </si>
  <si>
    <t>EDC Burgos 2</t>
  </si>
  <si>
    <t>Burgos Solar Power Project Phase 2</t>
  </si>
  <si>
    <t>Brgy. Saoit, Burgos, Ilocos, Norte</t>
  </si>
  <si>
    <t>Petrosolar Corp.</t>
  </si>
  <si>
    <t>Tarlac Solar Power Project</t>
  </si>
  <si>
    <t>Central Technopark, Tarlac City, Tarlac</t>
  </si>
  <si>
    <t>3-Mar-16 (PAO FIT) / 
12-Jul-16 (FINAL FIT COC)</t>
  </si>
  <si>
    <t>YH Green Energy, Inc</t>
  </si>
  <si>
    <t>Hermosa Solar Power Project</t>
  </si>
  <si>
    <t>Brgy. Bacong, Hermosa, Bataan</t>
  </si>
  <si>
    <t>Cabanatuan Solar Power Project</t>
  </si>
  <si>
    <t>Brgy. Lourdes, Cabanatuan, Nueva Ecija</t>
  </si>
  <si>
    <t>Solar Philippines Calatagan Corporation</t>
  </si>
  <si>
    <t>Calatagan Solar Power Project</t>
  </si>
  <si>
    <t>Brgy. Paraiso Biga, Calatagan, Batangas</t>
  </si>
  <si>
    <t>Mirae Asia Energy Corporation</t>
  </si>
  <si>
    <t>Currimao Solar Power Project</t>
  </si>
  <si>
    <t>Brgy. Paguludan-Salindeg, Currimao, Ilocos Norte</t>
  </si>
  <si>
    <t>Absolut Distillers, Inc.</t>
  </si>
  <si>
    <t>Lian Solar Power Project</t>
  </si>
  <si>
    <t>Brgy. Malaruhatan, Lian, Batangas</t>
  </si>
  <si>
    <t>Valenzuela Solar Energy. Inc.</t>
  </si>
  <si>
    <t>Valenzuela Solar Power Project</t>
  </si>
  <si>
    <t>198 Isla Road, Planters, Technopark, Brgy. Isla, Valenzuela</t>
  </si>
  <si>
    <t xml:space="preserve">Monte Solar Energy, Inc. </t>
  </si>
  <si>
    <t>Bais Solar Power Project</t>
  </si>
  <si>
    <t>Bais City, Negros Oriental</t>
  </si>
  <si>
    <t>Enfinity Philippines Renewable Resources, Inc.</t>
  </si>
  <si>
    <t>Clark Solar Power Project</t>
  </si>
  <si>
    <t>Prince Balagtas Road, Clark Freeport Zone, Pampanga</t>
  </si>
  <si>
    <t xml:space="preserve">Asia Green Energy Corporation </t>
  </si>
  <si>
    <t>Kibawe Solar Power Plant</t>
  </si>
  <si>
    <t>Brgy. Labuagon, Kibawe, Bukidnon</t>
  </si>
  <si>
    <t>Solar Powered Agri-Rural Communities Corporation (SPARC-Zambales) (EPRRI-Clark)</t>
  </si>
  <si>
    <t>Palauig Solar Power Project</t>
  </si>
  <si>
    <t>Palauig, Zambales</t>
  </si>
  <si>
    <t>Bulacan Solar Energy Corporation</t>
  </si>
  <si>
    <t>Bulacan III Solar Power Project</t>
  </si>
  <si>
    <t>Brgy. Casalat, San Ildefonso, Bulacan</t>
  </si>
  <si>
    <t>8-Dec-16 (PAO FIT)/ 
20-Dec-16 (FINAL FIT COC)</t>
  </si>
  <si>
    <t>Helios Solar Energy Corporation</t>
  </si>
  <si>
    <t>Cadiz Solar Power Project</t>
  </si>
  <si>
    <t>Brgy. Tinampa-an, Cadiz City, Negros Occidental</t>
  </si>
  <si>
    <t>Bangui, Ilocos Norte</t>
  </si>
  <si>
    <t>Burgos, Ilocos Norte</t>
  </si>
  <si>
    <t>North Luzon Energy Renewable Energy Corporation</t>
  </si>
  <si>
    <t>Pagudpud, Ilocos Norte</t>
  </si>
  <si>
    <t>San Lorenzo, Guimaras</t>
  </si>
  <si>
    <t>Nabas-Malay, Aklan</t>
  </si>
  <si>
    <t>Brgy. Halayhayin, Pililia, Rizal</t>
  </si>
  <si>
    <t>Special FIT</t>
  </si>
  <si>
    <t>Sta. Cruz, Davao del Sur</t>
  </si>
  <si>
    <t>Solano, Nueva Vizcaya</t>
  </si>
  <si>
    <t>Sabangan, Mountain Province</t>
  </si>
  <si>
    <t>Tuba, Benguet</t>
  </si>
  <si>
    <t>12 MW e(net) SJCi Power Rice Husk-fired Biomass Power Plant Project (Phase I)</t>
  </si>
  <si>
    <t>Nrgy. Tulat, San Jose City, Nueva Ecija</t>
  </si>
  <si>
    <t>43.8 MW Montalban Landfill Methane Recovery and Electricity Generation</t>
  </si>
  <si>
    <t>Brgy. San Isidro, Rodriguez, Rizal</t>
  </si>
  <si>
    <t>1.2 MW Payatas Landfill Methane Recovery and Power Generator Facility (Phase I)</t>
  </si>
  <si>
    <t>Brgy. Payatas, Quezon City</t>
  </si>
  <si>
    <t xml:space="preserve">LLPHII Rice Husk-Fired Biomass Power Plant Project </t>
  </si>
  <si>
    <t>Brgy. San Antonio, Alicia, Isabela</t>
  </si>
  <si>
    <t>21 MW FFHC Bagasse-fired Cogeneration Power Plant</t>
  </si>
  <si>
    <t>Dos Hermanas, Talisay City, Negros Occidental</t>
  </si>
  <si>
    <t>12.5 MW Bataan 2020 Rice Hull-fired Cogen Plant</t>
  </si>
  <si>
    <t>Isabela Biomass Energy Coorporation (IBEC)</t>
  </si>
  <si>
    <t>20 MW IBEC Biomass Power Plant Project</t>
  </si>
  <si>
    <t>Brgy. Burgos, Alicia, Isabela</t>
  </si>
  <si>
    <t>19-Jan-16 (PAO FIT) / 
21-Apr-16 (FINAL FIT COC)</t>
  </si>
  <si>
    <t>46 MW Bagasse-fired Cogeneration Power Plant</t>
  </si>
  <si>
    <t>Brgy. Camugao, Kabankalan City, Negros Occidental</t>
  </si>
  <si>
    <t>19 KW Bagasse-fired Cogeneration Power Plant</t>
  </si>
  <si>
    <t>San Mariano, Isabela</t>
  </si>
  <si>
    <t>12 MW Rice Husk-fired Biomass Power Plant Project</t>
  </si>
  <si>
    <t>Talavera, Nueva Ecija</t>
  </si>
  <si>
    <t>16-Jan-2017 (PAO FIT) / 
5-Jun-17 (FINAL FIT COC)</t>
  </si>
  <si>
    <t>5 MW Rice Husk-fired Biomass Power Plant Project</t>
  </si>
  <si>
    <t>Pili, Camarines Sur</t>
  </si>
  <si>
    <t>LPC Biomass Power Plant</t>
  </si>
  <si>
    <t>Brgy. Crossing Simunay, Sultan Kudarat</t>
  </si>
  <si>
    <t>Aseagas Corporation</t>
  </si>
  <si>
    <t>AGC Biogas Project</t>
  </si>
  <si>
    <t>Lian, Batangas</t>
  </si>
  <si>
    <t>1.2 MW Payatas Landfill Methane Recovery and Power Generator Facility (Phase II)</t>
  </si>
  <si>
    <t>Armenia, Tarlac City</t>
  </si>
  <si>
    <t>12 MW e(net) SJCi Power Rice Husk-fired Biomass Power Plant Project (Phase II)</t>
  </si>
  <si>
    <t>Brgy. Tlat, San Jose City,  Nueva Ecija</t>
  </si>
  <si>
    <t>Asian Carbon Neutral Power Corp. (ACNPC)</t>
  </si>
  <si>
    <t>ACNPC Biogas Power Plant Project</t>
  </si>
  <si>
    <t xml:space="preserve">27-Mar-18 (PAO FIT) </t>
  </si>
  <si>
    <t>Green Earth Enersource Corporation</t>
  </si>
  <si>
    <t>3.5 MW GEEC Biomass Power Plant Project</t>
  </si>
  <si>
    <t>Brgy. Poblacion, Buluan, Maguindanao</t>
  </si>
  <si>
    <t>12/13/2017 (PAO FIT)</t>
  </si>
  <si>
    <t>Bugasong, Antique</t>
  </si>
  <si>
    <t>Sunwest Ware &amp; Electric Company 2</t>
  </si>
  <si>
    <t>Villasiga Hydro Power Plant</t>
  </si>
  <si>
    <t>SN Aboitiz Power Magat, Inc.</t>
  </si>
  <si>
    <t>Maris Main Canal I Hydroelectric Power Plant</t>
  </si>
  <si>
    <t>Brgy. Ambatali, Ramon Isabela</t>
  </si>
  <si>
    <t>-</t>
  </si>
  <si>
    <t>Brgy. Gugo, Samal, Bataan</t>
  </si>
  <si>
    <t>LUZON</t>
  </si>
  <si>
    <t>Degressed FIT Rate for ROR Hydro and Biomass - Resolution No. 01, Series of 2017</t>
  </si>
  <si>
    <t>ERC Resolution/ERC Case</t>
  </si>
  <si>
    <t>Subscribed FIT Capacity as per COE (MW)</t>
  </si>
  <si>
    <t>19-Jan-16 (PAO FIT) / 4-May-16 (FINAL FIT COC)</t>
  </si>
  <si>
    <t>3-Mar-16 (PAO FIT) / 12-Jul-16 (FINAL FIT COC)</t>
  </si>
  <si>
    <t>8-Dec-16 (PAO FIT)/ 20-Dec-16 (FINAL FIT COC)</t>
  </si>
  <si>
    <t>19-Jan-16 (PAO FIT) / 21-Apr-16 (FINAL FIT COC)</t>
  </si>
  <si>
    <t>1/19/2016 (PAO FIT) / 15-Dec-16 (FINAL FIT COC)</t>
  </si>
  <si>
    <t>16-Jan-2017 (PAO FIT) / 5-Jun-17 (FINAL FIT COC)</t>
  </si>
  <si>
    <t xml:space="preserve">Solar Powered Agri-Rural Communities Corporation </t>
  </si>
  <si>
    <t>Grid</t>
  </si>
  <si>
    <t>TOTAL</t>
  </si>
  <si>
    <t>Grand Total</t>
  </si>
  <si>
    <t>FIT Rates - Reso. No. 10, Series of 2012/ERC Case No. 2011-006 RM</t>
  </si>
  <si>
    <t>WIND FIT II - Resolution No. 14, Series of 2015/ERC Case No. 2015-002 RM</t>
  </si>
  <si>
    <t xml:space="preserve">     with Petition - ERC Case No. 2016-002 RM (7.93 PhP/kWh)</t>
  </si>
  <si>
    <t xml:space="preserve">Special FIT - ERC Case No. 2011-060 RC </t>
  </si>
  <si>
    <t>Bangui Wind Power Plant Phase I &amp; II</t>
  </si>
  <si>
    <t>FIT Term
(Years)</t>
  </si>
  <si>
    <t>FIT Rates - Resolution No. 10, Series of 2012/ERC Case No. 2011-006 RM</t>
  </si>
  <si>
    <t>27-Mar-17 (PAO FIT)</t>
  </si>
  <si>
    <t>HedCor Bukidnon, Inc.</t>
  </si>
  <si>
    <t>Manolo Fortich 1 Hydroelectric Power Plant</t>
  </si>
  <si>
    <t>Brgy. Santiago, Manolo, Fortich, Bukidnon</t>
  </si>
  <si>
    <t xml:space="preserve">Asian Green Energy Corporation </t>
  </si>
  <si>
    <t>2.21 MW permanently shutdown 
(17-Jan-2018)</t>
  </si>
  <si>
    <t>ROR Hydro</t>
  </si>
  <si>
    <t>Biomass</t>
  </si>
  <si>
    <t>Brgy. Dumalig, Tantangan, South Cotabato</t>
  </si>
  <si>
    <t>BIOTECH Biomass Cogeneration Power Plant</t>
  </si>
  <si>
    <t>19-Jan-16 (PAO FIT) / 
15-Dec-16 (FINAL FIT COC)</t>
  </si>
  <si>
    <t>Majayjay Hydropower Company, Inc.</t>
  </si>
  <si>
    <t>Majayjay Hydropower Plant</t>
  </si>
  <si>
    <t>Brgy. Ibabang Banga, Majayjay, Laguna</t>
  </si>
  <si>
    <t>15-Jun-20 (PAO FIT)</t>
  </si>
  <si>
    <t>Brgy. Raniag, Burgos, Isabela</t>
  </si>
  <si>
    <t>Cagayan Biomass Energy Corporation</t>
  </si>
  <si>
    <t>Cagayan Biomass Energy Plant</t>
  </si>
  <si>
    <t>Vivant - Sta. Clara Northern Renewables Generation Corporation (VSNRGC)</t>
  </si>
  <si>
    <t>Vivant - Sta. Clara Hydro Electric Power Plant</t>
  </si>
  <si>
    <t>Brgy. Amolingan, Alilem, Ilocos Sur</t>
  </si>
  <si>
    <t>Central Azucarera Don Pedro, Inc.</t>
  </si>
  <si>
    <t>31.875 MW Cogeneration Power Plant</t>
  </si>
  <si>
    <t>Batangas</t>
  </si>
  <si>
    <t>16-Feb-18</t>
  </si>
  <si>
    <t>Central Azucarera de San Antonio</t>
  </si>
  <si>
    <t>Biotech Farms, Inc.</t>
  </si>
  <si>
    <t>Victorias Milling Company, Inc.</t>
  </si>
  <si>
    <t>Hawaiian-Philippine Company</t>
  </si>
  <si>
    <t>San Carlos Bioenergy, Inc.</t>
  </si>
  <si>
    <t>Central Azucarera de Bais</t>
  </si>
  <si>
    <t>Grass Gold Renewable Energy Corporation</t>
  </si>
  <si>
    <t>BISCOM, Inc.</t>
  </si>
  <si>
    <t>VS Gripal Power Corporation</t>
  </si>
  <si>
    <t>Cleangreen Energy Corporation</t>
  </si>
  <si>
    <t>Surallah Power Generation, Inc.</t>
  </si>
  <si>
    <t>23 MW Cogeneration Power Plant</t>
  </si>
  <si>
    <t>40 MW Biomass Expansion Project</t>
  </si>
  <si>
    <t>28.58 MW Biomass Power Plant</t>
  </si>
  <si>
    <t>12.39 MW Biogas Power Plant</t>
  </si>
  <si>
    <t>8-MW Biomass Cogeneration Plant</t>
  </si>
  <si>
    <t>25 MW Biomass Cogeneration Plant</t>
  </si>
  <si>
    <t>12 MW Biomass Power Plant</t>
  </si>
  <si>
    <t>6 MW Biomass Power Plant</t>
  </si>
  <si>
    <t>48.5 MW Bagasse-Fired Cogeneration Power Plant</t>
  </si>
  <si>
    <t>Iloilo</t>
  </si>
  <si>
    <t>Negros Occidental</t>
  </si>
  <si>
    <t>South Cotabato</t>
  </si>
  <si>
    <t xml:space="preserve"> Negros Occidental</t>
  </si>
  <si>
    <t>Negros Oriental</t>
  </si>
  <si>
    <t>Nueva Ecija</t>
  </si>
  <si>
    <t>Bataan</t>
  </si>
  <si>
    <t>New Bataan</t>
  </si>
  <si>
    <t>Manolo Fortich 2</t>
  </si>
  <si>
    <t>La Trinidad</t>
  </si>
  <si>
    <t>Loboc 2</t>
  </si>
  <si>
    <t>Euro Hydro Power (Asia) Holdings, Inc.</t>
  </si>
  <si>
    <t>Philippine Power and Development Corporation</t>
  </si>
  <si>
    <t>Hedcor Bukidnon, Inc.</t>
  </si>
  <si>
    <t>Hedcor, Inc.</t>
  </si>
  <si>
    <t>Sta. Clara Power Corporation</t>
  </si>
  <si>
    <t>New Bataan, Compostela Valley</t>
  </si>
  <si>
    <t>Nagcarlan, Laguna</t>
  </si>
  <si>
    <t>Calauan and San Pablo City, Laguna</t>
  </si>
  <si>
    <t>Manolo Fortich, Bukidnon</t>
  </si>
  <si>
    <t>La Trinidad, Benguet</t>
  </si>
  <si>
    <t>Loboc, Bohol</t>
  </si>
  <si>
    <t>15 May 2014 - 
14 May 2034</t>
  </si>
  <si>
    <t>16 August 2014 - 
15 August 2034</t>
  </si>
  <si>
    <t>05 February 2015 - 
04 February 2035</t>
  </si>
  <si>
    <t>05 March 2015 - 
04 March 2035</t>
  </si>
  <si>
    <t>FIT Eligibility Period per COC</t>
  </si>
  <si>
    <t>07 April 2015 - 
07 April 2035</t>
  </si>
  <si>
    <t>04 April 2015 - 
04 April 2035</t>
  </si>
  <si>
    <t>FIT End Term per COC</t>
  </si>
  <si>
    <t>23 December 2015 -
22 December 2035</t>
  </si>
  <si>
    <t>19 January 2016 -
18 January 2036</t>
  </si>
  <si>
    <t>12 February 2016 - 
11 February 2036</t>
  </si>
  <si>
    <t>11 March 2016 - 
10 March 2036</t>
  </si>
  <si>
    <t>06 September 2015 -
05 September 2035</t>
  </si>
  <si>
    <t>10 February 2016 - 
09 February 2036</t>
  </si>
  <si>
    <t>08 March 2016 - 
07 March 2036</t>
  </si>
  <si>
    <t>12 March 2016 - 
11 March 2036</t>
  </si>
  <si>
    <t>13 March 2016 - 
12 March 2036</t>
  </si>
  <si>
    <t>14 March 2016 - 
13 March 2036</t>
  </si>
  <si>
    <t>29 February 2016 - 
28 February 2036</t>
  </si>
  <si>
    <t>25 October 2016 - 
08 Decmber 2035</t>
  </si>
  <si>
    <t>10 October 2014 -
09 October 2034</t>
  </si>
  <si>
    <t>11 November 2014 - 
10 November 2034</t>
  </si>
  <si>
    <t>27 December 2014 -
26 December 2034</t>
  </si>
  <si>
    <t>10 June 2015 - 
09 June 2035</t>
  </si>
  <si>
    <t>09 June 2015 -
08 June 2035</t>
  </si>
  <si>
    <t>20 July 2015 -
04 June 2025</t>
  </si>
  <si>
    <t>15 June 2015 - 
10 April 2034</t>
  </si>
  <si>
    <t>15 June 2015 -
14 December 2030</t>
  </si>
  <si>
    <t>02 June 2015 -
01 June 2035</t>
  </si>
  <si>
    <t>30 April 2012 -
29 April 2032</t>
  </si>
  <si>
    <t>20 November 2017 - 
19 November 2037</t>
  </si>
  <si>
    <t>02 July 2018 -
01 July 2038</t>
  </si>
  <si>
    <t>23 June 2020 -
26 January 2026</t>
  </si>
  <si>
    <t>02 November 2014 - 
01 November 2034</t>
  </si>
  <si>
    <t xml:space="preserve">15 June 2015 - 
08 February 2029 </t>
  </si>
  <si>
    <t>15 June 2015 - 
25 September 2028</t>
  </si>
  <si>
    <t>15 June 2015 - 
08 April 2029</t>
  </si>
  <si>
    <t>30 November 2012 - 
29 November 2032</t>
  </si>
  <si>
    <t>10 July 2015 -
09 July 2035</t>
  </si>
  <si>
    <t>06 October 2015 -
05 October 2035</t>
  </si>
  <si>
    <t>20 January 2015 - 
19 January 2035</t>
  </si>
  <si>
    <t>27 February 2016 - 
26 February 2036</t>
  </si>
  <si>
    <t>10 October 2016 -
09 October 2036</t>
  </si>
  <si>
    <t>14 December 2016 - 
13 December 2036</t>
  </si>
  <si>
    <t>15 June 2015 - 
04 March 2033</t>
  </si>
  <si>
    <t>30 December 2016 - 
29 December 2036</t>
  </si>
  <si>
    <t>22 September 2017 - 
21 September 2037</t>
  </si>
  <si>
    <t>17 February 2017 -
16 February 2037</t>
  </si>
  <si>
    <t>27 May 2017 -
26 May 2037</t>
  </si>
  <si>
    <t>13-Dec-17 (PAO FIT) /
08-Aug-19 (FINAL FIT COC)</t>
  </si>
  <si>
    <t>08 May 2018 - 
07 May 2038</t>
  </si>
  <si>
    <t>Original FIT Rate</t>
  </si>
  <si>
    <t xml:space="preserve">First FIT Adjustment </t>
  </si>
  <si>
    <t>Start of FIT Elibility per COC</t>
  </si>
  <si>
    <t>21 July 2017 - 
20 July 2037</t>
  </si>
  <si>
    <t>27-Mar-18 (PAO FIT) /
03-Dec-19 (FINAL FIT COC)</t>
  </si>
  <si>
    <t>1.7MW directed cease and desist  operation for  the period 26-Mar-2019 to 17-Sep-2019</t>
  </si>
  <si>
    <t>16-Dec-20 (PAO FIT)</t>
  </si>
  <si>
    <t>02-Dec-20 (PAO FIT)</t>
  </si>
  <si>
    <t>06-Dec-20 (PAO FIT)</t>
  </si>
  <si>
    <t>Technology</t>
  </si>
  <si>
    <t>Subscribed Capacity (MW)</t>
  </si>
  <si>
    <t>SOLAR I</t>
  </si>
  <si>
    <t>SOLAR II</t>
  </si>
  <si>
    <t>FIT-Rate (PhP/kWh)</t>
  </si>
  <si>
    <t>WIND I</t>
  </si>
  <si>
    <t>WIND II</t>
  </si>
  <si>
    <t>ROR HYDRO Deg</t>
  </si>
  <si>
    <t>ROR HYDRO II</t>
  </si>
  <si>
    <t>BIOMASS deg</t>
  </si>
  <si>
    <t>BIOMASS II</t>
  </si>
  <si>
    <t>Vivant</t>
  </si>
  <si>
    <t>Bangui</t>
  </si>
  <si>
    <t>Solar Philippines Commercial Rooftop Projects, Inc.</t>
  </si>
  <si>
    <t>15-Jun-20 (PAO FIT)
18-Nov-20 (Extension)</t>
  </si>
  <si>
    <t>Subscribed FIT Capacity with COE (MW)</t>
  </si>
  <si>
    <t>04-Nov-20 (FINAL)</t>
  </si>
  <si>
    <t>300 kW Calibato Hydroelectric Power Plant</t>
  </si>
  <si>
    <t>1100 kW Balugbog Hydroelectric Power Plant</t>
  </si>
  <si>
    <t>1500 kW Palakpakin Hydroelectric Power Plant</t>
  </si>
  <si>
    <t>San Pablo, Laguna</t>
  </si>
  <si>
    <t>05-May-21 
(Conversion to FIT COC)</t>
  </si>
  <si>
    <t>ROR and Biomass FIT II - Resolution No. 06, Series of 2021/ERC Case No. 2018-007 RM</t>
  </si>
  <si>
    <t>First Solar Energy Corp. (Phil. Solar Farm-Leyte, Inc.)</t>
  </si>
  <si>
    <t>28-Jul-21 (PAO FIT)</t>
  </si>
  <si>
    <t>23-Jun-21 (PAO FIT)</t>
  </si>
  <si>
    <t>11-Aug-21 (PAO FIT)</t>
  </si>
  <si>
    <t>Total Subscribed Capacity with FIT COC</t>
  </si>
  <si>
    <t>16-Sep-21 (PAO FIT)</t>
  </si>
  <si>
    <t>22-Sep-21 (PAO FIT)</t>
  </si>
  <si>
    <t>Green Innovations for Tomorrow Corporation II</t>
  </si>
  <si>
    <t>Energy Regulatory Commisssion</t>
  </si>
  <si>
    <t>Market Operations Service - Licensing and Market Monitoring Division</t>
  </si>
  <si>
    <t>List of  Generation Companies/Generation Facility with Feed-in-Tariff Issued Certificate of Compliance (FIT-COC)</t>
  </si>
  <si>
    <t>As of 24 January 2022</t>
  </si>
  <si>
    <t>Name of Generation Company</t>
  </si>
  <si>
    <t>Name of Generation Facility</t>
  </si>
  <si>
    <t>Type</t>
  </si>
  <si>
    <t>RATED CAPACITY AS PER FIT- COC (MW)</t>
  </si>
  <si>
    <t>DATE APPROVED (FIT-COC)</t>
  </si>
  <si>
    <t>Remarks</t>
  </si>
  <si>
    <t>COE-FIT NO.</t>
  </si>
  <si>
    <t>DOE COE-FIT CAPACITY (MW)</t>
  </si>
  <si>
    <t>COD PER COE</t>
  </si>
  <si>
    <t>Date of Issuance of DOE-COE</t>
  </si>
  <si>
    <t>FIT RATE (PhP/kWh)</t>
  </si>
  <si>
    <t>FIT Entitlement Period
(as indicated in FIT-COC)</t>
  </si>
  <si>
    <t>From</t>
  </si>
  <si>
    <t>To</t>
  </si>
  <si>
    <t>Wind Power Plant</t>
  </si>
  <si>
    <t>Northwind Power Development Corporation (NPDC)</t>
  </si>
  <si>
    <t>Bangui Wind Fram PP (Phase III)</t>
  </si>
  <si>
    <t>Sitio Suyo, Brgy. Baruyan, Bangui, Ilocos Norte</t>
  </si>
  <si>
    <t>Wind</t>
  </si>
  <si>
    <t xml:space="preserve">•Issuance of COC: 09-Feb-15
•Issuance of FIT-COC: 13-Apr-15
•Renewal, Issuance of PAO-FIT: 08-Oct-2019 
• PAO-FIT 1st Extension: 06-Jul-2020 
• PAO-FIT 2nd Extension: 14-Oct-2020 
• PAO-FIT 3rd Extension: 21-Dec-2021 </t>
  </si>
  <si>
    <t>W-2014-10-001</t>
  </si>
  <si>
    <t>Burgos Wind Power Plant
 (Phase 1 - 87 MW; Phase II - 63 MW)</t>
  </si>
  <si>
    <t>•Issuance of COC:09-Feb-15 
•Issuance of FIT-COC:13-Apr-15 (FIT)
•Renewal of COC-FIT: 03-Dec-2019</t>
  </si>
  <si>
    <t>W-2014-11-002</t>
  </si>
  <si>
    <t>North Luzon Renewable Energy Corporation</t>
  </si>
  <si>
    <t>Caparispisan Wind PP</t>
  </si>
  <si>
    <t>Brgy. Caparispisan, Pagudpud, Ilocos Norte</t>
  </si>
  <si>
    <t>•Issuance of COC:09-Feb-15 
•Issuance of FIT-COC:13-Apr-15
•Renewal, Issuance of PAO-FIT: 28-Nov-2019
•PAO-FIT 1st Extension: 30-Jun-2020
•PAO-FIT 2nd Extension: 2-Dec-2020</t>
  </si>
  <si>
    <t>W-2014-11-003</t>
  </si>
  <si>
    <t>Trans-Asia Renewable Energy Corporation (now Phinma Renewable Energy Corp.)</t>
  </si>
  <si>
    <t>San Lorenzo Wind PP</t>
  </si>
  <si>
    <t>Brgy. Suclaran, San Lorenzo, Guimaras</t>
  </si>
  <si>
    <t>•Issuance of PAO: 02 Mar 2015
•Issuance of COC: 01 Jun 2015
•Issuance of FIT-COC: 01-Dec-15
•Renewal, Issuance of FIT-COC: 18-Feb-2020</t>
  </si>
  <si>
    <t>W-2015-05-004</t>
  </si>
  <si>
    <t>Alternergy Wind One Corporation (AWOC)</t>
  </si>
  <si>
    <t>54.0 MW Wind PP</t>
  </si>
  <si>
    <t>Sitio Mahabang Sapa Feeder Road, Brgy. Halayhayin, Pililia, Rizal</t>
  </si>
  <si>
    <t>•Issuance of COC: 14-Sept-15
•Issuance of FIT-COC: 01-Dec-15
•Renewal, Issued to PAO-FIT: 8-Sep-2020
•Amendment to PAO-FIT: 6-Oct-2020</t>
  </si>
  <si>
    <t>W-2015-06-005</t>
  </si>
  <si>
    <t>PetroWind Energy, Inc.</t>
  </si>
  <si>
    <t>Nabas Phase I Wind PP</t>
  </si>
  <si>
    <t>Brgy. Pawa, Nabas, Aklan</t>
  </si>
  <si>
    <t>•Issuance of COC: 17-Aug-15
•Issuance of FIT-COC: 01-Dec-15
•Renewal, Issuance of PAO-FIT: 12-Aug-2020
•PAO-FIT 1st Extension: 18 August 2021</t>
  </si>
  <si>
    <t>W-2015-06-006</t>
  </si>
  <si>
    <t>Bangui Wind Farm PP (Phase I &amp; II)</t>
  </si>
  <si>
    <t xml:space="preserve">• Issuance of COC: 15-Jun-05 (Phase1)
• Issuance of COC: 26-Jan-09 (Phase II)
•Renewal of COC: 15-Jun-10 (Phases I and II)
•Renewal of COC: 15-Jun-15
•Issuance of PAO-FIT: 20-July-15 (PAO-FIT)
•Issuance of FIT-COC: 13-Feb-18 (FIT)
• Renewal, Issyance of PAO-FIT: 06-Jul-2020 
• PAO-FIT 2nd Extension: 18-Nov-2020 </t>
  </si>
  <si>
    <t>Refer to ERC Decision dated 07  Nov 2017 under Case No. 2011-060 RC</t>
  </si>
  <si>
    <t>N/A</t>
  </si>
  <si>
    <t>TOTAL CAPACITY (MW)  -WIND</t>
  </si>
  <si>
    <t>Solar Power Plant</t>
  </si>
  <si>
    <t>San Carlos Solar Energy, Inc.</t>
  </si>
  <si>
    <t xml:space="preserve">SACASOL Solar PP - Phase 1A </t>
  </si>
  <si>
    <t>Solar</t>
  </si>
  <si>
    <t>•Issuance of COC: 09-Jun-14
•Issuance of FIT- COC: 09-Feb-15
•Renewal of FIT-COC: 28-May-19</t>
  </si>
  <si>
    <t>S-2014-05-001</t>
  </si>
  <si>
    <t>13 MWp</t>
  </si>
  <si>
    <t>SACASOL Solar PP - Phase 1B</t>
  </si>
  <si>
    <t>•Issuance of COC: 08-Sept-14
•Issuance of FIT- COC:09-Feb-15
•Renewal of FIT-COC: 28-May-19</t>
  </si>
  <si>
    <t>S-2014-09-002</t>
  </si>
  <si>
    <t>9 MWp</t>
  </si>
  <si>
    <t>Raslag Corporation</t>
  </si>
  <si>
    <t xml:space="preserve">Raslag 10.04MWp DC Solar PP </t>
  </si>
  <si>
    <t>•Issuance of FIT-COC: 06 Apr 2015
•Renewal, Issuance of PAO-FIT: 29-Jun-2020
•PAO-FIT 1st Extension: 29-Sep-2020
•PAO-FIT 2nd Extension: 28-Oct-2021</t>
  </si>
  <si>
    <t>S-2015-02-003-A</t>
  </si>
  <si>
    <t>10 MWp</t>
  </si>
  <si>
    <t>Energy Development Corp. (EDC)</t>
  </si>
  <si>
    <t>EDC Burgos Solar PP ( Phase 1)</t>
  </si>
  <si>
    <t>S-2015-03-0004</t>
  </si>
  <si>
    <t>4.1 MWp</t>
  </si>
  <si>
    <t>Majestics Energy Corporation (MEC)</t>
  </si>
  <si>
    <t>41.30 MWp DC  Solar Roof Project</t>
  </si>
  <si>
    <t>Rosario, Cavite</t>
  </si>
  <si>
    <t>•COC Application denied; issue: 60-40 Filipino-Ownership; with MR - on-going evaluation</t>
  </si>
  <si>
    <t>S-2015-03-005</t>
  </si>
  <si>
    <t>41.3 MWp</t>
  </si>
  <si>
    <t>&lt;&lt; No FIT-COC yet</t>
  </si>
  <si>
    <t>Phil. Solar Farm-Leyte Solar Power Plant (now First Solar Energy Corporation)</t>
  </si>
  <si>
    <t>Leyte Solar PP</t>
  </si>
  <si>
    <t>Brgy. Dolores, Ormoc City, Leyte</t>
  </si>
  <si>
    <t>•Issuance of FIT-COC: 08-Jun-15
•Renewal, Issuance of PAO-FIT: 30-Jun-2020
•PAO-FIT 1st Extension: 18-Nov-2020</t>
  </si>
  <si>
    <t>S-2015-04-006</t>
  </si>
  <si>
    <t>30 MWp</t>
  </si>
  <si>
    <t>Solar Phil. Commercial Rooftop Projects, Inc.</t>
  </si>
  <si>
    <t>SM North Edsa Solar PP</t>
  </si>
  <si>
    <t>•Issuance of FIT-COC: 22-Jun-15
•Issuance of PAO-FIT: 06-Oct-21</t>
  </si>
  <si>
    <t>S-2015-04-007</t>
  </si>
  <si>
    <t>1.5 MWp</t>
  </si>
  <si>
    <t xml:space="preserve">SACASOL Solar PP - Phase 1C &amp; 1D </t>
  </si>
  <si>
    <t>•Issuance of FIT- COC:04-May-16
•Renewal, Issuance of PAO-FIT: 14-Jan-2021</t>
  </si>
  <si>
    <t>S-2015-09-008</t>
  </si>
  <si>
    <t>23 MWp</t>
  </si>
  <si>
    <t>nv Vogt Philippines Solar Energy One, Inc.</t>
  </si>
  <si>
    <t>6.23 MWp Centrala DC Solar PP</t>
  </si>
  <si>
    <t>•Issuance of FIT-COC: 28 Feb 2017</t>
  </si>
  <si>
    <t>S-2016-01-009</t>
  </si>
  <si>
    <t>6.23 MWp</t>
  </si>
  <si>
    <t xml:space="preserve">Raslag 2 13.14 MWp DC Solar PP </t>
  </si>
  <si>
    <t>•Issuance of FIT-COC: 29 Feb 2016
•Renewal, Issuance of PAO-FIT: 29-Jun-2020
•PAO-FIT 1st Extension: 29-Sep-2020
•PAO-FIT 2nd Extension: 28-Oct-2021</t>
  </si>
  <si>
    <t>S-2016-01-010</t>
  </si>
  <si>
    <t>13.14 MWp</t>
  </si>
  <si>
    <t>EDC Burgos Solar PP ( Phase 2)</t>
  </si>
  <si>
    <t>•Issuance of FIT-COC: 01 Mar 2016
•Renewal, Issuance of PAO-FIT: 29-Jun-2020
•PAO-FIT 1st Extension: 29-Sep-2020
•PAO-FIT 2nd Extension: 28-Oct-2021</t>
  </si>
  <si>
    <t>S-2016-02-011</t>
  </si>
  <si>
    <t>2.66 MWp</t>
  </si>
  <si>
    <t>Petrosolar Corporation (PC)</t>
  </si>
  <si>
    <t>50.07 MWp DC Tarlac Solar PP</t>
  </si>
  <si>
    <t>•Issuance of FIT-COC: 12 Jul 2016
•Renewal, Issuance of PAO-FIT: 17-Mar-2021</t>
  </si>
  <si>
    <t>S-2016-02-012</t>
  </si>
  <si>
    <t>50.07 MWp</t>
  </si>
  <si>
    <t>YH Green Energy, Inc.</t>
  </si>
  <si>
    <t>YH Hermosa Solar PP</t>
  </si>
  <si>
    <t>•Issuance of FIT-COC: 30-Mar-16
•Renewal, Issuance of PAO-FIT: 17-Mar-2021</t>
  </si>
  <si>
    <t>S-2016-02-013</t>
  </si>
  <si>
    <t>14.51 MWp</t>
  </si>
  <si>
    <t>10.26 MWp DC Solar PP Project</t>
  </si>
  <si>
    <t>•Issuance of FIT-COC: 13 Apr 2016
•Issuance of PAO-FIT: 05 May 2021</t>
  </si>
  <si>
    <t>S-2016-03-014</t>
  </si>
  <si>
    <t>10.26 MWp</t>
  </si>
  <si>
    <t xml:space="preserve">Solar Philippines Calatagan Corp. </t>
  </si>
  <si>
    <t>63.30 MWp DC Calatagan Solar PP</t>
  </si>
  <si>
    <t>Brgys. Paraiso and Biga, Calatagan, Batangas</t>
  </si>
  <si>
    <t>•Issuance of FIT-COC: 28-Jun-16
•Issuance of PAO-FIT: 23-Jun-21</t>
  </si>
  <si>
    <t>S-2016-03-015</t>
  </si>
  <si>
    <t>63.3 MWp</t>
  </si>
  <si>
    <t xml:space="preserve">Mirae Asia Energy Corporation  </t>
  </si>
  <si>
    <t>20 MWp DC Currimao Solar PP</t>
  </si>
  <si>
    <t>•Issuance of COC: 18-Aug-16
•Issuance of FIT-COC: 08-Dec-16</t>
  </si>
  <si>
    <t>S-2016-04-016</t>
  </si>
  <si>
    <t>20 MWp</t>
  </si>
  <si>
    <t>Valenzuela Solar Energy, Inc.</t>
  </si>
  <si>
    <t>8.50 Valenzuela Solar PP</t>
  </si>
  <si>
    <t>198 Isla Road, Planters Technopark, Brgy. Isla, Valenzuela City</t>
  </si>
  <si>
    <t>•Issuance of COC: 14-Jul-16
•Issuance of FIT-COC: 08-Dec-16
•Issuance of PAO-FIT: 13-Jul-2021</t>
  </si>
  <si>
    <t>S-2016-04-017</t>
  </si>
  <si>
    <t>8.5 MWp</t>
  </si>
  <si>
    <t>Lian  Solar PP</t>
  </si>
  <si>
    <t>•Issuance of COC:14-Jul-16
•Issuance of FIT-COC: 08-Dec-16</t>
  </si>
  <si>
    <t>S-2016-04-018</t>
  </si>
  <si>
    <t>2.04 MWp</t>
  </si>
  <si>
    <t>Bais Solar PP</t>
  </si>
  <si>
    <t>•Issuance of FIT-COC: 06-Feb-17
•Issuance of PAO-FIT: 07-Jul-21</t>
  </si>
  <si>
    <t>S-2016-04-019</t>
  </si>
  <si>
    <t>18 MWp</t>
  </si>
  <si>
    <t>Enfinity Phils. Renewable Resources, Inc.</t>
  </si>
  <si>
    <t>22.33 MWp DC Clark Solar PP</t>
  </si>
  <si>
    <t>•Issuance of COC: 22-Nov-16
•Issuance of FIT-COC: 08-Dec-16
•Issuance of PAO-FIT: 18 August 2021</t>
  </si>
  <si>
    <t>S-2016-04-020</t>
  </si>
  <si>
    <t>22.33 MWp</t>
  </si>
  <si>
    <t>Asian Greenenergy Corporation (AGC)</t>
  </si>
  <si>
    <t>10.49 MWp DC Solar PP</t>
  </si>
  <si>
    <t>•With issued PAO from 14 July 2016 
• Issuance of  FIT-COC: 08 Aug 2017
• Issuance of  PAO-FIT: 13-Jul-2021</t>
  </si>
  <si>
    <t>S-2016-04-021</t>
  </si>
  <si>
    <t>10.49 MWp</t>
  </si>
  <si>
    <t>Solar Powered Agri-Rural Communities Corporation (SPARC)</t>
  </si>
  <si>
    <t>SPARC Palauig Solar PP</t>
  </si>
  <si>
    <t>•Issuance of FIT-COC: 06-Feb-17</t>
  </si>
  <si>
    <t>S-2016-04-022</t>
  </si>
  <si>
    <t>5.02 MWp</t>
  </si>
  <si>
    <t xml:space="preserve">Bulacan Solar Energy Corp. </t>
  </si>
  <si>
    <t>15 MWp DC Bulacan III Solar PP</t>
  </si>
  <si>
    <t>•Issuance of FIT-COC: 20 Dec 2016</t>
  </si>
  <si>
    <t>S-2016-04-023</t>
  </si>
  <si>
    <t>15 MWp</t>
  </si>
  <si>
    <t>132.5 MWp DC Cadiz Solar PP</t>
  </si>
  <si>
    <t>Barangay Tinampa-an, Cadiz City, Negros Occidental</t>
  </si>
  <si>
    <t>•Issuance of COC:14-Jul-16
•Issuance of FIT-COC: 08-Dec-16
•Issuance of PAO-FIT: 13-Jul-21</t>
  </si>
  <si>
    <t>S-2016-04-024</t>
  </si>
  <si>
    <t>132.5 MWp</t>
  </si>
  <si>
    <t>TOTAL CAPACITY (MW) - SOLAR</t>
  </si>
  <si>
    <t>Biomass Power Plant</t>
  </si>
  <si>
    <t>Pangea Green Energy Philippines, Inc.</t>
  </si>
  <si>
    <t>1.516 Payatas Biomass  PP</t>
  </si>
  <si>
    <t>•Issuance of COC: 29-Apr-13 (U1-3)
•Issuance of COC-FIT: 15-Jun-15 (U1-3)
•Issuance of COC: 19-Jul-17 (U4-5)
•Issuance of COC-FIT: 25-Oct-17 (U4-5)
•Renewal of COC-FIT15-Mar-18 (U1-5)</t>
  </si>
  <si>
    <t>B2014-06-001</t>
  </si>
  <si>
    <t>0.876 MW</t>
  </si>
  <si>
    <t>B2017-05-016</t>
  </si>
  <si>
    <t>Installed: 0.64 MW 
Capacity for Export: 0.424 MW</t>
  </si>
  <si>
    <t>19.810 MW Biomass Power Plant</t>
  </si>
  <si>
    <r>
      <t xml:space="preserve">•Issuance of Regular COC: 12-Nov-12
•Issuance of FIT-COC: 02-Feb-16
•Renewal, PAO: 13 -Dec-17
•Extension, PAO: 04-Apr-18
</t>
    </r>
    <r>
      <rPr>
        <sz val="11"/>
        <rFont val="Georgia"/>
        <family val="1"/>
      </rPr>
      <t>•Extension, PAO-FIT: 20-June-18</t>
    </r>
    <r>
      <rPr>
        <sz val="11"/>
        <color rgb="FFFF0000"/>
        <rFont val="Georgia"/>
        <family val="1"/>
      </rPr>
      <t xml:space="preserve">
• Extension of PAO Deferred: With Issue on 60%-40% Filipino-Foreign Ownership; issue was reverted to DOE for confirmation</t>
    </r>
  </si>
  <si>
    <t>B2014-06-002 (Amended)</t>
  </si>
  <si>
    <t>Capacity for Export: 14 MW</t>
  </si>
  <si>
    <t>Montalban Methane Power Corp.</t>
  </si>
  <si>
    <t>Montalban Biomass PP</t>
  </si>
  <si>
    <t>•Issuance of  COC: 09-Feb-09
•Renewal of COC: 09-Jun-14
• Issuance of FIT-COC: 15-Jun-15
• Renewal, PAO-FITL: 09-Feb-19
• Conversion of PAO-FIT to COC: 18-Jul-19</t>
  </si>
  <si>
    <t>B2014-06-003</t>
  </si>
  <si>
    <t xml:space="preserve">2.175 MW </t>
  </si>
  <si>
    <t>3.60 MW Biomass PP</t>
  </si>
  <si>
    <t>•Issuance of COC: 15-Feb-10
•Renewal of COC: 09-Feb-15
•Issuance of COC-FIT: 15-June-15
• No Report (Shutdown)/ No COC Renewal Application</t>
  </si>
  <si>
    <t>B2014-08-004</t>
  </si>
  <si>
    <t>3.6 MW</t>
  </si>
  <si>
    <t>San Jose City I Power Corp.</t>
  </si>
  <si>
    <t>San Jose Rice Husk Biomass PP - Phase 1</t>
  </si>
  <si>
    <t>Brgy. Tulat, San Jose City, Nueva Ecija</t>
  </si>
  <si>
    <t>•Issuance of PAO: 18 Dec 2014
•Issuance of COC: 09 Feb 2015
•Renewal, Issuance of FIT-COC: 28-Nov-2019 (Consolidated FIT COC for Phase 1 and Phase 2</t>
  </si>
  <si>
    <t>B2014-11-005</t>
  </si>
  <si>
    <t>12 MW</t>
  </si>
  <si>
    <t>San Jose Rice Husk Biomass PP - Phase 2</t>
  </si>
  <si>
    <t>•Issuance of COC-FIT: 13 Dec 2017
•Renewal, Issuance of FIT-COC: 28-Nov-2019 (Consolidated FIT COC for Phase 1 and Phase 2</t>
  </si>
  <si>
    <t>B2017-10-019</t>
  </si>
  <si>
    <t>Installed: 12 MW 
Capacity for Export: 10.8 MW</t>
  </si>
  <si>
    <t>Hawaiian Philippine Co.</t>
  </si>
  <si>
    <t>Silay Co-Generation Biomass Power Plant</t>
  </si>
  <si>
    <t>Silay City, Negros Occ.</t>
  </si>
  <si>
    <t>•Issuance of  PAO-FIT: 06 October 2021</t>
  </si>
  <si>
    <t>B2015-03-006</t>
  </si>
  <si>
    <t>Installed: 8 MW 
Capacity for Export: 2 MW</t>
  </si>
  <si>
    <t>&lt;&lt;&lt; Per PAO-FIT</t>
  </si>
  <si>
    <t>Universal Robina Corp.</t>
  </si>
  <si>
    <t>Kabankalan Biomass PP</t>
  </si>
  <si>
    <t>•Issuance of FIT-COC:15-Dec-16
•Renewal, Issuance of PAO-FIT: 14-Jan-2021</t>
  </si>
  <si>
    <t>B2015-03-007
B2015-03-007b (Amended)</t>
  </si>
  <si>
    <t>Installed: 46 MW 
Capacity for Export: 20 MW</t>
  </si>
  <si>
    <t>First Farmers Holdings, Inc.</t>
  </si>
  <si>
    <t>21.76 MW Biomass PP</t>
  </si>
  <si>
    <t>Dos Hermanas, talisay City, Negros Occidental</t>
  </si>
  <si>
    <t>•Issuance of COC:27-Apr-09
•Renewal of COC:02-Sept-14
•Issuance of FIT-COC:15-Jun-15
•Renewal of FIT-COC:29-Aug-19</t>
  </si>
  <si>
    <t>B2015-04-008</t>
  </si>
  <si>
    <t>Installed: 21 MW 
Capacity for Export: 8 MW</t>
  </si>
  <si>
    <t>Bataan 2020 (Now: Bataan 2020 Power Ventures, Inc.)</t>
  </si>
  <si>
    <t>12.5 MW Biomass PP</t>
  </si>
  <si>
    <t>•Issuance of COC: 21-Mar-11
•Issuance of FIT-COC:26-Nov-15
•Renewal of FIT-COC:10-Mar-16
•Renewal, Issuance of PAO-FIT: 7-Apr-2021</t>
  </si>
  <si>
    <t>B2015-08-009</t>
  </si>
  <si>
    <t>Installed: 12.5 MW 
Capacity for Export: 11.1 MW</t>
  </si>
  <si>
    <t>Isabela Biomass Energy Corp.  (IBEC)</t>
  </si>
  <si>
    <t>20 MW Rice-Husk Fired  Biomass PP</t>
  </si>
  <si>
    <t xml:space="preserve"> 21-April- 16 </t>
  </si>
  <si>
    <t>• Issuance of Pao: 19-Jan-16
• Issuance of FIT-COC: 21-Apr-16
• Renewal, Issuance of PAO-FIT: 13-Jan-2021</t>
  </si>
  <si>
    <t>B2015-10-010</t>
  </si>
  <si>
    <t>Installed: 20 MW 
Capacity for Export: 18 MW</t>
  </si>
  <si>
    <t>Victorias Milling Co.</t>
  </si>
  <si>
    <t>Victorias Biomass Power Plant</t>
  </si>
  <si>
    <t>Victorias City, Negros Occ.</t>
  </si>
  <si>
    <t>•Issuance of PAO-FIT: 22 Sep 2021</t>
  </si>
  <si>
    <t>B2015-10-011</t>
  </si>
  <si>
    <t>Installed: 34 MW 
Capacity for Export: 2.5 MW</t>
  </si>
  <si>
    <t>Green Innovations for Tomorrow Corporation (GIFTC)</t>
  </si>
  <si>
    <t>GIFTC 12 MW Bagasse-Fired Biomass Power Plant</t>
  </si>
  <si>
    <t xml:space="preserve">•Issuance of  PAO: 16 Jan 2017
•Issuance of  FIT-COC: 5-Jun-17 </t>
  </si>
  <si>
    <t>B2016-03-012</t>
  </si>
  <si>
    <t xml:space="preserve">Bicol Biomass Energy Corp. </t>
  </si>
  <si>
    <t>5.0 MW Biomass PP</t>
  </si>
  <si>
    <t>•Issuance of PAO: 27 Mar 17                               
•Issuance of COC-FIT: 19 Sept 17</t>
  </si>
  <si>
    <t>B2016-11-013</t>
  </si>
  <si>
    <t>Installed: 5 MW 
Capacity for Export: 4.40 MW</t>
  </si>
  <si>
    <t>Lamsan Power Corp.</t>
  </si>
  <si>
    <t>Sultan Kudarat BiomassPP</t>
  </si>
  <si>
    <t>Sultan Kudarat, Maguindanao</t>
  </si>
  <si>
    <t>•Issuance of FIT-COC: 16 April 2018</t>
  </si>
  <si>
    <t>B2017-03-014</t>
  </si>
  <si>
    <t>Installed: 15 MW 
Capacity for Export: 13.5 MW</t>
  </si>
  <si>
    <t>Aseagas Corp.</t>
  </si>
  <si>
    <t>8.80 MW Biomass PP</t>
  </si>
  <si>
    <t>•Issuance of FIT-COC: 25 Oct 2017
•Shutdown since 15 January 2018 as per letter dated 17 Jan 2018</t>
  </si>
  <si>
    <t>B2017-04-015</t>
  </si>
  <si>
    <t>Installed: 8.8 MW 
Capacity for Export: 2.21 MW</t>
  </si>
  <si>
    <t>Asian Carbon Neutral Power Corporation (ACNPC)</t>
  </si>
  <si>
    <t>ANCPC Biomass PP</t>
  </si>
  <si>
    <t>•Issuance of PAO-FIT: 27 Mar 2018-26 Sept 2018
•Extension of PAO-FIT: 27 Sept 2018 - 26 March 2019
•COC-FIT: 03 Dec 2019</t>
  </si>
  <si>
    <t>B2017-08-017b</t>
  </si>
  <si>
    <t>Installed: 2 MW 
Capacity for Export:
21 July 2017: 0. 5829 MW
06 Dec 2017: 1.70 MW</t>
  </si>
  <si>
    <t>21-July-2017
26-Mar-2019</t>
  </si>
  <si>
    <t>26-March-2019
20-July-2037</t>
  </si>
  <si>
    <t xml:space="preserve">Green Earth Enersource Corporation  </t>
  </si>
  <si>
    <t>3.33  MW Buluan Biomass Power Plant</t>
  </si>
  <si>
    <t>Buluan, Maguindanao</t>
  </si>
  <si>
    <t>•Issuance of PAO: 13 Dec 2017
•Renewal of PAO: 08 March 2018
•Issuance of COC-FIT: 08 Aug 2019</t>
  </si>
  <si>
    <t>B2017-10-018</t>
  </si>
  <si>
    <t>Installed: 3.5 MW 
Capacity for Export: 1.64 MW</t>
  </si>
  <si>
    <t>Central Azucarera Don Pedro, Inc. (CADPI)</t>
  </si>
  <si>
    <t>Batangas Co-Generation Power Plant</t>
  </si>
  <si>
    <t>Nasugbu, Batangas</t>
  </si>
  <si>
    <t>Issuance of FIT-COC: 04 Nov 2020</t>
  </si>
  <si>
    <t>B2018-03-020</t>
  </si>
  <si>
    <t>Installed: 31.875 MW 
Capacity for Export: 2 MW</t>
  </si>
  <si>
    <t>5.96 MW Biomass Power Plant</t>
  </si>
  <si>
    <t>Brgy. Dumadalig, Tantangan, South Cotabato</t>
  </si>
  <si>
    <t>•Issuance of FIT-COC: 03 Sept 2019</t>
  </si>
  <si>
    <t>B2018-11-021</t>
  </si>
  <si>
    <t>Installed: 5.96 MW 
Capacity for Export: 3.5 MW</t>
  </si>
  <si>
    <t>Central Azucarera de San Antonio (CASA)</t>
  </si>
  <si>
    <t>15 MW Biomass Cogen PP</t>
  </si>
  <si>
    <t>Barangay Cadilang, Passi City, Iloilo</t>
  </si>
  <si>
    <t>•Issuance of COC: 06-Dec-10
•Renewal of COC: 26-Nov-15
• With PAO-FIT: 02 Dec 2020</t>
  </si>
  <si>
    <t>B2018-11-022</t>
  </si>
  <si>
    <t>Installed: 15 MW 
Capacity for Export: 8 MW</t>
  </si>
  <si>
    <t>40-MW Biomass Power Plant Expansion Project</t>
  </si>
  <si>
    <t>With COC Application
(Commercial operations once NGCP's CNP Backbone Stage 3 Project is completed)</t>
  </si>
  <si>
    <t>B2019-08-024</t>
  </si>
  <si>
    <t>12.39 MW Biogas Power Plant Project (Phase 1&amp;2: 9.5MW)</t>
  </si>
  <si>
    <t>With COC Appplication</t>
  </si>
  <si>
    <t>Amended 
B2019-02-023b</t>
  </si>
  <si>
    <t>8 MW Biomass Cogeneration Plant</t>
  </si>
  <si>
    <t>With COC Application - Conversion to FIT</t>
  </si>
  <si>
    <t>B2019-12-026</t>
  </si>
  <si>
    <t>Cagayan Biomass Energy Corporation (CBEC)</t>
  </si>
  <si>
    <t>15 MW Burgos Biomass Power Plant</t>
  </si>
  <si>
    <t>Burgos, Isabela</t>
  </si>
  <si>
    <t>With Issued PA0: 15 June 2020
With PAO Extension: 18 Nov 2020</t>
  </si>
  <si>
    <t>B2019-10-025</t>
  </si>
  <si>
    <t>25 MW Biomass Cogeneration Plant Project</t>
  </si>
  <si>
    <t>B2019-12-027</t>
  </si>
  <si>
    <t>Amended
B2015-03-006b</t>
  </si>
  <si>
    <t>Installed: 20.580MW
Capacity for Export: 2 MW</t>
  </si>
  <si>
    <t>With Issued PAO-FIT: 28 July 2021</t>
  </si>
  <si>
    <t>B2019-12-029</t>
  </si>
  <si>
    <t>With Issued PAO-FIT: 23 June 2021</t>
  </si>
  <si>
    <t>B2020-08-030</t>
  </si>
  <si>
    <t>Installed: 6 MW 
Capacity for Export: 5.4 MW</t>
  </si>
  <si>
    <t>With COC Application
Commercial operations once NGCP's CNP Backbone Stage 3 Project is completed)</t>
  </si>
  <si>
    <t>B2020-08-031</t>
  </si>
  <si>
    <t>With Issued PAO: 11 August 2021</t>
  </si>
  <si>
    <t>B2020-08-033</t>
  </si>
  <si>
    <t>With COC Application</t>
  </si>
  <si>
    <t>b2020-08-034</t>
  </si>
  <si>
    <t>B2020-08-032</t>
  </si>
  <si>
    <t>TOTAL CAPACITY (MW) - BIOMASS</t>
  </si>
  <si>
    <t>Run-Of-River</t>
  </si>
  <si>
    <t xml:space="preserve">Hedcor Tudaya, Inc. </t>
  </si>
  <si>
    <t>Tudaya 2 HEPP</t>
  </si>
  <si>
    <t>Hydro</t>
  </si>
  <si>
    <t>•Issuance of Regular COC: 11-Apr-14
•Issuance of FIT-COC: 15-Jun-15
•Renewal of FIT COC: 05-Mar-19</t>
  </si>
  <si>
    <t>H2014-06-001</t>
  </si>
  <si>
    <t xml:space="preserve">Hedcor, Inc. </t>
  </si>
  <si>
    <t>Irisan1 HEPP</t>
  </si>
  <si>
    <t>•Issuance of COC: 30-Apr-12
•Issuance of FIT-COC: 24-Jan-16
•Renewal of FIT-COC: 19-Apr-17</t>
  </si>
  <si>
    <t>H2014-06-002</t>
  </si>
  <si>
    <t>Smith Bell Mini-Hydro Corp.</t>
  </si>
  <si>
    <t>Communal-Uddiawan MHEPP</t>
  </si>
  <si>
    <t>•Issuance of COC: 15-Dec-2010
•Issuance of FIT-COC: 15 June 2015 
•Renewal of FIT COC: 01 Dec 2015
•Renewal, Issuance of PAO-FIT: 2-Dec-2020</t>
  </si>
  <si>
    <t>H2014-07-003</t>
  </si>
  <si>
    <t>Hedcor Sabangan, Inc.</t>
  </si>
  <si>
    <t>Sabangan HEPP</t>
  </si>
  <si>
    <t>Brgy. Namatec, Sabangan, Mountain Province</t>
  </si>
  <si>
    <t>•Issuance of FIT-COC: 29-Sept-15
•Renewal, Issuance of PAO-FIT: 17-Feb-2020
•PAO-FIT 1st Extension: 7-Sep-2020
•PAO-FIT 2nd  Extension: 15-Sep-2021</t>
  </si>
  <si>
    <t>H2015-06-004</t>
  </si>
  <si>
    <t>Sunwest Water and Electric Co. 2, Inc.</t>
  </si>
  <si>
    <t>Villasiga Hydroelectic Power Plant</t>
  </si>
  <si>
    <t>Brgy. Igsoro, Bugasong, Antique</t>
  </si>
  <si>
    <t>•Issuance of PAO: 07 Nov 2016
•Issuance of PAO-FIT: 27 March 2017 
•Issuance of COC-FIT: 26 Jun 2019</t>
  </si>
  <si>
    <t>H2016-07-005</t>
  </si>
  <si>
    <t xml:space="preserve">SN Aboitiz Power-Magat, Inc. </t>
  </si>
  <si>
    <t>Maris Main Canal 1 HEPP</t>
  </si>
  <si>
    <t>Brgy. Ambatali, Ramon, Isabela</t>
  </si>
  <si>
    <t>•Issuance of FIT-COC: 04-Apr-18</t>
  </si>
  <si>
    <t>H2018-01-006</t>
  </si>
  <si>
    <t xml:space="preserve">Euro Hydro Power (Asia) Holdings, Inc. </t>
  </si>
  <si>
    <t>3.188 MW New Bataan HEPP</t>
  </si>
  <si>
    <t>Brgy. Andap, New Bataan, Compostela Valley</t>
  </si>
  <si>
    <t>•Issuance of COC: 18 May 2018
•For conversion to COC-FIT
• Issued PAO-FIT: 16-Dec-2020</t>
  </si>
  <si>
    <t>H2018-09-007</t>
  </si>
  <si>
    <t>Manolo Fortich I HEPP</t>
  </si>
  <si>
    <t>Brgy. Santiago, Manolo Fortich, Bukidnon</t>
  </si>
  <si>
    <t>•Issuance of FIT-COC: 18 June 2019</t>
  </si>
  <si>
    <t>H2018-09-008</t>
  </si>
  <si>
    <t>Manolo Fortich II HEPP</t>
  </si>
  <si>
    <t>Brgy. Dalirig, Manolo Fortich, Bukidnon</t>
  </si>
  <si>
    <t>•Issuance of COC: 18 June 2019
•Converted to COC-FIT on 5 May 2021</t>
  </si>
  <si>
    <t>H2019-01-011</t>
  </si>
  <si>
    <t>2.32 MW HEPP</t>
  </si>
  <si>
    <t>•Issuance of PAO: 14 Oct 2019
•For conversion to COC-FIT
•PAO 1st Extension: 15-June-2020
•Issuance of PAO-FIT: 06-Oct-2020
•Issuance of COC-FIT: 07-Jul-2021</t>
  </si>
  <si>
    <t>H2019-10-012</t>
  </si>
  <si>
    <t>Rated: 2.32 MW
FIT Capacity: 2.19 MW</t>
  </si>
  <si>
    <t>Vivant Sta. Clara Northen Renewables  Generation Corporation (Luzon Hydro Corporation as Operator)</t>
  </si>
  <si>
    <t>Bakun AC HEPP</t>
  </si>
  <si>
    <t>Amilongan, Alilem, Ilocos Sur</t>
  </si>
  <si>
    <t xml:space="preserve"> •From Regular COC Converted to COC-FIT (29 Sep 2020)</t>
  </si>
  <si>
    <t>Special FIT
(ERC Case No. 2014-185 RC)</t>
  </si>
  <si>
    <t>20.40 MW La Trinidad Hydroelectric Power Plant</t>
  </si>
  <si>
    <t>Brgy. Bineng, La Trinidad, Benguet</t>
  </si>
  <si>
    <t>•Issuance of PAO-FIT: 06 Oct 2020
•Issuance of 1st Extension of PAO-FIT: 03 Nov 2021</t>
  </si>
  <si>
    <t>H2019-11-013</t>
  </si>
  <si>
    <t>Philippine Power and Development Company (PHILPODECO)</t>
  </si>
  <si>
    <t>•Issuance of PAO-FIT: 02 Dec 2020</t>
  </si>
  <si>
    <t>H2018-11-009</t>
  </si>
  <si>
    <t>Calauan, Laguna</t>
  </si>
  <si>
    <t>H2019-01-0010</t>
  </si>
  <si>
    <t>H2020-05-014</t>
  </si>
  <si>
    <t>1.200MW Loboc 2 HEPP</t>
  </si>
  <si>
    <t>Brgy. Gotozon, Loboc, Bohol</t>
  </si>
  <si>
    <t>•Issuance of PAO-FIT: 16 Sep 2021</t>
  </si>
  <si>
    <t>H2020-08-015</t>
  </si>
  <si>
    <t>TOTAL CAPACITY (MW) - HYDRO</t>
  </si>
  <si>
    <t>Remarks:</t>
  </si>
  <si>
    <t>Issuance of  PAO-FIT: 06 October 2021</t>
  </si>
  <si>
    <t>ROR</t>
  </si>
  <si>
    <t>With Issued COC-FIT: 8 May 2022</t>
  </si>
  <si>
    <t>10-Mar-22 (PAO FIT)</t>
  </si>
  <si>
    <t>FIT III</t>
  </si>
  <si>
    <t>Operational</t>
  </si>
  <si>
    <t>HedCor Bukidnon, Inc. I</t>
  </si>
  <si>
    <t>Hedcor Bukidnon, Inc. II</t>
  </si>
  <si>
    <t>Total w/ COC/PAO FIT</t>
  </si>
  <si>
    <t>Labayat 1 Hydroelectric Power Plant</t>
  </si>
  <si>
    <t>3.456 MW Upper Labayat Hydroelectric Power Plant (ULHEPP)</t>
  </si>
  <si>
    <t>San Carlos Sun Power, Inc. (SACASUN)</t>
  </si>
  <si>
    <t>58.981MWp SACASUN Solar Power Plant</t>
  </si>
  <si>
    <t>Ecozone Blvd., San Carlos Ecozone, Brgy. Punao, San Carlos City, Negros Occidental</t>
  </si>
  <si>
    <t>FIT IV</t>
  </si>
  <si>
    <t>ROR FIT III - Reso. No. 14, Series of 2023</t>
  </si>
  <si>
    <t>No COC yet</t>
  </si>
  <si>
    <t>SOLAR Total</t>
  </si>
  <si>
    <t>WIND Total</t>
  </si>
  <si>
    <t>BIOMASS Total</t>
  </si>
  <si>
    <t>HYDRO Total</t>
  </si>
  <si>
    <t xml:space="preserve"> Subscribed FIT Capacity as per COE (MW)</t>
  </si>
  <si>
    <t xml:space="preserve"> Installed Capacity as per COC (MW)</t>
  </si>
  <si>
    <t>Count of Plants w/ COC</t>
  </si>
  <si>
    <t>Count of Plants w/ COE</t>
  </si>
  <si>
    <t>0</t>
  </si>
  <si>
    <t>No issuance of COC / PAO Yet</t>
  </si>
  <si>
    <t>inquire to PAOL</t>
  </si>
  <si>
    <t>incomplete details, but with billings starting 2023</t>
  </si>
  <si>
    <t>Column1</t>
  </si>
  <si>
    <t>x</t>
  </si>
  <si>
    <t>10 years term in FIT-COC? And no FIT rate</t>
  </si>
  <si>
    <t>closed and no operations na ba to?</t>
  </si>
  <si>
    <t>Luzon Total</t>
  </si>
  <si>
    <t>Visayas Total</t>
  </si>
  <si>
    <t>Mindanao Total</t>
  </si>
  <si>
    <t xml:space="preserve">20.580MW Biomass Co-Generation Power Plant </t>
  </si>
  <si>
    <t>17 October 2019 - 16 October 2039</t>
  </si>
  <si>
    <t>No SACASUN</t>
  </si>
  <si>
    <t>Status</t>
  </si>
  <si>
    <t>Active</t>
  </si>
  <si>
    <t>Citicore Renewable Energy Corporation (CREC) [formerly Enfinity Phils. Renewable Resources, Inc.]</t>
  </si>
  <si>
    <t>Citicore Solar South Cotabato, Inc. (CSSCI) [formerly nv Vogt Philippines Solar Energy One, Inc.]</t>
  </si>
  <si>
    <t>Biotech Farms, Inc. (BFI)</t>
  </si>
  <si>
    <t>15 MW Cogeneration Power Plant</t>
  </si>
  <si>
    <t>should be 6.19 FIT rate</t>
  </si>
  <si>
    <t>Shutdown</t>
  </si>
  <si>
    <t xml:space="preserve">28.580MW Biomass Co-Generation Power Plant </t>
  </si>
  <si>
    <t>Luzon Hydro Corporation (LHC) [Under IPPA with Northern Renewables Generation Corporation (formerly Vivant-Sta. Clara Northern Renewables Generation Corp.)]</t>
  </si>
  <si>
    <t>74.80MW Bakun Hydroelectric Power Plant</t>
  </si>
  <si>
    <t>Brgy. Amilongan, Alilem, Ilocos Sur</t>
  </si>
  <si>
    <t>Labayat 1 Hydroelectric Power Plant (L1HC)</t>
  </si>
  <si>
    <t>Brgy. Maragondon, Real, Quezon</t>
  </si>
  <si>
    <t>•Issuance of PAO-FIT: 15 Nov 2022</t>
  </si>
  <si>
    <t>11/15/2022 (PAO-FIT)</t>
  </si>
  <si>
    <t>Marbel 1 Hydroelectric Power Plant</t>
  </si>
  <si>
    <t>Sitio Guadalupe, Purok Mabuhay II, Brgy. Carpenter Hill, Koronadal City, South Cotabato</t>
  </si>
  <si>
    <t>•Issuance of PAO-FIT: 03 July 2023</t>
  </si>
  <si>
    <t>07/03/2023 (PAO-FIT)</t>
  </si>
  <si>
    <t>Mindoro Grid Corporation</t>
  </si>
  <si>
    <t>1.350 MW Butao HEPP</t>
  </si>
  <si>
    <t>Brgy. Butao San Manuel, Pangasinan</t>
  </si>
  <si>
    <t>•Issuance of PAO-FIT: 18 October 2023</t>
  </si>
  <si>
    <t>10/18/2023 (PAO-FIT)</t>
  </si>
  <si>
    <t>Bicol Hydropower Corporation (BHC)</t>
  </si>
  <si>
    <t>Inarihan Hydroelectric Power Plant</t>
  </si>
  <si>
    <t>Brgy. Panicuason, Naga City, Camarines Sur</t>
  </si>
  <si>
    <t>Tibag Hydropower Corporation (THC)</t>
  </si>
  <si>
    <t>5.0 MW Tibag Hydroelectric Power Project (HPP)</t>
  </si>
  <si>
    <t>Mauban, Quezon</t>
  </si>
  <si>
    <t>10/26/2023 (PAO-FIT)</t>
  </si>
  <si>
    <t>Benguet Electric Cooperative, Inc.</t>
  </si>
  <si>
    <t>Taft Hydroenergy Corporation</t>
  </si>
  <si>
    <t>with COE only</t>
  </si>
  <si>
    <t>pending applications</t>
  </si>
  <si>
    <t>non-operational plants</t>
  </si>
  <si>
    <t>with COE, no COC application</t>
  </si>
  <si>
    <t>Breakdown:</t>
  </si>
  <si>
    <t>active with FIT-COC/PAO-FIT</t>
  </si>
  <si>
    <t>GRAND TOTAL</t>
  </si>
  <si>
    <t>(Multiple Items)</t>
  </si>
  <si>
    <t>FIT III - degressed</t>
  </si>
  <si>
    <t>Sitio Hulo Brgy. Pasong Bangkal, San Ildefonso, Bulacan</t>
  </si>
  <si>
    <t>15.00MWp Bulacan Solar Power Plant</t>
  </si>
  <si>
    <t>•Issuance of COC: 29-Apr-13 (U1-3)
•Issuance of COC-FIT: 15-Jun-15 (U1-3)
•Issuance of COC: 19-Jul-17 (U4-5)
•Issuance of COC-FIT: 25-Oct-17 (U4-5)
•Renewal of COC-FIT15-Mar-18 (U1-5)
•Granted Separated PAOs: 19 August 2024</t>
  </si>
  <si>
    <t>•Issuance of FIT-COC: 29-Sept-15
•Renewal, Issuance of PAO-FIT 7-Sep-2020
•PAO-FIT 1st Extension:15-Sep-2021
•PAO-FIT 2nd Extension:06-Sep-2024</t>
  </si>
  <si>
    <t>•Issuance of PAO-FIT: 06 Oct 2020
•Issuance of 1st Extension of PAO-FIT: 03 Nov 2021
•Issuance of 2nd Extension of PAO-FIT: 14 Nov 2022
•Issuance of 3rd Extension of PAO-FIT: 16 September 2024</t>
  </si>
  <si>
    <t>•Issuance of COC: 08-Sept-14
•Issuance of FIT- COC:09-Feb-15
•Renewal of FIT-COC: 28-May-19
•Grant of PAO-FIT: 05 Sep 2024</t>
  </si>
  <si>
    <t>11-Oct-24 (PAO)</t>
  </si>
  <si>
    <t>BEHMC Lower Labayat Hydropower Corporation</t>
  </si>
  <si>
    <t>Labayat River (Lower Cascade) Hydroelectric Power Project</t>
  </si>
  <si>
    <t>Real, Quezon</t>
  </si>
  <si>
    <t>•Issuance of COC: 14-Sept-15
•Issuance of FIT-COC: 01-Dec-15
•Renewal, Issued to PAO-FIT: 8-Sep-2020
•Amendment to PAO-FIT: 22-Oct-2020
•1st Extension of PAO-FIT: 28-Oct-2021
• Issuance of PAO on 04 November 2024</t>
  </si>
  <si>
    <t>Pililla Wind Power Corporation
(Formerly Alternergy Wind One Corporation (AWOC)</t>
  </si>
  <si>
    <t>•Issuance of FIT-COC: 06 Apr 2015
•Renewal, Issuance of PAO-FIT: 29-Jun-2020
•PAO-FIT 1st Extension: 29-Sep-2020
•PAO-FIT 2nd Extension: 28-Oct-2021
•PAO-FIT 3rd Extension: 14-Nov-2022
• Issuance of COC on 01 October 2024</t>
  </si>
  <si>
    <t>•Issuance of FIT-COC: 29 Feb 2016
•Renewal, Issuance of PAO-FIT: 29-Jun-2020
•PAO-FIT 1st Extension: 29-Sep-2020
•PAO-FIT 2nd Extension: 28-Oct-2021
•PAO-FIT 3rd Extension: 14-Nov-2022
• Issuance of COC on 01 October 2024</t>
  </si>
  <si>
    <t>•Issuance of PAO: 14 Oct 2019
•For conversion to COC-FIT
•PAO 1st Extension: 15-June-2020
•Issuance of PAO-FIT: 06-Oct-2020
•Issuance of COC-FIT: 07-Jul-2021
• With issued PAO on 30 October 2024</t>
  </si>
  <si>
    <t>Matuno</t>
  </si>
  <si>
    <t>Matuno River Development Corporation</t>
  </si>
  <si>
    <t>Bambang, Nueva Vizcaya</t>
  </si>
  <si>
    <t>•Issuance of PAO-FIT: 16 Sep 2021
•With 2nd NISE on 27 December 2024</t>
  </si>
  <si>
    <t>Total from DOE report</t>
  </si>
  <si>
    <t>Total from suppary tab</t>
  </si>
  <si>
    <t>% of Subscribed FIT Capacity as per COE (MW)</t>
  </si>
  <si>
    <t xml:space="preserve">% of Installed Capacity as per COC (MW) </t>
  </si>
  <si>
    <t>No. of Plants w/ COE</t>
  </si>
  <si>
    <t xml:space="preserve"> Subscribed FIT Capacity with COC (MW)</t>
  </si>
  <si>
    <t>Expired PAO; Ongoing renewal of PAO application</t>
  </si>
  <si>
    <t>•Issuance of FIT-COC: 22-Jun-15
•Issuance of PAO-FIT: 06-Oct-21
• With PAO valid until 31 May 2024; With ongoing PAO Application: NISE issued on 04 April 2024</t>
  </si>
  <si>
    <r>
      <t xml:space="preserve">•Issuance of  COC: 09-Feb-09
•Renewal of COC: 09-Jun-14
• Issuance of FIT-COC: 15-Jun-15
• Renewal, PAO-FITL: 09-Feb-19
• Conversion of PAO-FIT to COC: 18-Jul-19
</t>
    </r>
    <r>
      <rPr>
        <sz val="11"/>
        <color rgb="FF0000FF"/>
        <rFont val="Calibri"/>
        <family val="2"/>
        <scheme val="minor"/>
      </rPr>
      <t>• With PAO valid until 08 February 2024; With ongoing PAO Application: NISE issued on 21 May 2024</t>
    </r>
  </si>
  <si>
    <t>Guimaras Wind Corporation (GWC)</t>
  </si>
  <si>
    <t>•Issuance of FIT-COC: 04 Nov 2020
• ends its operations on February 28, 2024</t>
  </si>
  <si>
    <t xml:space="preserve">•Issuance of FIT-COC: 03 Sept 2019
</t>
  </si>
  <si>
    <t>Citicore Solar Bulacan, Inc.</t>
  </si>
  <si>
    <t>•Issuance of PAO: 13 Dec 2017
•Renewal of PAO: 08 March 2018
•Issuance of COC-FIT: 08 Aug 2019
•With PAO valid until 12 December 2024; With ongoing PAO Application</t>
  </si>
  <si>
    <t>No generation since June 26, 2019</t>
  </si>
  <si>
    <t>Expired COC/PAO; ongoing renewal</t>
  </si>
  <si>
    <t>Hawaiin-Philippine Company</t>
  </si>
  <si>
    <t>MOS</t>
  </si>
  <si>
    <t>based on amended COE-FIT</t>
  </si>
  <si>
    <t>Total</t>
  </si>
  <si>
    <t>TransCo</t>
  </si>
  <si>
    <t>Variance</t>
  </si>
  <si>
    <t>Non operational / Shutdown Plants</t>
  </si>
  <si>
    <t>RE plant</t>
  </si>
  <si>
    <t>MOS grand total includes active and expired PAO/COC with ongoing renewal</t>
  </si>
  <si>
    <t>based on COE-FIT report by DOE</t>
  </si>
  <si>
    <t>with Active PAO/COC</t>
  </si>
  <si>
    <t>• With PAO Application filed on 07 November 2024 (Processing is on pause since the facility is not operational)</t>
  </si>
  <si>
    <t>•Shutdown since 15 January 2018 as per letter dated 17 Jan 2018</t>
  </si>
  <si>
    <t>with Active COC/PAO only and ongoing renewal of PAO</t>
  </si>
  <si>
    <t>•Issuance of PAO: 02 Mar 2015
•Issuance of COC: 01 Jun 2015
•Issuance of FIT-COC: 01-Dec-15
•Renewal, Issuance of FIT-COC: 18-Feb-2020
• With issued COC on 31 January 2025</t>
  </si>
  <si>
    <t>1/31/2025 (PAO)</t>
  </si>
  <si>
    <t>Alamada Hydroelectric Power Plant - Unit 1</t>
  </si>
  <si>
    <t>Man-asok Hydroelectric Power Plant</t>
  </si>
  <si>
    <t>Brgy. Barangiran, Alamada, North Cotabato</t>
  </si>
  <si>
    <t>Brgy. Sebang, Buguias, Benguet</t>
  </si>
  <si>
    <r>
      <t xml:space="preserve">**excluding ongoing COC/PAO application for </t>
    </r>
    <r>
      <rPr>
        <b/>
        <i/>
        <sz val="11"/>
        <color rgb="FF0070C0"/>
        <rFont val="Calibri"/>
        <family val="2"/>
        <scheme val="minor"/>
      </rPr>
      <t xml:space="preserve">3 </t>
    </r>
    <r>
      <rPr>
        <b/>
        <i/>
        <sz val="11"/>
        <color theme="1"/>
        <rFont val="Calibri"/>
        <family val="2"/>
        <scheme val="minor"/>
      </rPr>
      <t>biomass plants</t>
    </r>
  </si>
  <si>
    <t>Brgy. Sibulan, Sta. Cruz, Davao del Sur</t>
  </si>
  <si>
    <t>•Issuance of FIT-COC: 12 Jul 2016
•Renewal, Issuance of PAO-FIT: 17-Mar-2021
•1st Extension of PAO-FIT: 19 Apr-2022
• Grant of PAO on 19 March 2024
•  1st Extension of PAO on 21 March 2025</t>
  </si>
  <si>
    <t>Liangan Power Corporation</t>
  </si>
  <si>
    <t>Liangan</t>
  </si>
  <si>
    <t>Bacolod, Lanao del Norte</t>
  </si>
  <si>
    <t>•Issuance of COC: 21 April 2025</t>
  </si>
  <si>
    <t xml:space="preserve"> COC: 21 April 2025</t>
  </si>
  <si>
    <t>16-Apr-25 (PAO)</t>
  </si>
  <si>
    <t>•Issuance of Regular COC: 12-Nov-12
•Issuance of FIT-COC: 02-Feb-16
•Renewal, PAO: 13 -Dec-17
•Extension, PAO: 04-Apr-18
•Extension, PAO-FIT: 20-June-18
• Extension of PAO Deferred: With Issue on 60%-40% Filipino-Foreign Ownership; issue was reverted to DOE for confirmation
• With Issued PAO, PAO validity depends on GFII's Compliance with the Commission's Directive</t>
  </si>
  <si>
    <t xml:space="preserve">Sum of Installed Capacity as per COE (MW) </t>
  </si>
  <si>
    <t>Ibulao</t>
  </si>
  <si>
    <t>Hydrocore Corporation</t>
  </si>
  <si>
    <t>Lagawe, Ifugao</t>
  </si>
  <si>
    <t>•Issuance of COC: 15-Dec-2010
•Issuance of FIT-COC: 15 June 2015 
•Renewal of FIT COC: 01 Dec 2015
•Renewal, Issuance of PAO-FIT: 2-Dec-2020
•1st Extension of PAO-FIT: 28-Jan-2022
•Grant of PAO on 21 April 2025</t>
  </si>
  <si>
    <t>1/10/2025 (PAO)</t>
  </si>
  <si>
    <t>•Issuance of COC: 06-Dec-10
•Renewal of COC: 26-Nov-15
• With PAO-FIT: 02 Dec 2020
• With 2nd Extension of PAO-FIT: 11-Mar-2022
•  With issued PAO, PAO Validity Depends on CASA's Compliance with the Commission's Directive</t>
  </si>
  <si>
    <t>Active with conditions</t>
  </si>
  <si>
    <t>27 Nov 2024 (PAO)</t>
  </si>
  <si>
    <t>21 Oct 2024 (PAO)</t>
  </si>
  <si>
    <t>30 Oct 2024 (PAO)</t>
  </si>
  <si>
    <t>•Issuance of PAO: 07 Nov 2016
•Issuance of PAO-FIT: 27 March 2017 
•Issuance of COC-FIT: 26 Jun 2019
•Issuance of PAO-FIT: 12 April 2022
•Isuance of PAO on 15 July 2025</t>
  </si>
  <si>
    <t>Column2</t>
  </si>
  <si>
    <t>Column3</t>
  </si>
  <si>
    <t>not included</t>
  </si>
  <si>
    <t>Lamsan Biomass Power Plant Project</t>
  </si>
  <si>
    <t>GEEC  MW Biomass Cogeneration System</t>
  </si>
  <si>
    <t>Payatas Landfill Methane Recovery and Power Gen. Facility</t>
  </si>
  <si>
    <t>TransCo Plant Name</t>
  </si>
  <si>
    <t>SJCi Power Rice Husk-Fired Biomass Power Plant Project Phase II</t>
  </si>
  <si>
    <t>ACNC Biogas Power Plant Project</t>
  </si>
  <si>
    <t>BFI Biogas Power Plant Project</t>
  </si>
  <si>
    <t>Rice Husk-Fired Biomass Power Plant</t>
  </si>
  <si>
    <t>CASA Cogeneration Power Plant</t>
  </si>
  <si>
    <t>28.58 Biomass Power Plant</t>
  </si>
  <si>
    <t>12.39 MW Biogas Power Plant Project (Phase 1&amp;2:9.5MW)</t>
  </si>
  <si>
    <t>48.5 MW Bagasse Fired CoGeneration Power Plant</t>
  </si>
  <si>
    <t>VMC Bagasse-Fired Biomass Power Plant Expn</t>
  </si>
  <si>
    <t>Bangui Bay Wind Power Project (Phase 3)</t>
  </si>
  <si>
    <t>Burgos Wind Power Project (Phase 1 &amp; 2)</t>
  </si>
  <si>
    <t>Caparispisan Wind Energy Project</t>
  </si>
  <si>
    <t>San Lorenzo Wind Power Project</t>
  </si>
  <si>
    <t>Nabas Wind Energy Project</t>
  </si>
  <si>
    <t>Pillilla Wind Power Project</t>
  </si>
  <si>
    <t>Bangui Wind Power Project (Phase 1 &amp; 2)</t>
  </si>
  <si>
    <t>Palauig Solar PP</t>
  </si>
  <si>
    <t>Pampanga Solar Power Project</t>
  </si>
  <si>
    <t>Burgos Solar Power Project-Phase 1</t>
  </si>
  <si>
    <t>SM North Edsa Solar Power Project</t>
  </si>
  <si>
    <t>San Carlos Solar PV Power Project-Phase A</t>
  </si>
  <si>
    <t>San Carlos Solar PV Power Project Phase B</t>
  </si>
  <si>
    <t>Pampanga Solar Power Project (Phase 2)</t>
  </si>
  <si>
    <t>Burgos Solar Power Project (Phase 2)</t>
  </si>
  <si>
    <t>San Carlos Solar PV Power Project Phase I-C and I D</t>
  </si>
  <si>
    <t>Lian  Solar Power Project</t>
  </si>
  <si>
    <t>Clark Solar Power Poject</t>
  </si>
  <si>
    <t>Kibawe Solar Power Project</t>
  </si>
  <si>
    <t>Ormoc Solar Power Project (Leyte Solar Power Project)</t>
  </si>
  <si>
    <t>Centrala Solar Power Project</t>
  </si>
  <si>
    <t>58.98-MWP SACASUN Solar Power Project</t>
  </si>
  <si>
    <t>Tudaya 2 Hydroelectric Power Project *</t>
  </si>
  <si>
    <t>Communal-Uddiawan Hydroelectric Power Plant</t>
  </si>
  <si>
    <t xml:space="preserve">Sabangan Hydroelectric Power Project </t>
  </si>
  <si>
    <t>Irisan 1 Hydroelectric Power Plant</t>
  </si>
  <si>
    <t>Villasiga Hydroelectric Power Project</t>
  </si>
  <si>
    <t>Maris Main Canal 1 HPP</t>
  </si>
  <si>
    <t>Manolo Fortich 1 HEP</t>
  </si>
  <si>
    <t>Majayjay HEP</t>
  </si>
  <si>
    <t>New Bataan Hydroelectic Power Plant</t>
  </si>
  <si>
    <t>Balugbog  Hydroelectric Power Plant</t>
  </si>
  <si>
    <t>Palakpakin Hydroelectric Power Plant</t>
  </si>
  <si>
    <t>Manolo Fortich 2 HEP</t>
  </si>
  <si>
    <t>La Trinidad HEP</t>
  </si>
  <si>
    <t>Bakun Plant</t>
  </si>
  <si>
    <t>Calibato HEP</t>
  </si>
  <si>
    <t>Labayat River (Upper Cascade)</t>
  </si>
  <si>
    <t>Marbel 1</t>
  </si>
  <si>
    <t>Butao Irrigation Drop</t>
  </si>
  <si>
    <t>Inarihan</t>
  </si>
  <si>
    <t>Tibag</t>
  </si>
  <si>
    <t>Man-asok</t>
  </si>
  <si>
    <t>Alamada</t>
  </si>
  <si>
    <t>Labayat River-lower Cascade</t>
  </si>
  <si>
    <t>Siguil Hydro Power Corporation</t>
  </si>
  <si>
    <t>Siguil</t>
  </si>
  <si>
    <t>6MW Biomass Power Plant South Cotabato</t>
  </si>
  <si>
    <t>Biomass Power Plant Nueva Ecija</t>
  </si>
  <si>
    <t>Terminated</t>
  </si>
  <si>
    <t>•Issuance of COC:14-Jul-16
•Issuance of FIT-COC: 08-Dec-16
•Issuance of PAO-FIT: 16-Feb-22
•1st Extension of PAO-FIT: 17-Oct-22
•2nd Extension of PAO-FIT: 22-Jul-24
•Issued PAO on 01 August 2025</t>
  </si>
  <si>
    <t>•Issuance of PAO: 24 October 2024</t>
  </si>
  <si>
    <r>
      <t>*excluding</t>
    </r>
    <r>
      <rPr>
        <b/>
        <i/>
        <sz val="11"/>
        <color rgb="FF0070C0"/>
        <rFont val="Calibri"/>
        <family val="2"/>
        <scheme val="minor"/>
      </rPr>
      <t xml:space="preserve"> 3</t>
    </r>
    <r>
      <rPr>
        <b/>
        <i/>
        <sz val="11"/>
        <color theme="1"/>
        <rFont val="Calibri"/>
        <family val="2"/>
        <scheme val="minor"/>
      </rPr>
      <t xml:space="preserve"> non-operational biomass plants and </t>
    </r>
    <r>
      <rPr>
        <b/>
        <i/>
        <sz val="11"/>
        <color rgb="FF0070C0"/>
        <rFont val="Calibri"/>
        <family val="2"/>
        <scheme val="minor"/>
      </rPr>
      <t>1</t>
    </r>
    <r>
      <rPr>
        <b/>
        <i/>
        <sz val="11"/>
        <color theme="1"/>
        <rFont val="Calibri"/>
        <family val="2"/>
        <scheme val="minor"/>
      </rPr>
      <t xml:space="preserve"> terminated wind plant</t>
    </r>
  </si>
  <si>
    <t>Converted to Non-FIT</t>
  </si>
  <si>
    <t xml:space="preserve">No. </t>
  </si>
  <si>
    <t>GEA</t>
  </si>
  <si>
    <t>Expected COD</t>
  </si>
  <si>
    <t>10-MW Biomass Cogeneration Plant</t>
  </si>
  <si>
    <t>Cotabato Sugar Central Company, Inc.</t>
  </si>
  <si>
    <t>GEA1</t>
  </si>
  <si>
    <t>Cotabato</t>
  </si>
  <si>
    <t>Kapangan Hydroelectric Power Project</t>
  </si>
  <si>
    <t>Cordillera Hydroelectric Power Corporation</t>
  </si>
  <si>
    <t>Benguet</t>
  </si>
  <si>
    <t>Sablan 1 Hydroelectric Power Project</t>
  </si>
  <si>
    <t>Malitbog Hydroelectric Power Project</t>
  </si>
  <si>
    <t>Philnewriver Power Corporation</t>
  </si>
  <si>
    <t>Bukidnon</t>
  </si>
  <si>
    <t>Silo-O Hydroelectric Power Project</t>
  </si>
  <si>
    <t>Mat-I 1 Hydroelectric Power Project</t>
  </si>
  <si>
    <t>Philnew Hydro Power Corporation</t>
  </si>
  <si>
    <t>Surigao del Norte</t>
  </si>
  <si>
    <t>Clarin Hydroelectric Power Project</t>
  </si>
  <si>
    <t>Misamis Occidental</t>
  </si>
  <si>
    <t>PAVI Green Naga Solar Power Plant Project</t>
  </si>
  <si>
    <t>PAVI Green Renewable Energy, Inc.</t>
  </si>
  <si>
    <t>Camarines Sur</t>
  </si>
  <si>
    <t>Talugtug Solar Power Project</t>
  </si>
  <si>
    <t>Greenergy Solutions Inc.</t>
  </si>
  <si>
    <t>Concepcion Tarlac 2 Solar Power Project</t>
  </si>
  <si>
    <t>Tarlac</t>
  </si>
  <si>
    <t>Santa Rosa Nueva Ecija 2 Solar Power Project</t>
  </si>
  <si>
    <t>Solar Philippines Nueva Ecija Corporation</t>
  </si>
  <si>
    <t>Tayabas Solar Power Project</t>
  </si>
  <si>
    <t>Quezon</t>
  </si>
  <si>
    <t>General Santos Solar Power Project</t>
  </si>
  <si>
    <t>Kananga-Ormoc Solar Power Project</t>
  </si>
  <si>
    <t>Solar Philippines Visayas Corporation</t>
  </si>
  <si>
    <t>Leyte</t>
  </si>
  <si>
    <t>Caparispisan II Wind Power Project</t>
  </si>
  <si>
    <t>Amihan Renewable Energy Corp.</t>
  </si>
  <si>
    <t> Ilocos Norte</t>
  </si>
  <si>
    <t>Calatagan Wind Power Project</t>
  </si>
  <si>
    <t>Balaoi and Caunayan Wind Power Project</t>
  </si>
  <si>
    <t>Bayog Wind Power Corp.</t>
  </si>
  <si>
    <t>Kalayaan 2 Wind Power Project</t>
  </si>
  <si>
    <t>CleanTech Global Renewables, Inc.</t>
  </si>
  <si>
    <t>Laguna</t>
  </si>
  <si>
    <t>Nabas 2 Wind Power Project</t>
  </si>
  <si>
    <t>Aklan</t>
  </si>
  <si>
    <t>Bongabon Solar Power Project</t>
  </si>
  <si>
    <t>Nuevasol Energy Corp.</t>
  </si>
  <si>
    <t>GEA2</t>
  </si>
  <si>
    <t>Ground Mounted Solar</t>
  </si>
  <si>
    <t>Gamu Solar Power Project</t>
  </si>
  <si>
    <t>Megasol Energy I Inc.</t>
  </si>
  <si>
    <t>Isabela</t>
  </si>
  <si>
    <t>Dalayap Solar Power Project</t>
  </si>
  <si>
    <t>Citicore Solar Tarlac 2, Inc.</t>
  </si>
  <si>
    <t>Armenia Solar Power Project</t>
  </si>
  <si>
    <t>Citicore Solar Tarlac 1, Inc.</t>
  </si>
  <si>
    <t>Tuy 4 Batangas Solar Power Project</t>
  </si>
  <si>
    <t>Greencore Power Solution 2, Inc.</t>
  </si>
  <si>
    <t xml:space="preserve">Bolbok 2 Solar Power Project </t>
  </si>
  <si>
    <t>Greencore Power Solution 2,</t>
  </si>
  <si>
    <t>Pampanga</t>
  </si>
  <si>
    <t>Arayat 3A Solar Power Project</t>
  </si>
  <si>
    <t>Citicore Solar Pampanga 1, Inc.</t>
  </si>
  <si>
    <t>Pagbilao 1 Solar Power Project</t>
  </si>
  <si>
    <t>Citicore Solar Quezon, Inc.</t>
  </si>
  <si>
    <t>Pagbilao</t>
  </si>
  <si>
    <t>Pagbilao 2 Solar Power Project</t>
  </si>
  <si>
    <t>Citicore Solar Quezon. Inc.</t>
  </si>
  <si>
    <t>Sta. Barbara 1 Solar Power Project</t>
  </si>
  <si>
    <t>Citicore Solar Pangasinan, Inc.</t>
  </si>
  <si>
    <t>Pangasinan</t>
  </si>
  <si>
    <t>San Manuel 1 Solar Power Project</t>
  </si>
  <si>
    <t>Citicore Solar Pangasinan 2, Inc.</t>
  </si>
  <si>
    <t>Warehouse No. B4 Geomax Compound Solar PV System</t>
  </si>
  <si>
    <t>Phinma Solar Energy Corporation</t>
  </si>
  <si>
    <t>Roof Mounted Solar</t>
  </si>
  <si>
    <t>Metro Manila</t>
  </si>
  <si>
    <t>Warehouse #3 C TEKNIK Compound Solar PV System</t>
  </si>
  <si>
    <t>Warehouse #5 C Teknik Compound Solar PV System</t>
  </si>
  <si>
    <t>Warehouse #4 C Teknik Compound Solar PV System</t>
  </si>
  <si>
    <t>Warehouse #6 C Teknik Compound Solar PV System</t>
  </si>
  <si>
    <t>Warehouse 81 C Teknik Compound Solar PV System</t>
  </si>
  <si>
    <t>Warehouse #18 C Teknik Compound Solar PV System</t>
  </si>
  <si>
    <t>Warehouse #19 C Teknik Compound Solar  PV System</t>
  </si>
  <si>
    <t>Warehouse #2 C Teknik Compound Solar PV System</t>
  </si>
  <si>
    <t>Labrador Solar Power Plant Project</t>
  </si>
  <si>
    <t>Labrador Green Energy Corp.</t>
  </si>
  <si>
    <t>Apulid Solar Project</t>
  </si>
  <si>
    <t>Liberty Solar Energy Corporation</t>
  </si>
  <si>
    <t>Development of 50 MW Ground Mounted Solar Power Plant</t>
  </si>
  <si>
    <t>Wyn Power Corporation</t>
  </si>
  <si>
    <t>San Pablo Solar Power Project Phase 1</t>
  </si>
  <si>
    <t>Solar Valley Energy  Solutions Inc</t>
  </si>
  <si>
    <t>Cordon Solar Power Project</t>
  </si>
  <si>
    <t>Greentech Solar Energy Inc.</t>
  </si>
  <si>
    <t>San Pablo Solar 1</t>
  </si>
  <si>
    <t>San Pablo Renewable Energy Corporation</t>
  </si>
  <si>
    <t>Limbauan  Solar Power Project</t>
  </si>
  <si>
    <t>BKS Green Energy Corp.</t>
  </si>
  <si>
    <t>Bugallon Solar Power Project</t>
  </si>
  <si>
    <t>PetroGreen Energy Corporation</t>
  </si>
  <si>
    <t>Pampanga Rollforming Plant Solar PV System</t>
  </si>
  <si>
    <t xml:space="preserve"> warehouse #20C Teknik Compound Solar PV System</t>
  </si>
  <si>
    <t>OMG Rice Mill g2 Solar PV System</t>
  </si>
  <si>
    <t>Warehouse No. C6 Geomax Compound
Solar PV System</t>
  </si>
  <si>
    <t>Phinma Solar Energy
Corporation</t>
  </si>
  <si>
    <t>Warehouse No. F2 Geomax Compound Solar PV System</t>
  </si>
  <si>
    <t>Calamba Rollforming Plant Solar PV System</t>
  </si>
  <si>
    <t>Warehouse No. C4 Geomax Compound Solar PV System</t>
  </si>
  <si>
    <t>VCCR Global Enterprises Solar PV System</t>
  </si>
  <si>
    <t>Warehouse No. F3 Geomax Compound Solar PV System</t>
  </si>
  <si>
    <t>3 Angels And 2 Princess Rice Mill Solar PV System</t>
  </si>
  <si>
    <t>Warehouse No. C7 Geomax Compound Solar PV System</t>
  </si>
  <si>
    <t>Batangas Rollforming Plant Solar PV System</t>
  </si>
  <si>
    <t>Warehouse No. C2 Geomax Compound Solar PV System</t>
  </si>
  <si>
    <t>RKR Rice Mill #1 Solar PV System</t>
  </si>
  <si>
    <t>Warehouse No. F4 Geomax Compound Solar PV System</t>
  </si>
  <si>
    <t>Warehouse No. C8 Geomax Compound Solar PV System</t>
  </si>
  <si>
    <t>RKR Rice Mill P2 Solar PV System</t>
  </si>
  <si>
    <t>Bulacan</t>
  </si>
  <si>
    <t>RKR Rice Mill #3 Solar PV System</t>
  </si>
  <si>
    <t>Warehouse No. C3 Geomax Compound Solar PV System</t>
  </si>
  <si>
    <t>Sunmade Agri 1 Solar PV System</t>
  </si>
  <si>
    <t>Warehouse No. E2 Geomax Compound Solar PV System</t>
  </si>
  <si>
    <t>Warehouse No. C5 Geomax Compound Solar PV System</t>
  </si>
  <si>
    <t>OMG Rice Mill #3 Sotar PV System</t>
  </si>
  <si>
    <t>Warehouse No. 2 Geomax Compound Solar PV System</t>
  </si>
  <si>
    <t>OMG Rice Mill 01 Solar PV System</t>
  </si>
  <si>
    <t>Warehouse No. E3 Geomax Compound Solar PV System</t>
  </si>
  <si>
    <t>La Union Rollforming Plant Solar PV System</t>
  </si>
  <si>
    <t>Ilocos Region</t>
  </si>
  <si>
    <t>Warehouse No. E4 Geomax Compound Solar PV System</t>
  </si>
  <si>
    <t>Sunmade Agri S Solar PV System</t>
  </si>
  <si>
    <t>Warehouse No. 3 Geomax Compound Solar PV System</t>
  </si>
  <si>
    <t>Warehouse No. ES Geomax Compound Solar PV System</t>
  </si>
  <si>
    <t>Sunmade Agri 4 Solar PV System</t>
  </si>
  <si>
    <t>Warehouse No. F1 Geomax Compound Solar PV System</t>
  </si>
  <si>
    <t>Sunmade Agri 2 Solar PV System</t>
  </si>
  <si>
    <t>Sunmade Agri 3 Solar PV System</t>
  </si>
  <si>
    <t>Warehouse No. 4 Geomax Compound Solar PV System</t>
  </si>
  <si>
    <t>Warehouse No. B7 Geomax Compound Solar PV System</t>
  </si>
  <si>
    <t>Warehouse No. 1 Geomax Compound Solar PV System</t>
  </si>
  <si>
    <t>Phinma Solar Energy Corporat‹on</t>
  </si>
  <si>
    <t>Warehouse No. B8 Geomax  Compound Solar PV System</t>
  </si>
  <si>
    <t>Warehouse #23 C Teknik Compound Solar PV System</t>
  </si>
  <si>
    <t>Warehouse #22 C Teknik Compound  Solar  PV System</t>
  </si>
  <si>
    <t>Warehouse #27 C Teknik Compound SOIaF PV System</t>
  </si>
  <si>
    <t>Warehouse #26 C Teknik Compound Solar py</t>
  </si>
  <si>
    <t>Warehouse #25 C Teknik Compound Solar PV System</t>
  </si>
  <si>
    <t>Warehouse #24 C Teknik Compound Solar PV System</t>
  </si>
  <si>
    <t>Alabat Wind Power Project</t>
  </si>
  <si>
    <t>Alternergy  Tanay Wind
Corporaton</t>
  </si>
  <si>
    <t>Onshore Wind</t>
  </si>
  <si>
    <t>Tanay Wind Power Project</t>
  </si>
  <si>
    <t>Rizal</t>
  </si>
  <si>
    <t>Rizal Wind Power Project</t>
  </si>
  <si>
    <t>Rizal Wind Energy Corp.</t>
  </si>
  <si>
    <t>Opus Solar Power Project</t>
  </si>
  <si>
    <t>Opus Solar Energy Corp.</t>
  </si>
  <si>
    <t>Ilocos Norte</t>
  </si>
  <si>
    <t>lxus Bugallon Solar Power Project</t>
  </si>
  <si>
    <t>lxus Solar Energy Corp</t>
  </si>
  <si>
    <t>San Pablo Solar Power Project Phase 2</t>
  </si>
  <si>
    <t>Santa Rosa Nueva Ecija 3 Solar Power Project</t>
  </si>
  <si>
    <t>Solar Philippines  Commercial Rooftop Projects, Inc.</t>
  </si>
  <si>
    <t>Pasuquin-Burgos 100MW Solar Power Plant</t>
  </si>
  <si>
    <t>Energy Logics Philippines Inc.</t>
  </si>
  <si>
    <t>Linglingay Solar Power Project</t>
  </si>
  <si>
    <t>Xyris Energy Corporation</t>
  </si>
  <si>
    <t>NKS One Floating Solar Power Project</t>
  </si>
  <si>
    <t>NKS Solar One Inc.</t>
  </si>
  <si>
    <t>Floating Solar</t>
  </si>
  <si>
    <t>Quezon Wind Power Project</t>
  </si>
  <si>
    <t>Quezon Wind Energy Corp.</t>
  </si>
  <si>
    <t>Camarines  Sur Wind Power Project</t>
  </si>
  <si>
    <t>Cornerstone Energy Development,  Inc.</t>
  </si>
  <si>
    <t>Pangasinan CW 2 Wind Power Project</t>
  </si>
  <si>
    <t>Citicore Wind Energy Corporation</t>
  </si>
  <si>
    <t>Bataan-Zambales CW Wind Power Project</t>
  </si>
  <si>
    <t>Zambales</t>
  </si>
  <si>
    <t>Isla Wind Power Project</t>
  </si>
  <si>
    <t>Giga Ace 6, Inc.</t>
  </si>
  <si>
    <t>Camarines Sur CW Wind Power Project</t>
  </si>
  <si>
    <t>Butuan City 1 Solar Power Project</t>
  </si>
  <si>
    <t>Enfinity Philippine Renewable Resources Third Inc.</t>
  </si>
  <si>
    <t>Agusan del Norte</t>
  </si>
  <si>
    <t>Cagayan De Oro Rollforming Plant Solar PV System</t>
  </si>
  <si>
    <t>Misamis Oriental </t>
  </si>
  <si>
    <t>Butuan Rollforming Plant Solar PV System</t>
  </si>
  <si>
    <t>Tantangan Solar Power Project</t>
  </si>
  <si>
    <t>Apolaki Seven Inc.</t>
  </si>
  <si>
    <t>Bacolod Rollforming Plant Solar PV System</t>
  </si>
  <si>
    <t>Cebu Rollforming Plant Solar PV System</t>
  </si>
  <si>
    <t>Cebu</t>
  </si>
  <si>
    <t>Ajuy 1 Solar Power Plant Project</t>
  </si>
  <si>
    <t>Joy-NostaIg Solaris Incorporated</t>
  </si>
  <si>
    <t>Luca Solar Power Project</t>
  </si>
  <si>
    <t>Apolaki Eight Inc.</t>
  </si>
  <si>
    <t>Silay 2b Solar Power Project</t>
  </si>
  <si>
    <t>Citicore Solar Negros Occidental 2. Inc.</t>
  </si>
  <si>
    <t>Toledo Solar Power Project</t>
  </si>
  <si>
    <t>Citicore Solar Cebu, Inc.</t>
  </si>
  <si>
    <t>Silay 2a Solar Power Project</t>
  </si>
  <si>
    <t>Citicore Solar Negros Occidental 2, Inc.</t>
  </si>
  <si>
    <t>Silay Solar Power Project</t>
  </si>
  <si>
    <t>Citicore Solar Negros Occidental, Inc.</t>
  </si>
  <si>
    <t>lloilo CW 1 Wind Power Project</t>
  </si>
  <si>
    <t>Gemini Wind Power Project</t>
  </si>
  <si>
    <t>Gemini Wind Energy Corp.</t>
  </si>
  <si>
    <t>Samar</t>
  </si>
  <si>
    <t>Bago City Wind Power Project</t>
  </si>
  <si>
    <t>FirstMaxpower  international Corporation</t>
  </si>
  <si>
    <t>Tanawon Geothermal Power Plant - Unit 1</t>
  </si>
  <si>
    <t>Bac-Man Geothermal Inc.</t>
  </si>
  <si>
    <t>GEA3</t>
  </si>
  <si>
    <t>Geothermal</t>
  </si>
  <si>
    <t>Sorsogon</t>
  </si>
  <si>
    <t>Mindanao 3 Binary Geothermal Power Plant Expansion Project Phase 3 - Unit 1</t>
  </si>
  <si>
    <t>Energy Development Corporation</t>
  </si>
  <si>
    <t>North Cotabato</t>
  </si>
  <si>
    <t>Bago Binary Geothermal Power Plant - Unit 1</t>
  </si>
  <si>
    <t>Gened 1 Hydroelectric Power Project</t>
  </si>
  <si>
    <t>Pan Pacific Renewable Power Phils. Corp.</t>
  </si>
  <si>
    <t>Impounding Hydro</t>
  </si>
  <si>
    <t>Nueva Vizcaya</t>
  </si>
  <si>
    <t>Gened 2 Hydroelectric Power Project</t>
  </si>
  <si>
    <t>Kibungan Pumped Storage Hydroelectric Power Project</t>
  </si>
  <si>
    <t>Coheco Badeo Corporation</t>
  </si>
  <si>
    <t>Pumped Storage Hydro</t>
  </si>
  <si>
    <t>Wawa Pumped Storage 1 Hydroelectric Power Project</t>
  </si>
  <si>
    <t>Olympia Violago Water and Power, Inc.</t>
  </si>
  <si>
    <t>Wawa</t>
  </si>
  <si>
    <t>Pakil Pumped Storage Hydroelectric Power Project</t>
  </si>
  <si>
    <t>Ahunan Power, Inc.</t>
  </si>
  <si>
    <t>San Roque Lower East Pumped Storage Hydroelectric Power Project</t>
  </si>
  <si>
    <t>San Roque Hydropower Inc.</t>
  </si>
  <si>
    <t>San Roque West Pumped Storage Hydroelectric Power Project</t>
  </si>
  <si>
    <t>Maton Pumped Storage Hydroelectric Power Project</t>
  </si>
  <si>
    <t>Apayao</t>
  </si>
  <si>
    <t>Aklan Pumped Storage Hydroelectric Power Project</t>
  </si>
  <si>
    <t>Magat Floating Solar Power Project</t>
  </si>
  <si>
    <t>GEA4</t>
  </si>
  <si>
    <t>FLOATING SOLAR</t>
  </si>
  <si>
    <t>Cabuyao 2 Floating PV Power Plant</t>
  </si>
  <si>
    <t>Cabuyao 1 Floating PV Power Plant</t>
  </si>
  <si>
    <t>Nortesol II Inc.</t>
  </si>
  <si>
    <t>Calamba Floating PV Solar Power Project</t>
  </si>
  <si>
    <t>Cabuyao 3 Floating PV Power Plant</t>
  </si>
  <si>
    <t>Victoria 1 Floating PV Power Plant,</t>
  </si>
  <si>
    <t>Bay 2 Floating PV Power Plant</t>
  </si>
  <si>
    <t>NortesolIV, Inc.</t>
  </si>
  <si>
    <t>Cabuyao 5 Floating PV Power Plant</t>
  </si>
  <si>
    <t>NEWASIA POWER ENERGY II CORP.</t>
  </si>
  <si>
    <t>Cabuyao 4 Floating Solar PV Power Plant</t>
  </si>
  <si>
    <t>NEWASIA POWER ENERGY CORP.</t>
  </si>
  <si>
    <t>Bay 1 Floating PV Power Plant</t>
  </si>
  <si>
    <t>Newasia Power Energy Corp.</t>
  </si>
  <si>
    <t>Sta. Rosa Floating PV Power Plant</t>
  </si>
  <si>
    <t>Newasia Power Energy II Corp.</t>
  </si>
  <si>
    <t>Macabebe Floating PV Power Plant</t>
  </si>
  <si>
    <t>NEWASIA POWER ENERGY III CORP.</t>
  </si>
  <si>
    <t>Sagay Solar on Water PV Power Plant</t>
  </si>
  <si>
    <t>LakeSun Energy Inc.</t>
  </si>
  <si>
    <t>Angat Solar Power Project; Phase 1</t>
  </si>
  <si>
    <t>SMC Global Light and Power Corp.</t>
  </si>
  <si>
    <t>San Marcelino Floating Solar Power Project</t>
  </si>
  <si>
    <t>Northern Sun Radiance Inc.</t>
  </si>
  <si>
    <t>Liberty Solar Power Project; Phase B</t>
  </si>
  <si>
    <t>Liberty Solar Power Project; Phase A</t>
  </si>
  <si>
    <t>NKS One Floating Solar Power Project; Phase 2</t>
  </si>
  <si>
    <t>Silay Solar on Water PV Power Plant</t>
  </si>
  <si>
    <t>Limnelios Inc.</t>
  </si>
  <si>
    <t>Angat Solar Power Project; Phase 2</t>
  </si>
  <si>
    <t>Castilla Solar Power Plant</t>
  </si>
  <si>
    <t>Equator Energy Corporation</t>
  </si>
  <si>
    <t>GROUND-MOUNTED SOLAR</t>
  </si>
  <si>
    <t>Ecopark Isla Solar Power Plant</t>
  </si>
  <si>
    <t>Ecopark Energy of Valenzuela Corp.</t>
  </si>
  <si>
    <t>Ecopark Tagalag Solar Power Plant</t>
  </si>
  <si>
    <t>Pagbilao 3 Solar Power Project; Phase 1</t>
  </si>
  <si>
    <t>Citicore Renewable Energy Corporation</t>
  </si>
  <si>
    <t>Pagbilao 3 Solar Power Project; Phase 2</t>
  </si>
  <si>
    <t>San Lorenzo Ruiz Solar Power Plant</t>
  </si>
  <si>
    <t>East Cornerstone Development Corp.</t>
  </si>
  <si>
    <t>Capantolan Solar Power Project</t>
  </si>
  <si>
    <t>Pacific Impact Energy Corp.</t>
  </si>
  <si>
    <t>Magahis Solar Power Plant Project; Phase I</t>
  </si>
  <si>
    <t>Tuy Solar Power Corporation</t>
  </si>
  <si>
    <t>Bolbok 4 Solar Power Project; Phase 1</t>
  </si>
  <si>
    <t>Luntal Solar Power Project</t>
  </si>
  <si>
    <t>Citicore Solar Batangas 1, Inc.</t>
  </si>
  <si>
    <t>Bolbok 5 Solar Power Project; Phase 2</t>
  </si>
  <si>
    <t>Lumbangan Solar Power Project</t>
  </si>
  <si>
    <t>Bolbok 5 Solar Power Project; Phase1</t>
  </si>
  <si>
    <t>Bolbok 5 Solar Power Project; Phase 3</t>
  </si>
  <si>
    <t>Bolbok 4 Solar Power Project; Phase 2</t>
  </si>
  <si>
    <t>Bolbok 4 Solar Power Project Phase 3</t>
  </si>
  <si>
    <t>Bataan Solar Power Project</t>
  </si>
  <si>
    <t>Tai Yang 1 Power Inc.</t>
  </si>
  <si>
    <t>Sual Solar Power Plant</t>
  </si>
  <si>
    <t>Renovable Earth Corp.</t>
  </si>
  <si>
    <t>Sapang Balen Solar 2 Power Project</t>
  </si>
  <si>
    <t>Sikatuna Solar Power Project</t>
  </si>
  <si>
    <t>Bohol Solar Energy Inc.</t>
  </si>
  <si>
    <t>Vista Alegre Solar Power Project</t>
  </si>
  <si>
    <t>Daanbantayan Solar Power Project</t>
  </si>
  <si>
    <t>Freya Renewables Inc.</t>
  </si>
  <si>
    <t>Pagayawan Solar Power Plant Project</t>
  </si>
  <si>
    <t>Pagayawan Renewable Energy Corp.</t>
  </si>
  <si>
    <t>Malita Solar Power Project; Phase 1</t>
  </si>
  <si>
    <t>Atimonan Solar Power Project</t>
  </si>
  <si>
    <t>Bolo Renewable Energy Corp.</t>
  </si>
  <si>
    <t>Ultra Solar Power Plant Project</t>
  </si>
  <si>
    <t>Cauayan Solar Power Project; Phase 1</t>
  </si>
  <si>
    <t>San Vicente Solar Power Project</t>
  </si>
  <si>
    <t>Citadel Energy Corporation</t>
  </si>
  <si>
    <t>Verde Radiant Power Corporation</t>
  </si>
  <si>
    <t>Libmanan Solar Power Project</t>
  </si>
  <si>
    <t>Green PV Energy Corporation</t>
  </si>
  <si>
    <t>Joy-Nostalg Solaris Incorporated</t>
  </si>
  <si>
    <t>Zamboanguita Solar Power Project</t>
  </si>
  <si>
    <t>Zamboanguita Solar Power Corporation</t>
  </si>
  <si>
    <t>San Miguel Solar Power Project</t>
  </si>
  <si>
    <t>Malita Solar Power Project; Phase 2</t>
  </si>
  <si>
    <t>SPPC Solar Power Project (Phase 1)</t>
  </si>
  <si>
    <t>Alabel Solar Energy Corporation</t>
  </si>
  <si>
    <t>Cauayan Solar Power Project; Phase 2</t>
  </si>
  <si>
    <t>Isabela Solar Power Project; Phase 1-3</t>
  </si>
  <si>
    <t>Isabela Solar Power Project; Phase 1-2</t>
  </si>
  <si>
    <t>Victorias Solar Power Plant</t>
  </si>
  <si>
    <t>Victorias Green Energy Corp.</t>
  </si>
  <si>
    <t>Ajuy 1 Solar Power Project; Phase 2</t>
  </si>
  <si>
    <t>Viejo Iloilo Solar Power Project</t>
  </si>
  <si>
    <t>Ilog Solar Power Project</t>
  </si>
  <si>
    <t>Western Visayas Solar Energy Corp.</t>
  </si>
  <si>
    <t>Bohol Solar Power Project</t>
  </si>
  <si>
    <t>Malita Solar Power Project; Phase 3</t>
  </si>
  <si>
    <t>Isabela Solar Power Project; Phase 2-3</t>
  </si>
  <si>
    <t>Isabela Solar Power Project; Phase 2-2</t>
  </si>
  <si>
    <t>Isabela Solar Power Project: Phase 3-1</t>
  </si>
  <si>
    <t>Isabela Solar Power Project; Phase 2-1</t>
  </si>
  <si>
    <t>Dagohoy Solar Power Project</t>
  </si>
  <si>
    <t>Dagohoy Green Energy Corporation</t>
  </si>
  <si>
    <t>Panitan Solar Power Project</t>
  </si>
  <si>
    <t>EcoSolar Energy Corporation</t>
  </si>
  <si>
    <t>Malita Solar Power Project; Phase 4</t>
  </si>
  <si>
    <t>Bolbok 3 Solar Power Project; Phase 1</t>
  </si>
  <si>
    <t>IRESS</t>
  </si>
  <si>
    <t>Silay 2D Solar Power Project; Phase 1</t>
  </si>
  <si>
    <t>Tantangan Solar Power Project; Phase 2</t>
  </si>
  <si>
    <t>Bolbok 3 Solar Power Project Phase 2</t>
  </si>
  <si>
    <t>Barotac Viejo Solar Power Project</t>
  </si>
  <si>
    <t>Magallanes Solar Energy Corp.</t>
  </si>
  <si>
    <t>Silay 2C Solar Power Project; Phase 1</t>
  </si>
  <si>
    <t>Titan V Solar Power Project; Phase 1</t>
  </si>
  <si>
    <t>Apolaki Four Inc.</t>
  </si>
  <si>
    <t>Talingaan-Laoag Solar Power Project</t>
  </si>
  <si>
    <t>North Luzon Green Power, Inc.</t>
  </si>
  <si>
    <t>Luna Solar Power Project</t>
  </si>
  <si>
    <t>South Cleanergy Inc.</t>
  </si>
  <si>
    <t>Kalandagan Solar Power Project</t>
  </si>
  <si>
    <t>Olympia Solar Power Corporation</t>
  </si>
  <si>
    <t>Titan V Solar Power Project; Phase 2</t>
  </si>
  <si>
    <t>Northern Sun Power, Inc.</t>
  </si>
  <si>
    <t>Laguna Wind Energy Corp.</t>
  </si>
  <si>
    <t>ONSHORE WIND</t>
  </si>
  <si>
    <t>South Eastern Wind Power Project</t>
  </si>
  <si>
    <t>Sorsogon 2 Wind Power Project</t>
  </si>
  <si>
    <t>Presentacion 2 Wind Power Project</t>
  </si>
  <si>
    <t>Wind Renewable Energy Corporation</t>
  </si>
  <si>
    <t>Quezon Wind Power Project (Phase 2)</t>
  </si>
  <si>
    <t>Northern Wind Power Project</t>
  </si>
  <si>
    <t>Cauayan Wind Project</t>
  </si>
  <si>
    <t>Envision Energy Philippines Corporation</t>
  </si>
  <si>
    <t>Pagsanjan Wind Project</t>
  </si>
  <si>
    <t>Tayabas North Wind Energy Project (Phase 1)</t>
  </si>
  <si>
    <t>San Nicolas Wind Power Project</t>
  </si>
  <si>
    <t>San Nicolas Wind Corp.</t>
  </si>
  <si>
    <t>Alegria Wind Power Project</t>
  </si>
  <si>
    <t>MC Project Solutions Inc.</t>
  </si>
  <si>
    <t>Lavezares Wind Project</t>
  </si>
  <si>
    <t>Leyte Wind Project</t>
  </si>
  <si>
    <t>Calabanga Wind Project</t>
  </si>
  <si>
    <t>Quezon Wind Power Project (Phase 1)</t>
  </si>
  <si>
    <t>Atimonan Windkraft Corporation</t>
  </si>
  <si>
    <t>Ilosong Wind Power Project (Phase 1)</t>
  </si>
  <si>
    <t>Ilosong Wind Corp.</t>
  </si>
  <si>
    <t>Bais Wind Project</t>
  </si>
  <si>
    <t>Caraga Wind Power Project Phase 1</t>
  </si>
  <si>
    <t>Caraga Wind Energy Corporation</t>
  </si>
  <si>
    <t>Caraga Wind Power Project Phase 2</t>
  </si>
  <si>
    <t>Naic Solar Rooftop Power Project</t>
  </si>
  <si>
    <t>ROOF-MOUNTED SOLAR</t>
  </si>
  <si>
    <t xml:space="preserve">No. of Plants </t>
  </si>
  <si>
    <t xml:space="preserve">Project Name </t>
  </si>
  <si>
    <t>Capacity 
(MW)</t>
  </si>
  <si>
    <t xml:space="preserve">North Cotabato </t>
  </si>
  <si>
    <t xml:space="preserve">Pagudpud, Ilocos Norte </t>
  </si>
  <si>
    <t xml:space="preserve">Calatagan, Lian, Batangas </t>
  </si>
  <si>
    <t>Paete, Kalayaan, Pakil, Mauban, Laguna and Quezon</t>
  </si>
  <si>
    <t xml:space="preserve">Nabas, Malay, Aklan </t>
  </si>
  <si>
    <t xml:space="preserve">Kapangan and Kibungan, Benguet </t>
  </si>
  <si>
    <t xml:space="preserve">Sablan and La Trinidad, Benguet </t>
  </si>
  <si>
    <t>Malitbog, Bukidnon</t>
  </si>
  <si>
    <t xml:space="preserve">Malitbog, Bukidnon </t>
  </si>
  <si>
    <t xml:space="preserve">Claveria, Cagayan de Oro </t>
  </si>
  <si>
    <t xml:space="preserve">Clarin, Misamis Occidental </t>
  </si>
  <si>
    <t xml:space="preserve">Naga City, Camarines Sur </t>
  </si>
  <si>
    <t xml:space="preserve">Talugtug, Nueva Ecija </t>
  </si>
  <si>
    <t xml:space="preserve">Concepcion and Tarlac City, Tarlac </t>
  </si>
  <si>
    <t xml:space="preserve">Penaranda, Nueva Ecija </t>
  </si>
  <si>
    <t xml:space="preserve">Tayabas, Pagbilao </t>
  </si>
  <si>
    <t xml:space="preserve">Kananga and Ormoc City, Leyte </t>
  </si>
  <si>
    <t xml:space="preserve">General Santos City, South Cotabato </t>
  </si>
  <si>
    <t>Address</t>
  </si>
  <si>
    <t>•Issuance of COC: 15-Feb-10
•Renewal of COC: 09-Feb-15
•Issuance of COC-FIT: 15-June-15
•No COC Renewal Application
•with certification from Municipal Treasurer of Isabela the cessation of business since Nov 23, 2016</t>
  </si>
  <si>
    <t>*excluding 3 non-operational biomass plants and 1 terminated wind plant</t>
  </si>
  <si>
    <t>**excluding ongoing COC/PAO application for 3 biomass plants</t>
  </si>
  <si>
    <t>***excluding 2 hydro plants with DOE-COE and no submission of COC applications yet</t>
  </si>
  <si>
    <t>As of 30 September 2025</t>
  </si>
  <si>
    <t>ERC Resolution no. 6, Series of 2023</t>
  </si>
  <si>
    <t>Biomass WTE</t>
  </si>
  <si>
    <t>GEA-2</t>
  </si>
  <si>
    <t>Approved GEAR Price</t>
  </si>
  <si>
    <t>Capacity Awarded (MW)</t>
  </si>
  <si>
    <t>Offshore Wind</t>
  </si>
  <si>
    <t>GEA-3</t>
  </si>
  <si>
    <t>GEA-4</t>
  </si>
  <si>
    <t>GEA-1</t>
  </si>
  <si>
    <t>GEA-5</t>
  </si>
  <si>
    <t>ERC Resolution No. 9, Series of 2025</t>
  </si>
  <si>
    <t>ERC Resolution No. 19, Series of 2024</t>
  </si>
  <si>
    <t>Ongoing</t>
  </si>
  <si>
    <t>ERC Resolution no. 2, Series of 2022</t>
  </si>
  <si>
    <t>ERC Issuance</t>
  </si>
  <si>
    <t>Sum of Capacity (MW)</t>
  </si>
  <si>
    <t xml:space="preserve">% </t>
  </si>
  <si>
    <t>Remaining Capacity (MW)</t>
  </si>
  <si>
    <t>ROOF MOUNTED SOLAR</t>
  </si>
  <si>
    <t>GROUND MOUNTED SOLAR</t>
  </si>
  <si>
    <t>IMPOUNDING HYDRO</t>
  </si>
  <si>
    <t>PUMPED STORAGE HYDRO</t>
  </si>
  <si>
    <t>GEOTHERMAL</t>
  </si>
  <si>
    <t>Awarded Capacity
(MW)</t>
  </si>
  <si>
    <t>%</t>
  </si>
  <si>
    <t>L</t>
  </si>
  <si>
    <t>V</t>
  </si>
  <si>
    <t>M</t>
  </si>
  <si>
    <t xml:space="preserve"> For issuance of COE-GET under GEA-1</t>
  </si>
  <si>
    <t>With approved PAO on 05 August 2025, valid until 04 August 2026</t>
  </si>
  <si>
    <t>Existing Facility</t>
  </si>
  <si>
    <t>Bid Price</t>
  </si>
  <si>
    <t>ERC/ DOE Status</t>
  </si>
  <si>
    <t>Cadiz 1 Solar Power Plant</t>
  </si>
  <si>
    <t>Botolan Solar PV Power Plant</t>
  </si>
  <si>
    <t>Pagbilao 4 Solar Power Project; Phase 2</t>
  </si>
  <si>
    <t>Pagbilao 4 Solar Power Project; Phase 1</t>
  </si>
  <si>
    <t>Sapang Balen Solar 1 - North Power Project</t>
  </si>
  <si>
    <t>Bolbok 3 Solar Power Project; Phase 3</t>
  </si>
  <si>
    <t>Sapang Balen Solar 2 - North Power Project</t>
  </si>
  <si>
    <t>Silay 2C Solar Power Project; Phase 2</t>
  </si>
  <si>
    <t>Isabel Solar Power Plant</t>
  </si>
  <si>
    <t>Luca Solar Power Project; Phase 2</t>
  </si>
  <si>
    <t>Quezon North Wind Power Project (Phase 3)</t>
  </si>
  <si>
    <t>Bohol 2 Anda Wind Power Project (Phase 1)</t>
  </si>
  <si>
    <t>Basic Energy Corporation</t>
  </si>
  <si>
    <t>Iligansolar, Inc</t>
  </si>
  <si>
    <t>Urban Energy Development Corp.</t>
  </si>
  <si>
    <t>GIGA ACE 6, Inc.</t>
  </si>
  <si>
    <t>Blue Haven Windkraft Corporation</t>
  </si>
  <si>
    <t>Targeted</t>
  </si>
  <si>
    <t>Awarded</t>
  </si>
  <si>
    <t>Column Labels</t>
  </si>
  <si>
    <t>Row Labels</t>
  </si>
  <si>
    <t>ERC Issued GEAR</t>
  </si>
  <si>
    <t>5.6800​</t>
  </si>
  <si>
    <t>4.4832​</t>
  </si>
  <si>
    <t>6.5258​</t>
  </si>
  <si>
    <t>6.0859​</t>
  </si>
  <si>
    <t>5.4028​</t>
  </si>
  <si>
    <t>Renewable Energy Technologies</t>
  </si>
  <si>
    <t>(Php/kWh)</t>
  </si>
  <si>
    <t>Minimum Offer</t>
  </si>
  <si>
    <t>Maximum Offer</t>
  </si>
  <si>
    <t>No offers from RE Developers</t>
  </si>
  <si>
    <t>Only in GEA1</t>
  </si>
  <si>
    <t>Rooftop Solar</t>
  </si>
  <si>
    <t>Only in GEA2</t>
  </si>
  <si>
    <t>Waste-to-Energy</t>
  </si>
  <si>
    <t>Only in GEA4</t>
  </si>
  <si>
    <t>Only in GEA3</t>
  </si>
  <si>
    <t>Bid Price 
(PhP/kWh)</t>
  </si>
  <si>
    <t>GEAR Price</t>
  </si>
  <si>
    <t>Only in GEA1 and GEA2</t>
  </si>
  <si>
    <t>Awarded Capacity (MW)</t>
  </si>
  <si>
    <t>*bid price per RE plant not yet released</t>
  </si>
  <si>
    <t>Subtotal</t>
  </si>
  <si>
    <t>Burgos Solar Power Project Phase 1</t>
  </si>
  <si>
    <t>•Issuance of FIT-COC: 01 Mar 2016
•Renewal, Issuance of PAO-FIT: 29-Jun-2020
•PAO-FIT 1st Extension: 29-Sep-2020
•PAO-FIT 2nd Extension: 28-Oct-2021
•PAO-FIT 3rd Extension: 20-Dec-22
• Issued PAO on 04 November 2024
• Issued PAO Amendment on 08 July 2025
• Issued PAO 1st Extension on 22 October 2025</t>
  </si>
  <si>
    <t xml:space="preserve">Min of Bid Price </t>
  </si>
  <si>
    <t xml:space="preserve">Max of Bid Price </t>
  </si>
  <si>
    <t xml:space="preserve">Count of Bid Price </t>
  </si>
  <si>
    <t>•Issuance of FIT-COC: 06 Apr 2015 •Renewal, Issuance of PAO-FIT: 29-Jun-2020 
•PAO-FIT 1st Extension: 29-Sep-2020 •PAO-FIT 2nd Extension: 28-Oct-2021 •PAO-FIT 3rd Extension: 20-Dec-22 
• Issued PAO on 04 November 2024 
• 1st Extension of PAO on 17 October 2025</t>
  </si>
  <si>
    <t>•Issuance of FIT-COC: 08-Jun-15
•Renewal, Issuance of PAO-FIT: 30-Jun-2020
•PAO-FIT 1st Extension: 18-Nov-2020
• PAO-FIT 2nd Extension: 14-Mar-2022
•Issuance of PAO on 25 November 2024
• 1st PAO Extension on 17 November 2025</t>
  </si>
  <si>
    <t>•Issuance of COC: 18-Aug-16
•Issuance of FIT-COC: 08-Dec-16
•Issuance of PAO-FIT: 18-Aug-21
• 1st Extension of PAO-FIT: 17-Oct-22
• Grant of PAO:  30 Aug 2024
• 1st PAO Extension: 11 November 2025</t>
  </si>
  <si>
    <t>•With issued PAO from 14 July 2016 
• Issuance of  FIT-COC: 08 Aug 2017
• Issuance of  PAO-FIT: 13-Jul-2021
• 1st Extension of  PAO-FIT: 17 Oct 2022
• Grant of PAO: 11 Sep 2024
• Issued COC on 10 November 2025</t>
  </si>
  <si>
    <t>•Issuance of COC:14-Jul-16
•Issuance of FIT-COC: 08-Dec-16
•Issuance of PAO-FIT: 13-Jul-21
•1st Extension of PAO-FIT: 03 Nov 2022
•Grant of PAO: 30 Aug 2024
• 1st Extension of PAO 11 November 2025</t>
  </si>
  <si>
    <t>•Issuance of COC: 29-Apr-13 (U1-3)
•Issuance of COC-FIT: 15-Jun-15 (U1-3)
•Issuance of COC: 19-Jul-17 (U4-5)
•Issuance of COC-FIT: 25-Oct-17 (U4-5)
•Renewal of COC-FIT15-Mar-18 (U1-5)
•Granted Separated PAOs: 19 August 2024
• Phase 1 1st PAO Extension: 06 October 2025</t>
  </si>
  <si>
    <t>•Issuance of  PAO-FIT: 06 October 2021
• 1st Extension of Consolidated PAO on 11 November 2025</t>
  </si>
  <si>
    <t>•Issuance of COC:27-Apr-09
•Renewal of COC:02-Sept-14
•Issuance of FIT-COC:15-Jun-15
•Renewal of FIT-COC:29-Aug-19
•Grant of PAO: 03 October 2024
• 1st Extension of PAO: 13 November 2025</t>
  </si>
  <si>
    <t>•With Issued PAO-FIT: 23 June 2021
•1st Extension of PAO-FIT: 03-Nov-22
•Issued PAO: 05 June 2024
•1st Extension of PAO: 24 November 2025</t>
  </si>
  <si>
    <t>•Issuance of PAO: 30 October 2024
• 1st Extension of PAO on 12 November 2025</t>
  </si>
  <si>
    <t>Tubig Hydroelectric Power Plant</t>
  </si>
  <si>
    <t>San Rafel, Taft, Eastern Samar</t>
  </si>
  <si>
    <t>•Issuance of PAO: 27 November 2024
• 1st Extension of PAO: 13 November 2025</t>
  </si>
  <si>
    <t>• Issuance of COC: 15-Jun-05 (Phase1)
• Issuance of COC: 26-Jan-09 (Phase II)
•Renewal of COC: 15-Jun-10 (Phases I and II)
•Renewal of COC: 15-Jun-15
•Issuance of PAO-FIT: 20-July-15 (PAO-FIT)
•Issuance of FIT-COC: 13-Feb-18 (FIT)
• Renewal, Issuance of PAO-FIT: 06-Jul-2020 
• PAO-FIT 1st Extension: 18-Nov-2020 
• PAO-FIT 2ndd Extension: 14-Mar-2022
• Granted PAO on 10 December 2024
• Granted PAO for Additional Units Approved on 04 June 2025
•  Amended PAO on 25 June 2025</t>
  </si>
  <si>
    <t>•Issuance of COC: 17-Aug-15
•Issuance of FIT-COC: 01-Dec-15
•Renewal, Issuance of PAO-FIT: 12-Aug-2020
•PAO-FIT 1st Extension: 18 August 2021
• Grant of PAO: 30 Sep 2024
•1st Extension of PAO: 22 Sep 2025</t>
  </si>
  <si>
    <t>•Issuance of COC: 09-Feb-15
•Issuance of FIT-COC: 13-Apr-15
•Renewal, Issuance of PAO-FIT: 08-Oct-2019 
• PAO-FIT 1st Extension: 06-Jul-2020 
• PAO-FIT 2nd Extension: 14-Oct-2020 
• PAO-FIT 3rd Extension: 21-Dec-2021 
• PAO-FIT 4th Extension: 14-Mar-2022 
• Grant of PAO: 29 Sep 2025</t>
  </si>
  <si>
    <t>Maasim, Sarangani Province</t>
  </si>
  <si>
    <t>ROR Hydro FIT IV - ERC Resolution No. 27, Series of 2025</t>
  </si>
  <si>
    <t>Iraya Ventures, Inc.</t>
  </si>
  <si>
    <t>Upper Taft Hydroelectric Power Project</t>
  </si>
  <si>
    <t>Taft, Eastern Samar</t>
  </si>
  <si>
    <t>•Issuance of PAO: 27 August 2025</t>
  </si>
  <si>
    <t>•Issuance of PAO: 30 September 2024
• Issuance of COC: 10 April 2025</t>
  </si>
  <si>
    <t>•Issuance of PAO: 25 November 2024</t>
  </si>
  <si>
    <t>Commitment Delivery Period</t>
  </si>
  <si>
    <t>Certificate of Award date</t>
  </si>
  <si>
    <t>Actual COD/COC</t>
  </si>
  <si>
    <t>10 April 2025 (COC)</t>
  </si>
  <si>
    <t>27 August 2025 (PAO)</t>
  </si>
  <si>
    <t>Delivery Commencement Date (DCD)</t>
  </si>
  <si>
    <t>COE-GET
(Date Signed)</t>
  </si>
  <si>
    <t>DOE</t>
  </si>
  <si>
    <t>Valid from</t>
  </si>
  <si>
    <t>Valid to</t>
  </si>
  <si>
    <t>Disqualified bid</t>
  </si>
  <si>
    <t>PAO</t>
  </si>
  <si>
    <t>•Issuance of FIT- COC:04-May-16
•Renewal, Issuance of PAO-FIT: 14-Jan-2021
•1st Extension of PAO-FIT: 14-Mar-2022
• Issued PAO: 10 January 2024
• 1st Extension of PAO on 02 January 2025
• 2nd Extension of PAO on 05 January 2026</t>
  </si>
  <si>
    <t>•Issuance of FIT-COC:15-Dec-16
•Renewal, Issuance of PAO-FIT: 14-Jan-2021
• Denied PAO Application 
• With Grant of PAO on 26 November 2024
• Extension of PAO on 26 January 2026</t>
  </si>
  <si>
    <t>Ning*Ning Muzon-Labac Rooftop Solar Power
Project</t>
  </si>
  <si>
    <t>Isabela Ground Mounted Solar PV Project;
Phase 1</t>
  </si>
  <si>
    <t>Villaverde Ground-Mounted Solar-Photovoltaic
Project</t>
  </si>
  <si>
    <t>Earthlight Concepcion Solar Power Project;
Phase 1</t>
  </si>
  <si>
    <t>Ning*Ning Catmon Sta. Maria Rooftop Solar
Power Project</t>
  </si>
  <si>
    <t>Ning*Ning Dolores Magalang Rooftop Solar
Power Project</t>
  </si>
  <si>
    <t>Sta. Ignacia Tarlac Solar Power Plant Project
Phase 1</t>
  </si>
  <si>
    <t>Earthlight San Fernando Barotac Viejo Solar
Power Project; Phase 1</t>
  </si>
  <si>
    <t>Earthlight San Fernando Barotac Viejo Solar
Power Project; Phase 2</t>
  </si>
  <si>
    <t>Amatera Renewable Energy
Corporation</t>
  </si>
  <si>
    <t>Sapang Balen Solar Sustainable Energy
Corp.</t>
  </si>
  <si>
    <t>San Ignacio Energy Resources
Development Corporation</t>
  </si>
  <si>
    <t>Econergy Renewable Power Philippines
Inc.</t>
  </si>
  <si>
    <t>Quezon Wind Energy Corp</t>
  </si>
  <si>
    <t>Sunpalo Solar Energy, lnc.</t>
  </si>
  <si>
    <t>Sta. Ignacia Tarlac Solar Power
Corporation</t>
  </si>
  <si>
    <t>Sn Aboitiz Power – Magat, Inc</t>
  </si>
  <si>
    <t>Nortesol Incorporated</t>
  </si>
  <si>
    <t>JICA Power and Development
Corporation</t>
  </si>
  <si>
    <t>Bohol Renewable Power Corp. (Isla
Este Renewables Corporation)</t>
  </si>
  <si>
    <t>Sapang Balen Solar Sustainable Energy
Corp</t>
  </si>
  <si>
    <t>Bacolod City, Negros Occidental</t>
  </si>
  <si>
    <t>Valenzuela City, Metro Manila</t>
  </si>
  <si>
    <t>Naic, Cavite</t>
  </si>
  <si>
    <t>Tuy, Batangas</t>
  </si>
  <si>
    <t>Sual, Pangasinan</t>
  </si>
  <si>
    <t>Silay City, Negros Occidental</t>
  </si>
  <si>
    <t>Tantangan, South Cotabato</t>
  </si>
  <si>
    <t>Pagbilao, Quezon</t>
  </si>
  <si>
    <t>Mabalacat City and Magalang, Pampanga and
Concepcion, Tarlac</t>
  </si>
  <si>
    <t>Castilla, Sorsogon</t>
  </si>
  <si>
    <t>Sikatuna and Balilihan, Bohol</t>
  </si>
  <si>
    <t>Malita, Davao Occidental</t>
  </si>
  <si>
    <t>Naic, Ternate, and Maragondon Cavite</t>
  </si>
  <si>
    <t>San Lorenzo Ruiz, Camarines Norte</t>
  </si>
  <si>
    <t>Mariveles, Bataan</t>
  </si>
  <si>
    <t>Ilagan City, Isabela</t>
  </si>
  <si>
    <t>Daanbantayan, Cebu</t>
  </si>
  <si>
    <t>Cadiz City, Negros Occidental</t>
  </si>
  <si>
    <t>Brgys. Ermita, Quinale, Ilaya del Sur, Ilaya del Norte and
Bangkusay, Paete, Laguna &amp; Brgy. San Antonio, Kalayaan,
Laguna</t>
  </si>
  <si>
    <t>Municipality of Kalayaan and Paete, Province of Laguna</t>
  </si>
  <si>
    <t>Municipalities of Casiguran, Barcelona, Gubat and
Province: Sorsogon</t>
  </si>
  <si>
    <t>City of Cauayan and Naguilian, Isabela</t>
  </si>
  <si>
    <t>Alabel, Sarangani</t>
  </si>
  <si>
    <t>Municipalities of Infanta, General Nakar, and Real,
Province of Quezon; Municipality of Tanay, Province of
Rizal; and Municipalities of Santa Maria, Siniloan, and
Famy, Province of Laguna</t>
  </si>
  <si>
    <t>Villaverde, Nueva Viscaya</t>
  </si>
  <si>
    <t>Zamboanguita and Siaton, Negros Oriental</t>
  </si>
  <si>
    <t>Municipality of Presentacion, Province of Camarines Sur</t>
  </si>
  <si>
    <t>Barotac Viejo, Iloilo</t>
  </si>
  <si>
    <t>Cauayan, Negros Occidental</t>
  </si>
  <si>
    <t>Atimonan, Quezon</t>
  </si>
  <si>
    <t>Padre Burgos and Atimonan, Quezon</t>
  </si>
  <si>
    <t>Concepcion, Iloilo</t>
  </si>
  <si>
    <t>San Miguel, Leyte</t>
  </si>
  <si>
    <t>Santa Maria, Bulacan</t>
  </si>
  <si>
    <t>Magalang, Pampanga</t>
  </si>
  <si>
    <t>Barobo and Tagbina, Surigao del Sur</t>
  </si>
  <si>
    <t>Mabalacat, Pampanga</t>
  </si>
  <si>
    <t>Libmanan, Camarines Norte</t>
  </si>
  <si>
    <t>Sta. Ignacia, Tarlac</t>
  </si>
  <si>
    <t>Municipalities of Aguinaldo and Alfonso Lista, Ifugao; and
Municipality of Ramon and City of Santiago, Isabela</t>
  </si>
  <si>
    <t>Laguna de Bay</t>
  </si>
  <si>
    <t>Macabebe, Pampanga</t>
  </si>
  <si>
    <t>Sagay City, Negros Occidental</t>
  </si>
  <si>
    <t>Municipality of Juban and Magallanes, Province: Sorsogon</t>
  </si>
  <si>
    <t>Anda, Candijay, and Guindulman, Bohol</t>
  </si>
  <si>
    <t>Municipalities of Allen, Victoria, San Isidro, and Lavezares,
Northern Samar</t>
  </si>
  <si>
    <t>Doña Remedios and Norzagaray, Bulacan</t>
  </si>
  <si>
    <t>Laoag City, Ilocos Norte</t>
  </si>
  <si>
    <t>San Marcelino, Zambales</t>
  </si>
  <si>
    <t>Cordon, Isabela and Diadi, Nueva Vizcaya</t>
  </si>
  <si>
    <t>Cavinti, Kalayaan, Luisiana, Lumba, and Pagsanjan,
Laguna</t>
  </si>
  <si>
    <t>Allen, Lavezares, Victoria, and Allen, Samar</t>
  </si>
  <si>
    <t>Capoocan and Leyte City, Leyte</t>
  </si>
  <si>
    <t>Victorias City, Negros Occidental</t>
  </si>
  <si>
    <t>Ajuy, Iloilo</t>
  </si>
  <si>
    <t>Tacurong, Sultan Kudarat</t>
  </si>
  <si>
    <t>Ilog, Negros Occidental</t>
  </si>
  <si>
    <t>Ubay, Bohol</t>
  </si>
  <si>
    <t>Paniqui, Tarlac</t>
  </si>
  <si>
    <t>Lumban and Cavinti, Laguna</t>
  </si>
  <si>
    <t>Silay, Negros Occidental</t>
  </si>
  <si>
    <t>Brgy. Nagsinamo, Municipality of Lucban and Brgys.
Valencia, Ilasan Ilaya, and Palale, Ilaya, City of Tayabas,
Province of Quezon</t>
  </si>
  <si>
    <t>Municipality of Tayug, Natividad, Province of Pangasinan;
Municipality of Santa Fe, Province of Nueva Vizcaya;
Municipality of Carrangalan, Province of Nueva Ecija</t>
  </si>
  <si>
    <t>Alegria, Badian, Alcoy, and Dalaguete, Cebu</t>
  </si>
  <si>
    <t>Panitan, Capiz</t>
  </si>
  <si>
    <t>Isabel, Leyte</t>
  </si>
  <si>
    <t>Dagohoy, Bohol</t>
  </si>
  <si>
    <t>Currimao and Paoay, Ilocos Norte</t>
  </si>
  <si>
    <t>Atimonan and Mauban, Quezon</t>
  </si>
  <si>
    <t>Mabalacat City and Magalang, Pampanga</t>
  </si>
  <si>
    <t>Bais City, Mabinay and Manjuyod, Negros Oriental</t>
  </si>
  <si>
    <t>Botolan, Zambales</t>
  </si>
  <si>
    <t>Ajuy and Barotac Viejo, Iloilo</t>
  </si>
  <si>
    <t>Calabanga and Tinambac, Camarines Sur</t>
  </si>
  <si>
    <t>Municipality of Atimonan, Plaridel, Unisan, Gumaca, and
Lopez, Quezon Province</t>
  </si>
  <si>
    <t>Surigao City, San Francisco, Malimono, Siso, Placer and
Mainit, Province of Surigao del Norte</t>
  </si>
  <si>
    <t>Jabonga, Agusan del Norte</t>
  </si>
  <si>
    <t>Provinces and Island Groups</t>
  </si>
  <si>
    <t>Province</t>
  </si>
  <si>
    <t>Island Group</t>
  </si>
  <si>
    <t>Abra</t>
  </si>
  <si>
    <t>Aurora</t>
  </si>
  <si>
    <t>Batanes</t>
  </si>
  <si>
    <t>Cagayan</t>
  </si>
  <si>
    <t>Camarines Norte</t>
  </si>
  <si>
    <t>Cavite</t>
  </si>
  <si>
    <t>Ifugao</t>
  </si>
  <si>
    <t>Ilocos Sur</t>
  </si>
  <si>
    <t>Kalinga</t>
  </si>
  <si>
    <t>La Union</t>
  </si>
  <si>
    <t>Mountain Province</t>
  </si>
  <si>
    <t>Occidental Mindoro</t>
  </si>
  <si>
    <t>Oriental Mindoro</t>
  </si>
  <si>
    <t>Palawan</t>
  </si>
  <si>
    <t>Quirino</t>
  </si>
  <si>
    <t>Romblon</t>
  </si>
  <si>
    <t>Albay</t>
  </si>
  <si>
    <t>Catanduanes</t>
  </si>
  <si>
    <t>Marinduque</t>
  </si>
  <si>
    <t>Masbate</t>
  </si>
  <si>
    <t>Antique</t>
  </si>
  <si>
    <t>Biliran</t>
  </si>
  <si>
    <t>Bohol</t>
  </si>
  <si>
    <t>Capiz</t>
  </si>
  <si>
    <t>Eastern Samar</t>
  </si>
  <si>
    <t>Guimaras</t>
  </si>
  <si>
    <t>Northern Samar</t>
  </si>
  <si>
    <t>Southern Leyte</t>
  </si>
  <si>
    <t>Agusan del Sur</t>
  </si>
  <si>
    <t>Basilan</t>
  </si>
  <si>
    <t>Camiguin</t>
  </si>
  <si>
    <t>Davao de Oro (Compostela Valley)</t>
  </si>
  <si>
    <t>Davao del Norte</t>
  </si>
  <si>
    <t>Davao del Sur</t>
  </si>
  <si>
    <t>Davao Occidental</t>
  </si>
  <si>
    <t>Davao Oriental</t>
  </si>
  <si>
    <t>Dinagat Islands</t>
  </si>
  <si>
    <t>Lanao del Norte</t>
  </si>
  <si>
    <t>Lanao del Sur</t>
  </si>
  <si>
    <t>Maguindanao del Norte</t>
  </si>
  <si>
    <t>Maguindanao del Sur</t>
  </si>
  <si>
    <t>Misamis Oriental</t>
  </si>
  <si>
    <t>Sarangani</t>
  </si>
  <si>
    <t>Sultan Kudarat</t>
  </si>
  <si>
    <t>Sulu</t>
  </si>
  <si>
    <t>Surigao del Sur</t>
  </si>
  <si>
    <t>Tawi-Tawi</t>
  </si>
  <si>
    <t>Zamboanga del Norte</t>
  </si>
  <si>
    <t>Zamboanga del Sur</t>
  </si>
  <si>
    <t>Zamboanga Sibugay</t>
  </si>
  <si>
    <t>NCR</t>
  </si>
  <si>
    <t>Ground mounted Solar</t>
  </si>
  <si>
    <t>GEA Round</t>
  </si>
  <si>
    <t>•Issuance of FIT-COC: 06-Feb-17
•Issuance of PAO-FIT: 16-Feb-22
•With PAO valid until 07 December 2024; 
•Extended PAO: 10-Feb-2026</t>
  </si>
  <si>
    <t>•Issuance of  PAO: 16 Jan 2017
•Issuance of  FIT-COC: 5-Jun-2017 
•Issuance of  PAO-FIT: 25 -Jan-2022
•Extension of  PAO-FIT: 09-Jun-2024
• Grant of PAO on 18 December 2024
•Extension of  PAO: 1-Dec-2025</t>
  </si>
  <si>
    <t>With Issued PAO-FIT: 02 November 2022
With issued PAO on 06 January 2025
With Issued COC on 18-Feb-2026</t>
  </si>
  <si>
    <t>•Issuance of COC: 30-Apr-12
•Issuance of FIT-COC: 24-Jan-16
•Renewal of FIT-COC: 19-Apr-17
•Renewal, Grant of PAO-FIT: 03-Oct-22
•Renewal, 1st Extension of PAO-FIT: 02 May 2024
•Extension of PAO: 4-Feb-2026</t>
  </si>
  <si>
    <t>•Issuance of COC: 18 May 2018
•For conversion to COC-FIT
• Issued PAO-FIT: 16-Dec-2020
• 1st Extension of  PAO-FIT: 18-Jan-2022
• With PAO valid until 15 December 2024; With ongoing PAO Application
• With NISE on 20 November 2024
•Issuance PAO: 12-Feb-2026</t>
  </si>
  <si>
    <t>•Issuance of PAO: 18 December 2024
•Issuance PAO: 26-Feb-2026</t>
  </si>
  <si>
    <t xml:space="preserve"> •From Regular COC Converted to COC-FIT (29 Sep 2020)
•Renewed to PAO on 29 July 2024
 • 1st Extension of PAO on 10 July 2025</t>
  </si>
  <si>
    <t>23 June 2020 -
22 June 2036</t>
  </si>
  <si>
    <t>•Issuance of COC:09-Feb-15 
•Issuance of FIT-COC:13-Apr-15
•Renewal, Issuance of PAO-FIT: 28-Nov-2019
•PAO-FIT 1st Extension: 30-Jun-2020
•PAO-FIT 2nd Extension: 2-Dec-2020 
•PAO-FIT 3rd Extension: 14-Mar-2022
• Grant of PAO on 10 December 2024
• 1st Extension of PAO on 09 December 2025</t>
  </si>
  <si>
    <t>•Issuance of FIT-COC: 06-Feb-17
•Issuance of PAO-FIT: 07-Jul-21
•1st Extension of PAO: 24Jun 24
 •Grant of PAO on 10 July 2025</t>
  </si>
  <si>
    <t>REPA-GEAP No.</t>
  </si>
  <si>
    <t>1001</t>
  </si>
  <si>
    <t>REPA-GEAP Status</t>
  </si>
  <si>
    <t>1003</t>
  </si>
  <si>
    <t>1004</t>
  </si>
  <si>
    <t>1005</t>
  </si>
  <si>
    <t>ERC Resolution No. 5, Series of 2026</t>
  </si>
  <si>
    <t>•Issuance of FIT-COC: 30-Mar-16
•Renewal, Issuance of PAO-FIT: 17-Mar-2021
•Grant of PAO: 12 March 2024
•1st Extension of PAO: 11 April 2025
• 2nd Extension of PAO on 27 March 2026</t>
  </si>
  <si>
    <t>•Issuance of COC: 22-Nov-16
•Issuance of FIT-COC: 08-Dec-16
•Issuance of PAO-FIT: 18 August 2021
•Issuance of PAO: 11 April 2025
• Issuance of PAO Extension on 16 March 2026</t>
  </si>
  <si>
    <t>based on TransCo - MGC need to apply for repa effectivity first</t>
  </si>
  <si>
    <t>Start of GET eligibility</t>
  </si>
  <si>
    <t>Nameplate Capacity (kWp)</t>
  </si>
  <si>
    <t>REPA effectivity date</t>
  </si>
  <si>
    <t>5/16/2025</t>
  </si>
  <si>
    <t>8/20/2025</t>
  </si>
  <si>
    <t>Date issued</t>
  </si>
  <si>
    <t>Date Approved</t>
  </si>
  <si>
    <t>Effective</t>
  </si>
  <si>
    <t>release date</t>
  </si>
  <si>
    <t>COE-GET no.</t>
  </si>
  <si>
    <t>S-2025-05-003</t>
  </si>
  <si>
    <t>COC no.</t>
  </si>
  <si>
    <t>S-2025-05-004</t>
  </si>
  <si>
    <t>S-2025-02-001</t>
  </si>
  <si>
    <t>COC</t>
  </si>
  <si>
    <t>S-2025-02-002</t>
  </si>
  <si>
    <t>with FCATC</t>
  </si>
  <si>
    <t>S-2025-08-006</t>
  </si>
  <si>
    <t>S-2025-08-005</t>
  </si>
  <si>
    <t>ongoing issuance of COE-GET 4/30</t>
  </si>
  <si>
    <t>awaiting COC</t>
  </si>
  <si>
    <t>S2026-03-008</t>
  </si>
  <si>
    <t>awaiting approval of COE-GET</t>
  </si>
  <si>
    <t>S2026-02-007</t>
  </si>
  <si>
    <t>to check on FIT list as of 30 April</t>
  </si>
  <si>
    <t>Energvantage Suppliers Co., Inc.</t>
  </si>
  <si>
    <t>Laguio (Laginbayan) Malaki 1</t>
  </si>
  <si>
    <t>Oriental Energy and Power Generation Corporation</t>
  </si>
  <si>
    <t>Timbaban</t>
  </si>
  <si>
    <t>Madalag, Aklan</t>
  </si>
  <si>
    <t>•Issuance of COC: 21-Mar-11
•Issuance of FIT-COC:26-Nov-15
•Renewal of FIT-COC:10-Mar-16
•Renewal, Issuance of PAO-FIT: 7-Apr-2021
• 1st Extension of PAO-FIT: 9-Nov-22
• Issuance of PAO: 30 Oct 2025</t>
  </si>
  <si>
    <t>• Issuance of Pao: 19-Jan-16
• Issuance of FIT-COC: 21-Apr-16
• Renewal, Issuance of PAO-FIT: 13-Jan-2021
• 1st Extension of PAO-FIT: 05-Jul-2022
• Issuance of COC: 18 Dec 2025</t>
  </si>
  <si>
    <t>•Issuance of PAO-FIT: 22 Sep 2021
• Issued PAO on 30 October 2024
• Issuance of PAO: 17 Dec 2025</t>
  </si>
  <si>
    <t>•Issuance of PAO: 27 Mar 17                               
•Issuance of COC-FIT: 19 Sept 17
•Renewal, Issuance of PAO-FIT: 17-Oct-22
•Granted PAO: 02 May 2024
•Issuance of PAO: 18 Jun 2025</t>
  </si>
  <si>
    <t>Expired PAO</t>
  </si>
  <si>
    <t>•Issuance of PAO-FIT: 27 Mar 2018-26 Sept 2018
•Extension of PAO-FIT: 27 Sept 2018 - 26 March 2019
•COC-FIT: 03 Dec 2019
•With NISE on 30 January 2024
• with 5th NISE on 1 Aug 2025</t>
  </si>
  <si>
    <t>Expired COC-FIT</t>
  </si>
  <si>
    <t>• With Issued PAO: 11 October 2024
• Issuance of PAO: 18 Dec 2025</t>
  </si>
  <si>
    <t>With Issued PAO: 11 August 2021
With Issued PAO: 21 October 2024
Issuance of PAO: 30 Oct 2025</t>
  </si>
  <si>
    <r>
      <t xml:space="preserve">***excluding </t>
    </r>
    <r>
      <rPr>
        <b/>
        <i/>
        <sz val="11"/>
        <color rgb="FF0070C0"/>
        <rFont val="Calibri"/>
        <family val="2"/>
        <scheme val="minor"/>
      </rPr>
      <t>3</t>
    </r>
    <r>
      <rPr>
        <b/>
        <i/>
        <sz val="11"/>
        <color theme="1"/>
        <rFont val="Calibri"/>
        <family val="2"/>
        <scheme val="minor"/>
      </rPr>
      <t xml:space="preserve"> hydro plants with DOE-COE and no submission of COC applications yet</t>
    </r>
  </si>
  <si>
    <t>ERC COC / PAO</t>
  </si>
  <si>
    <t>TransCo REPA</t>
  </si>
  <si>
    <t xml:space="preserve">Special FIT - ERC Case No. 2014-185 RC </t>
  </si>
  <si>
    <t>1006</t>
  </si>
  <si>
    <t>Jin Navitas Solaris, Inc.</t>
  </si>
  <si>
    <t>not yet billing</t>
  </si>
  <si>
    <t>•Issuance of PAO-FIT: 02 Dec 2020
•Grant of PAO: 15 January 2025
• 1st Extension of PAO on 27 February 2026</t>
  </si>
  <si>
    <t>•Issuance of PAO-FIT: 02 Dec 2020
•Grant of PAO: 15 January 2025
• Issuance of COC on 31 March 2026</t>
  </si>
  <si>
    <t>•Issuance of PAO-FIT: 02 Dec 2020
•Grant of PAO: 17 January 2025
• 1st Extension of PAO on 12 February 2026</t>
  </si>
  <si>
    <t>•Issuance of Regular COC: 11-Apr-14
•Issuance of FIT-COC: 15-Jun-15
•Renewal of FIT COC: 05-Mar-19
•Grant of PAO: 19-Mar-24
• 1st Extension of PAO on 21 Mar ch 2025
• 2nd Extension of PAO on 24 March 2026</t>
  </si>
  <si>
    <t>•Issuance of COC: 14-Jul-16
•Issuance of FIT-COC: 08-Dec-16
•Issuance of PAO-FIT: 13-Jul-2021
•1st Extension of PAO-FIT: 17-Oct-22
•2nd Extension of PAO-FIT: 16-Jul-24
• Grant of PAO on 07 July 2025
• Issuance of COC on 06 April 2026</t>
  </si>
  <si>
    <t>•Issuance of PAO: 18 Dec 2014
•Issuance of COC: 09 Feb 2015
•Renewal, Issuance of FIT-COC: 28-Nov-2019 (Consolidated FIT COC for Phase 1 and Phase 2
•With Issued Separated PAO on 30 April 2025
• 1st Extension of PAO on 10 April 2026</t>
  </si>
  <si>
    <t>•Issuance of COC-FIT: 13 Dec 2017
•Renewal, Issuance of FIT-COC: 28-Nov-2019 (Consolidated FIT COC for Phase 1 and Phase 2
• With Issued Separated PAO on 30 April 2025
• 1st Extension of PAO on 13 April 2026</t>
  </si>
  <si>
    <t>•Issuance of FIT-COC: 13 Apr 2016
•Issuance of PAO-FIT: 05 May 2021
• Issuance of PAO on 22 May 2026</t>
  </si>
  <si>
    <t>•Issuance of FIT-COC: 28-Jun-16
•Issuance of PAO-FIT: 23-Jun-21
•1st Extension of PAO-FIT: 22-Aug-2022
• Issuance of PAO on 05 May 2026</t>
  </si>
  <si>
    <t>•Issuance of FIT-COC: 16 April 2018
•Grant of PAO: 27 May 2024
•1st Extension of PAO on 13 June 2025
• 2nd Extension of PAO on 25 May 2026</t>
  </si>
  <si>
    <t>•Issuance of PAO: 19 December 2025
•</t>
  </si>
  <si>
    <t>19 December 2025 (PAO)</t>
  </si>
  <si>
    <t>•Issuance of PAO: 30 October 2025
•</t>
  </si>
  <si>
    <t>30 October 2025 (PAO)</t>
  </si>
  <si>
    <t>•Issuance of PAO: 5 September 2025
•</t>
  </si>
  <si>
    <t>5 September 2025</t>
  </si>
  <si>
    <t>•Issuance of PAO-FIT: 26 October 2023
• Issued PAO on 21 October 2024
• Issued PAO (1st extension) on 06 January 2026</t>
  </si>
  <si>
    <t>Pulanai River</t>
  </si>
  <si>
    <t xml:space="preserve">Cabanglasan Hydropower Corporation </t>
  </si>
  <si>
    <t>Valencia, Bukidnon</t>
  </si>
  <si>
    <t>21-May-26 (PAO)</t>
  </si>
  <si>
    <t>•Issuance of COC: 09-Jun-14
•Issuance of FIT- COC: 09-Feb-15
•Renewal of FIT-COC: 28-May-19
•Grant of PAO: 04 June 2024
•1st Extension of PAO: 04 June 2025
• 2nd Extension of PAO on 25 May 2026</t>
  </si>
  <si>
    <t>•Issuance of FIT-COC: 28 Feb 2017
•Grant of PAO: 22 March 2024
•1st Extension of PAO: 04 July 2025
• With issued COC on 04 May 2026</t>
  </si>
  <si>
    <t>•Issuance of FIT-COC: 20 Dec 2016
•Issuance of PAO-FIT: 16 Feb 2022
•Issuance of PAO: 11 June 2025
• 1st Extension of PAO on 28 May 2026</t>
  </si>
  <si>
    <t>•Issuance of COC: 20 Dec 2016
•Issuance of PAO: 07 July 2021
•1st Extension of PAO-FIT: 13 July 2023
• Grant of PAO: 03 July 2024
• 1st Extension of PAO: 18 June 2025
• Issuance of COC on 18 May 2026
• With issued COC on 18 May 2026</t>
  </si>
  <si>
    <t>•With Issued PAO-FIT: 10 Mar 2022
•Denied PAO-FIT Extension: 06 March 2024
•With Grant of PAO on 24 April 2024
•Amended PAO on 21 October 2024
•With issued PAO on 24 April 2025
• Witsh 2nd Extension of PAO on 28 May 2026</t>
  </si>
  <si>
    <t>•With Issued PA0: 15 June 2020
•With PAO Extension: 18 Nov 2020
•2nd PAO Extension: 25 Jan 2022
•Issued FIT-COC: 23 August 2022
• Issued PAO on 18 June 2025
• 1st Extension of PAO on 25 May 2026</t>
  </si>
  <si>
    <t>•Issuance of FIT-COC: 18 June 2019
•Grant of PAO: 07 June 2024
•1st Extension of PAO: 19 May 2025
• 2nd Extension of PAO on 19 May 2026</t>
  </si>
  <si>
    <t>•Issuance of COC: 18 June 2019
•Converted to COC-FIT on 5 May 2021
•Grant of PAO: 07 June 2024
•1st Extension of PAO: 19 May 2025
• 2nd Extension of PAO on 19 May 2026</t>
  </si>
  <si>
    <t>•Issuance of PAO: 22 May 2026</t>
  </si>
  <si>
    <t>•Issuance of COC:09-Feb-15 
•Issuance of FIT-COC:13-Apr-15 (FIT)
•Renewal of COC-FIT: 03-Dec-2019
• Issued PAO on 13 January 2025
• Amended PAO on 13 May 2025
• Amended PAO on 04 July 2025
• 1st Extension of PAO on 14 January 2026
• Amended 1st Extension of PAO on 01 June 2026</t>
  </si>
  <si>
    <t>•Issuance of PAO: 31 January 2025
• Extension of PAO: 31 January 2026
• Amended Extension of PAO on 08 June 2026</t>
  </si>
  <si>
    <t>25-07-30-M-PAO-N-0484L</t>
  </si>
  <si>
    <t> 25-08-05-M-PAO-N-0487L</t>
  </si>
  <si>
    <t>Capacity per COC / PAO (kW)</t>
  </si>
  <si>
    <t>26-05-21-M-PAO-N-0581V</t>
  </si>
  <si>
    <t>25-03-03-M-PAO-N-0409L</t>
  </si>
  <si>
    <t>25-03-M-00334L</t>
  </si>
  <si>
    <t>25-06-02-M-PAO-E-0459L</t>
  </si>
  <si>
    <t>25-06-02-M-PAO-E-0461L</t>
  </si>
  <si>
    <t>25-10-M-00344L</t>
  </si>
  <si>
    <t>Greenergy For Global, Inc. Doing Business Under G4G</t>
  </si>
  <si>
    <t>Jin-Navitas Solaris Inc.</t>
  </si>
  <si>
    <t>1007</t>
  </si>
  <si>
    <t>1011</t>
  </si>
  <si>
    <t>not yet effective</t>
  </si>
  <si>
    <t>As of 30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</si>
</sst>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_(* \(#,##0.00\);_(* &quot;-&quot;??_);_(@_)"/>
    <numFmt numFmtId="164" formatCode="0.000"/>
    <numFmt numFmtId="165" formatCode="0.0000"/>
    <numFmt numFmtId="166" formatCode="[$-409]d\-mmm\-yy;@"/>
    <numFmt numFmtId="167" formatCode="#,##0.000"/>
    <numFmt numFmtId="168" formatCode="_(* #,##0.000_);_(* \(#,##0.000\);_(* &quot;-&quot;??_);_(@_)"/>
    <numFmt numFmtId="169" formatCode="[$-3409]dd\-mmm\-yy;@"/>
    <numFmt numFmtId="170" formatCode="[$-409]d\-mmm\-yyyy;@"/>
    <numFmt numFmtId="171" formatCode="#,##0.0000"/>
    <numFmt numFmtId="172" formatCode="#,##0.0"/>
    <numFmt numFmtId="173" formatCode="#,##0.000_);\(#,##0.000\)"/>
    <numFmt numFmtId="174" formatCode="#,##0.0000_);\(#,##0.0000\)"/>
    <numFmt numFmtId="175" formatCode="0.0000_);\(0.0000\)"/>
    <numFmt numFmtId="176" formatCode="#,##0.000_);[Red]\(#,##0.000\)"/>
    <numFmt numFmtId="177" formatCode="_(* #,##0_);_(* \(#,##0\);_(* &quot;-&quot;??_);_(@_)"/>
    <numFmt numFmtId="178" formatCode="dd\-mmm\-yy"/>
  </numFmts>
  <fonts count="58" x14ac:knownFonts="1">
    <font>
      <sz val="11"/>
      <color theme="1"/>
      <name val="Calibri"/>
      <family val="2"/>
      <scheme val="minor"/>
    </font>
    <font>
      <sz val="12"/>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4"/>
      <color theme="1"/>
      <name val="Calibri"/>
      <family val="2"/>
      <scheme val="minor"/>
    </font>
    <font>
      <sz val="18"/>
      <color theme="1"/>
      <name val="Calibri"/>
      <family val="2"/>
      <scheme val="minor"/>
    </font>
    <font>
      <i/>
      <sz val="11"/>
      <color theme="1"/>
      <name val="Calibri"/>
      <family val="2"/>
      <scheme val="minor"/>
    </font>
    <font>
      <b/>
      <sz val="14"/>
      <color theme="1"/>
      <name val="Calibri"/>
      <family val="2"/>
      <scheme val="minor"/>
    </font>
    <font>
      <b/>
      <i/>
      <sz val="18"/>
      <color theme="1"/>
      <name val="Calibri"/>
      <family val="2"/>
      <scheme val="minor"/>
    </font>
    <font>
      <b/>
      <i/>
      <sz val="16"/>
      <color theme="1"/>
      <name val="Calibri"/>
      <family val="2"/>
      <scheme val="minor"/>
    </font>
    <font>
      <b/>
      <i/>
      <sz val="11"/>
      <color theme="1"/>
      <name val="Calibri"/>
      <family val="2"/>
      <scheme val="minor"/>
    </font>
    <font>
      <sz val="9"/>
      <color indexed="81"/>
      <name val="Tahoma"/>
      <family val="2"/>
    </font>
    <font>
      <b/>
      <sz val="9"/>
      <color indexed="81"/>
      <name val="Tahoma"/>
      <family val="2"/>
    </font>
    <font>
      <sz val="12"/>
      <name val="Calibri"/>
      <family val="2"/>
      <scheme val="minor"/>
    </font>
    <font>
      <b/>
      <sz val="11"/>
      <color theme="1"/>
      <name val="Georgia"/>
      <family val="1"/>
    </font>
    <font>
      <sz val="11"/>
      <color theme="1"/>
      <name val="Georgia"/>
      <family val="1"/>
    </font>
    <font>
      <b/>
      <sz val="11"/>
      <name val="Georgia"/>
      <family val="1"/>
    </font>
    <font>
      <b/>
      <sz val="11"/>
      <color rgb="FFFF0000"/>
      <name val="Georgia"/>
      <family val="1"/>
    </font>
    <font>
      <sz val="11"/>
      <name val="Georgia"/>
      <family val="1"/>
    </font>
    <font>
      <u/>
      <sz val="10"/>
      <color indexed="12"/>
      <name val="Arial"/>
      <family val="2"/>
    </font>
    <font>
      <sz val="11"/>
      <color rgb="FFFF0000"/>
      <name val="Georgia"/>
      <family val="1"/>
    </font>
    <font>
      <sz val="11"/>
      <color theme="1" tint="4.9989318521683403E-2"/>
      <name val="Georgia"/>
      <family val="1"/>
    </font>
    <font>
      <b/>
      <i/>
      <sz val="11"/>
      <color rgb="FFFF0000"/>
      <name val="Georgia"/>
      <family val="1"/>
    </font>
    <font>
      <sz val="11"/>
      <color theme="0"/>
      <name val="Georgia"/>
      <family val="1"/>
    </font>
    <font>
      <b/>
      <sz val="9"/>
      <color rgb="FF000000"/>
      <name val="Tahoma"/>
      <family val="2"/>
    </font>
    <font>
      <sz val="9"/>
      <color rgb="FF000000"/>
      <name val="Tahoma"/>
      <family val="2"/>
    </font>
    <font>
      <b/>
      <sz val="11"/>
      <name val="Calibri"/>
      <family val="2"/>
      <scheme val="minor"/>
    </font>
    <font>
      <sz val="11"/>
      <color rgb="FFFF0000"/>
      <name val="Calibri"/>
      <family val="2"/>
      <scheme val="minor"/>
    </font>
    <font>
      <sz val="12"/>
      <color rgb="FFFF0000"/>
      <name val="Calibri"/>
      <family val="2"/>
      <scheme val="minor"/>
    </font>
    <font>
      <b/>
      <sz val="12"/>
      <color theme="1"/>
      <name val="Calibri"/>
      <family val="2"/>
      <scheme val="minor"/>
    </font>
    <font>
      <b/>
      <i/>
      <sz val="11"/>
      <name val="Calibri"/>
      <family val="2"/>
      <scheme val="minor"/>
    </font>
    <font>
      <b/>
      <sz val="18"/>
      <color theme="1"/>
      <name val="Calibri"/>
      <family val="2"/>
      <scheme val="minor"/>
    </font>
    <font>
      <b/>
      <i/>
      <sz val="22"/>
      <color theme="1"/>
      <name val="Calibri"/>
      <family val="2"/>
      <scheme val="minor"/>
    </font>
    <font>
      <b/>
      <i/>
      <sz val="14"/>
      <color theme="1"/>
      <name val="Calibri"/>
      <family val="2"/>
      <scheme val="minor"/>
    </font>
    <font>
      <b/>
      <u/>
      <sz val="11"/>
      <color theme="1"/>
      <name val="Calibri"/>
      <family val="2"/>
      <scheme val="minor"/>
    </font>
    <font>
      <i/>
      <sz val="11"/>
      <color rgb="FFFF0000"/>
      <name val="Calibri"/>
      <family val="2"/>
      <scheme val="minor"/>
    </font>
    <font>
      <b/>
      <i/>
      <sz val="10"/>
      <color rgb="FFFF0000"/>
      <name val="Calibri"/>
      <family val="2"/>
      <scheme val="minor"/>
    </font>
    <font>
      <b/>
      <sz val="11"/>
      <color theme="0"/>
      <name val="Calibri"/>
      <family val="2"/>
      <scheme val="minor"/>
    </font>
    <font>
      <b/>
      <sz val="14"/>
      <color rgb="FF0070C0"/>
      <name val="Calibri"/>
      <family val="2"/>
      <scheme val="minor"/>
    </font>
    <font>
      <b/>
      <i/>
      <sz val="11"/>
      <color rgb="FF0070C0"/>
      <name val="Calibri"/>
      <family val="2"/>
      <scheme val="minor"/>
    </font>
    <font>
      <b/>
      <i/>
      <sz val="11"/>
      <color theme="0" tint="-0.14999847407452621"/>
      <name val="Calibri"/>
      <family val="2"/>
      <scheme val="minor"/>
    </font>
    <font>
      <i/>
      <sz val="9"/>
      <color rgb="FFFF0000"/>
      <name val="Calibri"/>
      <family val="2"/>
      <scheme val="minor"/>
    </font>
    <font>
      <sz val="11"/>
      <color theme="0"/>
      <name val="Calibri"/>
      <family val="2"/>
      <scheme val="minor"/>
    </font>
    <font>
      <b/>
      <sz val="18"/>
      <color theme="0"/>
      <name val="Calibri"/>
      <family val="2"/>
      <scheme val="minor"/>
    </font>
    <font>
      <sz val="11"/>
      <color rgb="FF0000FF"/>
      <name val="Calibri"/>
      <family val="2"/>
      <scheme val="minor"/>
    </font>
    <font>
      <b/>
      <sz val="11"/>
      <color rgb="FFFF0000"/>
      <name val="Calibri"/>
      <family val="2"/>
      <scheme val="minor"/>
    </font>
    <font>
      <b/>
      <i/>
      <sz val="11"/>
      <color rgb="FFFF0000"/>
      <name val="Calibri"/>
      <family val="2"/>
      <scheme val="minor"/>
    </font>
    <font>
      <b/>
      <i/>
      <sz val="12"/>
      <color rgb="FFFF0000"/>
      <name val="Calibri"/>
      <family val="2"/>
      <scheme val="minor"/>
    </font>
    <font>
      <sz val="8"/>
      <name val="Calibri"/>
      <family val="2"/>
      <scheme val="minor"/>
    </font>
    <font>
      <sz val="10"/>
      <color theme="1"/>
      <name val="Cambria"/>
      <family val="1"/>
      <scheme val="major"/>
    </font>
    <font>
      <sz val="10"/>
      <name val="Cambria"/>
      <family val="1"/>
      <scheme val="major"/>
    </font>
    <font>
      <sz val="10"/>
      <color theme="1"/>
      <name val="Calibri"/>
      <family val="2"/>
      <scheme val="minor"/>
    </font>
    <font>
      <b/>
      <sz val="10"/>
      <color theme="1"/>
      <name val="Calibri"/>
      <family val="2"/>
      <scheme val="minor"/>
    </font>
    <font>
      <i/>
      <sz val="11"/>
      <color rgb="FF0000FF"/>
      <name val="Calibri"/>
      <family val="2"/>
      <scheme val="minor"/>
    </font>
    <font>
      <b/>
      <sz val="10"/>
      <color rgb="FF000000"/>
      <name val="Georgia"/>
      <family val="1"/>
    </font>
    <font>
      <sz val="10"/>
      <color rgb="FF000000"/>
      <name val="Georgia"/>
      <family val="1"/>
    </font>
    <font>
      <b/>
      <sz val="13.5"/>
      <color theme="1"/>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8" tint="-0.499984740745262"/>
        <bgColor indexed="64"/>
      </patternFill>
    </fill>
    <fill>
      <patternFill patternType="solid">
        <fgColor theme="4"/>
      </patternFill>
    </fill>
    <fill>
      <patternFill patternType="solid">
        <fgColor rgb="FF002060"/>
        <bgColor indexed="64"/>
      </patternFill>
    </fill>
    <fill>
      <patternFill patternType="solid">
        <fgColor theme="8" tint="0.79998168889431442"/>
        <bgColor theme="8" tint="0.79998168889431442"/>
      </patternFill>
    </fill>
    <fill>
      <patternFill patternType="solid">
        <fgColor theme="0" tint="-0.14999847407452621"/>
        <bgColor theme="0" tint="-0.14999847407452621"/>
      </patternFill>
    </fill>
    <fill>
      <patternFill patternType="solid">
        <fgColor rgb="FF66FF99"/>
        <bgColor indexed="64"/>
      </patternFill>
    </fill>
    <fill>
      <patternFill patternType="solid">
        <fgColor theme="6" tint="-0.249977111117893"/>
        <bgColor theme="6" tint="-0.249977111117893"/>
      </patternFill>
    </fill>
    <fill>
      <patternFill patternType="solid">
        <fgColor theme="6" tint="0.39997558519241921"/>
        <bgColor theme="6" tint="0.39997558519241921"/>
      </patternFill>
    </fill>
    <fill>
      <patternFill patternType="solid">
        <fgColor rgb="FFDCEAF7"/>
        <bgColor indexed="64"/>
      </patternFill>
    </fill>
    <fill>
      <patternFill patternType="solid">
        <fgColor rgb="FFC2F1C8"/>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66FFFF"/>
        <bgColor indexed="64"/>
      </patternFill>
    </fill>
    <fill>
      <patternFill patternType="solid">
        <fgColor rgb="FF00B0F0"/>
        <bgColor indexed="64"/>
      </patternFill>
    </fill>
  </fills>
  <borders count="10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style="thin">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right style="thin">
        <color indexed="64"/>
      </right>
      <top/>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top style="thin">
        <color indexed="64"/>
      </top>
      <bottom style="double">
        <color indexed="64"/>
      </bottom>
      <diagonal/>
    </border>
    <border>
      <left/>
      <right/>
      <top/>
      <bottom style="thin">
        <color theme="8" tint="0.39997558519241921"/>
      </bottom>
      <diagonal/>
    </border>
    <border>
      <left/>
      <right/>
      <top style="thin">
        <color theme="8" tint="0.39997558519241921"/>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8" tint="0.39997558519241921"/>
      </top>
      <bottom/>
      <diagonal/>
    </border>
    <border>
      <left/>
      <right style="thin">
        <color theme="0" tint="-0.249977111117893"/>
      </right>
      <top/>
      <bottom/>
      <diagonal/>
    </border>
    <border>
      <left/>
      <right/>
      <top style="medium">
        <color indexed="64"/>
      </top>
      <bottom style="medium">
        <color indexed="64"/>
      </bottom>
      <diagonal/>
    </border>
    <border>
      <left/>
      <right/>
      <top style="thin">
        <color theme="6" tint="0.79998168889431442"/>
      </top>
      <bottom style="thin">
        <color theme="6" tint="0.79998168889431442"/>
      </bottom>
      <diagonal/>
    </border>
    <border>
      <left style="thin">
        <color theme="6" tint="-0.249977111117893"/>
      </left>
      <right style="thin">
        <color theme="6" tint="-0.249977111117893"/>
      </right>
      <top style="thin">
        <color theme="6" tint="0.79998168889431442"/>
      </top>
      <bottom style="thin">
        <color theme="6" tint="0.79998168889431442"/>
      </bottom>
      <diagonal/>
    </border>
    <border>
      <left/>
      <right/>
      <top style="thin">
        <color theme="6" tint="-0.249977111117893"/>
      </top>
      <bottom style="thin">
        <color theme="6" tint="-0.249977111117893"/>
      </bottom>
      <diagonal/>
    </border>
    <border>
      <left style="thin">
        <color theme="6" tint="-0.249977111117893"/>
      </left>
      <right style="thin">
        <color theme="6" tint="-0.249977111117893"/>
      </right>
      <top style="thin">
        <color theme="6" tint="-0.249977111117893"/>
      </top>
      <bottom style="thin">
        <color theme="6" tint="-0.249977111117893"/>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indexed="64"/>
      </right>
      <top style="medium">
        <color indexed="64"/>
      </top>
      <bottom style="thin">
        <color indexed="64"/>
      </bottom>
      <diagonal/>
    </border>
    <border>
      <left/>
      <right/>
      <top/>
      <bottom style="thin">
        <color theme="6" tint="-0.249977111117893"/>
      </bottom>
      <diagonal/>
    </border>
    <border>
      <left style="thin">
        <color theme="6" tint="-0.249977111117893"/>
      </left>
      <right style="thin">
        <color theme="6" tint="-0.249977111117893"/>
      </right>
      <top/>
      <bottom style="thin">
        <color theme="6" tint="-0.249977111117893"/>
      </bottom>
      <diagonal/>
    </border>
    <border>
      <left/>
      <right/>
      <top style="medium">
        <color indexed="64"/>
      </top>
      <bottom style="thin">
        <color theme="6" tint="-0.249977111117893"/>
      </bottom>
      <diagonal/>
    </border>
    <border>
      <left style="thin">
        <color theme="6" tint="-0.249977111117893"/>
      </left>
      <right style="thin">
        <color theme="6" tint="-0.249977111117893"/>
      </right>
      <top style="medium">
        <color indexed="64"/>
      </top>
      <bottom style="thin">
        <color theme="6" tint="-0.249977111117893"/>
      </bottom>
      <diagonal/>
    </border>
    <border>
      <left/>
      <right style="medium">
        <color indexed="64"/>
      </right>
      <top style="medium">
        <color indexed="64"/>
      </top>
      <bottom style="thin">
        <color theme="6" tint="-0.249977111117893"/>
      </bottom>
      <diagonal/>
    </border>
    <border>
      <left/>
      <right style="medium">
        <color indexed="64"/>
      </right>
      <top style="thin">
        <color theme="6" tint="0.79998168889431442"/>
      </top>
      <bottom style="thin">
        <color theme="6" tint="0.79998168889431442"/>
      </bottom>
      <diagonal/>
    </border>
    <border>
      <left/>
      <right style="medium">
        <color indexed="64"/>
      </right>
      <top style="thin">
        <color theme="6" tint="-0.249977111117893"/>
      </top>
      <bottom style="thin">
        <color theme="6" tint="-0.249977111117893"/>
      </bottom>
      <diagonal/>
    </border>
    <border>
      <left/>
      <right style="medium">
        <color indexed="64"/>
      </right>
      <top/>
      <bottom style="thin">
        <color theme="6" tint="-0.249977111117893"/>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right/>
      <top/>
      <bottom style="thin">
        <color theme="6" tint="0.79998168889431442"/>
      </bottom>
      <diagonal/>
    </border>
    <border>
      <left/>
      <right/>
      <top/>
      <bottom style="thin">
        <color theme="6" tint="0.59999389629810485"/>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indexed="64"/>
      </left>
      <right/>
      <top/>
      <bottom style="thin">
        <color indexed="64"/>
      </bottom>
      <diagonal/>
    </border>
    <border>
      <left/>
      <right/>
      <top style="thin">
        <color theme="0" tint="-0.499984740745262"/>
      </top>
      <bottom style="double">
        <color theme="0" tint="-0.499984740745262"/>
      </bottom>
      <diagonal/>
    </border>
    <border>
      <left/>
      <right/>
      <top style="thin">
        <color theme="0" tint="-0.499984740745262"/>
      </top>
      <bottom/>
      <diagonal/>
    </border>
  </borders>
  <cellStyleXfs count="5">
    <xf numFmtId="0" fontId="0" fillId="0" borderId="0"/>
    <xf numFmtId="9" fontId="4" fillId="0" borderId="0" applyFont="0" applyFill="0" applyBorder="0" applyAlignment="0" applyProtection="0"/>
    <xf numFmtId="43" fontId="4" fillId="0" borderId="0" applyFont="0" applyFill="0" applyBorder="0" applyAlignment="0" applyProtection="0"/>
    <xf numFmtId="0" fontId="20" fillId="0" borderId="0" applyNumberFormat="0" applyFill="0" applyBorder="0" applyAlignment="0" applyProtection="0">
      <alignment vertical="top"/>
      <protection locked="0"/>
    </xf>
    <xf numFmtId="0" fontId="43" fillId="29" borderId="0" applyNumberFormat="0" applyBorder="0" applyAlignment="0" applyProtection="0"/>
  </cellStyleXfs>
  <cellXfs count="1177">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2" fillId="0" borderId="0" xfId="0" applyFont="1" applyAlignment="1">
      <alignment vertical="center"/>
    </xf>
    <xf numFmtId="0" fontId="0" fillId="0" borderId="0" xfId="0" applyAlignment="1">
      <alignment vertical="center" wrapText="1"/>
    </xf>
    <xf numFmtId="0" fontId="0" fillId="0" borderId="1" xfId="0" applyBorder="1" applyAlignment="1">
      <alignment vertical="center" wrapText="1"/>
    </xf>
    <xf numFmtId="0" fontId="0" fillId="0" borderId="5" xfId="0" applyBorder="1" applyAlignment="1">
      <alignment vertical="center" wrapText="1"/>
    </xf>
    <xf numFmtId="2" fontId="0" fillId="0" borderId="1" xfId="0" applyNumberFormat="1" applyBorder="1" applyAlignment="1">
      <alignment vertical="center" wrapText="1"/>
    </xf>
    <xf numFmtId="15" fontId="0" fillId="0" borderId="1" xfId="0" applyNumberFormat="1" applyBorder="1" applyAlignment="1">
      <alignment horizontal="center" vertical="center" wrapText="1"/>
    </xf>
    <xf numFmtId="15" fontId="0" fillId="0" borderId="1" xfId="0" applyNumberFormat="1" applyBorder="1" applyAlignment="1">
      <alignment horizontal="left" vertical="center" wrapText="1"/>
    </xf>
    <xf numFmtId="0" fontId="0" fillId="0" borderId="1" xfId="0" applyBorder="1" applyAlignment="1">
      <alignment vertical="center"/>
    </xf>
    <xf numFmtId="2" fontId="0" fillId="0" borderId="1" xfId="0" applyNumberFormat="1" applyBorder="1" applyAlignment="1">
      <alignment vertical="center"/>
    </xf>
    <xf numFmtId="166" fontId="0" fillId="0" borderId="1" xfId="0" applyNumberFormat="1" applyBorder="1" applyAlignment="1">
      <alignment vertical="center"/>
    </xf>
    <xf numFmtId="0" fontId="0" fillId="0" borderId="0" xfId="0" applyAlignment="1">
      <alignment vertical="center"/>
    </xf>
    <xf numFmtId="15" fontId="0" fillId="0" borderId="1" xfId="0" applyNumberFormat="1" applyBorder="1" applyAlignment="1">
      <alignment vertical="center"/>
    </xf>
    <xf numFmtId="0" fontId="2" fillId="0" borderId="2" xfId="0" applyFont="1" applyBorder="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center" vertical="center"/>
    </xf>
    <xf numFmtId="0" fontId="0" fillId="0" borderId="1" xfId="0" applyBorder="1" applyAlignment="1">
      <alignment horizontal="center" vertical="center" wrapText="1"/>
    </xf>
    <xf numFmtId="0" fontId="1" fillId="0" borderId="1" xfId="0" applyFont="1" applyBorder="1" applyAlignment="1">
      <alignment vertical="center" wrapText="1"/>
    </xf>
    <xf numFmtId="166" fontId="0" fillId="0" borderId="1" xfId="0" applyNumberFormat="1" applyBorder="1" applyAlignment="1">
      <alignment horizontal="left" vertical="center" wrapText="1"/>
    </xf>
    <xf numFmtId="0" fontId="0" fillId="0" borderId="1" xfId="0" applyBorder="1" applyAlignment="1">
      <alignment horizontal="left" vertical="center" wrapText="1"/>
    </xf>
    <xf numFmtId="0" fontId="1" fillId="0" borderId="5" xfId="0" applyFont="1" applyBorder="1" applyAlignment="1">
      <alignment vertical="center" wrapText="1"/>
    </xf>
    <xf numFmtId="165" fontId="0" fillId="0" borderId="1" xfId="0" applyNumberFormat="1" applyBorder="1" applyAlignment="1">
      <alignment vertical="center" wrapText="1"/>
    </xf>
    <xf numFmtId="0" fontId="3" fillId="0" borderId="1" xfId="0" applyFont="1" applyBorder="1" applyAlignment="1">
      <alignment vertical="center" wrapText="1"/>
    </xf>
    <xf numFmtId="15" fontId="3" fillId="0" borderId="1" xfId="0" applyNumberFormat="1" applyFont="1" applyBorder="1" applyAlignment="1">
      <alignment horizontal="center" vertical="center" wrapText="1"/>
    </xf>
    <xf numFmtId="15" fontId="3" fillId="0" borderId="1" xfId="0" applyNumberFormat="1" applyFont="1" applyBorder="1" applyAlignment="1">
      <alignment horizontal="left" vertical="center" wrapText="1"/>
    </xf>
    <xf numFmtId="166" fontId="0" fillId="0" borderId="1" xfId="0" applyNumberFormat="1" applyBorder="1" applyAlignment="1">
      <alignment horizontal="center" vertical="center"/>
    </xf>
    <xf numFmtId="15" fontId="3" fillId="0" borderId="1" xfId="0" applyNumberFormat="1" applyFont="1" applyBorder="1" applyAlignment="1">
      <alignment vertical="center" wrapText="1"/>
    </xf>
    <xf numFmtId="164" fontId="0" fillId="0" borderId="1" xfId="0" applyNumberFormat="1" applyBorder="1" applyAlignment="1">
      <alignment vertical="center"/>
    </xf>
    <xf numFmtId="9" fontId="0" fillId="0" borderId="0" xfId="1" applyFont="1"/>
    <xf numFmtId="0" fontId="0" fillId="2" borderId="3" xfId="0" applyFill="1" applyBorder="1" applyAlignment="1">
      <alignment vertical="center" wrapText="1"/>
    </xf>
    <xf numFmtId="0" fontId="1" fillId="2" borderId="3" xfId="0" applyFont="1" applyFill="1" applyBorder="1" applyAlignment="1">
      <alignment vertical="center" wrapText="1"/>
    </xf>
    <xf numFmtId="0" fontId="0" fillId="2" borderId="1" xfId="0" applyFill="1" applyBorder="1" applyAlignment="1">
      <alignment vertical="center"/>
    </xf>
    <xf numFmtId="2" fontId="3" fillId="0" borderId="1" xfId="0" applyNumberFormat="1" applyFont="1" applyBorder="1" applyAlignment="1">
      <alignment vertical="center" wrapText="1"/>
    </xf>
    <xf numFmtId="2" fontId="0" fillId="0" borderId="0" xfId="0" applyNumberFormat="1"/>
    <xf numFmtId="2" fontId="2" fillId="3" borderId="1" xfId="0" applyNumberFormat="1" applyFont="1" applyFill="1" applyBorder="1" applyAlignment="1">
      <alignment vertical="center" wrapText="1"/>
    </xf>
    <xf numFmtId="2" fontId="2" fillId="3" borderId="4" xfId="0" applyNumberFormat="1" applyFont="1" applyFill="1" applyBorder="1" applyAlignment="1">
      <alignment horizontal="right" vertical="center" wrapText="1"/>
    </xf>
    <xf numFmtId="0" fontId="8" fillId="0" borderId="1" xfId="0" applyFont="1" applyBorder="1" applyAlignment="1">
      <alignment horizontal="center" vertical="center" wrapText="1"/>
    </xf>
    <xf numFmtId="0" fontId="8" fillId="0" borderId="2" xfId="0" applyFont="1" applyBorder="1" applyAlignment="1">
      <alignment horizontal="center" vertical="center"/>
    </xf>
    <xf numFmtId="0" fontId="8" fillId="0" borderId="1" xfId="0" applyFont="1" applyBorder="1" applyAlignment="1">
      <alignment horizontal="center" vertical="center"/>
    </xf>
    <xf numFmtId="0" fontId="8" fillId="2" borderId="1" xfId="0" applyFont="1" applyFill="1" applyBorder="1" applyAlignment="1">
      <alignment horizontal="center" vertical="center"/>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164" fontId="0" fillId="0" borderId="1" xfId="0" applyNumberFormat="1" applyBorder="1" applyAlignment="1">
      <alignment vertical="center" wrapText="1"/>
    </xf>
    <xf numFmtId="164" fontId="3" fillId="0" borderId="1" xfId="0" applyNumberFormat="1" applyFont="1" applyBorder="1" applyAlignment="1">
      <alignment vertical="center" wrapText="1"/>
    </xf>
    <xf numFmtId="0" fontId="6" fillId="0" borderId="17" xfId="0" applyFont="1" applyBorder="1" applyAlignment="1">
      <alignment horizontal="left" vertical="center"/>
    </xf>
    <xf numFmtId="0" fontId="6" fillId="0" borderId="20" xfId="0" applyFont="1" applyBorder="1" applyAlignment="1">
      <alignment horizontal="center" vertical="center"/>
    </xf>
    <xf numFmtId="1" fontId="6" fillId="0" borderId="22" xfId="0" applyNumberFormat="1" applyFont="1" applyBorder="1" applyAlignment="1">
      <alignment horizontal="center"/>
    </xf>
    <xf numFmtId="0" fontId="6" fillId="0" borderId="10" xfId="0" applyFont="1" applyBorder="1" applyAlignment="1">
      <alignment horizontal="center" vertical="center" wrapText="1"/>
    </xf>
    <xf numFmtId="1" fontId="5" fillId="0" borderId="15" xfId="0" applyNumberFormat="1" applyFont="1" applyBorder="1" applyAlignment="1">
      <alignment horizontal="center"/>
    </xf>
    <xf numFmtId="0" fontId="11" fillId="0" borderId="7" xfId="0" applyFont="1" applyBorder="1"/>
    <xf numFmtId="1" fontId="0" fillId="0" borderId="1" xfId="0" applyNumberFormat="1" applyBorder="1" applyAlignment="1">
      <alignment horizontal="center" vertical="center" wrapText="1"/>
    </xf>
    <xf numFmtId="1" fontId="0" fillId="0" borderId="1" xfId="0" applyNumberFormat="1" applyBorder="1" applyAlignment="1">
      <alignment vertical="center"/>
    </xf>
    <xf numFmtId="1" fontId="11" fillId="0" borderId="7" xfId="0" applyNumberFormat="1" applyFont="1" applyBorder="1" applyAlignment="1">
      <alignment horizontal="center" vertical="center"/>
    </xf>
    <xf numFmtId="0" fontId="0" fillId="0" borderId="7" xfId="0" applyBorder="1" applyAlignment="1">
      <alignment horizontal="center" vertical="center"/>
    </xf>
    <xf numFmtId="0" fontId="0" fillId="0" borderId="15" xfId="0" applyBorder="1" applyAlignment="1">
      <alignment horizontal="center" vertical="center"/>
    </xf>
    <xf numFmtId="167" fontId="0" fillId="0" borderId="0" xfId="0" applyNumberFormat="1"/>
    <xf numFmtId="0" fontId="0" fillId="0" borderId="29" xfId="0" applyBorder="1" applyAlignment="1">
      <alignment vertical="center" wrapText="1"/>
    </xf>
    <xf numFmtId="2" fontId="0" fillId="0" borderId="30" xfId="0" applyNumberFormat="1" applyBorder="1" applyAlignment="1">
      <alignment vertical="center" wrapText="1"/>
    </xf>
    <xf numFmtId="165" fontId="0" fillId="0" borderId="30" xfId="0" applyNumberFormat="1" applyBorder="1" applyAlignment="1">
      <alignment vertical="center" wrapText="1"/>
    </xf>
    <xf numFmtId="0" fontId="0" fillId="0" borderId="26" xfId="0" applyBorder="1" applyAlignment="1">
      <alignment vertical="center"/>
    </xf>
    <xf numFmtId="0" fontId="0" fillId="0" borderId="26" xfId="0" applyBorder="1" applyAlignment="1">
      <alignment horizontal="center" vertical="center"/>
    </xf>
    <xf numFmtId="0" fontId="0" fillId="2" borderId="26" xfId="0" applyFill="1" applyBorder="1" applyAlignment="1">
      <alignment vertical="center"/>
    </xf>
    <xf numFmtId="2" fontId="0" fillId="0" borderId="26" xfId="0" applyNumberFormat="1" applyBorder="1" applyAlignment="1">
      <alignment vertical="center"/>
    </xf>
    <xf numFmtId="1" fontId="0" fillId="0" borderId="26" xfId="0" applyNumberFormat="1" applyBorder="1" applyAlignment="1">
      <alignment vertical="center"/>
    </xf>
    <xf numFmtId="166" fontId="0" fillId="0" borderId="26" xfId="0" applyNumberFormat="1" applyBorder="1" applyAlignment="1">
      <alignment vertical="center"/>
    </xf>
    <xf numFmtId="0" fontId="0" fillId="3" borderId="0" xfId="0" applyFill="1" applyAlignment="1">
      <alignment vertical="center" wrapText="1"/>
    </xf>
    <xf numFmtId="164" fontId="0" fillId="0" borderId="0" xfId="0" applyNumberFormat="1" applyAlignment="1">
      <alignment vertical="center" wrapText="1"/>
    </xf>
    <xf numFmtId="165" fontId="0" fillId="0" borderId="0" xfId="0" applyNumberFormat="1" applyAlignment="1">
      <alignment vertical="center" wrapText="1"/>
    </xf>
    <xf numFmtId="0" fontId="3" fillId="0" borderId="1" xfId="0" applyFont="1" applyBorder="1" applyAlignment="1">
      <alignment horizontal="center" vertical="center" wrapText="1"/>
    </xf>
    <xf numFmtId="0" fontId="1" fillId="0" borderId="32" xfId="0" applyFont="1" applyBorder="1" applyAlignment="1">
      <alignment vertical="center" wrapText="1"/>
    </xf>
    <xf numFmtId="15" fontId="0" fillId="0" borderId="32" xfId="0" applyNumberFormat="1" applyBorder="1" applyAlignment="1">
      <alignment horizontal="center" vertical="center" wrapText="1"/>
    </xf>
    <xf numFmtId="1" fontId="0" fillId="0" borderId="32" xfId="0" applyNumberFormat="1" applyBorder="1" applyAlignment="1">
      <alignment horizontal="center" vertical="center" wrapText="1"/>
    </xf>
    <xf numFmtId="15" fontId="0" fillId="0" borderId="32" xfId="0" applyNumberFormat="1" applyBorder="1" applyAlignment="1">
      <alignment horizontal="left" vertical="center" wrapText="1"/>
    </xf>
    <xf numFmtId="164" fontId="0" fillId="0" borderId="26" xfId="0" applyNumberFormat="1" applyBorder="1" applyAlignment="1">
      <alignment vertical="center"/>
    </xf>
    <xf numFmtId="0" fontId="2" fillId="0" borderId="0" xfId="0" applyFont="1" applyAlignment="1">
      <alignment vertical="center" wrapText="1"/>
    </xf>
    <xf numFmtId="0" fontId="0" fillId="2" borderId="1" xfId="0" applyFill="1" applyBorder="1" applyAlignment="1">
      <alignment vertical="center" wrapText="1"/>
    </xf>
    <xf numFmtId="0" fontId="2" fillId="0" borderId="1" xfId="0" applyFont="1" applyBorder="1" applyAlignment="1">
      <alignment vertical="center" wrapText="1"/>
    </xf>
    <xf numFmtId="164" fontId="2" fillId="0" borderId="1" xfId="0" applyNumberFormat="1" applyFont="1" applyBorder="1" applyAlignment="1">
      <alignment vertical="center" wrapText="1"/>
    </xf>
    <xf numFmtId="0" fontId="0" fillId="4" borderId="1" xfId="0" applyFill="1" applyBorder="1" applyAlignment="1">
      <alignment vertical="center" wrapText="1"/>
    </xf>
    <xf numFmtId="0" fontId="0" fillId="4" borderId="1" xfId="0" applyFill="1" applyBorder="1" applyAlignment="1">
      <alignment horizontal="center" vertical="center" wrapText="1"/>
    </xf>
    <xf numFmtId="0" fontId="1" fillId="4" borderId="1" xfId="0" applyFont="1" applyFill="1" applyBorder="1" applyAlignment="1">
      <alignment vertical="center" wrapText="1"/>
    </xf>
    <xf numFmtId="2" fontId="0" fillId="4" borderId="1" xfId="0" applyNumberFormat="1" applyFill="1" applyBorder="1" applyAlignment="1">
      <alignment vertical="center" wrapText="1"/>
    </xf>
    <xf numFmtId="15" fontId="0" fillId="4" borderId="1" xfId="0" applyNumberFormat="1" applyFill="1" applyBorder="1" applyAlignment="1">
      <alignment horizontal="center" vertical="center" wrapText="1"/>
    </xf>
    <xf numFmtId="1" fontId="0" fillId="4" borderId="1" xfId="0" applyNumberFormat="1" applyFill="1" applyBorder="1" applyAlignment="1">
      <alignment horizontal="center" vertical="center" wrapText="1"/>
    </xf>
    <xf numFmtId="15" fontId="0" fillId="4" borderId="1" xfId="0" applyNumberFormat="1" applyFill="1" applyBorder="1" applyAlignment="1">
      <alignment horizontal="left" vertical="center" wrapText="1"/>
    </xf>
    <xf numFmtId="15" fontId="0" fillId="2" borderId="1" xfId="0" applyNumberFormat="1" applyFill="1" applyBorder="1" applyAlignment="1">
      <alignment horizontal="center" vertical="center" wrapText="1"/>
    </xf>
    <xf numFmtId="1" fontId="0" fillId="2" borderId="1" xfId="0" applyNumberFormat="1" applyFill="1" applyBorder="1" applyAlignment="1">
      <alignment horizontal="center" vertical="center" wrapText="1"/>
    </xf>
    <xf numFmtId="0" fontId="0" fillId="2" borderId="0" xfId="0" applyFill="1" applyAlignment="1">
      <alignment vertical="center" wrapText="1"/>
    </xf>
    <xf numFmtId="0" fontId="0" fillId="0" borderId="14" xfId="0" applyBorder="1" applyAlignment="1">
      <alignment horizontal="center" vertical="center" wrapText="1"/>
    </xf>
    <xf numFmtId="0" fontId="0" fillId="0" borderId="18" xfId="0" applyBorder="1"/>
    <xf numFmtId="0" fontId="0" fillId="0" borderId="38" xfId="0" applyBorder="1"/>
    <xf numFmtId="2" fontId="0" fillId="0" borderId="21" xfId="0" applyNumberFormat="1" applyBorder="1" applyAlignment="1">
      <alignment horizontal="center" vertical="center"/>
    </xf>
    <xf numFmtId="164" fontId="0" fillId="0" borderId="21" xfId="0" applyNumberFormat="1" applyBorder="1" applyAlignment="1">
      <alignment horizontal="center" vertical="center"/>
    </xf>
    <xf numFmtId="2" fontId="0" fillId="0" borderId="39" xfId="0" applyNumberFormat="1" applyBorder="1" applyAlignment="1">
      <alignment horizontal="center" vertical="center"/>
    </xf>
    <xf numFmtId="2" fontId="0" fillId="0" borderId="21" xfId="0" applyNumberFormat="1" applyBorder="1" applyAlignment="1">
      <alignment horizontal="center" vertical="center" wrapText="1"/>
    </xf>
    <xf numFmtId="165" fontId="0" fillId="0" borderId="21" xfId="0" applyNumberFormat="1" applyBorder="1" applyAlignment="1">
      <alignment horizontal="center" vertical="center" wrapText="1"/>
    </xf>
    <xf numFmtId="0" fontId="0" fillId="0" borderId="9" xfId="0" applyBorder="1" applyAlignment="1">
      <alignment horizontal="center" vertical="center"/>
    </xf>
    <xf numFmtId="0" fontId="0" fillId="0" borderId="13"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xf>
    <xf numFmtId="0" fontId="0" fillId="0" borderId="17" xfId="0" applyBorder="1"/>
    <xf numFmtId="2" fontId="0" fillId="0" borderId="20" xfId="0" applyNumberFormat="1" applyBorder="1" applyAlignment="1">
      <alignment horizontal="center" vertical="center"/>
    </xf>
    <xf numFmtId="2" fontId="0" fillId="0" borderId="20" xfId="0" applyNumberFormat="1" applyBorder="1" applyAlignment="1">
      <alignment horizontal="center" vertical="center" wrapText="1"/>
    </xf>
    <xf numFmtId="2" fontId="0" fillId="0" borderId="39" xfId="0" applyNumberFormat="1" applyBorder="1" applyAlignment="1">
      <alignment horizontal="center" vertical="center" wrapText="1"/>
    </xf>
    <xf numFmtId="164" fontId="0" fillId="0" borderId="12" xfId="0" applyNumberFormat="1" applyBorder="1" applyAlignment="1">
      <alignment horizontal="center" vertical="center"/>
    </xf>
    <xf numFmtId="164" fontId="0" fillId="3" borderId="0" xfId="0" applyNumberFormat="1" applyFill="1" applyAlignment="1">
      <alignment vertical="center" wrapText="1"/>
    </xf>
    <xf numFmtId="165" fontId="0" fillId="3" borderId="0" xfId="0" applyNumberFormat="1" applyFill="1" applyAlignment="1">
      <alignment vertical="center" wrapText="1"/>
    </xf>
    <xf numFmtId="0" fontId="0" fillId="0" borderId="11" xfId="0" applyBorder="1" applyAlignment="1">
      <alignment vertical="center"/>
    </xf>
    <xf numFmtId="2" fontId="0" fillId="0" borderId="11" xfId="0" applyNumberFormat="1" applyBorder="1" applyAlignment="1">
      <alignment vertical="center"/>
    </xf>
    <xf numFmtId="1" fontId="0" fillId="0" borderId="11" xfId="0" applyNumberFormat="1" applyBorder="1" applyAlignment="1">
      <alignment vertical="center"/>
    </xf>
    <xf numFmtId="0" fontId="0" fillId="0" borderId="29" xfId="0" applyBorder="1" applyAlignment="1">
      <alignment horizontal="left" vertical="center"/>
    </xf>
    <xf numFmtId="169" fontId="0" fillId="0" borderId="0" xfId="0" applyNumberFormat="1" applyAlignment="1">
      <alignment vertical="center" wrapText="1"/>
    </xf>
    <xf numFmtId="164" fontId="2" fillId="0" borderId="35" xfId="0" applyNumberFormat="1" applyFont="1" applyBorder="1" applyAlignment="1">
      <alignment vertical="center" wrapText="1"/>
    </xf>
    <xf numFmtId="169" fontId="0" fillId="0" borderId="1" xfId="0" applyNumberFormat="1" applyBorder="1" applyAlignment="1">
      <alignment vertical="center" wrapText="1"/>
    </xf>
    <xf numFmtId="164" fontId="0" fillId="0" borderId="0" xfId="0" applyNumberFormat="1"/>
    <xf numFmtId="1" fontId="0" fillId="0" borderId="0" xfId="0" applyNumberFormat="1"/>
    <xf numFmtId="0" fontId="6" fillId="0" borderId="18" xfId="0" applyFont="1" applyBorder="1" applyAlignment="1">
      <alignment horizontal="left"/>
    </xf>
    <xf numFmtId="0" fontId="15" fillId="2" borderId="0" xfId="0" applyFont="1" applyFill="1" applyAlignment="1">
      <alignment vertical="center"/>
    </xf>
    <xf numFmtId="0" fontId="16" fillId="0" borderId="0" xfId="0" applyFont="1" applyAlignment="1">
      <alignment vertical="center" wrapText="1"/>
    </xf>
    <xf numFmtId="0" fontId="16" fillId="0" borderId="0" xfId="0" applyFont="1" applyAlignment="1">
      <alignment vertical="center"/>
    </xf>
    <xf numFmtId="0" fontId="16" fillId="0" borderId="0" xfId="0" applyFont="1" applyAlignment="1">
      <alignment horizontal="center" vertical="center"/>
    </xf>
    <xf numFmtId="170" fontId="16" fillId="0" borderId="0" xfId="0" applyNumberFormat="1" applyFont="1" applyAlignment="1">
      <alignment horizontal="center" vertical="center"/>
    </xf>
    <xf numFmtId="0" fontId="16" fillId="0" borderId="0" xfId="0" applyFont="1"/>
    <xf numFmtId="0" fontId="15" fillId="0" borderId="0" xfId="0" applyFont="1" applyAlignment="1">
      <alignment vertical="center"/>
    </xf>
    <xf numFmtId="0" fontId="15" fillId="0" borderId="0" xfId="0" applyFont="1" applyAlignment="1">
      <alignment vertical="center" wrapText="1"/>
    </xf>
    <xf numFmtId="0" fontId="16" fillId="2" borderId="0" xfId="0" applyFont="1" applyFill="1" applyAlignment="1">
      <alignment horizontal="center" vertical="center"/>
    </xf>
    <xf numFmtId="0" fontId="15" fillId="5" borderId="40" xfId="0" applyFont="1" applyFill="1" applyBorder="1" applyAlignment="1">
      <alignment horizontal="center" vertical="center" wrapText="1"/>
    </xf>
    <xf numFmtId="0" fontId="15" fillId="5" borderId="0" xfId="0" applyFont="1" applyFill="1" applyAlignment="1">
      <alignment horizontal="center" vertical="center" wrapText="1"/>
    </xf>
    <xf numFmtId="170" fontId="15" fillId="5" borderId="1" xfId="0" applyNumberFormat="1" applyFont="1" applyFill="1" applyBorder="1" applyAlignment="1">
      <alignment horizontal="center" vertical="center"/>
    </xf>
    <xf numFmtId="0" fontId="16" fillId="2" borderId="1" xfId="0" applyFont="1" applyFill="1" applyBorder="1" applyAlignment="1">
      <alignment horizontal="center" vertical="center"/>
    </xf>
    <xf numFmtId="0" fontId="18" fillId="0" borderId="3" xfId="0" applyFont="1" applyBorder="1" applyAlignment="1">
      <alignment vertical="center" wrapText="1"/>
    </xf>
    <xf numFmtId="0" fontId="18" fillId="0" borderId="6" xfId="0" applyFont="1" applyBorder="1" applyAlignment="1">
      <alignment vertical="center" wrapText="1"/>
    </xf>
    <xf numFmtId="0" fontId="18" fillId="0" borderId="6" xfId="0" applyFont="1" applyBorder="1" applyAlignment="1">
      <alignment vertical="center"/>
    </xf>
    <xf numFmtId="0" fontId="18" fillId="0" borderId="6" xfId="0" applyFont="1" applyBorder="1" applyAlignment="1">
      <alignment horizontal="center" vertical="center"/>
    </xf>
    <xf numFmtId="0" fontId="18" fillId="0" borderId="5" xfId="0" applyFont="1" applyBorder="1" applyAlignment="1">
      <alignment vertical="center"/>
    </xf>
    <xf numFmtId="170" fontId="16" fillId="0" borderId="1" xfId="0" applyNumberFormat="1" applyFont="1" applyBorder="1" applyAlignment="1">
      <alignment horizontal="center" vertical="center"/>
    </xf>
    <xf numFmtId="0" fontId="19" fillId="6" borderId="1" xfId="0" applyFont="1" applyFill="1" applyBorder="1" applyAlignment="1">
      <alignment horizontal="left" vertical="center" wrapText="1"/>
    </xf>
    <xf numFmtId="0" fontId="16" fillId="6" borderId="1" xfId="0" applyFont="1" applyFill="1" applyBorder="1" applyAlignment="1">
      <alignment horizontal="left" vertical="center" wrapText="1"/>
    </xf>
    <xf numFmtId="0" fontId="16" fillId="6" borderId="1" xfId="0" applyFont="1" applyFill="1" applyBorder="1" applyAlignment="1">
      <alignment horizontal="center" vertical="center" wrapText="1"/>
    </xf>
    <xf numFmtId="0" fontId="16" fillId="6" borderId="1" xfId="0" applyFont="1" applyFill="1" applyBorder="1" applyAlignment="1">
      <alignment horizontal="center" vertical="center"/>
    </xf>
    <xf numFmtId="15" fontId="16" fillId="6" borderId="1" xfId="0" applyNumberFormat="1" applyFont="1" applyFill="1" applyBorder="1" applyAlignment="1">
      <alignment horizontal="center" vertical="center"/>
    </xf>
    <xf numFmtId="15" fontId="16" fillId="6" borderId="1" xfId="0" applyNumberFormat="1" applyFont="1" applyFill="1" applyBorder="1" applyAlignment="1">
      <alignment horizontal="center" vertical="center" wrapText="1"/>
    </xf>
    <xf numFmtId="170" fontId="16" fillId="6" borderId="1" xfId="0" applyNumberFormat="1" applyFont="1" applyFill="1" applyBorder="1" applyAlignment="1">
      <alignment horizontal="center" vertical="center"/>
    </xf>
    <xf numFmtId="0" fontId="16" fillId="6" borderId="1" xfId="3" applyFont="1" applyFill="1" applyBorder="1" applyAlignment="1" applyProtection="1">
      <alignment horizontal="left" vertical="center" wrapText="1"/>
    </xf>
    <xf numFmtId="15" fontId="19" fillId="6" borderId="1" xfId="0" applyNumberFormat="1" applyFont="1" applyFill="1" applyBorder="1" applyAlignment="1">
      <alignment horizontal="center" vertical="center"/>
    </xf>
    <xf numFmtId="0" fontId="16" fillId="6" borderId="1" xfId="0" applyFont="1" applyFill="1" applyBorder="1" applyAlignment="1">
      <alignment vertical="center" wrapText="1"/>
    </xf>
    <xf numFmtId="0" fontId="19" fillId="6" borderId="1" xfId="0" applyFont="1" applyFill="1" applyBorder="1" applyAlignment="1">
      <alignment horizontal="center" vertical="center" wrapText="1"/>
    </xf>
    <xf numFmtId="0" fontId="15" fillId="5" borderId="1" xfId="0" applyFont="1" applyFill="1" applyBorder="1" applyAlignment="1">
      <alignment vertical="center" wrapText="1"/>
    </xf>
    <xf numFmtId="0" fontId="15" fillId="5" borderId="1" xfId="0" applyFont="1" applyFill="1" applyBorder="1" applyAlignment="1">
      <alignment horizontal="center" vertical="center" wrapText="1"/>
    </xf>
    <xf numFmtId="0" fontId="16" fillId="5" borderId="1" xfId="0" applyFont="1" applyFill="1" applyBorder="1" applyAlignment="1">
      <alignment vertical="center"/>
    </xf>
    <xf numFmtId="0" fontId="16" fillId="5" borderId="1" xfId="0" applyFont="1" applyFill="1" applyBorder="1" applyAlignment="1">
      <alignment horizontal="center" vertical="center"/>
    </xf>
    <xf numFmtId="170" fontId="16" fillId="5" borderId="1" xfId="0" applyNumberFormat="1" applyFont="1" applyFill="1" applyBorder="1" applyAlignment="1">
      <alignment horizontal="center" vertical="center"/>
    </xf>
    <xf numFmtId="0" fontId="16" fillId="2" borderId="2" xfId="0" applyFont="1" applyFill="1" applyBorder="1" applyAlignment="1">
      <alignment horizontal="center" vertical="center"/>
    </xf>
    <xf numFmtId="0" fontId="18" fillId="0" borderId="3" xfId="0" applyFont="1" applyBorder="1" applyAlignment="1">
      <alignment horizontal="left" vertical="center" wrapText="1"/>
    </xf>
    <xf numFmtId="0" fontId="18" fillId="0" borderId="6" xfId="0" applyFont="1" applyBorder="1" applyAlignment="1">
      <alignment horizontal="left" vertical="center" wrapText="1"/>
    </xf>
    <xf numFmtId="0" fontId="18" fillId="0" borderId="6" xfId="0" applyFont="1" applyBorder="1" applyAlignment="1">
      <alignment horizontal="left" vertical="center"/>
    </xf>
    <xf numFmtId="0" fontId="18" fillId="0" borderId="5" xfId="0" applyFont="1" applyBorder="1" applyAlignment="1">
      <alignment horizontal="left" vertical="center"/>
    </xf>
    <xf numFmtId="0" fontId="19" fillId="6" borderId="1" xfId="0" applyFont="1" applyFill="1" applyBorder="1" applyAlignment="1">
      <alignment horizontal="center" vertical="center"/>
    </xf>
    <xf numFmtId="0" fontId="16" fillId="7" borderId="1" xfId="0" applyFont="1" applyFill="1" applyBorder="1" applyAlignment="1">
      <alignment vertical="center" wrapText="1"/>
    </xf>
    <xf numFmtId="0" fontId="16" fillId="7" borderId="1" xfId="0" applyFont="1" applyFill="1" applyBorder="1" applyAlignment="1">
      <alignment horizontal="center" vertical="center" wrapText="1"/>
    </xf>
    <xf numFmtId="0" fontId="16" fillId="7" borderId="1" xfId="0" applyFont="1" applyFill="1" applyBorder="1" applyAlignment="1">
      <alignment horizontal="center" vertical="center"/>
    </xf>
    <xf numFmtId="0" fontId="21" fillId="7" borderId="1" xfId="0" applyFont="1" applyFill="1" applyBorder="1" applyAlignment="1">
      <alignment vertical="center" wrapText="1"/>
    </xf>
    <xf numFmtId="15" fontId="16" fillId="7" borderId="1" xfId="0" applyNumberFormat="1" applyFont="1" applyFill="1" applyBorder="1" applyAlignment="1">
      <alignment horizontal="center" vertical="center"/>
    </xf>
    <xf numFmtId="170" fontId="21" fillId="7" borderId="1" xfId="0" applyNumberFormat="1" applyFont="1" applyFill="1" applyBorder="1" applyAlignment="1">
      <alignment horizontal="center" vertical="center"/>
    </xf>
    <xf numFmtId="170" fontId="19" fillId="7" borderId="1" xfId="0" applyNumberFormat="1" applyFont="1" applyFill="1" applyBorder="1" applyAlignment="1">
      <alignment horizontal="center" vertical="center"/>
    </xf>
    <xf numFmtId="15" fontId="16" fillId="6" borderId="1" xfId="0" applyNumberFormat="1" applyFont="1" applyFill="1" applyBorder="1" applyAlignment="1">
      <alignment horizontal="left" vertical="center" wrapText="1"/>
    </xf>
    <xf numFmtId="170" fontId="19" fillId="6" borderId="1" xfId="0" applyNumberFormat="1" applyFont="1" applyFill="1" applyBorder="1" applyAlignment="1">
      <alignment horizontal="center" vertical="center"/>
    </xf>
    <xf numFmtId="15" fontId="16" fillId="0" borderId="0" xfId="0" applyNumberFormat="1" applyFont="1" applyAlignment="1">
      <alignment vertical="center"/>
    </xf>
    <xf numFmtId="0" fontId="19" fillId="6" borderId="1" xfId="3" applyFont="1" applyFill="1" applyBorder="1" applyAlignment="1" applyProtection="1">
      <alignment horizontal="left" vertical="center" wrapText="1"/>
    </xf>
    <xf numFmtId="0" fontId="16" fillId="6" borderId="0" xfId="0" applyFont="1" applyFill="1" applyAlignment="1">
      <alignment horizontal="left" vertical="center" wrapText="1"/>
    </xf>
    <xf numFmtId="0" fontId="22" fillId="6" borderId="1" xfId="0" applyFont="1" applyFill="1" applyBorder="1" applyAlignment="1">
      <alignment horizontal="left" vertical="center" wrapText="1"/>
    </xf>
    <xf numFmtId="0" fontId="16" fillId="0" borderId="1" xfId="0" applyFont="1" applyBorder="1" applyAlignment="1">
      <alignment horizontal="center" vertical="center"/>
    </xf>
    <xf numFmtId="15" fontId="16" fillId="6" borderId="1" xfId="0" quotePrefix="1" applyNumberFormat="1" applyFont="1" applyFill="1" applyBorder="1" applyAlignment="1">
      <alignment horizontal="center" vertical="center"/>
    </xf>
    <xf numFmtId="15" fontId="22" fillId="6" borderId="1" xfId="0" applyNumberFormat="1" applyFont="1" applyFill="1" applyBorder="1" applyAlignment="1">
      <alignment horizontal="center" vertical="center"/>
    </xf>
    <xf numFmtId="15" fontId="19" fillId="6" borderId="1" xfId="0" applyNumberFormat="1" applyFont="1" applyFill="1" applyBorder="1" applyAlignment="1">
      <alignment horizontal="center" vertical="center" wrapText="1"/>
    </xf>
    <xf numFmtId="0" fontId="23" fillId="2" borderId="1" xfId="0" applyFont="1" applyFill="1" applyBorder="1" applyAlignment="1">
      <alignment horizontal="center" vertical="center"/>
    </xf>
    <xf numFmtId="0" fontId="18" fillId="0" borderId="1" xfId="0" applyFont="1" applyBorder="1" applyAlignment="1">
      <alignment vertical="center" wrapText="1"/>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center" vertical="center"/>
    </xf>
    <xf numFmtId="0" fontId="19" fillId="7" borderId="1" xfId="0" applyFont="1" applyFill="1" applyBorder="1" applyAlignment="1">
      <alignment horizontal="left" vertical="center" wrapText="1"/>
    </xf>
    <xf numFmtId="0" fontId="19" fillId="7" borderId="1" xfId="3" applyFont="1" applyFill="1" applyBorder="1" applyAlignment="1" applyProtection="1">
      <alignment horizontal="left" vertical="center" wrapText="1"/>
    </xf>
    <xf numFmtId="0" fontId="19" fillId="7" borderId="1" xfId="3" applyFont="1" applyFill="1" applyBorder="1" applyAlignment="1" applyProtection="1">
      <alignment horizontal="center" vertical="center" wrapText="1"/>
    </xf>
    <xf numFmtId="15" fontId="19" fillId="7" borderId="1" xfId="0" applyNumberFormat="1" applyFont="1" applyFill="1" applyBorder="1" applyAlignment="1">
      <alignment horizontal="center" vertical="center" wrapText="1"/>
    </xf>
    <xf numFmtId="0" fontId="16" fillId="7" borderId="0" xfId="0" applyFont="1" applyFill="1" applyAlignment="1">
      <alignment vertical="center" wrapText="1"/>
    </xf>
    <xf numFmtId="15" fontId="16" fillId="7" borderId="2" xfId="0" applyNumberFormat="1" applyFont="1" applyFill="1" applyBorder="1" applyAlignment="1">
      <alignment horizontal="center" vertical="center"/>
    </xf>
    <xf numFmtId="170" fontId="16" fillId="7" borderId="1" xfId="0" applyNumberFormat="1" applyFont="1" applyFill="1" applyBorder="1" applyAlignment="1">
      <alignment horizontal="center" vertical="center"/>
    </xf>
    <xf numFmtId="0" fontId="19" fillId="6" borderId="1" xfId="3" applyFont="1" applyFill="1" applyBorder="1" applyAlignment="1" applyProtection="1">
      <alignment horizontal="center" vertical="center" wrapText="1"/>
    </xf>
    <xf numFmtId="0" fontId="19" fillId="4" borderId="1" xfId="0" applyFont="1" applyFill="1" applyBorder="1" applyAlignment="1">
      <alignment horizontal="left" vertical="center" wrapText="1"/>
    </xf>
    <xf numFmtId="0" fontId="19" fillId="4" borderId="1" xfId="3" applyFont="1" applyFill="1" applyBorder="1" applyAlignment="1" applyProtection="1">
      <alignment horizontal="left" vertical="center" wrapText="1"/>
    </xf>
    <xf numFmtId="0" fontId="19" fillId="4" borderId="1" xfId="0" applyFont="1" applyFill="1" applyBorder="1" applyAlignment="1">
      <alignment horizontal="center" vertical="center" wrapText="1"/>
    </xf>
    <xf numFmtId="15" fontId="19" fillId="4" borderId="1" xfId="0" applyNumberFormat="1" applyFont="1" applyFill="1" applyBorder="1" applyAlignment="1">
      <alignment horizontal="center" vertical="center" wrapText="1"/>
    </xf>
    <xf numFmtId="15" fontId="19" fillId="4" borderId="1" xfId="0" applyNumberFormat="1" applyFont="1" applyFill="1" applyBorder="1" applyAlignment="1">
      <alignment horizontal="left" vertical="center" wrapText="1"/>
    </xf>
    <xf numFmtId="0" fontId="16" fillId="4" borderId="1" xfId="0" applyFont="1" applyFill="1" applyBorder="1" applyAlignment="1">
      <alignment horizontal="center" vertical="center" wrapText="1"/>
    </xf>
    <xf numFmtId="15" fontId="16" fillId="4" borderId="1" xfId="0" applyNumberFormat="1" applyFont="1" applyFill="1" applyBorder="1" applyAlignment="1">
      <alignment horizontal="center" vertical="center"/>
    </xf>
    <xf numFmtId="0" fontId="16" fillId="4" borderId="1" xfId="0" applyFont="1" applyFill="1" applyBorder="1" applyAlignment="1">
      <alignment horizontal="center" vertical="center"/>
    </xf>
    <xf numFmtId="170" fontId="16" fillId="4" borderId="1" xfId="0" applyNumberFormat="1" applyFont="1" applyFill="1" applyBorder="1" applyAlignment="1">
      <alignment horizontal="center" vertical="center"/>
    </xf>
    <xf numFmtId="0" fontId="19" fillId="6" borderId="2" xfId="0" applyFont="1" applyFill="1" applyBorder="1" applyAlignment="1">
      <alignment vertical="center" wrapText="1"/>
    </xf>
    <xf numFmtId="0" fontId="16" fillId="6" borderId="26" xfId="0" applyFont="1" applyFill="1" applyBorder="1" applyAlignment="1">
      <alignment horizontal="center" vertical="center" wrapText="1"/>
    </xf>
    <xf numFmtId="15" fontId="19" fillId="6" borderId="26" xfId="0" applyNumberFormat="1" applyFont="1" applyFill="1" applyBorder="1" applyAlignment="1">
      <alignment horizontal="center" vertical="center" wrapText="1"/>
    </xf>
    <xf numFmtId="15" fontId="16" fillId="6" borderId="26" xfId="0" applyNumberFormat="1" applyFont="1" applyFill="1" applyBorder="1" applyAlignment="1">
      <alignment horizontal="center" vertical="center"/>
    </xf>
    <xf numFmtId="0" fontId="16" fillId="6" borderId="26" xfId="0" applyFont="1" applyFill="1" applyBorder="1" applyAlignment="1">
      <alignment horizontal="center" vertical="center"/>
    </xf>
    <xf numFmtId="0" fontId="16" fillId="6" borderId="1" xfId="0" applyFont="1" applyFill="1" applyBorder="1" applyAlignment="1">
      <alignment vertical="center"/>
    </xf>
    <xf numFmtId="0" fontId="22" fillId="6" borderId="1" xfId="0" applyFont="1" applyFill="1" applyBorder="1" applyAlignment="1">
      <alignment vertical="center" wrapText="1"/>
    </xf>
    <xf numFmtId="170" fontId="16" fillId="6" borderId="26" xfId="0" applyNumberFormat="1" applyFont="1" applyFill="1" applyBorder="1" applyAlignment="1">
      <alignment horizontal="center" vertical="center"/>
    </xf>
    <xf numFmtId="0" fontId="16" fillId="8" borderId="1" xfId="0" applyFont="1" applyFill="1" applyBorder="1" applyAlignment="1">
      <alignment vertical="center" wrapText="1"/>
    </xf>
    <xf numFmtId="0" fontId="19" fillId="8" borderId="1" xfId="0" applyFont="1" applyFill="1" applyBorder="1" applyAlignment="1">
      <alignment horizontal="left" vertical="center" wrapText="1"/>
    </xf>
    <xf numFmtId="0" fontId="19" fillId="8" borderId="1" xfId="0" applyFont="1" applyFill="1" applyBorder="1" applyAlignment="1">
      <alignment horizontal="center" vertical="center" wrapText="1"/>
    </xf>
    <xf numFmtId="15" fontId="19" fillId="8" borderId="1" xfId="0" applyNumberFormat="1" applyFont="1" applyFill="1" applyBorder="1" applyAlignment="1">
      <alignment horizontal="center" vertical="center" wrapText="1"/>
    </xf>
    <xf numFmtId="0" fontId="16" fillId="8" borderId="1" xfId="0" applyFont="1" applyFill="1" applyBorder="1" applyAlignment="1">
      <alignment horizontal="center" vertical="center" wrapText="1"/>
    </xf>
    <xf numFmtId="170" fontId="16" fillId="8" borderId="1" xfId="0" applyNumberFormat="1" applyFont="1" applyFill="1" applyBorder="1" applyAlignment="1">
      <alignment horizontal="center" vertical="center"/>
    </xf>
    <xf numFmtId="15" fontId="16" fillId="8" borderId="1" xfId="0" applyNumberFormat="1" applyFont="1" applyFill="1" applyBorder="1" applyAlignment="1">
      <alignment horizontal="center" vertical="center"/>
    </xf>
    <xf numFmtId="0" fontId="16" fillId="8" borderId="1" xfId="0" applyFont="1" applyFill="1" applyBorder="1" applyAlignment="1">
      <alignment horizontal="center" vertical="center"/>
    </xf>
    <xf numFmtId="170" fontId="16" fillId="6" borderId="1" xfId="0" applyNumberFormat="1" applyFont="1" applyFill="1" applyBorder="1" applyAlignment="1">
      <alignment horizontal="center" vertical="center" wrapText="1"/>
    </xf>
    <xf numFmtId="0" fontId="22" fillId="6" borderId="1" xfId="3" applyFont="1" applyFill="1" applyBorder="1" applyAlignment="1" applyProtection="1">
      <alignment vertical="center" wrapText="1"/>
    </xf>
    <xf numFmtId="0" fontId="22" fillId="6" borderId="1" xfId="0" applyFont="1" applyFill="1" applyBorder="1" applyAlignment="1">
      <alignment horizontal="center" vertical="center"/>
    </xf>
    <xf numFmtId="15" fontId="16" fillId="6" borderId="2" xfId="0" applyNumberFormat="1" applyFont="1" applyFill="1" applyBorder="1" applyAlignment="1">
      <alignment horizontal="center" vertical="center"/>
    </xf>
    <xf numFmtId="0" fontId="16" fillId="6" borderId="2" xfId="0" applyFont="1" applyFill="1" applyBorder="1" applyAlignment="1">
      <alignment horizontal="center" vertical="center"/>
    </xf>
    <xf numFmtId="170" fontId="16" fillId="6" borderId="2" xfId="0" applyNumberFormat="1" applyFont="1" applyFill="1" applyBorder="1" applyAlignment="1">
      <alignment horizontal="center" vertical="center"/>
    </xf>
    <xf numFmtId="0" fontId="16" fillId="7" borderId="1" xfId="0" applyFont="1" applyFill="1" applyBorder="1" applyAlignment="1">
      <alignment horizontal="left" vertical="center" wrapText="1"/>
    </xf>
    <xf numFmtId="0" fontId="16" fillId="9" borderId="0" xfId="0" applyFont="1" applyFill="1" applyAlignment="1">
      <alignment vertical="center"/>
    </xf>
    <xf numFmtId="0" fontId="16" fillId="9" borderId="0" xfId="0" applyFont="1" applyFill="1"/>
    <xf numFmtId="0" fontId="19" fillId="6" borderId="1" xfId="0" quotePrefix="1" applyFont="1" applyFill="1" applyBorder="1" applyAlignment="1">
      <alignment horizontal="center" vertical="center" wrapText="1"/>
    </xf>
    <xf numFmtId="0" fontId="19" fillId="7" borderId="1" xfId="0" quotePrefix="1" applyFont="1" applyFill="1" applyBorder="1" applyAlignment="1">
      <alignment horizontal="center" vertical="center" wrapText="1"/>
    </xf>
    <xf numFmtId="15" fontId="19" fillId="6" borderId="1" xfId="0" quotePrefix="1" applyNumberFormat="1" applyFont="1" applyFill="1" applyBorder="1" applyAlignment="1">
      <alignment horizontal="center" vertical="center" wrapText="1"/>
    </xf>
    <xf numFmtId="0" fontId="16" fillId="0" borderId="2" xfId="0" applyFont="1" applyBorder="1" applyAlignment="1">
      <alignment horizontal="center" vertical="center"/>
    </xf>
    <xf numFmtId="15" fontId="19" fillId="7" borderId="1" xfId="0" quotePrefix="1" applyNumberFormat="1" applyFont="1" applyFill="1" applyBorder="1" applyAlignment="1">
      <alignment horizontal="center" vertical="center" wrapText="1"/>
    </xf>
    <xf numFmtId="0" fontId="15" fillId="10" borderId="1" xfId="0" applyFont="1" applyFill="1" applyBorder="1" applyAlignment="1">
      <alignment vertical="center" wrapText="1"/>
    </xf>
    <xf numFmtId="0" fontId="15" fillId="10" borderId="1" xfId="0" applyFont="1" applyFill="1" applyBorder="1" applyAlignment="1">
      <alignment horizontal="center" vertical="center" wrapText="1"/>
    </xf>
    <xf numFmtId="0" fontId="19" fillId="10" borderId="1" xfId="0" applyFont="1" applyFill="1" applyBorder="1" applyAlignment="1">
      <alignment horizontal="center" vertical="center" wrapText="1"/>
    </xf>
    <xf numFmtId="0" fontId="16" fillId="10" borderId="1" xfId="0" applyFont="1" applyFill="1" applyBorder="1" applyAlignment="1">
      <alignment horizontal="center" vertical="center"/>
    </xf>
    <xf numFmtId="170" fontId="16" fillId="10" borderId="1" xfId="0" applyNumberFormat="1" applyFont="1" applyFill="1" applyBorder="1" applyAlignment="1">
      <alignment horizontal="center" vertical="center"/>
    </xf>
    <xf numFmtId="0" fontId="21" fillId="0" borderId="1" xfId="0" applyFont="1" applyBorder="1" applyAlignment="1">
      <alignment vertical="center" wrapText="1"/>
    </xf>
    <xf numFmtId="0" fontId="21" fillId="0" borderId="1" xfId="0" applyFont="1" applyBorder="1" applyAlignment="1">
      <alignment horizontal="center" vertical="center" wrapText="1"/>
    </xf>
    <xf numFmtId="0" fontId="16" fillId="0" borderId="1" xfId="0" applyFont="1" applyBorder="1" applyAlignment="1">
      <alignment vertical="center"/>
    </xf>
    <xf numFmtId="0" fontId="24" fillId="2" borderId="1" xfId="0" applyFont="1" applyFill="1" applyBorder="1" applyAlignment="1">
      <alignment horizontal="center" vertical="center"/>
    </xf>
    <xf numFmtId="0" fontId="19" fillId="6" borderId="1" xfId="0" applyFont="1" applyFill="1" applyBorder="1" applyAlignment="1">
      <alignment vertical="center" wrapText="1"/>
    </xf>
    <xf numFmtId="3" fontId="22" fillId="6" borderId="1" xfId="2" applyNumberFormat="1" applyFont="1" applyFill="1" applyBorder="1" applyAlignment="1">
      <alignment horizontal="center" vertical="center" wrapText="1"/>
    </xf>
    <xf numFmtId="0" fontId="15" fillId="6" borderId="1" xfId="0" applyFont="1" applyFill="1" applyBorder="1" applyAlignment="1">
      <alignment horizontal="center" vertical="center"/>
    </xf>
    <xf numFmtId="0" fontId="22" fillId="6" borderId="1" xfId="3" applyFont="1" applyFill="1" applyBorder="1" applyAlignment="1" applyProtection="1">
      <alignment horizontal="center" vertical="center" wrapText="1"/>
    </xf>
    <xf numFmtId="171" fontId="16" fillId="6" borderId="1" xfId="0" applyNumberFormat="1" applyFont="1" applyFill="1" applyBorder="1" applyAlignment="1">
      <alignment horizontal="center" vertical="center"/>
    </xf>
    <xf numFmtId="0" fontId="16" fillId="6" borderId="1" xfId="0" quotePrefix="1" applyFont="1" applyFill="1" applyBorder="1" applyAlignment="1">
      <alignment horizontal="center" vertical="center" wrapText="1"/>
    </xf>
    <xf numFmtId="165" fontId="16" fillId="6" borderId="1" xfId="0" applyNumberFormat="1" applyFont="1" applyFill="1" applyBorder="1" applyAlignment="1">
      <alignment horizontal="center" vertical="center"/>
    </xf>
    <xf numFmtId="170" fontId="19" fillId="6" borderId="1" xfId="0" applyNumberFormat="1" applyFont="1" applyFill="1" applyBorder="1" applyAlignment="1">
      <alignment horizontal="center" vertical="center" wrapText="1"/>
    </xf>
    <xf numFmtId="0" fontId="15" fillId="11" borderId="1" xfId="0" applyFont="1" applyFill="1" applyBorder="1" applyAlignment="1">
      <alignment vertical="center" wrapText="1"/>
    </xf>
    <xf numFmtId="0" fontId="15" fillId="11" borderId="1" xfId="0" applyFont="1" applyFill="1" applyBorder="1" applyAlignment="1">
      <alignment horizontal="center" vertical="center" wrapText="1"/>
    </xf>
    <xf numFmtId="0" fontId="15" fillId="11" borderId="1" xfId="0" applyFont="1" applyFill="1" applyBorder="1" applyAlignment="1">
      <alignment vertical="center"/>
    </xf>
    <xf numFmtId="0" fontId="16" fillId="11" borderId="1" xfId="0" applyFont="1" applyFill="1" applyBorder="1" applyAlignment="1">
      <alignment vertical="center"/>
    </xf>
    <xf numFmtId="0" fontId="16" fillId="11" borderId="1" xfId="0" applyFont="1" applyFill="1" applyBorder="1" applyAlignment="1">
      <alignment horizontal="center" vertical="center"/>
    </xf>
    <xf numFmtId="170" fontId="16" fillId="11" borderId="1" xfId="0" applyNumberFormat="1" applyFont="1" applyFill="1" applyBorder="1" applyAlignment="1">
      <alignment horizontal="center" vertical="center"/>
    </xf>
    <xf numFmtId="0" fontId="22" fillId="0" borderId="0" xfId="0" applyFont="1" applyAlignment="1">
      <alignment vertical="center" wrapText="1"/>
    </xf>
    <xf numFmtId="0" fontId="22" fillId="0" borderId="0" xfId="3" applyFont="1" applyFill="1" applyBorder="1" applyAlignment="1" applyProtection="1">
      <alignment vertical="center" wrapText="1"/>
    </xf>
    <xf numFmtId="0" fontId="22" fillId="0" borderId="0" xfId="3" applyFont="1" applyFill="1" applyBorder="1" applyAlignment="1" applyProtection="1">
      <alignment horizontal="center" vertical="center" wrapText="1"/>
    </xf>
    <xf numFmtId="0" fontId="16" fillId="0" borderId="0" xfId="0" applyFont="1" applyAlignment="1">
      <alignment horizontal="center" vertical="center" wrapText="1"/>
    </xf>
    <xf numFmtId="3" fontId="22" fillId="0" borderId="0" xfId="2" applyNumberFormat="1" applyFont="1" applyFill="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wrapText="1"/>
    </xf>
    <xf numFmtId="0" fontId="16" fillId="2" borderId="0" xfId="0" applyFont="1" applyFill="1"/>
    <xf numFmtId="0" fontId="16" fillId="12" borderId="1" xfId="0" applyFont="1" applyFill="1" applyBorder="1" applyAlignment="1">
      <alignment horizontal="center" vertical="center"/>
    </xf>
    <xf numFmtId="0" fontId="16" fillId="12" borderId="1" xfId="0" applyFont="1" applyFill="1" applyBorder="1" applyAlignment="1">
      <alignment horizontal="center" vertical="center" wrapText="1"/>
    </xf>
    <xf numFmtId="15" fontId="16" fillId="12" borderId="1" xfId="0" applyNumberFormat="1" applyFont="1" applyFill="1" applyBorder="1" applyAlignment="1">
      <alignment horizontal="center" vertical="center"/>
    </xf>
    <xf numFmtId="15" fontId="16" fillId="12" borderId="1" xfId="0" applyNumberFormat="1" applyFont="1" applyFill="1" applyBorder="1" applyAlignment="1">
      <alignment horizontal="center" vertical="center" wrapText="1"/>
    </xf>
    <xf numFmtId="170" fontId="16" fillId="12" borderId="1" xfId="0" applyNumberFormat="1" applyFont="1" applyFill="1" applyBorder="1" applyAlignment="1">
      <alignment horizontal="center" vertical="center"/>
    </xf>
    <xf numFmtId="0" fontId="16" fillId="12" borderId="0" xfId="0" applyFont="1" applyFill="1" applyAlignment="1">
      <alignment vertical="center"/>
    </xf>
    <xf numFmtId="0" fontId="16" fillId="12" borderId="0" xfId="0" applyFont="1" applyFill="1"/>
    <xf numFmtId="0" fontId="19" fillId="12" borderId="1" xfId="0" applyFont="1" applyFill="1" applyBorder="1" applyAlignment="1">
      <alignment horizontal="center" vertical="center" wrapText="1"/>
    </xf>
    <xf numFmtId="0" fontId="19" fillId="12" borderId="1" xfId="0" applyFont="1" applyFill="1" applyBorder="1" applyAlignment="1">
      <alignment horizontal="center" vertical="center"/>
    </xf>
    <xf numFmtId="0" fontId="16" fillId="12" borderId="1" xfId="0" applyFont="1" applyFill="1" applyBorder="1" applyAlignment="1">
      <alignment vertical="center"/>
    </xf>
    <xf numFmtId="167" fontId="22" fillId="12" borderId="1" xfId="2" applyNumberFormat="1" applyFont="1" applyFill="1" applyBorder="1" applyAlignment="1">
      <alignment horizontal="center" vertical="center" wrapText="1"/>
    </xf>
    <xf numFmtId="3" fontId="22" fillId="12" borderId="1" xfId="2" applyNumberFormat="1" applyFont="1" applyFill="1" applyBorder="1" applyAlignment="1">
      <alignment horizontal="center" vertical="center" wrapText="1"/>
    </xf>
    <xf numFmtId="4" fontId="22" fillId="12" borderId="1" xfId="2" applyNumberFormat="1" applyFont="1" applyFill="1" applyBorder="1" applyAlignment="1">
      <alignment horizontal="center" vertical="center" wrapText="1"/>
    </xf>
    <xf numFmtId="172" fontId="22" fillId="12" borderId="1" xfId="2" applyNumberFormat="1" applyFont="1" applyFill="1" applyBorder="1" applyAlignment="1">
      <alignment horizontal="center" vertical="center" wrapText="1"/>
    </xf>
    <xf numFmtId="3" fontId="22" fillId="12" borderId="0" xfId="2" applyNumberFormat="1" applyFont="1" applyFill="1" applyBorder="1" applyAlignment="1">
      <alignment horizontal="center" vertical="center" wrapText="1"/>
    </xf>
    <xf numFmtId="0" fontId="18" fillId="12" borderId="6" xfId="0" applyFont="1" applyFill="1" applyBorder="1" applyAlignment="1">
      <alignment vertical="center"/>
    </xf>
    <xf numFmtId="0" fontId="18" fillId="12" borderId="6" xfId="0" applyFont="1" applyFill="1" applyBorder="1" applyAlignment="1">
      <alignment horizontal="left" vertical="center"/>
    </xf>
    <xf numFmtId="15" fontId="19" fillId="12" borderId="1" xfId="0" applyNumberFormat="1" applyFont="1" applyFill="1" applyBorder="1" applyAlignment="1">
      <alignment horizontal="center" vertical="center" wrapText="1"/>
    </xf>
    <xf numFmtId="0" fontId="23" fillId="12" borderId="1" xfId="0" applyFont="1" applyFill="1" applyBorder="1" applyAlignment="1">
      <alignment vertical="center"/>
    </xf>
    <xf numFmtId="15" fontId="19" fillId="12" borderId="1" xfId="0" applyNumberFormat="1" applyFont="1" applyFill="1" applyBorder="1" applyAlignment="1">
      <alignment horizontal="center" vertical="center"/>
    </xf>
    <xf numFmtId="15" fontId="19" fillId="12" borderId="2" xfId="0" applyNumberFormat="1" applyFont="1" applyFill="1" applyBorder="1" applyAlignment="1">
      <alignment horizontal="center" vertical="center"/>
    </xf>
    <xf numFmtId="17" fontId="19" fillId="12" borderId="1" xfId="0" applyNumberFormat="1" applyFont="1" applyFill="1" applyBorder="1" applyAlignment="1">
      <alignment horizontal="center" vertical="center"/>
    </xf>
    <xf numFmtId="15" fontId="16" fillId="12" borderId="26" xfId="0" applyNumberFormat="1" applyFont="1" applyFill="1" applyBorder="1" applyAlignment="1">
      <alignment horizontal="center" vertical="center"/>
    </xf>
    <xf numFmtId="170" fontId="16" fillId="12" borderId="26" xfId="0" applyNumberFormat="1" applyFont="1" applyFill="1" applyBorder="1" applyAlignment="1">
      <alignment horizontal="center" vertical="center"/>
    </xf>
    <xf numFmtId="15" fontId="16" fillId="12" borderId="2" xfId="0" applyNumberFormat="1" applyFont="1" applyFill="1" applyBorder="1" applyAlignment="1">
      <alignment horizontal="center" vertical="center"/>
    </xf>
    <xf numFmtId="15" fontId="21" fillId="12" borderId="1" xfId="0" applyNumberFormat="1" applyFont="1" applyFill="1" applyBorder="1" applyAlignment="1">
      <alignment horizontal="center" vertical="center"/>
    </xf>
    <xf numFmtId="0" fontId="16" fillId="12" borderId="0" xfId="0" applyFont="1" applyFill="1" applyAlignment="1">
      <alignment horizontal="center" vertical="center"/>
    </xf>
    <xf numFmtId="0" fontId="16" fillId="0" borderId="1" xfId="0" applyFont="1" applyBorder="1" applyAlignment="1">
      <alignment horizontal="left" vertical="center" wrapText="1"/>
    </xf>
    <xf numFmtId="0" fontId="19" fillId="0" borderId="1" xfId="0" applyFont="1" applyBorder="1" applyAlignment="1">
      <alignment horizontal="left" vertical="center" wrapText="1"/>
    </xf>
    <xf numFmtId="0" fontId="16" fillId="0" borderId="1" xfId="0" applyFont="1" applyBorder="1" applyAlignment="1">
      <alignment horizontal="center" vertical="center" wrapText="1"/>
    </xf>
    <xf numFmtId="15" fontId="16" fillId="0" borderId="1" xfId="0" applyNumberFormat="1" applyFont="1" applyBorder="1" applyAlignment="1">
      <alignment horizontal="center" vertical="center"/>
    </xf>
    <xf numFmtId="15" fontId="16" fillId="0" borderId="1" xfId="0" applyNumberFormat="1" applyFont="1" applyBorder="1" applyAlignment="1">
      <alignment horizontal="left" vertical="center" wrapText="1"/>
    </xf>
    <xf numFmtId="15" fontId="16" fillId="0" borderId="1" xfId="0" applyNumberFormat="1" applyFont="1" applyBorder="1" applyAlignment="1">
      <alignment horizontal="center" vertical="center" wrapText="1"/>
    </xf>
    <xf numFmtId="1" fontId="0" fillId="14" borderId="0" xfId="0" applyNumberFormat="1" applyFill="1"/>
    <xf numFmtId="1" fontId="0" fillId="12" borderId="0" xfId="0" applyNumberFormat="1" applyFill="1"/>
    <xf numFmtId="1" fontId="0" fillId="16" borderId="0" xfId="0" applyNumberFormat="1" applyFill="1"/>
    <xf numFmtId="0" fontId="15" fillId="0" borderId="1" xfId="0" applyFont="1" applyBorder="1" applyAlignment="1">
      <alignment horizontal="center" vertical="center"/>
    </xf>
    <xf numFmtId="0" fontId="19" fillId="0" borderId="1" xfId="0" applyFont="1" applyBorder="1" applyAlignment="1">
      <alignment horizontal="center" vertical="center"/>
    </xf>
    <xf numFmtId="0" fontId="19" fillId="0" borderId="1" xfId="0" applyFont="1" applyBorder="1" applyAlignment="1">
      <alignment horizontal="center" vertical="center" wrapText="1"/>
    </xf>
    <xf numFmtId="0" fontId="19" fillId="0" borderId="26" xfId="0" applyFont="1" applyBorder="1" applyAlignment="1">
      <alignment horizontal="center" vertical="center"/>
    </xf>
    <xf numFmtId="4" fontId="16" fillId="0" borderId="1" xfId="2" applyNumberFormat="1" applyFont="1" applyFill="1" applyBorder="1" applyAlignment="1">
      <alignment horizontal="center" vertical="center" wrapText="1"/>
    </xf>
    <xf numFmtId="3" fontId="19" fillId="0" borderId="1" xfId="2" applyNumberFormat="1" applyFont="1" applyFill="1" applyBorder="1" applyAlignment="1">
      <alignment horizontal="center" vertical="center" wrapText="1"/>
    </xf>
    <xf numFmtId="4" fontId="19" fillId="0" borderId="1" xfId="2" applyNumberFormat="1" applyFont="1" applyFill="1" applyBorder="1" applyAlignment="1">
      <alignment horizontal="center" vertical="center" wrapText="1"/>
    </xf>
    <xf numFmtId="3" fontId="21" fillId="0" borderId="1" xfId="2" applyNumberFormat="1" applyFont="1" applyFill="1" applyBorder="1" applyAlignment="1">
      <alignment horizontal="center" vertical="center" wrapText="1"/>
    </xf>
    <xf numFmtId="167" fontId="19" fillId="0" borderId="1" xfId="2" applyNumberFormat="1" applyFont="1" applyFill="1" applyBorder="1" applyAlignment="1">
      <alignment horizontal="center" vertical="center" wrapText="1"/>
    </xf>
    <xf numFmtId="3" fontId="17" fillId="0" borderId="1" xfId="0" applyNumberFormat="1" applyFont="1" applyBorder="1" applyAlignment="1">
      <alignment horizontal="center" vertical="center" wrapText="1"/>
    </xf>
    <xf numFmtId="4" fontId="22" fillId="0" borderId="1" xfId="2" applyNumberFormat="1" applyFont="1" applyFill="1" applyBorder="1" applyAlignment="1">
      <alignment horizontal="center" vertical="center" wrapText="1"/>
    </xf>
    <xf numFmtId="167" fontId="22" fillId="0" borderId="1" xfId="2" applyNumberFormat="1" applyFont="1" applyFill="1" applyBorder="1" applyAlignment="1">
      <alignment horizontal="center" vertical="center" wrapText="1"/>
    </xf>
    <xf numFmtId="0" fontId="0" fillId="13" borderId="1" xfId="0" applyFill="1" applyBorder="1" applyAlignment="1">
      <alignment horizontal="center" vertical="center" wrapText="1"/>
    </xf>
    <xf numFmtId="164" fontId="0" fillId="2" borderId="1" xfId="0" applyNumberFormat="1" applyFill="1" applyBorder="1" applyAlignment="1">
      <alignment vertical="center" wrapText="1"/>
    </xf>
    <xf numFmtId="0" fontId="0" fillId="0" borderId="11" xfId="0" applyBorder="1"/>
    <xf numFmtId="0" fontId="0" fillId="2" borderId="1" xfId="0" applyFill="1" applyBorder="1" applyAlignment="1">
      <alignment horizontal="center" vertical="center" wrapText="1"/>
    </xf>
    <xf numFmtId="2" fontId="0" fillId="2" borderId="1" xfId="0" applyNumberFormat="1" applyFill="1" applyBorder="1" applyAlignment="1">
      <alignment vertical="center" wrapText="1"/>
    </xf>
    <xf numFmtId="15" fontId="0" fillId="2" borderId="1" xfId="0" applyNumberFormat="1" applyFill="1" applyBorder="1" applyAlignment="1">
      <alignment horizontal="left" vertical="center" wrapText="1"/>
    </xf>
    <xf numFmtId="0" fontId="1" fillId="2" borderId="1" xfId="0" applyFont="1" applyFill="1" applyBorder="1" applyAlignment="1">
      <alignment vertical="center" wrapText="1"/>
    </xf>
    <xf numFmtId="2" fontId="2" fillId="2" borderId="1" xfId="0" applyNumberFormat="1" applyFont="1" applyFill="1" applyBorder="1" applyAlignment="1">
      <alignment vertical="center" wrapText="1"/>
    </xf>
    <xf numFmtId="0" fontId="2" fillId="2" borderId="1" xfId="0" applyFont="1" applyFill="1" applyBorder="1" applyAlignment="1">
      <alignment vertical="center" wrapText="1"/>
    </xf>
    <xf numFmtId="15" fontId="3" fillId="2" borderId="1" xfId="0" applyNumberFormat="1" applyFont="1" applyFill="1" applyBorder="1" applyAlignment="1">
      <alignment horizontal="center" vertical="center" wrapText="1"/>
    </xf>
    <xf numFmtId="164" fontId="2" fillId="2" borderId="1" xfId="0" applyNumberFormat="1" applyFont="1" applyFill="1" applyBorder="1" applyAlignment="1">
      <alignment vertical="center" wrapText="1"/>
    </xf>
    <xf numFmtId="15" fontId="3" fillId="2" borderId="1" xfId="0" applyNumberFormat="1" applyFont="1" applyFill="1" applyBorder="1" applyAlignment="1">
      <alignment horizontal="left" vertical="center" wrapText="1"/>
    </xf>
    <xf numFmtId="164" fontId="3" fillId="2" borderId="1" xfId="0" applyNumberFormat="1" applyFont="1" applyFill="1" applyBorder="1" applyAlignment="1">
      <alignment vertical="center" wrapText="1"/>
    </xf>
    <xf numFmtId="1" fontId="3" fillId="2" borderId="1" xfId="0" applyNumberFormat="1" applyFont="1" applyFill="1" applyBorder="1" applyAlignment="1">
      <alignment horizontal="center" vertical="center" wrapText="1"/>
    </xf>
    <xf numFmtId="0" fontId="3" fillId="2" borderId="1" xfId="0" applyFont="1" applyFill="1" applyBorder="1" applyAlignment="1">
      <alignment vertical="center" wrapText="1"/>
    </xf>
    <xf numFmtId="0" fontId="3" fillId="2" borderId="1" xfId="0" applyFont="1" applyFill="1" applyBorder="1" applyAlignment="1">
      <alignment horizontal="center" vertical="center" wrapText="1"/>
    </xf>
    <xf numFmtId="0" fontId="14" fillId="2" borderId="1" xfId="0" applyFont="1" applyFill="1" applyBorder="1" applyAlignment="1">
      <alignment vertical="center" wrapText="1"/>
    </xf>
    <xf numFmtId="164" fontId="27" fillId="2" borderId="1" xfId="0" applyNumberFormat="1" applyFont="1" applyFill="1" applyBorder="1" applyAlignment="1">
      <alignment vertical="center" wrapText="1"/>
    </xf>
    <xf numFmtId="0" fontId="2" fillId="2" borderId="1" xfId="0" applyFont="1" applyFill="1" applyBorder="1" applyAlignment="1">
      <alignment horizontal="center" vertical="center"/>
    </xf>
    <xf numFmtId="165" fontId="0" fillId="2" borderId="1" xfId="0" applyNumberFormat="1" applyFill="1" applyBorder="1" applyAlignment="1">
      <alignment vertical="center" wrapText="1"/>
    </xf>
    <xf numFmtId="165" fontId="3" fillId="2" borderId="1" xfId="0" applyNumberFormat="1" applyFont="1" applyFill="1" applyBorder="1" applyAlignment="1">
      <alignment vertical="center" wrapText="1"/>
    </xf>
    <xf numFmtId="1" fontId="2" fillId="2" borderId="1" xfId="0" applyNumberFormat="1" applyFont="1" applyFill="1" applyBorder="1" applyAlignment="1">
      <alignment horizontal="center" vertical="center" wrapText="1"/>
    </xf>
    <xf numFmtId="0" fontId="29" fillId="2" borderId="1" xfId="0" applyFont="1" applyFill="1" applyBorder="1" applyAlignment="1">
      <alignment vertical="center" wrapText="1"/>
    </xf>
    <xf numFmtId="0" fontId="30" fillId="2" borderId="1" xfId="0" applyFont="1" applyFill="1" applyBorder="1" applyAlignment="1">
      <alignment vertical="center" wrapText="1"/>
    </xf>
    <xf numFmtId="0" fontId="2" fillId="2" borderId="1" xfId="0" applyFont="1" applyFill="1" applyBorder="1" applyAlignment="1">
      <alignment horizontal="center" vertical="center" wrapText="1"/>
    </xf>
    <xf numFmtId="1" fontId="2" fillId="0" borderId="0" xfId="0" applyNumberFormat="1" applyFont="1" applyAlignment="1">
      <alignment horizontal="center" vertical="center" wrapText="1"/>
    </xf>
    <xf numFmtId="0" fontId="31" fillId="2" borderId="1" xfId="0" applyFont="1" applyFill="1" applyBorder="1" applyAlignment="1">
      <alignment horizontal="center" vertical="center" wrapText="1"/>
    </xf>
    <xf numFmtId="15" fontId="0" fillId="2" borderId="1" xfId="0" applyNumberFormat="1" applyFill="1" applyBorder="1" applyAlignment="1">
      <alignment vertical="center" wrapText="1"/>
    </xf>
    <xf numFmtId="164" fontId="30" fillId="2" borderId="1" xfId="0" applyNumberFormat="1" applyFont="1" applyFill="1" applyBorder="1" applyAlignment="1">
      <alignment vertical="center" wrapText="1"/>
    </xf>
    <xf numFmtId="0" fontId="0" fillId="15" borderId="1" xfId="0" applyFill="1" applyBorder="1" applyAlignment="1">
      <alignment vertical="center" wrapText="1"/>
    </xf>
    <xf numFmtId="0" fontId="0" fillId="18" borderId="1" xfId="0" applyFill="1" applyBorder="1" applyAlignment="1">
      <alignment vertical="center" wrapText="1"/>
    </xf>
    <xf numFmtId="0" fontId="0" fillId="19" borderId="1" xfId="0" applyFill="1" applyBorder="1" applyAlignment="1">
      <alignment vertical="center" wrapText="1"/>
    </xf>
    <xf numFmtId="0" fontId="0" fillId="15" borderId="1" xfId="0" applyFill="1" applyBorder="1" applyAlignment="1">
      <alignment horizontal="center" vertical="center" wrapText="1"/>
    </xf>
    <xf numFmtId="2" fontId="0" fillId="15" borderId="1" xfId="0" applyNumberFormat="1" applyFill="1" applyBorder="1" applyAlignment="1">
      <alignment vertical="center" wrapText="1"/>
    </xf>
    <xf numFmtId="0" fontId="1" fillId="21" borderId="1" xfId="0" applyFont="1" applyFill="1" applyBorder="1" applyAlignment="1">
      <alignment vertical="center" wrapText="1"/>
    </xf>
    <xf numFmtId="0" fontId="1" fillId="20" borderId="1" xfId="0" applyFont="1" applyFill="1" applyBorder="1" applyAlignment="1">
      <alignment vertical="center" wrapText="1"/>
    </xf>
    <xf numFmtId="0" fontId="1" fillId="22" borderId="1" xfId="0" applyFont="1" applyFill="1" applyBorder="1" applyAlignment="1">
      <alignment vertical="center" wrapText="1"/>
    </xf>
    <xf numFmtId="0" fontId="1" fillId="15" borderId="1" xfId="0" applyFont="1" applyFill="1" applyBorder="1" applyAlignment="1">
      <alignment vertical="center" wrapText="1"/>
    </xf>
    <xf numFmtId="15" fontId="0" fillId="15" borderId="1" xfId="0" applyNumberFormat="1" applyFill="1" applyBorder="1" applyAlignment="1">
      <alignment horizontal="center" vertical="center" wrapText="1"/>
    </xf>
    <xf numFmtId="1" fontId="0" fillId="15" borderId="1" xfId="0" applyNumberFormat="1" applyFill="1" applyBorder="1" applyAlignment="1">
      <alignment horizontal="center" vertical="center" wrapText="1"/>
    </xf>
    <xf numFmtId="15" fontId="3" fillId="15" borderId="1" xfId="0" applyNumberFormat="1" applyFont="1" applyFill="1" applyBorder="1" applyAlignment="1">
      <alignment horizontal="left" vertical="center" wrapText="1"/>
    </xf>
    <xf numFmtId="164" fontId="0" fillId="15" borderId="1" xfId="0" applyNumberFormat="1" applyFill="1" applyBorder="1" applyAlignment="1">
      <alignment vertical="center" wrapText="1"/>
    </xf>
    <xf numFmtId="2" fontId="3" fillId="15" borderId="1" xfId="0" applyNumberFormat="1" applyFont="1" applyFill="1" applyBorder="1" applyAlignment="1">
      <alignment vertical="center" wrapText="1"/>
    </xf>
    <xf numFmtId="164" fontId="3" fillId="15" borderId="1" xfId="0" applyNumberFormat="1" applyFont="1" applyFill="1" applyBorder="1" applyAlignment="1">
      <alignment vertical="center" wrapText="1"/>
    </xf>
    <xf numFmtId="15" fontId="3" fillId="15" borderId="1" xfId="0" applyNumberFormat="1" applyFont="1" applyFill="1" applyBorder="1" applyAlignment="1">
      <alignment horizontal="center" vertical="center" wrapText="1"/>
    </xf>
    <xf numFmtId="1" fontId="3" fillId="15" borderId="1" xfId="0" applyNumberFormat="1" applyFont="1" applyFill="1" applyBorder="1" applyAlignment="1">
      <alignment horizontal="center" vertical="center" wrapText="1"/>
    </xf>
    <xf numFmtId="15" fontId="3" fillId="15" borderId="1" xfId="0" applyNumberFormat="1" applyFont="1" applyFill="1" applyBorder="1" applyAlignment="1">
      <alignment vertical="center" wrapText="1"/>
    </xf>
    <xf numFmtId="0" fontId="3" fillId="15" borderId="1" xfId="0" applyFont="1" applyFill="1" applyBorder="1" applyAlignment="1">
      <alignment vertical="center" wrapText="1"/>
    </xf>
    <xf numFmtId="15" fontId="0" fillId="15" borderId="1" xfId="0" applyNumberFormat="1" applyFill="1" applyBorder="1" applyAlignment="1">
      <alignment horizontal="left" vertical="center" wrapText="1"/>
    </xf>
    <xf numFmtId="165" fontId="0" fillId="15" borderId="1" xfId="0" applyNumberFormat="1" applyFill="1" applyBorder="1" applyAlignment="1">
      <alignment vertical="center" wrapText="1"/>
    </xf>
    <xf numFmtId="0" fontId="3" fillId="15" borderId="1" xfId="0" applyFont="1" applyFill="1" applyBorder="1" applyAlignment="1">
      <alignment horizontal="left" vertical="center" wrapText="1"/>
    </xf>
    <xf numFmtId="0" fontId="3" fillId="15" borderId="1" xfId="0" applyFont="1" applyFill="1" applyBorder="1" applyAlignment="1">
      <alignment horizontal="center" vertical="center" wrapText="1"/>
    </xf>
    <xf numFmtId="0" fontId="14" fillId="15" borderId="1" xfId="0" applyFont="1" applyFill="1" applyBorder="1" applyAlignment="1">
      <alignment horizontal="center" vertical="center" wrapText="1"/>
    </xf>
    <xf numFmtId="164" fontId="3" fillId="15" borderId="1" xfId="0" applyNumberFormat="1" applyFont="1" applyFill="1" applyBorder="1" applyAlignment="1">
      <alignment horizontal="center" vertical="center" wrapText="1"/>
    </xf>
    <xf numFmtId="2" fontId="3" fillId="15" borderId="1" xfId="0" applyNumberFormat="1" applyFont="1" applyFill="1" applyBorder="1" applyAlignment="1">
      <alignment horizontal="center" vertical="center" wrapText="1"/>
    </xf>
    <xf numFmtId="165" fontId="3" fillId="15" borderId="1" xfId="0" applyNumberFormat="1" applyFont="1" applyFill="1" applyBorder="1" applyAlignment="1">
      <alignment horizontal="center" vertical="center" wrapText="1"/>
    </xf>
    <xf numFmtId="166" fontId="0" fillId="15" borderId="1" xfId="0" applyNumberFormat="1" applyFill="1" applyBorder="1" applyAlignment="1">
      <alignment horizontal="center" vertical="center"/>
    </xf>
    <xf numFmtId="1" fontId="0" fillId="15" borderId="1" xfId="0" applyNumberFormat="1" applyFill="1" applyBorder="1" applyAlignment="1">
      <alignment horizontal="center" vertical="center"/>
    </xf>
    <xf numFmtId="0" fontId="0" fillId="19" borderId="1" xfId="0" applyFill="1" applyBorder="1" applyAlignment="1">
      <alignment horizontal="center" vertical="center" wrapText="1"/>
    </xf>
    <xf numFmtId="0" fontId="1" fillId="19" borderId="1" xfId="0" applyFont="1" applyFill="1" applyBorder="1" applyAlignment="1">
      <alignment vertical="center" wrapText="1"/>
    </xf>
    <xf numFmtId="2" fontId="0" fillId="19" borderId="1" xfId="0" applyNumberFormat="1" applyFill="1" applyBorder="1" applyAlignment="1">
      <alignment vertical="center" wrapText="1"/>
    </xf>
    <xf numFmtId="15" fontId="0" fillId="19" borderId="1" xfId="0" applyNumberFormat="1" applyFill="1" applyBorder="1" applyAlignment="1">
      <alignment horizontal="center" vertical="center" wrapText="1"/>
    </xf>
    <xf numFmtId="1" fontId="0" fillId="19" borderId="1" xfId="0" applyNumberFormat="1" applyFill="1" applyBorder="1" applyAlignment="1">
      <alignment horizontal="center" vertical="center" wrapText="1"/>
    </xf>
    <xf numFmtId="15" fontId="3" fillId="19" borderId="1" xfId="0" applyNumberFormat="1" applyFont="1" applyFill="1" applyBorder="1" applyAlignment="1">
      <alignment horizontal="left" vertical="center" wrapText="1"/>
    </xf>
    <xf numFmtId="15" fontId="0" fillId="19" borderId="1" xfId="0" applyNumberFormat="1" applyFill="1" applyBorder="1" applyAlignment="1">
      <alignment horizontal="left" vertical="center" wrapText="1"/>
    </xf>
    <xf numFmtId="0" fontId="0" fillId="18" borderId="1" xfId="0" applyFill="1" applyBorder="1" applyAlignment="1">
      <alignment horizontal="center" vertical="center" wrapText="1"/>
    </xf>
    <xf numFmtId="0" fontId="1" fillId="18" borderId="1" xfId="0" applyFont="1" applyFill="1" applyBorder="1" applyAlignment="1">
      <alignment vertical="center" wrapText="1"/>
    </xf>
    <xf numFmtId="2" fontId="0" fillId="18" borderId="1" xfId="0" applyNumberFormat="1" applyFill="1" applyBorder="1" applyAlignment="1">
      <alignment vertical="center" wrapText="1"/>
    </xf>
    <xf numFmtId="15" fontId="0" fillId="18" borderId="1" xfId="0" applyNumberFormat="1" applyFill="1" applyBorder="1" applyAlignment="1">
      <alignment horizontal="center" vertical="center" wrapText="1"/>
    </xf>
    <xf numFmtId="1" fontId="0" fillId="18" borderId="1" xfId="0" applyNumberFormat="1" applyFill="1" applyBorder="1" applyAlignment="1">
      <alignment horizontal="center" vertical="center" wrapText="1"/>
    </xf>
    <xf numFmtId="15" fontId="3" fillId="18" borderId="1" xfId="0" applyNumberFormat="1" applyFont="1" applyFill="1" applyBorder="1" applyAlignment="1">
      <alignment horizontal="left" vertical="center" wrapText="1"/>
    </xf>
    <xf numFmtId="15" fontId="3" fillId="18" borderId="1" xfId="0" applyNumberFormat="1" applyFont="1" applyFill="1" applyBorder="1" applyAlignment="1">
      <alignment horizontal="center" vertical="center" wrapText="1"/>
    </xf>
    <xf numFmtId="15" fontId="3" fillId="18" borderId="1" xfId="0" applyNumberFormat="1" applyFont="1" applyFill="1" applyBorder="1" applyAlignment="1">
      <alignment vertical="center" wrapText="1"/>
    </xf>
    <xf numFmtId="1" fontId="0" fillId="18" borderId="1" xfId="0" quotePrefix="1" applyNumberFormat="1" applyFill="1" applyBorder="1" applyAlignment="1">
      <alignment horizontal="center" vertical="center" wrapText="1"/>
    </xf>
    <xf numFmtId="1" fontId="0" fillId="18" borderId="1" xfId="0" quotePrefix="1" applyNumberFormat="1" applyFill="1" applyBorder="1" applyAlignment="1">
      <alignment horizontal="left" vertical="center" wrapText="1"/>
    </xf>
    <xf numFmtId="15" fontId="0" fillId="18" borderId="1" xfId="0" applyNumberFormat="1" applyFill="1" applyBorder="1" applyAlignment="1">
      <alignment horizontal="left" vertical="center" wrapText="1"/>
    </xf>
    <xf numFmtId="165" fontId="0" fillId="19" borderId="1" xfId="0" applyNumberFormat="1" applyFill="1" applyBorder="1" applyAlignment="1">
      <alignment vertical="center" wrapText="1"/>
    </xf>
    <xf numFmtId="0" fontId="28" fillId="2" borderId="1" xfId="0" applyFont="1" applyFill="1" applyBorder="1" applyAlignment="1">
      <alignment vertical="center" wrapText="1"/>
    </xf>
    <xf numFmtId="0" fontId="28" fillId="2" borderId="1" xfId="0" applyFont="1" applyFill="1" applyBorder="1" applyAlignment="1">
      <alignment horizontal="center" vertical="center" wrapText="1"/>
    </xf>
    <xf numFmtId="2" fontId="28" fillId="2" borderId="1" xfId="0" applyNumberFormat="1" applyFont="1" applyFill="1" applyBorder="1" applyAlignment="1">
      <alignment vertical="center" wrapText="1"/>
    </xf>
    <xf numFmtId="15" fontId="28" fillId="2" borderId="1" xfId="0" applyNumberFormat="1" applyFont="1" applyFill="1" applyBorder="1" applyAlignment="1">
      <alignment horizontal="center" vertical="center" wrapText="1"/>
    </xf>
    <xf numFmtId="1" fontId="28" fillId="2" borderId="1" xfId="0" applyNumberFormat="1" applyFont="1" applyFill="1" applyBorder="1" applyAlignment="1">
      <alignment horizontal="center" vertical="center" wrapText="1"/>
    </xf>
    <xf numFmtId="15" fontId="28" fillId="2" borderId="1" xfId="0" applyNumberFormat="1" applyFont="1" applyFill="1" applyBorder="1" applyAlignment="1">
      <alignment horizontal="left" vertical="center" wrapText="1"/>
    </xf>
    <xf numFmtId="0" fontId="0" fillId="23" borderId="1" xfId="0" applyFill="1" applyBorder="1" applyAlignment="1">
      <alignment vertical="center" wrapText="1"/>
    </xf>
    <xf numFmtId="0" fontId="0" fillId="23" borderId="1" xfId="0" applyFill="1" applyBorder="1" applyAlignment="1">
      <alignment horizontal="center" vertical="center" wrapText="1"/>
    </xf>
    <xf numFmtId="0" fontId="1" fillId="23" borderId="1" xfId="0" applyFont="1" applyFill="1" applyBorder="1" applyAlignment="1">
      <alignment vertical="center" wrapText="1"/>
    </xf>
    <xf numFmtId="2" fontId="0" fillId="23" borderId="1" xfId="0" applyNumberFormat="1" applyFill="1" applyBorder="1" applyAlignment="1">
      <alignment vertical="center" wrapText="1"/>
    </xf>
    <xf numFmtId="15" fontId="0" fillId="23" borderId="1" xfId="0" applyNumberFormat="1" applyFill="1" applyBorder="1" applyAlignment="1">
      <alignment horizontal="center" vertical="center" wrapText="1"/>
    </xf>
    <xf numFmtId="1" fontId="0" fillId="23" borderId="1" xfId="0" applyNumberFormat="1" applyFill="1" applyBorder="1" applyAlignment="1">
      <alignment horizontal="center" vertical="center" wrapText="1"/>
    </xf>
    <xf numFmtId="15" fontId="0" fillId="23" borderId="1" xfId="0" applyNumberFormat="1" applyFill="1" applyBorder="1" applyAlignment="1">
      <alignment horizontal="left" vertical="center" wrapText="1"/>
    </xf>
    <xf numFmtId="0" fontId="6" fillId="0" borderId="1" xfId="0" applyFont="1" applyBorder="1" applyAlignment="1">
      <alignment horizontal="center" vertical="center" wrapText="1"/>
    </xf>
    <xf numFmtId="0" fontId="6" fillId="0" borderId="1" xfId="0" applyFont="1" applyBorder="1" applyAlignment="1">
      <alignment horizontal="left" vertical="center"/>
    </xf>
    <xf numFmtId="2" fontId="6" fillId="0" borderId="1" xfId="0" applyNumberFormat="1" applyFont="1" applyBorder="1" applyAlignment="1">
      <alignment horizontal="center"/>
    </xf>
    <xf numFmtId="1" fontId="6" fillId="0" borderId="1" xfId="0" applyNumberFormat="1" applyFont="1" applyBorder="1" applyAlignment="1">
      <alignment horizontal="center"/>
    </xf>
    <xf numFmtId="0" fontId="6" fillId="0" borderId="1" xfId="0" applyFont="1" applyBorder="1" applyAlignment="1">
      <alignment horizontal="left"/>
    </xf>
    <xf numFmtId="0" fontId="9" fillId="0" borderId="1" xfId="0" applyFont="1" applyBorder="1" applyAlignment="1">
      <alignment horizontal="left"/>
    </xf>
    <xf numFmtId="164" fontId="32" fillId="0" borderId="1" xfId="0" applyNumberFormat="1" applyFont="1" applyBorder="1" applyAlignment="1">
      <alignment horizontal="center"/>
    </xf>
    <xf numFmtId="1" fontId="32" fillId="0" borderId="1" xfId="0" applyNumberFormat="1" applyFont="1" applyBorder="1" applyAlignment="1">
      <alignment horizontal="center"/>
    </xf>
    <xf numFmtId="0" fontId="6" fillId="0" borderId="1" xfId="0" applyFont="1" applyBorder="1"/>
    <xf numFmtId="0" fontId="9" fillId="0" borderId="1" xfId="0" applyFont="1" applyBorder="1"/>
    <xf numFmtId="0" fontId="0" fillId="0" borderId="22" xfId="0" applyBorder="1" applyAlignment="1">
      <alignment horizontal="center" vertical="center"/>
    </xf>
    <xf numFmtId="0" fontId="0" fillId="21" borderId="1" xfId="0" applyFill="1" applyBorder="1" applyAlignment="1">
      <alignment vertical="center" wrapText="1"/>
    </xf>
    <xf numFmtId="0" fontId="0" fillId="21" borderId="1" xfId="0" applyFill="1" applyBorder="1" applyAlignment="1">
      <alignment horizontal="left" vertical="center" wrapText="1"/>
    </xf>
    <xf numFmtId="0" fontId="0" fillId="21" borderId="1" xfId="0" applyFill="1" applyBorder="1" applyAlignment="1">
      <alignment horizontal="center" vertical="center" wrapText="1"/>
    </xf>
    <xf numFmtId="2" fontId="0" fillId="21" borderId="1" xfId="0" applyNumberFormat="1" applyFill="1" applyBorder="1" applyAlignment="1">
      <alignment vertical="center" wrapText="1"/>
    </xf>
    <xf numFmtId="169" fontId="0" fillId="2" borderId="1" xfId="0" applyNumberFormat="1" applyFill="1" applyBorder="1" applyAlignment="1">
      <alignment vertical="center" wrapText="1"/>
    </xf>
    <xf numFmtId="15" fontId="0" fillId="21" borderId="1" xfId="0" applyNumberFormat="1" applyFill="1" applyBorder="1" applyAlignment="1">
      <alignment horizontal="center" vertical="center" wrapText="1"/>
    </xf>
    <xf numFmtId="1" fontId="0" fillId="21" borderId="1" xfId="0" applyNumberFormat="1" applyFill="1" applyBorder="1" applyAlignment="1">
      <alignment horizontal="center" vertical="center" wrapText="1"/>
    </xf>
    <xf numFmtId="15" fontId="0" fillId="21" borderId="1" xfId="0" applyNumberFormat="1" applyFill="1" applyBorder="1" applyAlignment="1">
      <alignment horizontal="left" vertical="center" wrapText="1"/>
    </xf>
    <xf numFmtId="0" fontId="0" fillId="20" borderId="1" xfId="0" applyFill="1" applyBorder="1" applyAlignment="1">
      <alignment vertical="center" wrapText="1"/>
    </xf>
    <xf numFmtId="0" fontId="0" fillId="20" borderId="1" xfId="0" applyFill="1" applyBorder="1" applyAlignment="1">
      <alignment horizontal="left" vertical="center" wrapText="1"/>
    </xf>
    <xf numFmtId="0" fontId="0" fillId="20" borderId="1" xfId="0" applyFill="1" applyBorder="1" applyAlignment="1">
      <alignment horizontal="center" vertical="center" wrapText="1"/>
    </xf>
    <xf numFmtId="164" fontId="0" fillId="20" borderId="1" xfId="0" applyNumberFormat="1" applyFill="1" applyBorder="1" applyAlignment="1">
      <alignment vertical="center" wrapText="1"/>
    </xf>
    <xf numFmtId="2" fontId="0" fillId="20" borderId="1" xfId="0" applyNumberFormat="1" applyFill="1" applyBorder="1" applyAlignment="1">
      <alignment vertical="center" wrapText="1"/>
    </xf>
    <xf numFmtId="15" fontId="0" fillId="20" borderId="1" xfId="0" applyNumberFormat="1" applyFill="1" applyBorder="1" applyAlignment="1">
      <alignment horizontal="center" vertical="center" wrapText="1"/>
    </xf>
    <xf numFmtId="1" fontId="0" fillId="20" borderId="1" xfId="0" applyNumberFormat="1" applyFill="1" applyBorder="1" applyAlignment="1">
      <alignment horizontal="center" vertical="center" wrapText="1"/>
    </xf>
    <xf numFmtId="15" fontId="0" fillId="20" borderId="1" xfId="0" applyNumberFormat="1" applyFill="1" applyBorder="1" applyAlignment="1">
      <alignment horizontal="left" vertical="center" wrapText="1"/>
    </xf>
    <xf numFmtId="0" fontId="0" fillId="2" borderId="1" xfId="0" applyFill="1" applyBorder="1" applyAlignment="1">
      <alignment horizontal="left" vertical="center" wrapText="1"/>
    </xf>
    <xf numFmtId="166" fontId="0" fillId="21" borderId="1" xfId="0" applyNumberFormat="1" applyFill="1" applyBorder="1" applyAlignment="1">
      <alignment horizontal="left" vertical="center" wrapText="1"/>
    </xf>
    <xf numFmtId="0" fontId="0" fillId="22" borderId="1" xfId="0" applyFill="1" applyBorder="1" applyAlignment="1">
      <alignment horizontal="left" vertical="center" wrapText="1"/>
    </xf>
    <xf numFmtId="0" fontId="0" fillId="22" borderId="1" xfId="0" applyFill="1" applyBorder="1" applyAlignment="1">
      <alignment horizontal="center" vertical="center" wrapText="1"/>
    </xf>
    <xf numFmtId="0" fontId="0" fillId="22" borderId="1" xfId="0" applyFill="1" applyBorder="1" applyAlignment="1">
      <alignment vertical="center" wrapText="1"/>
    </xf>
    <xf numFmtId="2" fontId="0" fillId="22" borderId="1" xfId="0" applyNumberFormat="1" applyFill="1" applyBorder="1" applyAlignment="1">
      <alignment vertical="center" wrapText="1"/>
    </xf>
    <xf numFmtId="15" fontId="0" fillId="22" borderId="1" xfId="0" applyNumberFormat="1" applyFill="1" applyBorder="1" applyAlignment="1">
      <alignment horizontal="center" vertical="center" wrapText="1"/>
    </xf>
    <xf numFmtId="1" fontId="0" fillId="22" borderId="1" xfId="0" applyNumberFormat="1" applyFill="1" applyBorder="1" applyAlignment="1">
      <alignment horizontal="center" vertical="center" wrapText="1"/>
    </xf>
    <xf numFmtId="15" fontId="0" fillId="22" borderId="1" xfId="0" applyNumberFormat="1" applyFill="1" applyBorder="1" applyAlignment="1">
      <alignment horizontal="left" vertical="center" wrapText="1"/>
    </xf>
    <xf numFmtId="9" fontId="0" fillId="0" borderId="0" xfId="1" applyFont="1" applyFill="1"/>
    <xf numFmtId="0" fontId="0" fillId="10" borderId="1" xfId="0" applyFill="1" applyBorder="1" applyAlignment="1">
      <alignment vertical="center" wrapText="1"/>
    </xf>
    <xf numFmtId="0" fontId="0" fillId="10" borderId="1" xfId="0" applyFill="1" applyBorder="1" applyAlignment="1">
      <alignment horizontal="center" vertical="center" wrapText="1"/>
    </xf>
    <xf numFmtId="0" fontId="1" fillId="10" borderId="1" xfId="0" applyFont="1" applyFill="1" applyBorder="1" applyAlignment="1">
      <alignment vertical="center" wrapText="1"/>
    </xf>
    <xf numFmtId="2" fontId="0" fillId="10" borderId="1" xfId="0" applyNumberFormat="1" applyFill="1" applyBorder="1" applyAlignment="1">
      <alignment vertical="center" wrapText="1"/>
    </xf>
    <xf numFmtId="15" fontId="0" fillId="10" borderId="1" xfId="0" applyNumberFormat="1" applyFill="1" applyBorder="1" applyAlignment="1">
      <alignment horizontal="center" vertical="center" wrapText="1"/>
    </xf>
    <xf numFmtId="1" fontId="0" fillId="10" borderId="1" xfId="0" applyNumberFormat="1" applyFill="1" applyBorder="1" applyAlignment="1">
      <alignment horizontal="center" vertical="center" wrapText="1"/>
    </xf>
    <xf numFmtId="15" fontId="0" fillId="10" borderId="1" xfId="0" applyNumberFormat="1" applyFill="1" applyBorder="1" applyAlignment="1">
      <alignment horizontal="left" vertical="center" wrapText="1"/>
    </xf>
    <xf numFmtId="0" fontId="0" fillId="24" borderId="1" xfId="0" applyFill="1" applyBorder="1" applyAlignment="1">
      <alignment vertical="center" wrapText="1"/>
    </xf>
    <xf numFmtId="0" fontId="0" fillId="24" borderId="1" xfId="0" applyFill="1" applyBorder="1" applyAlignment="1">
      <alignment horizontal="center" vertical="center" wrapText="1"/>
    </xf>
    <xf numFmtId="0" fontId="1" fillId="24" borderId="1" xfId="0" applyFont="1" applyFill="1" applyBorder="1" applyAlignment="1">
      <alignment vertical="center" wrapText="1"/>
    </xf>
    <xf numFmtId="164" fontId="0" fillId="24" borderId="1" xfId="0" applyNumberFormat="1" applyFill="1" applyBorder="1" applyAlignment="1">
      <alignment vertical="center" wrapText="1"/>
    </xf>
    <xf numFmtId="2" fontId="0" fillId="24" borderId="1" xfId="0" applyNumberFormat="1" applyFill="1" applyBorder="1" applyAlignment="1">
      <alignment vertical="center" wrapText="1"/>
    </xf>
    <xf numFmtId="15" fontId="0" fillId="24" borderId="1" xfId="0" applyNumberFormat="1" applyFill="1" applyBorder="1" applyAlignment="1">
      <alignment horizontal="center" vertical="center" wrapText="1"/>
    </xf>
    <xf numFmtId="1" fontId="0" fillId="24" borderId="1" xfId="0" applyNumberFormat="1" applyFill="1" applyBorder="1" applyAlignment="1">
      <alignment horizontal="center" vertical="center" wrapText="1"/>
    </xf>
    <xf numFmtId="15" fontId="0" fillId="24" borderId="1" xfId="0" applyNumberFormat="1" applyFill="1" applyBorder="1" applyAlignment="1">
      <alignment horizontal="left" vertical="center" wrapText="1"/>
    </xf>
    <xf numFmtId="0" fontId="0" fillId="25" borderId="1" xfId="0" applyFill="1" applyBorder="1" applyAlignment="1">
      <alignment vertical="center" wrapText="1"/>
    </xf>
    <xf numFmtId="0" fontId="0" fillId="25" borderId="1" xfId="0" applyFill="1" applyBorder="1" applyAlignment="1">
      <alignment horizontal="center" vertical="center" wrapText="1"/>
    </xf>
    <xf numFmtId="0" fontId="1" fillId="25" borderId="1" xfId="0" applyFont="1" applyFill="1" applyBorder="1" applyAlignment="1">
      <alignment vertical="center" wrapText="1"/>
    </xf>
    <xf numFmtId="164" fontId="0" fillId="25" borderId="1" xfId="0" applyNumberFormat="1" applyFill="1" applyBorder="1" applyAlignment="1">
      <alignment vertical="center" wrapText="1"/>
    </xf>
    <xf numFmtId="2" fontId="0" fillId="25" borderId="1" xfId="0" applyNumberFormat="1" applyFill="1" applyBorder="1" applyAlignment="1">
      <alignment vertical="center" wrapText="1"/>
    </xf>
    <xf numFmtId="15" fontId="0" fillId="25" borderId="1" xfId="0" applyNumberFormat="1" applyFill="1" applyBorder="1" applyAlignment="1">
      <alignment horizontal="center" vertical="center" wrapText="1"/>
    </xf>
    <xf numFmtId="1" fontId="0" fillId="25" borderId="1" xfId="0" applyNumberFormat="1" applyFill="1" applyBorder="1" applyAlignment="1">
      <alignment horizontal="center" vertical="center" wrapText="1"/>
    </xf>
    <xf numFmtId="15" fontId="0" fillId="25" borderId="1" xfId="0" applyNumberFormat="1" applyFill="1" applyBorder="1" applyAlignment="1">
      <alignment horizontal="left" vertical="center" wrapText="1"/>
    </xf>
    <xf numFmtId="15" fontId="3" fillId="25" borderId="1" xfId="0" applyNumberFormat="1" applyFont="1" applyFill="1" applyBorder="1" applyAlignment="1">
      <alignment horizontal="center" vertical="center" wrapText="1"/>
    </xf>
    <xf numFmtId="165" fontId="0" fillId="25" borderId="1" xfId="0" applyNumberFormat="1" applyFill="1" applyBorder="1" applyAlignment="1">
      <alignment vertical="center" wrapText="1"/>
    </xf>
    <xf numFmtId="0" fontId="19" fillId="25" borderId="2" xfId="3" applyFont="1" applyFill="1" applyBorder="1" applyAlignment="1" applyProtection="1">
      <alignment horizontal="center" vertical="center" wrapText="1"/>
    </xf>
    <xf numFmtId="0" fontId="16" fillId="25" borderId="2" xfId="0" applyFont="1" applyFill="1" applyBorder="1" applyAlignment="1">
      <alignment horizontal="left" vertical="center" wrapText="1"/>
    </xf>
    <xf numFmtId="165" fontId="0" fillId="10" borderId="1" xfId="0" applyNumberFormat="1" applyFill="1" applyBorder="1" applyAlignment="1">
      <alignment vertical="center" wrapText="1"/>
    </xf>
    <xf numFmtId="165" fontId="0" fillId="24" borderId="1" xfId="0" applyNumberFormat="1" applyFill="1" applyBorder="1" applyAlignment="1">
      <alignment vertical="center" wrapText="1"/>
    </xf>
    <xf numFmtId="169" fontId="0" fillId="25" borderId="1" xfId="0" applyNumberFormat="1" applyFill="1" applyBorder="1" applyAlignment="1">
      <alignment horizontal="center" vertical="center" wrapText="1"/>
    </xf>
    <xf numFmtId="0" fontId="19" fillId="2" borderId="2" xfId="3" applyFont="1" applyFill="1" applyBorder="1" applyAlignment="1" applyProtection="1">
      <alignment horizontal="center" vertical="center" wrapText="1"/>
    </xf>
    <xf numFmtId="0" fontId="16" fillId="2" borderId="2" xfId="0" applyFont="1" applyFill="1" applyBorder="1" applyAlignment="1">
      <alignment horizontal="left" vertical="center" wrapText="1"/>
    </xf>
    <xf numFmtId="15" fontId="0" fillId="0" borderId="35" xfId="0" applyNumberFormat="1" applyBorder="1" applyAlignment="1">
      <alignment horizontal="center" vertical="center" wrapText="1"/>
    </xf>
    <xf numFmtId="15" fontId="0" fillId="0" borderId="0" xfId="0" applyNumberFormat="1" applyAlignment="1">
      <alignment horizontal="center" vertical="center" wrapText="1"/>
    </xf>
    <xf numFmtId="9" fontId="0" fillId="0" borderId="9" xfId="1" applyFont="1" applyFill="1" applyBorder="1"/>
    <xf numFmtId="10" fontId="0" fillId="0" borderId="10" xfId="1" applyNumberFormat="1" applyFont="1" applyFill="1" applyBorder="1"/>
    <xf numFmtId="9" fontId="0" fillId="0" borderId="49" xfId="1" applyFont="1" applyFill="1" applyBorder="1"/>
    <xf numFmtId="10" fontId="0" fillId="0" borderId="50" xfId="1" applyNumberFormat="1" applyFont="1" applyFill="1" applyBorder="1"/>
    <xf numFmtId="9" fontId="0" fillId="0" borderId="8" xfId="1" applyFont="1" applyFill="1" applyBorder="1"/>
    <xf numFmtId="10" fontId="0" fillId="0" borderId="12" xfId="1" applyNumberFormat="1" applyFont="1" applyFill="1" applyBorder="1"/>
    <xf numFmtId="10" fontId="0" fillId="0" borderId="10" xfId="1" applyNumberFormat="1" applyFont="1" applyBorder="1"/>
    <xf numFmtId="10" fontId="0" fillId="0" borderId="50" xfId="1" applyNumberFormat="1" applyFont="1" applyBorder="1"/>
    <xf numFmtId="0" fontId="6" fillId="0" borderId="38" xfId="0" applyFont="1" applyBorder="1" applyAlignment="1">
      <alignment horizontal="left"/>
    </xf>
    <xf numFmtId="10" fontId="0" fillId="0" borderId="12" xfId="1" applyNumberFormat="1" applyFont="1" applyBorder="1"/>
    <xf numFmtId="0" fontId="35" fillId="0" borderId="0" xfId="0" applyFont="1"/>
    <xf numFmtId="0" fontId="36" fillId="0" borderId="0" xfId="0" applyFont="1"/>
    <xf numFmtId="2" fontId="36" fillId="0" borderId="0" xfId="0" applyNumberFormat="1" applyFont="1"/>
    <xf numFmtId="1" fontId="0" fillId="0" borderId="0" xfId="0" applyNumberFormat="1" applyAlignment="1">
      <alignment horizontal="center"/>
    </xf>
    <xf numFmtId="0" fontId="0" fillId="0" borderId="0" xfId="0" applyAlignment="1">
      <alignment wrapText="1"/>
    </xf>
    <xf numFmtId="0" fontId="3" fillId="0" borderId="1" xfId="0" applyFont="1" applyBorder="1" applyAlignment="1">
      <alignment horizontal="left" vertical="center" wrapText="1"/>
    </xf>
    <xf numFmtId="0" fontId="37" fillId="0" borderId="0" xfId="0" applyFont="1" applyAlignment="1">
      <alignment vertical="center"/>
    </xf>
    <xf numFmtId="39" fontId="0" fillId="0" borderId="0" xfId="0" applyNumberFormat="1"/>
    <xf numFmtId="0" fontId="2" fillId="0" borderId="26" xfId="0" applyFont="1" applyBorder="1" applyAlignment="1">
      <alignment horizontal="center" vertical="center" wrapText="1"/>
    </xf>
    <xf numFmtId="0" fontId="2" fillId="0" borderId="26" xfId="0" applyFont="1" applyBorder="1" applyAlignment="1">
      <alignment horizontal="center" vertical="center"/>
    </xf>
    <xf numFmtId="0" fontId="2" fillId="2" borderId="26" xfId="0" applyFont="1" applyFill="1" applyBorder="1" applyAlignment="1">
      <alignment horizontal="center" vertical="center"/>
    </xf>
    <xf numFmtId="0" fontId="2" fillId="0" borderId="53" xfId="0" applyFont="1" applyBorder="1" applyAlignment="1">
      <alignment horizontal="center" vertical="center" wrapText="1"/>
    </xf>
    <xf numFmtId="0" fontId="36" fillId="3" borderId="0" xfId="0" applyFont="1" applyFill="1" applyAlignment="1">
      <alignment vertical="center"/>
    </xf>
    <xf numFmtId="1" fontId="28" fillId="15" borderId="1" xfId="0" applyNumberFormat="1" applyFont="1" applyFill="1" applyBorder="1" applyAlignment="1">
      <alignment horizontal="center" vertical="center" wrapText="1"/>
    </xf>
    <xf numFmtId="0" fontId="16" fillId="6" borderId="1" xfId="0" applyFont="1" applyFill="1" applyBorder="1" applyAlignment="1">
      <alignment horizontal="left" vertical="center"/>
    </xf>
    <xf numFmtId="1" fontId="28" fillId="18" borderId="1" xfId="0" applyNumberFormat="1" applyFont="1" applyFill="1" applyBorder="1" applyAlignment="1">
      <alignment horizontal="center" vertical="center" wrapText="1"/>
    </xf>
    <xf numFmtId="1" fontId="3" fillId="0" borderId="1" xfId="0" applyNumberFormat="1" applyFont="1" applyBorder="1" applyAlignment="1">
      <alignment horizontal="center" vertical="center" wrapText="1"/>
    </xf>
    <xf numFmtId="1" fontId="0" fillId="0" borderId="1" xfId="0" applyNumberFormat="1" applyBorder="1" applyAlignment="1">
      <alignment horizontal="center" vertical="center"/>
    </xf>
    <xf numFmtId="1" fontId="0" fillId="0" borderId="1" xfId="0" quotePrefix="1" applyNumberFormat="1" applyBorder="1" applyAlignment="1">
      <alignment horizontal="left" vertical="center" wrapText="1"/>
    </xf>
    <xf numFmtId="0" fontId="14" fillId="0" borderId="1" xfId="0" applyFont="1" applyBorder="1" applyAlignment="1">
      <alignment horizontal="center" vertical="center" wrapText="1"/>
    </xf>
    <xf numFmtId="2" fontId="3" fillId="0" borderId="1" xfId="0" applyNumberFormat="1" applyFont="1" applyBorder="1" applyAlignment="1">
      <alignment horizontal="center" vertical="center" wrapText="1"/>
    </xf>
    <xf numFmtId="0" fontId="14" fillId="0" borderId="1" xfId="0" applyFont="1" applyBorder="1" applyAlignment="1">
      <alignment vertical="center" wrapText="1"/>
    </xf>
    <xf numFmtId="165" fontId="3" fillId="0" borderId="1" xfId="0" applyNumberFormat="1" applyFont="1" applyBorder="1" applyAlignment="1">
      <alignment vertical="center" wrapText="1"/>
    </xf>
    <xf numFmtId="1" fontId="28" fillId="0" borderId="1" xfId="0" applyNumberFormat="1" applyFont="1" applyBorder="1" applyAlignment="1">
      <alignment horizontal="center" vertical="center" wrapText="1"/>
    </xf>
    <xf numFmtId="1" fontId="0" fillId="0" borderId="1" xfId="0" quotePrefix="1" applyNumberFormat="1" applyBorder="1" applyAlignment="1">
      <alignment horizontal="center" vertical="center" wrapText="1"/>
    </xf>
    <xf numFmtId="0" fontId="28" fillId="0" borderId="1" xfId="0" applyFont="1" applyBorder="1" applyAlignment="1">
      <alignment vertical="center" wrapText="1"/>
    </xf>
    <xf numFmtId="0" fontId="28" fillId="0" borderId="1" xfId="0" applyFont="1" applyBorder="1" applyAlignment="1">
      <alignment horizontal="center" vertical="center" wrapText="1"/>
    </xf>
    <xf numFmtId="0" fontId="29" fillId="0" borderId="1" xfId="0" applyFont="1" applyBorder="1" applyAlignment="1">
      <alignment vertical="center" wrapText="1"/>
    </xf>
    <xf numFmtId="2" fontId="28" fillId="0" borderId="1" xfId="0" applyNumberFormat="1" applyFont="1" applyBorder="1" applyAlignment="1">
      <alignment vertical="center" wrapText="1"/>
    </xf>
    <xf numFmtId="15" fontId="28" fillId="0" borderId="1" xfId="0" applyNumberFormat="1" applyFont="1" applyBorder="1" applyAlignment="1">
      <alignment horizontal="center" vertical="center" wrapText="1"/>
    </xf>
    <xf numFmtId="15" fontId="28" fillId="8" borderId="1" xfId="0" applyNumberFormat="1" applyFont="1" applyFill="1" applyBorder="1" applyAlignment="1">
      <alignment horizontal="center" vertical="center" wrapText="1"/>
    </xf>
    <xf numFmtId="1" fontId="28" fillId="8" borderId="1" xfId="0" applyNumberFormat="1" applyFont="1" applyFill="1" applyBorder="1" applyAlignment="1">
      <alignment horizontal="center" vertical="center" wrapText="1"/>
    </xf>
    <xf numFmtId="15" fontId="28" fillId="8" borderId="1" xfId="0" applyNumberFormat="1" applyFont="1" applyFill="1" applyBorder="1" applyAlignment="1">
      <alignment horizontal="left" vertical="center" wrapText="1"/>
    </xf>
    <xf numFmtId="0" fontId="0" fillId="21" borderId="5" xfId="0" applyFill="1" applyBorder="1" applyAlignment="1">
      <alignment vertical="center" wrapText="1"/>
    </xf>
    <xf numFmtId="0" fontId="0" fillId="20" borderId="5" xfId="0" applyFill="1" applyBorder="1" applyAlignment="1">
      <alignment vertical="center" wrapText="1"/>
    </xf>
    <xf numFmtId="0" fontId="0" fillId="2" borderId="5" xfId="0" applyFill="1" applyBorder="1" applyAlignment="1">
      <alignment vertical="center" wrapText="1"/>
    </xf>
    <xf numFmtId="0" fontId="0" fillId="22" borderId="5" xfId="0" applyFill="1" applyBorder="1" applyAlignment="1">
      <alignment horizontal="left" vertical="center"/>
    </xf>
    <xf numFmtId="0" fontId="0" fillId="20" borderId="5" xfId="0" applyFill="1" applyBorder="1" applyAlignment="1">
      <alignment horizontal="left" vertical="center"/>
    </xf>
    <xf numFmtId="0" fontId="0" fillId="22" borderId="5" xfId="0" applyFill="1" applyBorder="1" applyAlignment="1">
      <alignment vertical="center" wrapText="1"/>
    </xf>
    <xf numFmtId="2" fontId="0" fillId="21" borderId="3" xfId="0" applyNumberFormat="1" applyFill="1" applyBorder="1" applyAlignment="1">
      <alignment vertical="center" wrapText="1"/>
    </xf>
    <xf numFmtId="2" fontId="0" fillId="20" borderId="3" xfId="0" applyNumberFormat="1" applyFill="1" applyBorder="1" applyAlignment="1">
      <alignment vertical="center" wrapText="1"/>
    </xf>
    <xf numFmtId="2" fontId="0" fillId="2" borderId="3" xfId="0" applyNumberFormat="1" applyFill="1" applyBorder="1" applyAlignment="1">
      <alignment vertical="center" wrapText="1"/>
    </xf>
    <xf numFmtId="2" fontId="0" fillId="22" borderId="3" xfId="0" applyNumberFormat="1" applyFill="1" applyBorder="1" applyAlignment="1">
      <alignment vertical="center" wrapText="1"/>
    </xf>
    <xf numFmtId="2" fontId="0" fillId="0" borderId="3" xfId="0" applyNumberFormat="1" applyBorder="1" applyAlignment="1">
      <alignment vertical="center" wrapText="1"/>
    </xf>
    <xf numFmtId="0" fontId="2" fillId="0" borderId="43" xfId="0" applyFont="1" applyBorder="1" applyAlignment="1">
      <alignment horizontal="center" vertical="center"/>
    </xf>
    <xf numFmtId="0" fontId="0" fillId="2" borderId="44" xfId="0" applyFill="1" applyBorder="1" applyAlignment="1">
      <alignment vertical="center" wrapText="1"/>
    </xf>
    <xf numFmtId="0" fontId="0" fillId="2" borderId="2" xfId="0" applyFill="1" applyBorder="1" applyAlignment="1">
      <alignment vertical="center" wrapText="1"/>
    </xf>
    <xf numFmtId="0" fontId="0" fillId="2" borderId="2" xfId="0" applyFill="1" applyBorder="1" applyAlignment="1">
      <alignment horizontal="center" vertical="center" wrapText="1"/>
    </xf>
    <xf numFmtId="0" fontId="2" fillId="2" borderId="2" xfId="0" applyFont="1" applyFill="1" applyBorder="1" applyAlignment="1">
      <alignment vertical="center" wrapText="1"/>
    </xf>
    <xf numFmtId="2" fontId="2" fillId="2" borderId="2" xfId="0" applyNumberFormat="1" applyFont="1" applyFill="1" applyBorder="1" applyAlignment="1">
      <alignment vertical="center" wrapText="1"/>
    </xf>
    <xf numFmtId="2" fontId="0" fillId="2" borderId="2" xfId="0" applyNumberFormat="1" applyFill="1" applyBorder="1" applyAlignment="1">
      <alignment vertical="center" wrapText="1"/>
    </xf>
    <xf numFmtId="15" fontId="0" fillId="2" borderId="2" xfId="0" applyNumberFormat="1" applyFill="1" applyBorder="1" applyAlignment="1">
      <alignment horizontal="center" vertical="center" wrapText="1"/>
    </xf>
    <xf numFmtId="1" fontId="0" fillId="2" borderId="2" xfId="0" applyNumberFormat="1" applyFill="1" applyBorder="1" applyAlignment="1">
      <alignment horizontal="center" vertical="center" wrapText="1"/>
    </xf>
    <xf numFmtId="15" fontId="0" fillId="2" borderId="2" xfId="0" applyNumberFormat="1" applyFill="1" applyBorder="1" applyAlignment="1">
      <alignment horizontal="left" vertical="center" wrapText="1"/>
    </xf>
    <xf numFmtId="2" fontId="0" fillId="2" borderId="4" xfId="0" applyNumberFormat="1" applyFill="1" applyBorder="1" applyAlignment="1">
      <alignment vertical="center" wrapText="1"/>
    </xf>
    <xf numFmtId="0" fontId="0" fillId="26" borderId="1" xfId="0" applyFill="1" applyBorder="1" applyAlignment="1">
      <alignment vertical="center" wrapText="1"/>
    </xf>
    <xf numFmtId="0" fontId="0" fillId="26" borderId="1" xfId="0" applyFill="1" applyBorder="1" applyAlignment="1">
      <alignment horizontal="center" vertical="center" wrapText="1"/>
    </xf>
    <xf numFmtId="0" fontId="1" fillId="26" borderId="1" xfId="0" applyFont="1" applyFill="1" applyBorder="1" applyAlignment="1">
      <alignment vertical="center" wrapText="1"/>
    </xf>
    <xf numFmtId="2" fontId="0" fillId="26" borderId="1" xfId="0" applyNumberFormat="1" applyFill="1" applyBorder="1" applyAlignment="1">
      <alignment vertical="center" wrapText="1"/>
    </xf>
    <xf numFmtId="15" fontId="0" fillId="26" borderId="1" xfId="0" applyNumberFormat="1" applyFill="1" applyBorder="1" applyAlignment="1">
      <alignment horizontal="center" vertical="center" wrapText="1"/>
    </xf>
    <xf numFmtId="1" fontId="0" fillId="26" borderId="1" xfId="0" applyNumberFormat="1" applyFill="1" applyBorder="1" applyAlignment="1">
      <alignment horizontal="center" vertical="center" wrapText="1"/>
    </xf>
    <xf numFmtId="15" fontId="0" fillId="26" borderId="1" xfId="0" applyNumberFormat="1" applyFill="1" applyBorder="1" applyAlignment="1">
      <alignment horizontal="left" vertical="center" wrapText="1"/>
    </xf>
    <xf numFmtId="165" fontId="0" fillId="26" borderId="1" xfId="0" applyNumberFormat="1" applyFill="1" applyBorder="1" applyAlignment="1">
      <alignment vertical="center" wrapText="1"/>
    </xf>
    <xf numFmtId="0" fontId="11" fillId="0" borderId="0" xfId="0" applyFont="1" applyAlignment="1">
      <alignment horizontal="center"/>
    </xf>
    <xf numFmtId="1" fontId="11" fillId="0" borderId="0" xfId="0" applyNumberFormat="1" applyFont="1" applyAlignment="1">
      <alignment horizontal="center" vertical="center"/>
    </xf>
    <xf numFmtId="0" fontId="2" fillId="27" borderId="52" xfId="0" applyFont="1" applyFill="1" applyBorder="1" applyAlignment="1">
      <alignment horizontal="center" vertical="center" wrapText="1"/>
    </xf>
    <xf numFmtId="0" fontId="2" fillId="27" borderId="26" xfId="0" applyFont="1" applyFill="1" applyBorder="1" applyAlignment="1">
      <alignment horizontal="center" vertical="center" wrapText="1"/>
    </xf>
    <xf numFmtId="0" fontId="2" fillId="27" borderId="53" xfId="0" applyFont="1" applyFill="1" applyBorder="1" applyAlignment="1">
      <alignment horizontal="center" vertical="center" wrapText="1"/>
    </xf>
    <xf numFmtId="0" fontId="2" fillId="27" borderId="42" xfId="0" applyFont="1" applyFill="1" applyBorder="1" applyAlignment="1">
      <alignment horizontal="center" vertical="center" wrapText="1"/>
    </xf>
    <xf numFmtId="0" fontId="2" fillId="27" borderId="54" xfId="0" applyFont="1" applyFill="1" applyBorder="1" applyAlignment="1">
      <alignment horizontal="center" vertical="center" wrapText="1"/>
    </xf>
    <xf numFmtId="2" fontId="0" fillId="0" borderId="30" xfId="0" applyNumberFormat="1" applyBorder="1" applyAlignment="1">
      <alignment horizontal="center" vertical="center" wrapText="1"/>
    </xf>
    <xf numFmtId="0" fontId="0" fillId="0" borderId="0" xfId="0" pivotButton="1" applyAlignment="1">
      <alignment wrapText="1"/>
    </xf>
    <xf numFmtId="2" fontId="0" fillId="0" borderId="1" xfId="0" applyNumberFormat="1" applyBorder="1" applyAlignment="1">
      <alignment horizontal="center" vertical="center" wrapText="1"/>
    </xf>
    <xf numFmtId="165" fontId="0" fillId="0" borderId="1" xfId="0" applyNumberFormat="1" applyBorder="1" applyAlignment="1">
      <alignment horizontal="center" vertical="center" wrapText="1"/>
    </xf>
    <xf numFmtId="15" fontId="3" fillId="26" borderId="1" xfId="0" applyNumberFormat="1" applyFont="1" applyFill="1" applyBorder="1" applyAlignment="1">
      <alignment horizontal="left" vertical="center" wrapText="1"/>
    </xf>
    <xf numFmtId="15" fontId="3" fillId="26" borderId="1" xfId="0" applyNumberFormat="1" applyFont="1" applyFill="1" applyBorder="1" applyAlignment="1">
      <alignment horizontal="center" vertical="center" wrapText="1"/>
    </xf>
    <xf numFmtId="2" fontId="0" fillId="26" borderId="1" xfId="0" applyNumberFormat="1" applyFill="1" applyBorder="1" applyAlignment="1">
      <alignment horizontal="center" vertical="center" wrapText="1"/>
    </xf>
    <xf numFmtId="43" fontId="0" fillId="0" borderId="0" xfId="2" applyFont="1"/>
    <xf numFmtId="0" fontId="5" fillId="0" borderId="15" xfId="0" applyFont="1" applyBorder="1" applyAlignment="1">
      <alignment horizontal="left" vertical="center"/>
    </xf>
    <xf numFmtId="0" fontId="5" fillId="0" borderId="16" xfId="0" applyFont="1" applyBorder="1" applyAlignment="1">
      <alignment horizontal="left" vertical="center"/>
    </xf>
    <xf numFmtId="0" fontId="0" fillId="0" borderId="0" xfId="0" pivotButton="1"/>
    <xf numFmtId="0" fontId="36" fillId="0" borderId="0" xfId="0" applyFont="1" applyAlignment="1">
      <alignment vertical="center" wrapText="1"/>
    </xf>
    <xf numFmtId="164" fontId="3" fillId="0" borderId="1" xfId="0" applyNumberFormat="1" applyFont="1" applyBorder="1" applyAlignment="1">
      <alignment horizontal="center" vertical="center" wrapText="1"/>
    </xf>
    <xf numFmtId="10" fontId="0" fillId="0" borderId="0" xfId="0" applyNumberFormat="1"/>
    <xf numFmtId="0" fontId="11" fillId="0" borderId="0" xfId="0" applyFont="1"/>
    <xf numFmtId="168" fontId="34" fillId="0" borderId="0" xfId="2" applyNumberFormat="1" applyFont="1" applyBorder="1" applyAlignment="1">
      <alignment horizontal="center"/>
    </xf>
    <xf numFmtId="0" fontId="0" fillId="0" borderId="0" xfId="0" applyAlignment="1">
      <alignment horizontal="center"/>
    </xf>
    <xf numFmtId="0" fontId="11" fillId="22" borderId="4" xfId="0" applyFont="1" applyFill="1" applyBorder="1" applyAlignment="1">
      <alignment horizontal="right"/>
    </xf>
    <xf numFmtId="1" fontId="11" fillId="22" borderId="40" xfId="0" applyNumberFormat="1" applyFont="1" applyFill="1" applyBorder="1" applyAlignment="1">
      <alignment horizontal="left" vertical="center"/>
    </xf>
    <xf numFmtId="0" fontId="0" fillId="22" borderId="44" xfId="0" applyFill="1" applyBorder="1"/>
    <xf numFmtId="0" fontId="11" fillId="22" borderId="35" xfId="0" applyFont="1" applyFill="1" applyBorder="1"/>
    <xf numFmtId="1" fontId="11" fillId="22" borderId="0" xfId="0" applyNumberFormat="1" applyFont="1" applyFill="1" applyAlignment="1">
      <alignment horizontal="left" vertical="center"/>
    </xf>
    <xf numFmtId="0" fontId="0" fillId="22" borderId="55" xfId="0" applyFill="1" applyBorder="1"/>
    <xf numFmtId="0" fontId="0" fillId="22" borderId="35" xfId="0" applyFill="1" applyBorder="1"/>
    <xf numFmtId="0" fontId="39" fillId="22" borderId="0" xfId="0" applyFont="1" applyFill="1" applyAlignment="1">
      <alignment horizontal="center"/>
    </xf>
    <xf numFmtId="0" fontId="0" fillId="22" borderId="53" xfId="0" applyFill="1" applyBorder="1"/>
    <xf numFmtId="0" fontId="39" fillId="22" borderId="48" xfId="0" applyFont="1" applyFill="1" applyBorder="1" applyAlignment="1">
      <alignment horizontal="center"/>
    </xf>
    <xf numFmtId="1" fontId="11" fillId="22" borderId="48" xfId="0" applyNumberFormat="1" applyFont="1" applyFill="1" applyBorder="1" applyAlignment="1">
      <alignment horizontal="left" vertical="center"/>
    </xf>
    <xf numFmtId="0" fontId="0" fillId="22" borderId="43" xfId="0" applyFill="1" applyBorder="1"/>
    <xf numFmtId="10" fontId="2" fillId="0" borderId="0" xfId="1" applyNumberFormat="1" applyFont="1"/>
    <xf numFmtId="0" fontId="0" fillId="8" borderId="4" xfId="0" applyFill="1" applyBorder="1"/>
    <xf numFmtId="1" fontId="0" fillId="8" borderId="40" xfId="0" applyNumberFormat="1" applyFill="1" applyBorder="1"/>
    <xf numFmtId="10" fontId="0" fillId="8" borderId="44" xfId="1" applyNumberFormat="1" applyFont="1" applyFill="1" applyBorder="1"/>
    <xf numFmtId="0" fontId="0" fillId="8" borderId="35" xfId="0" applyFill="1" applyBorder="1"/>
    <xf numFmtId="1" fontId="0" fillId="8" borderId="0" xfId="0" applyNumberFormat="1" applyFill="1"/>
    <xf numFmtId="10" fontId="0" fillId="8" borderId="55" xfId="1" applyNumberFormat="1" applyFont="1" applyFill="1" applyBorder="1"/>
    <xf numFmtId="0" fontId="0" fillId="8" borderId="53" xfId="0" applyFill="1" applyBorder="1"/>
    <xf numFmtId="1" fontId="0" fillId="8" borderId="48" xfId="0" applyNumberFormat="1" applyFill="1" applyBorder="1"/>
    <xf numFmtId="10" fontId="0" fillId="8" borderId="43" xfId="1" applyNumberFormat="1" applyFont="1" applyFill="1" applyBorder="1"/>
    <xf numFmtId="172" fontId="34" fillId="22" borderId="40" xfId="0" applyNumberFormat="1" applyFont="1" applyFill="1" applyBorder="1" applyAlignment="1">
      <alignment horizontal="center"/>
    </xf>
    <xf numFmtId="172" fontId="34" fillId="22" borderId="0" xfId="2" applyNumberFormat="1" applyFont="1" applyFill="1" applyBorder="1" applyAlignment="1">
      <alignment horizontal="center"/>
    </xf>
    <xf numFmtId="172" fontId="34" fillId="22" borderId="48" xfId="2" applyNumberFormat="1" applyFont="1" applyFill="1" applyBorder="1" applyAlignment="1">
      <alignment horizontal="center"/>
    </xf>
    <xf numFmtId="39" fontId="5" fillId="0" borderId="15" xfId="0" applyNumberFormat="1" applyFont="1" applyBorder="1" applyAlignment="1">
      <alignment horizontal="center"/>
    </xf>
    <xf numFmtId="39" fontId="34" fillId="0" borderId="7" xfId="2" applyNumberFormat="1" applyFont="1" applyBorder="1" applyAlignment="1">
      <alignment horizontal="center"/>
    </xf>
    <xf numFmtId="43" fontId="2" fillId="0" borderId="0" xfId="2" applyFont="1"/>
    <xf numFmtId="9" fontId="2" fillId="0" borderId="0" xfId="1" applyFont="1"/>
    <xf numFmtId="174" fontId="0" fillId="0" borderId="0" xfId="0" applyNumberFormat="1"/>
    <xf numFmtId="2" fontId="2" fillId="7" borderId="1" xfId="0" applyNumberFormat="1" applyFont="1" applyFill="1" applyBorder="1" applyAlignment="1">
      <alignment horizontal="center" vertical="center" wrapText="1"/>
    </xf>
    <xf numFmtId="2" fontId="2" fillId="17"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164" fontId="0" fillId="2" borderId="1" xfId="0" applyNumberFormat="1" applyFill="1" applyBorder="1" applyAlignment="1">
      <alignment horizontal="center" vertical="center" wrapText="1"/>
    </xf>
    <xf numFmtId="164" fontId="2" fillId="7" borderId="1" xfId="0" applyNumberFormat="1" applyFont="1" applyFill="1" applyBorder="1" applyAlignment="1">
      <alignment horizontal="center" vertical="center" wrapText="1"/>
    </xf>
    <xf numFmtId="164" fontId="2" fillId="17" borderId="1" xfId="0" applyNumberFormat="1" applyFont="1" applyFill="1" applyBorder="1" applyAlignment="1">
      <alignment horizontal="center" vertical="center" wrapText="1"/>
    </xf>
    <xf numFmtId="2" fontId="28" fillId="0" borderId="1" xfId="0" applyNumberFormat="1" applyFont="1" applyBorder="1" applyAlignment="1">
      <alignment horizontal="center" vertical="center" wrapText="1"/>
    </xf>
    <xf numFmtId="2" fontId="0" fillId="0" borderId="26" xfId="0" applyNumberFormat="1" applyBorder="1" applyAlignment="1">
      <alignment horizontal="center" vertical="center"/>
    </xf>
    <xf numFmtId="164" fontId="0" fillId="0" borderId="26" xfId="0" applyNumberFormat="1" applyBorder="1" applyAlignment="1">
      <alignment horizontal="center" vertical="center"/>
    </xf>
    <xf numFmtId="2" fontId="0" fillId="0" borderId="1" xfId="0" applyNumberFormat="1" applyBorder="1" applyAlignment="1">
      <alignment horizontal="center" vertical="center"/>
    </xf>
    <xf numFmtId="164" fontId="0" fillId="0" borderId="1" xfId="0" applyNumberFormat="1" applyBorder="1" applyAlignment="1">
      <alignment horizontal="center" vertical="center"/>
    </xf>
    <xf numFmtId="173" fontId="38" fillId="28" borderId="33" xfId="0" applyNumberFormat="1" applyFont="1" applyFill="1" applyBorder="1" applyAlignment="1">
      <alignment horizontal="center" vertical="center" wrapText="1"/>
    </xf>
    <xf numFmtId="167" fontId="0" fillId="0" borderId="0" xfId="0" applyNumberFormat="1" applyAlignment="1">
      <alignment horizontal="center"/>
    </xf>
    <xf numFmtId="0" fontId="0" fillId="0" borderId="43" xfId="0" applyBorder="1" applyAlignment="1">
      <alignment horizontal="left" vertical="center"/>
    </xf>
    <xf numFmtId="2" fontId="0" fillId="0" borderId="26" xfId="0" applyNumberFormat="1" applyBorder="1" applyAlignment="1">
      <alignment horizontal="center" vertical="center" wrapText="1"/>
    </xf>
    <xf numFmtId="1" fontId="0" fillId="0" borderId="26" xfId="0" applyNumberFormat="1" applyBorder="1" applyAlignment="1">
      <alignment horizontal="center" vertical="center"/>
    </xf>
    <xf numFmtId="2" fontId="0" fillId="0" borderId="26" xfId="0" applyNumberFormat="1" applyBorder="1" applyAlignment="1">
      <alignment horizontal="center"/>
    </xf>
    <xf numFmtId="0" fontId="0" fillId="0" borderId="44" xfId="0" applyBorder="1" applyAlignment="1">
      <alignment horizontal="left" vertical="center"/>
    </xf>
    <xf numFmtId="2" fontId="0" fillId="0" borderId="2" xfId="0" applyNumberFormat="1" applyBorder="1" applyAlignment="1">
      <alignment horizontal="center"/>
    </xf>
    <xf numFmtId="1" fontId="0" fillId="0" borderId="2" xfId="0" applyNumberFormat="1" applyBorder="1" applyAlignment="1">
      <alignment horizontal="center" vertical="center"/>
    </xf>
    <xf numFmtId="0" fontId="0" fillId="0" borderId="45" xfId="0" applyBorder="1" applyAlignment="1">
      <alignment horizontal="left" vertical="center"/>
    </xf>
    <xf numFmtId="2" fontId="0" fillId="0" borderId="27" xfId="0" applyNumberFormat="1" applyBorder="1" applyAlignment="1">
      <alignment horizontal="center"/>
    </xf>
    <xf numFmtId="1" fontId="0" fillId="0" borderId="27" xfId="0" applyNumberFormat="1" applyBorder="1" applyAlignment="1">
      <alignment horizontal="center" vertical="center"/>
    </xf>
    <xf numFmtId="0" fontId="0" fillId="0" borderId="5" xfId="0" applyBorder="1" applyAlignment="1">
      <alignment horizontal="left" vertical="center"/>
    </xf>
    <xf numFmtId="2" fontId="0" fillId="0" borderId="2" xfId="0" applyNumberFormat="1" applyBorder="1" applyAlignment="1">
      <alignment horizontal="center" vertical="center"/>
    </xf>
    <xf numFmtId="1" fontId="0" fillId="0" borderId="32" xfId="0" applyNumberFormat="1" applyBorder="1" applyAlignment="1">
      <alignment horizontal="center" vertical="center"/>
    </xf>
    <xf numFmtId="0" fontId="0" fillId="0" borderId="47" xfId="0" applyBorder="1" applyAlignment="1">
      <alignment horizontal="left" vertical="center"/>
    </xf>
    <xf numFmtId="2" fontId="0" fillId="0" borderId="32" xfId="0" applyNumberFormat="1" applyBorder="1" applyAlignment="1">
      <alignment horizontal="center" vertical="center" wrapText="1"/>
    </xf>
    <xf numFmtId="0" fontId="2" fillId="8" borderId="19" xfId="0" applyFont="1" applyFill="1" applyBorder="1" applyAlignment="1">
      <alignment horizontal="center" vertical="center" wrapText="1"/>
    </xf>
    <xf numFmtId="1" fontId="2" fillId="8" borderId="19" xfId="0" applyNumberFormat="1" applyFont="1" applyFill="1" applyBorder="1" applyAlignment="1">
      <alignment horizontal="center" vertical="center" wrapText="1"/>
    </xf>
    <xf numFmtId="0" fontId="2" fillId="8" borderId="7" xfId="0" applyFont="1" applyFill="1" applyBorder="1" applyAlignment="1">
      <alignment horizontal="center" vertical="center" wrapText="1"/>
    </xf>
    <xf numFmtId="0" fontId="2" fillId="8" borderId="41" xfId="0" applyFont="1" applyFill="1" applyBorder="1" applyAlignment="1">
      <alignment horizontal="center" vertical="center" wrapText="1"/>
    </xf>
    <xf numFmtId="0" fontId="11" fillId="0" borderId="0" xfId="0" applyFont="1" applyAlignment="1">
      <alignment horizontal="left" indent="4"/>
    </xf>
    <xf numFmtId="15" fontId="41" fillId="0" borderId="11" xfId="0" applyNumberFormat="1" applyFont="1" applyBorder="1" applyAlignment="1">
      <alignment vertical="center"/>
    </xf>
    <xf numFmtId="165" fontId="0" fillId="0" borderId="0" xfId="0" applyNumberFormat="1"/>
    <xf numFmtId="175" fontId="0" fillId="0" borderId="0" xfId="0" pivotButton="1" applyNumberFormat="1"/>
    <xf numFmtId="0" fontId="2" fillId="8" borderId="10" xfId="0" applyFont="1" applyFill="1" applyBorder="1" applyAlignment="1">
      <alignment horizontal="center" vertical="center" wrapText="1"/>
    </xf>
    <xf numFmtId="0" fontId="0" fillId="0" borderId="24" xfId="0" applyBorder="1"/>
    <xf numFmtId="0" fontId="0" fillId="0" borderId="25" xfId="0" applyBorder="1"/>
    <xf numFmtId="0" fontId="0" fillId="0" borderId="15" xfId="0" applyBorder="1"/>
    <xf numFmtId="0" fontId="7" fillId="0" borderId="16" xfId="0" applyFont="1" applyBorder="1"/>
    <xf numFmtId="0" fontId="0" fillId="0" borderId="15" xfId="0" applyBorder="1" applyAlignment="1">
      <alignment wrapText="1"/>
    </xf>
    <xf numFmtId="0" fontId="0" fillId="0" borderId="25" xfId="0" applyBorder="1" applyAlignment="1">
      <alignment horizontal="left" vertical="center"/>
    </xf>
    <xf numFmtId="0" fontId="0" fillId="0" borderId="15" xfId="0" applyBorder="1" applyAlignment="1">
      <alignment horizontal="left" vertical="center"/>
    </xf>
    <xf numFmtId="0" fontId="7" fillId="0" borderId="15" xfId="0" applyFont="1" applyBorder="1"/>
    <xf numFmtId="0" fontId="7" fillId="0" borderId="7" xfId="0" applyFont="1" applyBorder="1"/>
    <xf numFmtId="3" fontId="11" fillId="0" borderId="58" xfId="0" applyNumberFormat="1" applyFont="1" applyBorder="1" applyAlignment="1">
      <alignment horizontal="center" vertical="center"/>
    </xf>
    <xf numFmtId="3" fontId="11" fillId="0" borderId="59" xfId="0" applyNumberFormat="1" applyFont="1" applyBorder="1" applyAlignment="1">
      <alignment horizontal="center" vertical="center"/>
    </xf>
    <xf numFmtId="43" fontId="42" fillId="0" borderId="0" xfId="2" applyFont="1" applyAlignment="1">
      <alignment horizontal="center" vertical="center"/>
    </xf>
    <xf numFmtId="43" fontId="42" fillId="0" borderId="0" xfId="2" applyFont="1" applyAlignment="1">
      <alignment horizontal="center"/>
    </xf>
    <xf numFmtId="0" fontId="39" fillId="22" borderId="40" xfId="0" applyFont="1" applyFill="1" applyBorder="1" applyAlignment="1">
      <alignment horizontal="center"/>
    </xf>
    <xf numFmtId="4" fontId="11" fillId="0" borderId="58" xfId="0" applyNumberFormat="1" applyFont="1" applyBorder="1" applyAlignment="1">
      <alignment horizontal="center" vertical="center"/>
    </xf>
    <xf numFmtId="0" fontId="36" fillId="0" borderId="0" xfId="0" applyFont="1" applyAlignment="1">
      <alignment vertical="center"/>
    </xf>
    <xf numFmtId="4" fontId="11" fillId="0" borderId="0" xfId="0" applyNumberFormat="1" applyFont="1" applyAlignment="1">
      <alignment horizontal="center"/>
    </xf>
    <xf numFmtId="14" fontId="0" fillId="0" borderId="1" xfId="0" applyNumberFormat="1" applyBorder="1" applyAlignment="1">
      <alignment vertical="center" wrapText="1"/>
    </xf>
    <xf numFmtId="43" fontId="0" fillId="0" borderId="1" xfId="2" applyFont="1" applyBorder="1" applyAlignment="1">
      <alignment horizontal="center" vertical="center" wrapText="1"/>
    </xf>
    <xf numFmtId="2" fontId="32" fillId="0" borderId="1" xfId="0" applyNumberFormat="1" applyFont="1" applyBorder="1" applyAlignment="1">
      <alignment horizontal="center"/>
    </xf>
    <xf numFmtId="15" fontId="0" fillId="0" borderId="2" xfId="0" applyNumberFormat="1" applyBorder="1" applyAlignment="1">
      <alignment horizontal="center" vertical="center" wrapText="1"/>
    </xf>
    <xf numFmtId="3" fontId="11" fillId="0" borderId="0" xfId="0" applyNumberFormat="1" applyFont="1" applyAlignment="1">
      <alignment horizontal="center"/>
    </xf>
    <xf numFmtId="2" fontId="1" fillId="0" borderId="1" xfId="0" applyNumberFormat="1" applyFont="1" applyBorder="1" applyAlignment="1">
      <alignment vertical="center" wrapText="1"/>
    </xf>
    <xf numFmtId="0" fontId="1" fillId="0" borderId="2" xfId="0" applyFont="1" applyBorder="1" applyAlignment="1">
      <alignment vertical="center" wrapText="1"/>
    </xf>
    <xf numFmtId="15" fontId="0" fillId="0" borderId="2" xfId="0" applyNumberFormat="1" applyBorder="1" applyAlignment="1">
      <alignment horizontal="left" vertical="center" wrapText="1"/>
    </xf>
    <xf numFmtId="43" fontId="42" fillId="0" borderId="0" xfId="2" applyFont="1"/>
    <xf numFmtId="4" fontId="0" fillId="0" borderId="0" xfId="0" applyNumberFormat="1"/>
    <xf numFmtId="0" fontId="0" fillId="0" borderId="0" xfId="0" applyAlignment="1">
      <alignment horizontal="right"/>
    </xf>
    <xf numFmtId="43" fontId="28" fillId="0" borderId="0" xfId="0" applyNumberFormat="1" applyFont="1"/>
    <xf numFmtId="0" fontId="28" fillId="0" borderId="0" xfId="0" applyFont="1"/>
    <xf numFmtId="39" fontId="0" fillId="0" borderId="1" xfId="2" applyNumberFormat="1" applyFont="1" applyFill="1" applyBorder="1" applyAlignment="1">
      <alignment horizontal="center"/>
    </xf>
    <xf numFmtId="39" fontId="0" fillId="0" borderId="2" xfId="2" applyNumberFormat="1" applyFont="1" applyFill="1" applyBorder="1" applyAlignment="1">
      <alignment horizontal="center"/>
    </xf>
    <xf numFmtId="0" fontId="46" fillId="0" borderId="0" xfId="0" applyFont="1"/>
    <xf numFmtId="0" fontId="0" fillId="0" borderId="60" xfId="0" applyBorder="1"/>
    <xf numFmtId="0" fontId="2" fillId="0" borderId="48" xfId="0" applyFont="1" applyBorder="1" applyAlignment="1">
      <alignment horizontal="center" vertical="center" wrapText="1"/>
    </xf>
    <xf numFmtId="172" fontId="34" fillId="22" borderId="0" xfId="0" applyNumberFormat="1" applyFont="1" applyFill="1" applyAlignment="1">
      <alignment horizontal="center"/>
    </xf>
    <xf numFmtId="43" fontId="0" fillId="0" borderId="0" xfId="0" applyNumberFormat="1"/>
    <xf numFmtId="0" fontId="0" fillId="0" borderId="9" xfId="0" applyBorder="1"/>
    <xf numFmtId="0" fontId="0" fillId="0" borderId="10" xfId="0" applyBorder="1"/>
    <xf numFmtId="0" fontId="0" fillId="0" borderId="49" xfId="0" applyBorder="1"/>
    <xf numFmtId="0" fontId="0" fillId="0" borderId="50" xfId="0" applyBorder="1"/>
    <xf numFmtId="0" fontId="2" fillId="0" borderId="0" xfId="0" applyFont="1"/>
    <xf numFmtId="0" fontId="2" fillId="0" borderId="49" xfId="0" applyFont="1" applyBorder="1"/>
    <xf numFmtId="0" fontId="2" fillId="0" borderId="50" xfId="0" applyFont="1" applyBorder="1"/>
    <xf numFmtId="43" fontId="0" fillId="0" borderId="0" xfId="2" applyFont="1" applyBorder="1"/>
    <xf numFmtId="43" fontId="0" fillId="0" borderId="0" xfId="2" applyFont="1" applyFill="1" applyBorder="1"/>
    <xf numFmtId="0" fontId="11" fillId="0" borderId="0" xfId="0" applyFont="1" applyAlignment="1">
      <alignment horizontal="right"/>
    </xf>
    <xf numFmtId="43" fontId="11" fillId="0" borderId="0" xfId="2" applyFont="1" applyBorder="1"/>
    <xf numFmtId="0" fontId="7" fillId="0" borderId="0" xfId="0" applyFont="1"/>
    <xf numFmtId="43" fontId="0" fillId="8" borderId="0" xfId="2" applyFont="1" applyFill="1" applyBorder="1"/>
    <xf numFmtId="0" fontId="30" fillId="0" borderId="48" xfId="0" applyFont="1" applyBorder="1" applyAlignment="1">
      <alignment horizontal="right"/>
    </xf>
    <xf numFmtId="43" fontId="47" fillId="0" borderId="0" xfId="2" applyFont="1" applyBorder="1"/>
    <xf numFmtId="0" fontId="48" fillId="0" borderId="48" xfId="0" applyFont="1" applyBorder="1" applyAlignment="1">
      <alignment horizontal="right"/>
    </xf>
    <xf numFmtId="43" fontId="36" fillId="0" borderId="0" xfId="2" applyFont="1" applyBorder="1"/>
    <xf numFmtId="43" fontId="36" fillId="8" borderId="0" xfId="2" applyFont="1" applyFill="1" applyBorder="1"/>
    <xf numFmtId="0" fontId="30" fillId="0" borderId="48" xfId="0" applyFont="1" applyBorder="1" applyAlignment="1">
      <alignment horizontal="left"/>
    </xf>
    <xf numFmtId="43" fontId="2" fillId="0" borderId="61" xfId="2" applyFont="1" applyBorder="1"/>
    <xf numFmtId="43" fontId="47" fillId="0" borderId="61" xfId="2" applyFont="1" applyBorder="1"/>
    <xf numFmtId="2" fontId="36" fillId="0" borderId="0" xfId="0" applyNumberFormat="1" applyFont="1" applyAlignment="1">
      <alignment horizontal="left" indent="14"/>
    </xf>
    <xf numFmtId="0" fontId="0" fillId="0" borderId="0" xfId="0" applyAlignment="1">
      <alignment horizontal="left"/>
    </xf>
    <xf numFmtId="15" fontId="0" fillId="3" borderId="1" xfId="0" applyNumberFormat="1" applyFill="1" applyBorder="1" applyAlignment="1">
      <alignment horizontal="center" vertical="center" wrapText="1"/>
    </xf>
    <xf numFmtId="0" fontId="44" fillId="30" borderId="0" xfId="4" applyFont="1" applyFill="1" applyAlignment="1">
      <alignment horizontal="center"/>
    </xf>
    <xf numFmtId="164" fontId="11" fillId="0" borderId="0" xfId="0" applyNumberFormat="1" applyFont="1" applyAlignment="1">
      <alignment horizontal="center"/>
    </xf>
    <xf numFmtId="2" fontId="0" fillId="3" borderId="1" xfId="0" applyNumberFormat="1" applyFill="1" applyBorder="1" applyAlignment="1">
      <alignment horizontal="center" vertical="center" wrapText="1"/>
    </xf>
    <xf numFmtId="39" fontId="0" fillId="0" borderId="26" xfId="0" applyNumberFormat="1" applyBorder="1" applyAlignment="1">
      <alignment horizontal="center"/>
    </xf>
    <xf numFmtId="0" fontId="0" fillId="0" borderId="42" xfId="0" applyBorder="1" applyAlignment="1">
      <alignment horizontal="center" vertical="center"/>
    </xf>
    <xf numFmtId="39" fontId="0" fillId="0" borderId="2" xfId="0" applyNumberFormat="1" applyBorder="1" applyAlignment="1">
      <alignment horizontal="center"/>
    </xf>
    <xf numFmtId="0" fontId="0" fillId="0" borderId="2" xfId="0" applyBorder="1" applyAlignment="1">
      <alignment horizontal="center" vertical="center"/>
    </xf>
    <xf numFmtId="39" fontId="3" fillId="0" borderId="2" xfId="0" applyNumberFormat="1" applyFont="1" applyBorder="1" applyAlignment="1">
      <alignment horizontal="center"/>
    </xf>
    <xf numFmtId="0" fontId="3" fillId="0" borderId="36" xfId="0" applyFont="1" applyBorder="1" applyAlignment="1">
      <alignment horizontal="center" vertical="center"/>
    </xf>
    <xf numFmtId="39" fontId="0" fillId="0" borderId="27" xfId="0" applyNumberFormat="1" applyBorder="1" applyAlignment="1">
      <alignment horizont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30" xfId="0" applyBorder="1" applyAlignment="1">
      <alignment horizontal="center" vertical="center"/>
    </xf>
    <xf numFmtId="39" fontId="0" fillId="0" borderId="32" xfId="0" applyNumberFormat="1" applyBorder="1" applyAlignment="1">
      <alignment horizontal="center" vertical="center"/>
    </xf>
    <xf numFmtId="0" fontId="0" fillId="0" borderId="32" xfId="0" applyBorder="1" applyAlignment="1">
      <alignment horizontal="center" vertical="center"/>
    </xf>
    <xf numFmtId="39" fontId="0" fillId="0" borderId="32" xfId="0" applyNumberFormat="1" applyBorder="1" applyAlignment="1">
      <alignment horizontal="center"/>
    </xf>
    <xf numFmtId="0" fontId="0" fillId="0" borderId="36" xfId="0" applyBorder="1" applyAlignment="1">
      <alignment horizontal="center" vertical="center"/>
    </xf>
    <xf numFmtId="39" fontId="0" fillId="0" borderId="1" xfId="0" applyNumberFormat="1" applyBorder="1" applyAlignment="1">
      <alignment horizontal="center"/>
    </xf>
    <xf numFmtId="39" fontId="3" fillId="0" borderId="32" xfId="0" applyNumberFormat="1" applyFont="1" applyBorder="1" applyAlignment="1">
      <alignment horizontal="center"/>
    </xf>
    <xf numFmtId="1" fontId="0" fillId="0" borderId="37" xfId="0" applyNumberFormat="1" applyBorder="1" applyAlignment="1">
      <alignment horizontal="center" vertical="center"/>
    </xf>
    <xf numFmtId="164" fontId="0" fillId="0" borderId="1" xfId="0" quotePrefix="1" applyNumberFormat="1" applyBorder="1" applyAlignment="1">
      <alignment vertical="center" wrapText="1"/>
    </xf>
    <xf numFmtId="2" fontId="0" fillId="0" borderId="0" xfId="0" applyNumberFormat="1" applyAlignment="1">
      <alignment vertical="center"/>
    </xf>
    <xf numFmtId="0" fontId="2" fillId="27" borderId="48" xfId="0" applyFont="1" applyFill="1" applyBorder="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vertical="center" wrapText="1"/>
    </xf>
    <xf numFmtId="2" fontId="0" fillId="0" borderId="3" xfId="0" applyNumberFormat="1" applyBorder="1" applyAlignment="1">
      <alignment horizontal="center" vertical="center" wrapText="1"/>
    </xf>
    <xf numFmtId="165" fontId="0" fillId="26" borderId="0" xfId="0" applyNumberFormat="1" applyFill="1" applyAlignment="1">
      <alignment horizontal="center" vertical="center" wrapText="1"/>
    </xf>
    <xf numFmtId="165" fontId="3" fillId="0" borderId="0" xfId="0" applyNumberFormat="1" applyFont="1" applyAlignment="1">
      <alignment vertical="center" wrapText="1"/>
    </xf>
    <xf numFmtId="2" fontId="28" fillId="8" borderId="0" xfId="0" applyNumberFormat="1" applyFont="1" applyFill="1" applyAlignment="1">
      <alignment horizontal="center" vertical="center" wrapText="1"/>
    </xf>
    <xf numFmtId="14" fontId="0" fillId="26" borderId="0" xfId="0" applyNumberFormat="1" applyFill="1" applyAlignment="1">
      <alignment horizontal="center" vertical="center" wrapText="1"/>
    </xf>
    <xf numFmtId="14" fontId="0" fillId="0" borderId="1" xfId="0" applyNumberFormat="1" applyBorder="1" applyAlignment="1">
      <alignment horizontal="center" vertical="center" wrapText="1"/>
    </xf>
    <xf numFmtId="14" fontId="0" fillId="0" borderId="0" xfId="0" applyNumberFormat="1" applyAlignment="1">
      <alignment horizontal="center" vertical="center" wrapText="1"/>
    </xf>
    <xf numFmtId="14" fontId="28" fillId="8" borderId="0" xfId="0" applyNumberFormat="1" applyFont="1" applyFill="1" applyAlignment="1">
      <alignment horizontal="center" vertical="center" wrapText="1"/>
    </xf>
    <xf numFmtId="43" fontId="0" fillId="0" borderId="0" xfId="2" applyFont="1" applyBorder="1" applyAlignment="1">
      <alignment horizontal="center" vertical="center" wrapText="1"/>
    </xf>
    <xf numFmtId="43" fontId="0" fillId="26" borderId="0" xfId="2" applyFont="1" applyFill="1" applyBorder="1" applyAlignment="1">
      <alignment vertical="center" wrapText="1"/>
    </xf>
    <xf numFmtId="43" fontId="0" fillId="0" borderId="0" xfId="2" applyFont="1" applyBorder="1" applyAlignment="1">
      <alignment vertical="center" wrapText="1"/>
    </xf>
    <xf numFmtId="43" fontId="3" fillId="0" borderId="0" xfId="2" applyFont="1" applyBorder="1" applyAlignment="1">
      <alignment vertical="center" wrapText="1"/>
    </xf>
    <xf numFmtId="43" fontId="28" fillId="8" borderId="0" xfId="2" applyFont="1" applyFill="1" applyBorder="1" applyAlignment="1">
      <alignment vertical="center" wrapText="1"/>
    </xf>
    <xf numFmtId="0" fontId="50" fillId="0" borderId="0" xfId="0" applyFont="1"/>
    <xf numFmtId="0" fontId="51" fillId="0" borderId="0" xfId="0" applyFont="1"/>
    <xf numFmtId="14" fontId="0" fillId="0" borderId="0" xfId="0" applyNumberFormat="1" applyAlignment="1">
      <alignment vertical="center"/>
    </xf>
    <xf numFmtId="14" fontId="2" fillId="27" borderId="48" xfId="0" applyNumberFormat="1" applyFont="1" applyFill="1" applyBorder="1" applyAlignment="1">
      <alignment horizontal="center" vertical="center" wrapText="1"/>
    </xf>
    <xf numFmtId="14" fontId="0" fillId="0" borderId="0" xfId="0" applyNumberFormat="1" applyAlignment="1">
      <alignment vertical="center" wrapText="1"/>
    </xf>
    <xf numFmtId="14" fontId="3" fillId="0" borderId="0" xfId="0" applyNumberFormat="1" applyFont="1" applyAlignment="1">
      <alignment vertical="center" wrapText="1"/>
    </xf>
    <xf numFmtId="14" fontId="0" fillId="0" borderId="0" xfId="0" applyNumberFormat="1"/>
    <xf numFmtId="14" fontId="2" fillId="0" borderId="0" xfId="0" applyNumberFormat="1" applyFont="1"/>
    <xf numFmtId="43" fontId="0" fillId="0" borderId="0" xfId="2" applyFont="1" applyBorder="1" applyAlignment="1">
      <alignment vertical="center"/>
    </xf>
    <xf numFmtId="43" fontId="2" fillId="27" borderId="48" xfId="2" applyFont="1" applyFill="1" applyBorder="1" applyAlignment="1">
      <alignment horizontal="center" vertical="center" wrapText="1"/>
    </xf>
    <xf numFmtId="43" fontId="0" fillId="0" borderId="3" xfId="2" applyFont="1" applyBorder="1" applyAlignment="1">
      <alignment horizontal="center" vertical="center" wrapText="1"/>
    </xf>
    <xf numFmtId="43" fontId="0" fillId="0" borderId="0" xfId="2" applyFont="1" applyAlignment="1">
      <alignment horizontal="center" vertical="center" wrapText="1"/>
    </xf>
    <xf numFmtId="0" fontId="0" fillId="26" borderId="0" xfId="0" applyFill="1"/>
    <xf numFmtId="14" fontId="0" fillId="26" borderId="0" xfId="0" applyNumberFormat="1" applyFill="1"/>
    <xf numFmtId="43" fontId="0" fillId="26" borderId="0" xfId="2" applyFont="1" applyFill="1"/>
    <xf numFmtId="2" fontId="28" fillId="0" borderId="30" xfId="0" applyNumberFormat="1" applyFont="1" applyBorder="1" applyAlignment="1">
      <alignment horizontal="center" vertical="center" wrapText="1"/>
    </xf>
    <xf numFmtId="1" fontId="0" fillId="26" borderId="0" xfId="0" applyNumberFormat="1" applyFill="1" applyAlignment="1">
      <alignment horizontal="center"/>
    </xf>
    <xf numFmtId="0" fontId="0" fillId="26" borderId="0" xfId="0" applyFill="1" applyAlignment="1">
      <alignment horizontal="center"/>
    </xf>
    <xf numFmtId="0" fontId="52" fillId="0" borderId="0" xfId="0" applyFont="1"/>
    <xf numFmtId="164" fontId="0" fillId="0" borderId="0" xfId="0" applyNumberFormat="1" applyAlignment="1">
      <alignment horizontal="right"/>
    </xf>
    <xf numFmtId="165" fontId="0" fillId="0" borderId="0" xfId="0" applyNumberFormat="1" applyAlignment="1">
      <alignment horizontal="right"/>
    </xf>
    <xf numFmtId="169" fontId="0" fillId="0" borderId="0" xfId="0" applyNumberFormat="1" applyAlignment="1">
      <alignment horizontal="center"/>
    </xf>
    <xf numFmtId="0" fontId="53" fillId="7" borderId="0" xfId="0" applyFont="1" applyFill="1" applyAlignment="1">
      <alignment horizontal="center" vertical="center" wrapText="1"/>
    </xf>
    <xf numFmtId="0" fontId="52" fillId="0" borderId="0" xfId="0" applyFont="1" applyAlignment="1">
      <alignment horizontal="center"/>
    </xf>
    <xf numFmtId="165" fontId="52" fillId="0" borderId="0" xfId="0" applyNumberFormat="1" applyFont="1" applyAlignment="1">
      <alignment horizontal="right"/>
    </xf>
    <xf numFmtId="169" fontId="52" fillId="0" borderId="0" xfId="0" applyNumberFormat="1" applyFont="1" applyAlignment="1">
      <alignment horizontal="center"/>
    </xf>
    <xf numFmtId="0" fontId="52" fillId="0" borderId="0" xfId="0" applyFont="1" applyAlignment="1">
      <alignment horizontal="center" vertical="center"/>
    </xf>
    <xf numFmtId="0" fontId="2" fillId="0" borderId="62" xfId="0" applyFont="1" applyBorder="1"/>
    <xf numFmtId="0" fontId="2" fillId="31" borderId="63" xfId="0" applyFont="1" applyFill="1" applyBorder="1"/>
    <xf numFmtId="0" fontId="2" fillId="22" borderId="7" xfId="0" applyFont="1" applyFill="1" applyBorder="1" applyAlignment="1">
      <alignment horizontal="center" vertical="center" wrapText="1"/>
    </xf>
    <xf numFmtId="0" fontId="2" fillId="22" borderId="10" xfId="0" applyFont="1" applyFill="1" applyBorder="1" applyAlignment="1">
      <alignment horizontal="center" vertical="center" wrapText="1"/>
    </xf>
    <xf numFmtId="0" fontId="2" fillId="22" borderId="19" xfId="0" applyFont="1" applyFill="1" applyBorder="1" applyAlignment="1">
      <alignment horizontal="center" vertical="center" wrapText="1"/>
    </xf>
    <xf numFmtId="1" fontId="2" fillId="22" borderId="19" xfId="0" applyNumberFormat="1" applyFont="1" applyFill="1" applyBorder="1" applyAlignment="1">
      <alignment horizontal="center" vertical="center" wrapText="1"/>
    </xf>
    <xf numFmtId="0" fontId="2" fillId="22" borderId="41" xfId="0" applyFont="1" applyFill="1" applyBorder="1" applyAlignment="1">
      <alignment horizontal="center" vertical="center" wrapText="1"/>
    </xf>
    <xf numFmtId="0" fontId="2" fillId="0" borderId="0" xfId="0" applyFont="1" applyAlignment="1">
      <alignment horizontal="center" vertical="center"/>
    </xf>
    <xf numFmtId="0" fontId="2" fillId="0" borderId="0" xfId="0" applyFont="1" applyAlignment="1">
      <alignment horizontal="center"/>
    </xf>
    <xf numFmtId="0" fontId="0" fillId="0" borderId="0" xfId="0" applyAlignment="1">
      <alignment horizontal="right" vertical="center"/>
    </xf>
    <xf numFmtId="40" fontId="0" fillId="32" borderId="64" xfId="0" applyNumberFormat="1" applyFill="1" applyBorder="1"/>
    <xf numFmtId="0" fontId="0" fillId="32" borderId="64" xfId="0" applyFill="1" applyBorder="1" applyAlignment="1">
      <alignment horizontal="center"/>
    </xf>
    <xf numFmtId="40" fontId="2" fillId="31" borderId="65" xfId="0" applyNumberFormat="1" applyFont="1" applyFill="1" applyBorder="1"/>
    <xf numFmtId="10" fontId="2" fillId="31" borderId="63" xfId="0" applyNumberFormat="1" applyFont="1" applyFill="1" applyBorder="1"/>
    <xf numFmtId="0" fontId="2" fillId="31" borderId="65" xfId="0" applyFont="1" applyFill="1" applyBorder="1" applyAlignment="1">
      <alignment horizontal="center"/>
    </xf>
    <xf numFmtId="0" fontId="36" fillId="0" borderId="0" xfId="0" applyFont="1" applyAlignment="1">
      <alignment horizontal="right"/>
    </xf>
    <xf numFmtId="43" fontId="2" fillId="0" borderId="0" xfId="0" applyNumberFormat="1" applyFont="1"/>
    <xf numFmtId="0" fontId="0" fillId="22" borderId="44" xfId="0" applyFill="1" applyBorder="1" applyAlignment="1">
      <alignment horizontal="center"/>
    </xf>
    <xf numFmtId="0" fontId="0" fillId="22" borderId="55" xfId="0" applyFill="1" applyBorder="1" applyAlignment="1">
      <alignment horizontal="center"/>
    </xf>
    <xf numFmtId="0" fontId="0" fillId="22" borderId="43" xfId="0" applyFill="1" applyBorder="1" applyAlignment="1">
      <alignment horizontal="center"/>
    </xf>
    <xf numFmtId="0" fontId="2" fillId="19" borderId="7" xfId="0" applyFont="1" applyFill="1" applyBorder="1" applyAlignment="1">
      <alignment horizontal="center" vertical="center" wrapText="1"/>
    </xf>
    <xf numFmtId="0" fontId="2" fillId="0" borderId="67" xfId="0" applyFont="1" applyBorder="1" applyAlignment="1">
      <alignment horizontal="center"/>
    </xf>
    <xf numFmtId="0" fontId="2" fillId="0" borderId="67" xfId="0" applyFont="1" applyBorder="1"/>
    <xf numFmtId="0" fontId="0" fillId="0" borderId="67" xfId="0" applyBorder="1"/>
    <xf numFmtId="0" fontId="7" fillId="0" borderId="0" xfId="0" applyFont="1" applyAlignment="1">
      <alignment horizontal="left"/>
    </xf>
    <xf numFmtId="0" fontId="2" fillId="19" borderId="19" xfId="0" applyFont="1" applyFill="1" applyBorder="1" applyAlignment="1">
      <alignment horizontal="center" vertical="center"/>
    </xf>
    <xf numFmtId="0" fontId="2" fillId="19" borderId="67" xfId="0" applyFont="1" applyFill="1" applyBorder="1" applyAlignment="1">
      <alignment horizontal="center" vertical="center"/>
    </xf>
    <xf numFmtId="1" fontId="2" fillId="19" borderId="19" xfId="0" applyNumberFormat="1" applyFont="1" applyFill="1" applyBorder="1" applyAlignment="1">
      <alignment horizontal="center" vertical="center" wrapText="1"/>
    </xf>
    <xf numFmtId="0" fontId="2" fillId="0" borderId="0" xfId="0" pivotButton="1" applyFont="1"/>
    <xf numFmtId="176" fontId="0" fillId="0" borderId="0" xfId="0" applyNumberFormat="1"/>
    <xf numFmtId="0" fontId="2" fillId="0" borderId="0" xfId="0" quotePrefix="1" applyFont="1"/>
    <xf numFmtId="0" fontId="2" fillId="0" borderId="73" xfId="0" applyFont="1" applyBorder="1" applyAlignment="1">
      <alignment horizontal="right"/>
    </xf>
    <xf numFmtId="0" fontId="0" fillId="0" borderId="73" xfId="0" applyBorder="1"/>
    <xf numFmtId="0" fontId="0" fillId="0" borderId="73" xfId="0" applyBorder="1" applyAlignment="1">
      <alignment horizontal="center"/>
    </xf>
    <xf numFmtId="164" fontId="0" fillId="0" borderId="73" xfId="0" applyNumberFormat="1" applyBorder="1"/>
    <xf numFmtId="0" fontId="0" fillId="0" borderId="76" xfId="0" applyBorder="1"/>
    <xf numFmtId="164" fontId="0" fillId="0" borderId="76" xfId="0" applyNumberFormat="1" applyBorder="1"/>
    <xf numFmtId="0" fontId="0" fillId="0" borderId="79" xfId="0" applyBorder="1"/>
    <xf numFmtId="164" fontId="0" fillId="0" borderId="79" xfId="0" applyNumberFormat="1" applyBorder="1"/>
    <xf numFmtId="0" fontId="2" fillId="0" borderId="76" xfId="0" applyFont="1" applyBorder="1" applyAlignment="1">
      <alignment horizontal="right"/>
    </xf>
    <xf numFmtId="0" fontId="2" fillId="0" borderId="79" xfId="0" applyFont="1" applyBorder="1" applyAlignment="1">
      <alignment horizontal="right"/>
    </xf>
    <xf numFmtId="40" fontId="0" fillId="0" borderId="73" xfId="0" applyNumberFormat="1" applyBorder="1"/>
    <xf numFmtId="40" fontId="0" fillId="0" borderId="76" xfId="0" applyNumberFormat="1" applyBorder="1"/>
    <xf numFmtId="40" fontId="0" fillId="0" borderId="79" xfId="0" applyNumberFormat="1" applyBorder="1"/>
    <xf numFmtId="0" fontId="0" fillId="0" borderId="27" xfId="0" applyBorder="1"/>
    <xf numFmtId="0" fontId="0" fillId="0" borderId="1" xfId="0" applyBorder="1"/>
    <xf numFmtId="0" fontId="0" fillId="0" borderId="32" xfId="0" applyBorder="1"/>
    <xf numFmtId="0" fontId="2" fillId="0" borderId="27" xfId="0" applyFont="1" applyBorder="1" applyAlignment="1">
      <alignment horizontal="right"/>
    </xf>
    <xf numFmtId="0" fontId="2" fillId="0" borderId="1" xfId="0" applyFont="1" applyBorder="1" applyAlignment="1">
      <alignment horizontal="right"/>
    </xf>
    <xf numFmtId="0" fontId="2" fillId="0" borderId="32" xfId="0" applyFont="1" applyBorder="1" applyAlignment="1">
      <alignment horizontal="right"/>
    </xf>
    <xf numFmtId="37" fontId="34" fillId="0" borderId="7" xfId="2" applyNumberFormat="1" applyFont="1" applyBorder="1" applyAlignment="1">
      <alignment horizontal="center"/>
    </xf>
    <xf numFmtId="9" fontId="0" fillId="0" borderId="0" xfId="1" applyFont="1" applyAlignment="1">
      <alignment horizontal="center"/>
    </xf>
    <xf numFmtId="164" fontId="8" fillId="0" borderId="1" xfId="0" applyNumberFormat="1" applyFont="1" applyBorder="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0" fontId="5" fillId="0" borderId="84" xfId="0" applyFont="1" applyBorder="1"/>
    <xf numFmtId="176" fontId="5" fillId="0" borderId="85" xfId="0" applyNumberFormat="1" applyFont="1" applyBorder="1"/>
    <xf numFmtId="0" fontId="5" fillId="0" borderId="86" xfId="0" applyFont="1" applyBorder="1" applyAlignment="1">
      <alignment horizontal="center"/>
    </xf>
    <xf numFmtId="0" fontId="5" fillId="0" borderId="68" xfId="0" applyFont="1" applyBorder="1"/>
    <xf numFmtId="176" fontId="5" fillId="0" borderId="69" xfId="0" applyNumberFormat="1" applyFont="1" applyBorder="1"/>
    <xf numFmtId="0" fontId="5" fillId="0" borderId="87" xfId="0" applyFont="1" applyBorder="1" applyAlignment="1">
      <alignment horizontal="center"/>
    </xf>
    <xf numFmtId="0" fontId="5" fillId="0" borderId="70" xfId="0" applyFont="1" applyBorder="1"/>
    <xf numFmtId="176" fontId="5" fillId="0" borderId="71" xfId="0" applyNumberFormat="1" applyFont="1" applyBorder="1"/>
    <xf numFmtId="0" fontId="5" fillId="0" borderId="88" xfId="0" applyFont="1" applyBorder="1" applyAlignment="1">
      <alignment horizontal="center"/>
    </xf>
    <xf numFmtId="0" fontId="8" fillId="0" borderId="11" xfId="0" applyFont="1" applyBorder="1"/>
    <xf numFmtId="176" fontId="8" fillId="0" borderId="11" xfId="0" applyNumberFormat="1" applyFont="1" applyBorder="1" applyAlignment="1">
      <alignment horizontal="center"/>
    </xf>
    <xf numFmtId="0" fontId="8" fillId="0" borderId="12" xfId="0" applyFont="1" applyBorder="1" applyAlignment="1">
      <alignment horizontal="center"/>
    </xf>
    <xf numFmtId="0" fontId="5" fillId="0" borderId="82" xfId="0" applyFont="1" applyBorder="1"/>
    <xf numFmtId="176" fontId="5" fillId="0" borderId="83" xfId="0" applyNumberFormat="1" applyFont="1" applyBorder="1"/>
    <xf numFmtId="0" fontId="5" fillId="0" borderId="89" xfId="0" applyFont="1" applyBorder="1" applyAlignment="1">
      <alignment horizontal="center"/>
    </xf>
    <xf numFmtId="1" fontId="8" fillId="0" borderId="30" xfId="0" applyNumberFormat="1" applyFont="1" applyBorder="1" applyAlignment="1">
      <alignment horizontal="center"/>
    </xf>
    <xf numFmtId="0" fontId="34" fillId="0" borderId="5" xfId="0" applyFont="1" applyBorder="1"/>
    <xf numFmtId="10" fontId="2" fillId="0" borderId="0" xfId="0" applyNumberFormat="1" applyFont="1" applyAlignment="1">
      <alignment horizontal="center"/>
    </xf>
    <xf numFmtId="176" fontId="53" fillId="0" borderId="0" xfId="0" applyNumberFormat="1" applyFont="1" applyAlignment="1">
      <alignment horizontal="left"/>
    </xf>
    <xf numFmtId="10" fontId="53" fillId="0" borderId="0" xfId="1" applyNumberFormat="1" applyFont="1" applyAlignment="1">
      <alignment horizontal="left"/>
    </xf>
    <xf numFmtId="164" fontId="53" fillId="0" borderId="0" xfId="0" applyNumberFormat="1" applyFont="1" applyAlignment="1">
      <alignment horizontal="left"/>
    </xf>
    <xf numFmtId="0" fontId="53" fillId="0" borderId="0" xfId="0" applyFont="1" applyAlignment="1">
      <alignment horizontal="right"/>
    </xf>
    <xf numFmtId="0" fontId="54" fillId="0" borderId="0" xfId="0" applyFont="1"/>
    <xf numFmtId="0" fontId="2" fillId="26" borderId="0" xfId="0" applyFont="1" applyFill="1"/>
    <xf numFmtId="1" fontId="0" fillId="0" borderId="73" xfId="0" applyNumberFormat="1" applyBorder="1" applyAlignment="1">
      <alignment horizontal="center"/>
    </xf>
    <xf numFmtId="1" fontId="0" fillId="0" borderId="76" xfId="0" applyNumberFormat="1" applyBorder="1" applyAlignment="1">
      <alignment horizontal="center"/>
    </xf>
    <xf numFmtId="1" fontId="0" fillId="0" borderId="79" xfId="0" applyNumberFormat="1" applyBorder="1" applyAlignment="1">
      <alignment horizontal="center"/>
    </xf>
    <xf numFmtId="1" fontId="2" fillId="0" borderId="0" xfId="2" applyNumberFormat="1" applyFont="1" applyAlignment="1">
      <alignment horizontal="center"/>
    </xf>
    <xf numFmtId="1" fontId="2" fillId="0" borderId="0" xfId="0" applyNumberFormat="1" applyFont="1" applyAlignment="1">
      <alignment horizontal="center"/>
    </xf>
    <xf numFmtId="1" fontId="0" fillId="0" borderId="27" xfId="0" applyNumberFormat="1" applyBorder="1" applyAlignment="1">
      <alignment horizontal="center"/>
    </xf>
    <xf numFmtId="1" fontId="0" fillId="0" borderId="1" xfId="0" applyNumberFormat="1" applyBorder="1" applyAlignment="1">
      <alignment horizontal="center"/>
    </xf>
    <xf numFmtId="1" fontId="0" fillId="0" borderId="32" xfId="0" applyNumberFormat="1" applyBorder="1" applyAlignment="1">
      <alignment horizontal="center"/>
    </xf>
    <xf numFmtId="1" fontId="0" fillId="0" borderId="67" xfId="0" applyNumberFormat="1" applyBorder="1" applyAlignment="1">
      <alignment horizontal="center"/>
    </xf>
    <xf numFmtId="43" fontId="0" fillId="0" borderId="74" xfId="2" applyFont="1" applyBorder="1" applyAlignment="1">
      <alignment horizontal="center"/>
    </xf>
    <xf numFmtId="43" fontId="0" fillId="0" borderId="77" xfId="2" applyFont="1" applyBorder="1" applyAlignment="1">
      <alignment horizontal="center"/>
    </xf>
    <xf numFmtId="43" fontId="0" fillId="0" borderId="80" xfId="2" applyFont="1" applyBorder="1" applyAlignment="1">
      <alignment horizontal="center"/>
    </xf>
    <xf numFmtId="43" fontId="2" fillId="0" borderId="0" xfId="2" applyFont="1" applyAlignment="1">
      <alignment horizontal="center"/>
    </xf>
    <xf numFmtId="43" fontId="0" fillId="0" borderId="28" xfId="2" applyFont="1" applyBorder="1" applyAlignment="1">
      <alignment horizontal="center"/>
    </xf>
    <xf numFmtId="43" fontId="0" fillId="0" borderId="30" xfId="2" applyFont="1" applyBorder="1" applyAlignment="1">
      <alignment horizontal="center"/>
    </xf>
    <xf numFmtId="43" fontId="0" fillId="0" borderId="37" xfId="2" applyFont="1" applyBorder="1" applyAlignment="1">
      <alignment horizontal="center"/>
    </xf>
    <xf numFmtId="43" fontId="0" fillId="0" borderId="22" xfId="2" applyFont="1" applyBorder="1" applyAlignment="1">
      <alignment horizontal="center"/>
    </xf>
    <xf numFmtId="0" fontId="5" fillId="33" borderId="7" xfId="0" applyFont="1" applyFill="1" applyBorder="1" applyAlignment="1">
      <alignment horizontal="center" vertical="center" wrapText="1"/>
    </xf>
    <xf numFmtId="0" fontId="8" fillId="33" borderId="57" xfId="0" applyFont="1" applyFill="1" applyBorder="1" applyAlignment="1">
      <alignment horizontal="center" vertical="center" wrapText="1"/>
    </xf>
    <xf numFmtId="0" fontId="8" fillId="33" borderId="58" xfId="0" applyFont="1" applyFill="1" applyBorder="1" applyAlignment="1">
      <alignment horizontal="center" vertical="center" wrapText="1"/>
    </xf>
    <xf numFmtId="0" fontId="8" fillId="33" borderId="59" xfId="0" applyFont="1" applyFill="1" applyBorder="1" applyAlignment="1">
      <alignment horizontal="center" vertical="center" wrapText="1"/>
    </xf>
    <xf numFmtId="43" fontId="52" fillId="0" borderId="0" xfId="2" applyFont="1" applyAlignment="1">
      <alignment horizontal="right"/>
    </xf>
    <xf numFmtId="0" fontId="38" fillId="35" borderId="70" xfId="0" applyFont="1" applyFill="1" applyBorder="1"/>
    <xf numFmtId="43" fontId="52" fillId="0" borderId="0" xfId="0" applyNumberFormat="1" applyFont="1" applyAlignment="1">
      <alignment horizontal="right"/>
    </xf>
    <xf numFmtId="0" fontId="38" fillId="34" borderId="94" xfId="0" applyFont="1" applyFill="1" applyBorder="1"/>
    <xf numFmtId="0" fontId="38" fillId="34" borderId="95" xfId="0" applyFont="1" applyFill="1" applyBorder="1" applyAlignment="1">
      <alignment horizontal="center"/>
    </xf>
    <xf numFmtId="177" fontId="43" fillId="34" borderId="95" xfId="0" applyNumberFormat="1" applyFont="1" applyFill="1" applyBorder="1" applyAlignment="1">
      <alignment horizontal="center"/>
    </xf>
    <xf numFmtId="0" fontId="56" fillId="37" borderId="99" xfId="0" applyFont="1" applyFill="1" applyBorder="1" applyAlignment="1">
      <alignment horizontal="center" vertical="center" wrapText="1" readingOrder="1"/>
    </xf>
    <xf numFmtId="0" fontId="55" fillId="0" borderId="96" xfId="0" applyFont="1" applyBorder="1" applyAlignment="1">
      <alignment horizontal="left" vertical="center" wrapText="1" readingOrder="1"/>
    </xf>
    <xf numFmtId="0" fontId="56" fillId="36" borderId="96" xfId="0" applyFont="1" applyFill="1" applyBorder="1" applyAlignment="1">
      <alignment horizontal="center" vertical="center" wrapText="1" readingOrder="1"/>
    </xf>
    <xf numFmtId="0" fontId="56" fillId="37" borderId="96" xfId="0" applyFont="1" applyFill="1" applyBorder="1" applyAlignment="1">
      <alignment horizontal="center" vertical="center" wrapText="1" readingOrder="1"/>
    </xf>
    <xf numFmtId="0" fontId="55" fillId="36" borderId="100" xfId="0" applyFont="1" applyFill="1" applyBorder="1" applyAlignment="1">
      <alignment horizontal="center" vertical="center" wrapText="1" readingOrder="1"/>
    </xf>
    <xf numFmtId="0" fontId="55" fillId="37" borderId="100" xfId="0" applyFont="1" applyFill="1" applyBorder="1" applyAlignment="1">
      <alignment horizontal="center" vertical="center" wrapText="1" readingOrder="1"/>
    </xf>
    <xf numFmtId="0" fontId="55" fillId="0" borderId="99" xfId="0" applyFont="1" applyBorder="1" applyAlignment="1">
      <alignment horizontal="left" vertical="center" wrapText="1" readingOrder="1"/>
    </xf>
    <xf numFmtId="0" fontId="55" fillId="22" borderId="100" xfId="0" applyFont="1" applyFill="1" applyBorder="1" applyAlignment="1">
      <alignment horizontal="center" vertical="center" wrapText="1" readingOrder="1"/>
    </xf>
    <xf numFmtId="0" fontId="56" fillId="22" borderId="96" xfId="0" applyFont="1" applyFill="1" applyBorder="1" applyAlignment="1">
      <alignment horizontal="center" vertical="center" wrapText="1" readingOrder="1"/>
    </xf>
    <xf numFmtId="0" fontId="56" fillId="22" borderId="98" xfId="0" applyFont="1" applyFill="1" applyBorder="1" applyAlignment="1">
      <alignment horizontal="center" vertical="center" wrapText="1" readingOrder="1"/>
    </xf>
    <xf numFmtId="0" fontId="55" fillId="38" borderId="100" xfId="0" applyFont="1" applyFill="1" applyBorder="1" applyAlignment="1">
      <alignment horizontal="center" vertical="center" wrapText="1" readingOrder="1"/>
    </xf>
    <xf numFmtId="0" fontId="56" fillId="38" borderId="96" xfId="0" applyFont="1" applyFill="1" applyBorder="1" applyAlignment="1">
      <alignment horizontal="center" vertical="center" wrapText="1" readingOrder="1"/>
    </xf>
    <xf numFmtId="43" fontId="52" fillId="0" borderId="0" xfId="0" applyNumberFormat="1" applyFont="1"/>
    <xf numFmtId="0" fontId="56" fillId="39" borderId="96" xfId="0" applyFont="1" applyFill="1" applyBorder="1" applyAlignment="1">
      <alignment horizontal="center" vertical="center" wrapText="1" readingOrder="1"/>
    </xf>
    <xf numFmtId="0" fontId="56" fillId="39" borderId="99" xfId="0" applyFont="1" applyFill="1" applyBorder="1" applyAlignment="1">
      <alignment horizontal="center" vertical="center" wrapText="1" readingOrder="1"/>
    </xf>
    <xf numFmtId="0" fontId="55" fillId="36" borderId="99" xfId="0" applyFont="1" applyFill="1" applyBorder="1" applyAlignment="1">
      <alignment horizontal="center" wrapText="1" readingOrder="1"/>
    </xf>
    <xf numFmtId="0" fontId="55" fillId="37" borderId="99" xfId="0" applyFont="1" applyFill="1" applyBorder="1" applyAlignment="1">
      <alignment horizontal="center" wrapText="1" readingOrder="1"/>
    </xf>
    <xf numFmtId="0" fontId="55" fillId="38" borderId="99" xfId="0" applyFont="1" applyFill="1" applyBorder="1" applyAlignment="1">
      <alignment horizontal="center" wrapText="1" readingOrder="1"/>
    </xf>
    <xf numFmtId="0" fontId="55" fillId="22" borderId="99" xfId="0" applyFont="1" applyFill="1" applyBorder="1" applyAlignment="1">
      <alignment horizontal="center" wrapText="1" readingOrder="1"/>
    </xf>
    <xf numFmtId="0" fontId="2" fillId="0" borderId="0" xfId="0" applyFont="1" applyAlignment="1">
      <alignment horizontal="right"/>
    </xf>
    <xf numFmtId="0" fontId="2" fillId="0" borderId="61" xfId="0" applyFont="1" applyBorder="1" applyAlignment="1">
      <alignment horizontal="right"/>
    </xf>
    <xf numFmtId="177" fontId="2" fillId="0" borderId="61" xfId="2" applyNumberFormat="1" applyFont="1" applyBorder="1" applyAlignment="1">
      <alignment horizontal="center"/>
    </xf>
    <xf numFmtId="37" fontId="2" fillId="0" borderId="0" xfId="2" applyNumberFormat="1" applyFont="1" applyAlignment="1">
      <alignment horizontal="center"/>
    </xf>
    <xf numFmtId="37" fontId="0" fillId="0" borderId="73" xfId="2" applyNumberFormat="1" applyFont="1" applyBorder="1" applyAlignment="1">
      <alignment horizontal="center"/>
    </xf>
    <xf numFmtId="37" fontId="0" fillId="0" borderId="76" xfId="2" applyNumberFormat="1" applyFont="1" applyBorder="1" applyAlignment="1">
      <alignment horizontal="center"/>
    </xf>
    <xf numFmtId="37" fontId="0" fillId="0" borderId="79" xfId="2" applyNumberFormat="1" applyFont="1" applyBorder="1" applyAlignment="1">
      <alignment horizontal="center"/>
    </xf>
    <xf numFmtId="37" fontId="2" fillId="0" borderId="0" xfId="0" applyNumberFormat="1" applyFont="1" applyAlignment="1">
      <alignment horizontal="center"/>
    </xf>
    <xf numFmtId="37" fontId="0" fillId="0" borderId="32" xfId="2" applyNumberFormat="1" applyFont="1" applyBorder="1" applyAlignment="1">
      <alignment horizontal="center"/>
    </xf>
    <xf numFmtId="37" fontId="0" fillId="0" borderId="67" xfId="0" applyNumberFormat="1" applyBorder="1" applyAlignment="1">
      <alignment horizontal="center"/>
    </xf>
    <xf numFmtId="1" fontId="0" fillId="0" borderId="33" xfId="0" applyNumberFormat="1" applyBorder="1" applyAlignment="1">
      <alignment horizontal="center" vertical="center"/>
    </xf>
    <xf numFmtId="0" fontId="0" fillId="0" borderId="55" xfId="0" applyBorder="1" applyAlignment="1">
      <alignment horizontal="left" vertical="center" wrapText="1"/>
    </xf>
    <xf numFmtId="0" fontId="0" fillId="0" borderId="8" xfId="0" applyBorder="1" applyAlignment="1">
      <alignment horizontal="left" vertical="center"/>
    </xf>
    <xf numFmtId="165" fontId="0" fillId="0" borderId="33" xfId="0" applyNumberFormat="1" applyBorder="1" applyAlignment="1">
      <alignment horizontal="center" vertical="center" wrapText="1"/>
    </xf>
    <xf numFmtId="0" fontId="0" fillId="0" borderId="106" xfId="0" applyBorder="1"/>
    <xf numFmtId="0" fontId="0" fillId="0" borderId="18" xfId="0" applyBorder="1" applyAlignment="1">
      <alignment wrapText="1"/>
    </xf>
    <xf numFmtId="0" fontId="0" fillId="0" borderId="18" xfId="0" applyBorder="1" applyAlignment="1">
      <alignment horizontal="left" vertical="center"/>
    </xf>
    <xf numFmtId="0" fontId="7" fillId="0" borderId="18" xfId="0" applyFont="1" applyBorder="1"/>
    <xf numFmtId="0" fontId="11" fillId="0" borderId="0" xfId="0" applyFont="1" applyAlignment="1">
      <alignment horizontal="left"/>
    </xf>
    <xf numFmtId="0" fontId="0" fillId="0" borderId="0" xfId="0" quotePrefix="1"/>
    <xf numFmtId="0" fontId="11" fillId="0" borderId="0" xfId="0" quotePrefix="1" applyFont="1" applyAlignment="1">
      <alignment horizontal="left" indent="4"/>
    </xf>
    <xf numFmtId="166" fontId="52" fillId="0" borderId="0" xfId="0" applyNumberFormat="1" applyFont="1" applyAlignment="1">
      <alignment horizontal="center"/>
    </xf>
    <xf numFmtId="166" fontId="52" fillId="0" borderId="0" xfId="0" applyNumberFormat="1" applyFont="1"/>
    <xf numFmtId="0" fontId="2" fillId="0" borderId="0" xfId="0" applyFont="1" applyAlignment="1">
      <alignment wrapText="1"/>
    </xf>
    <xf numFmtId="43" fontId="0" fillId="0" borderId="27" xfId="2" applyFont="1" applyBorder="1"/>
    <xf numFmtId="43" fontId="0" fillId="0" borderId="1" xfId="2" applyFont="1" applyBorder="1"/>
    <xf numFmtId="43" fontId="0" fillId="0" borderId="32" xfId="2" applyFont="1" applyBorder="1"/>
    <xf numFmtId="0" fontId="57" fillId="0" borderId="0" xfId="0" applyFont="1" applyAlignment="1">
      <alignment vertical="center"/>
    </xf>
    <xf numFmtId="0" fontId="2" fillId="0" borderId="0" xfId="0" applyFont="1" applyAlignment="1">
      <alignment horizontal="center" vertical="center" wrapText="1"/>
    </xf>
    <xf numFmtId="0" fontId="2" fillId="0" borderId="26" xfId="0" applyFont="1" applyBorder="1" applyAlignment="1">
      <alignment horizontal="right"/>
    </xf>
    <xf numFmtId="0" fontId="0" fillId="0" borderId="26" xfId="0" applyBorder="1"/>
    <xf numFmtId="43" fontId="0" fillId="0" borderId="26" xfId="2" applyFont="1" applyBorder="1"/>
    <xf numFmtId="1" fontId="0" fillId="0" borderId="26" xfId="0" applyNumberFormat="1" applyBorder="1" applyAlignment="1">
      <alignment horizontal="center"/>
    </xf>
    <xf numFmtId="43" fontId="0" fillId="0" borderId="42" xfId="2" applyFont="1" applyBorder="1" applyAlignment="1">
      <alignment horizontal="center"/>
    </xf>
    <xf numFmtId="0" fontId="2" fillId="0" borderId="2" xfId="0" applyFont="1" applyBorder="1" applyAlignment="1">
      <alignment horizontal="right"/>
    </xf>
    <xf numFmtId="43" fontId="0" fillId="0" borderId="36" xfId="2" applyFont="1" applyBorder="1" applyAlignment="1">
      <alignment horizontal="center"/>
    </xf>
    <xf numFmtId="1" fontId="0" fillId="0" borderId="0" xfId="1" applyNumberFormat="1" applyFont="1" applyAlignment="1">
      <alignment horizontal="center"/>
    </xf>
    <xf numFmtId="37" fontId="0" fillId="0" borderId="0" xfId="2" applyNumberFormat="1" applyFont="1" applyAlignment="1">
      <alignment horizontal="center"/>
    </xf>
    <xf numFmtId="37" fontId="0" fillId="0" borderId="0" xfId="0" applyNumberFormat="1" applyAlignment="1">
      <alignment horizontal="center"/>
    </xf>
    <xf numFmtId="37" fontId="2" fillId="35" borderId="71" xfId="2" applyNumberFormat="1" applyFont="1" applyFill="1" applyBorder="1" applyAlignment="1">
      <alignment horizontal="center"/>
    </xf>
    <xf numFmtId="49" fontId="52" fillId="0" borderId="0" xfId="2" applyNumberFormat="1" applyFont="1" applyAlignment="1">
      <alignment horizontal="center"/>
    </xf>
    <xf numFmtId="49" fontId="52" fillId="0" borderId="0" xfId="0" applyNumberFormat="1" applyFont="1" applyAlignment="1">
      <alignment horizontal="center"/>
    </xf>
    <xf numFmtId="49" fontId="52" fillId="0" borderId="0" xfId="0" applyNumberFormat="1" applyFont="1"/>
    <xf numFmtId="0" fontId="3" fillId="0" borderId="19" xfId="0" applyFont="1" applyBorder="1" applyAlignment="1">
      <alignment horizontal="right"/>
    </xf>
    <xf numFmtId="43" fontId="52" fillId="0" borderId="0" xfId="2" applyFont="1" applyAlignment="1">
      <alignment horizontal="center"/>
    </xf>
    <xf numFmtId="165" fontId="0" fillId="0" borderId="0" xfId="0" applyNumberFormat="1" applyAlignment="1">
      <alignment horizontal="center"/>
    </xf>
    <xf numFmtId="165" fontId="53" fillId="7" borderId="0" xfId="0" applyNumberFormat="1" applyFont="1" applyFill="1" applyAlignment="1">
      <alignment horizontal="center" vertical="center" wrapText="1"/>
    </xf>
    <xf numFmtId="165" fontId="52" fillId="0" borderId="0" xfId="2" applyNumberFormat="1" applyFont="1" applyAlignment="1">
      <alignment horizontal="right"/>
    </xf>
    <xf numFmtId="165" fontId="0" fillId="0" borderId="0" xfId="2" applyNumberFormat="1" applyFont="1"/>
    <xf numFmtId="0" fontId="2" fillId="40" borderId="0" xfId="0" applyFont="1" applyFill="1"/>
    <xf numFmtId="2" fontId="0" fillId="0" borderId="2" xfId="0" applyNumberFormat="1" applyBorder="1" applyAlignment="1">
      <alignment horizontal="center" vertical="center" wrapText="1"/>
    </xf>
    <xf numFmtId="2" fontId="0" fillId="0" borderId="2" xfId="0" applyNumberFormat="1" applyBorder="1" applyAlignment="1">
      <alignment vertical="center" wrapText="1"/>
    </xf>
    <xf numFmtId="164" fontId="0" fillId="0" borderId="2" xfId="0" applyNumberFormat="1" applyBorder="1" applyAlignment="1">
      <alignment vertical="center" wrapText="1"/>
    </xf>
    <xf numFmtId="0" fontId="53" fillId="33" borderId="0" xfId="0" applyFont="1" applyFill="1" applyAlignment="1">
      <alignment horizontal="center" vertical="center" wrapText="1"/>
    </xf>
    <xf numFmtId="0" fontId="53" fillId="20" borderId="0" xfId="0" applyFont="1" applyFill="1" applyAlignment="1">
      <alignment horizontal="center" vertical="center" wrapText="1"/>
    </xf>
    <xf numFmtId="0" fontId="0" fillId="20" borderId="0" xfId="0" applyFill="1"/>
    <xf numFmtId="0" fontId="53" fillId="41" borderId="0" xfId="0" applyFont="1" applyFill="1" applyAlignment="1">
      <alignment horizontal="center" vertical="center" wrapText="1"/>
    </xf>
    <xf numFmtId="43" fontId="0" fillId="0" borderId="0" xfId="2" applyFont="1" applyAlignment="1">
      <alignment horizontal="center"/>
    </xf>
    <xf numFmtId="43" fontId="11" fillId="0" borderId="0" xfId="2" applyFont="1" applyAlignment="1">
      <alignment horizontal="left"/>
    </xf>
    <xf numFmtId="43" fontId="53" fillId="7" borderId="0" xfId="2" applyFont="1" applyFill="1" applyAlignment="1">
      <alignment horizontal="center" vertical="center" wrapText="1"/>
    </xf>
    <xf numFmtId="0" fontId="53" fillId="7" borderId="76" xfId="0" applyFont="1" applyFill="1" applyBorder="1" applyAlignment="1">
      <alignment horizontal="center" vertical="center" wrapText="1"/>
    </xf>
    <xf numFmtId="165" fontId="53" fillId="7" borderId="76" xfId="0" applyNumberFormat="1" applyFont="1" applyFill="1" applyBorder="1" applyAlignment="1">
      <alignment horizontal="center" vertical="center" wrapText="1"/>
    </xf>
    <xf numFmtId="0" fontId="53" fillId="33" borderId="76" xfId="0" applyFont="1" applyFill="1" applyBorder="1" applyAlignment="1">
      <alignment horizontal="center" vertical="center" wrapText="1"/>
    </xf>
    <xf numFmtId="0" fontId="52" fillId="0" borderId="76" xfId="0" applyFont="1" applyBorder="1" applyAlignment="1">
      <alignment horizontal="center"/>
    </xf>
    <xf numFmtId="0" fontId="52" fillId="0" borderId="76" xfId="0" applyFont="1" applyBorder="1"/>
    <xf numFmtId="43" fontId="52" fillId="0" borderId="76" xfId="2" applyFont="1" applyBorder="1" applyAlignment="1">
      <alignment horizontal="right"/>
    </xf>
    <xf numFmtId="165" fontId="52" fillId="0" borderId="76" xfId="0" applyNumberFormat="1" applyFont="1" applyBorder="1" applyAlignment="1">
      <alignment horizontal="right"/>
    </xf>
    <xf numFmtId="166" fontId="52" fillId="0" borderId="76" xfId="0" applyNumberFormat="1" applyFont="1" applyBorder="1" applyAlignment="1">
      <alignment horizontal="center"/>
    </xf>
    <xf numFmtId="49" fontId="52" fillId="0" borderId="76" xfId="2" applyNumberFormat="1" applyFont="1" applyBorder="1" applyAlignment="1">
      <alignment horizontal="center"/>
    </xf>
    <xf numFmtId="49" fontId="52" fillId="0" borderId="76" xfId="0" applyNumberFormat="1" applyFont="1" applyBorder="1" applyAlignment="1">
      <alignment horizontal="center"/>
    </xf>
    <xf numFmtId="43" fontId="2" fillId="0" borderId="107" xfId="0" applyNumberFormat="1" applyFont="1" applyBorder="1" applyAlignment="1">
      <alignment horizontal="center"/>
    </xf>
    <xf numFmtId="0" fontId="8" fillId="0" borderId="7" xfId="0" applyFont="1" applyBorder="1" applyAlignment="1">
      <alignment horizontal="center" vertical="center" wrapText="1"/>
    </xf>
    <xf numFmtId="0" fontId="3" fillId="0" borderId="29" xfId="0" applyFont="1" applyBorder="1" applyAlignment="1">
      <alignment horizontal="left" vertical="center" wrapText="1"/>
    </xf>
    <xf numFmtId="0" fontId="28" fillId="0" borderId="29" xfId="0" applyFont="1" applyBorder="1" applyAlignment="1">
      <alignment vertical="center" wrapText="1"/>
    </xf>
    <xf numFmtId="0" fontId="0" fillId="26" borderId="29" xfId="0" applyFill="1" applyBorder="1" applyAlignment="1">
      <alignment vertical="center" wrapText="1"/>
    </xf>
    <xf numFmtId="0" fontId="2" fillId="0" borderId="31" xfId="0" applyFont="1" applyBorder="1" applyAlignment="1">
      <alignment vertical="center" wrapText="1"/>
    </xf>
    <xf numFmtId="0" fontId="2" fillId="0" borderId="32" xfId="0" applyFont="1" applyBorder="1" applyAlignment="1">
      <alignment vertical="center" wrapText="1"/>
    </xf>
    <xf numFmtId="0" fontId="0" fillId="0" borderId="0" xfId="0" applyAlignment="1">
      <alignment horizontal="center" vertical="center" wrapText="1"/>
    </xf>
    <xf numFmtId="1" fontId="2" fillId="0" borderId="1" xfId="0" applyNumberFormat="1"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wrapText="1"/>
    </xf>
    <xf numFmtId="0" fontId="1" fillId="0" borderId="0" xfId="0" applyFont="1" applyAlignment="1">
      <alignment vertical="center" wrapText="1"/>
    </xf>
    <xf numFmtId="164" fontId="0" fillId="0" borderId="2" xfId="0" applyNumberFormat="1" applyBorder="1" applyAlignment="1">
      <alignment horizontal="center" vertical="center" wrapText="1"/>
    </xf>
    <xf numFmtId="164" fontId="2" fillId="7" borderId="33" xfId="0" applyNumberFormat="1" applyFont="1" applyFill="1" applyBorder="1" applyAlignment="1">
      <alignment horizontal="center" vertical="center" wrapText="1"/>
    </xf>
    <xf numFmtId="164" fontId="2" fillId="17" borderId="32" xfId="0" applyNumberFormat="1" applyFont="1" applyFill="1" applyBorder="1" applyAlignment="1">
      <alignment horizontal="center" vertical="center" wrapText="1"/>
    </xf>
    <xf numFmtId="164" fontId="0" fillId="0" borderId="35" xfId="0" applyNumberFormat="1" applyBorder="1" applyAlignment="1">
      <alignment vertical="center" wrapText="1"/>
    </xf>
    <xf numFmtId="164" fontId="2" fillId="0" borderId="32" xfId="0" applyNumberFormat="1" applyFont="1" applyBorder="1" applyAlignment="1">
      <alignment vertical="center" wrapText="1"/>
    </xf>
    <xf numFmtId="178" fontId="0" fillId="0" borderId="1" xfId="0" applyNumberFormat="1" applyBorder="1" applyAlignment="1">
      <alignment horizontal="center" vertical="center" wrapText="1"/>
    </xf>
    <xf numFmtId="15" fontId="0" fillId="0" borderId="1" xfId="0" quotePrefix="1" applyNumberFormat="1" applyBorder="1" applyAlignment="1">
      <alignment horizontal="left" vertical="center" wrapText="1"/>
    </xf>
    <xf numFmtId="165" fontId="0" fillId="0" borderId="1" xfId="0" quotePrefix="1" applyNumberFormat="1" applyBorder="1" applyAlignment="1">
      <alignment vertical="center" wrapText="1"/>
    </xf>
    <xf numFmtId="15" fontId="0" fillId="0" borderId="30" xfId="0" applyNumberFormat="1" applyBorder="1" applyAlignment="1">
      <alignment horizontal="left" vertical="center" wrapText="1"/>
    </xf>
    <xf numFmtId="15" fontId="0" fillId="0" borderId="0" xfId="0" applyNumberFormat="1" applyAlignment="1">
      <alignment horizontal="left" vertical="center" wrapText="1"/>
    </xf>
    <xf numFmtId="178" fontId="0" fillId="0" borderId="1" xfId="0" quotePrefix="1" applyNumberFormat="1" applyBorder="1" applyAlignment="1">
      <alignment horizontal="left" vertical="center" wrapText="1"/>
    </xf>
    <xf numFmtId="15" fontId="28" fillId="8" borderId="30" xfId="0" applyNumberFormat="1" applyFont="1" applyFill="1" applyBorder="1" applyAlignment="1">
      <alignment horizontal="center" vertical="center" wrapText="1"/>
    </xf>
    <xf numFmtId="15" fontId="3" fillId="0" borderId="2" xfId="0" applyNumberFormat="1" applyFont="1" applyBorder="1" applyAlignment="1">
      <alignment horizontal="center" vertical="center" wrapText="1"/>
    </xf>
    <xf numFmtId="15" fontId="0" fillId="0" borderId="30" xfId="0" applyNumberFormat="1" applyBorder="1" applyAlignment="1">
      <alignment horizontal="center" vertical="center" wrapText="1"/>
    </xf>
    <xf numFmtId="2" fontId="28" fillId="8" borderId="30" xfId="0" applyNumberFormat="1" applyFont="1" applyFill="1" applyBorder="1" applyAlignment="1">
      <alignment vertical="center" wrapText="1"/>
    </xf>
    <xf numFmtId="2" fontId="0" fillId="26" borderId="30" xfId="0" applyNumberFormat="1" applyFill="1" applyBorder="1" applyAlignment="1">
      <alignment vertical="center" wrapText="1"/>
    </xf>
    <xf numFmtId="165" fontId="0" fillId="0" borderId="37" xfId="0" applyNumberFormat="1" applyBorder="1" applyAlignment="1">
      <alignment vertical="center" wrapText="1"/>
    </xf>
    <xf numFmtId="165" fontId="0" fillId="26" borderId="30" xfId="0" applyNumberFormat="1" applyFill="1" applyBorder="1" applyAlignment="1">
      <alignment vertical="center" wrapText="1"/>
    </xf>
    <xf numFmtId="165" fontId="3" fillId="0" borderId="30" xfId="0" applyNumberFormat="1" applyFont="1" applyBorder="1" applyAlignment="1">
      <alignment horizontal="center" vertical="center" wrapText="1"/>
    </xf>
    <xf numFmtId="165" fontId="7" fillId="0" borderId="1" xfId="0" applyNumberFormat="1" applyFont="1" applyBorder="1" applyAlignment="1">
      <alignment vertical="center" wrapText="1"/>
    </xf>
    <xf numFmtId="0" fontId="0" fillId="0" borderId="30" xfId="0" applyBorder="1" applyAlignment="1">
      <alignment vertical="center" wrapText="1"/>
    </xf>
    <xf numFmtId="165" fontId="0" fillId="26" borderId="30" xfId="0" applyNumberFormat="1" applyFill="1" applyBorder="1" applyAlignment="1">
      <alignment horizontal="left" vertical="center" wrapText="1"/>
    </xf>
    <xf numFmtId="2" fontId="28" fillId="8" borderId="30" xfId="0" applyNumberFormat="1" applyFont="1" applyFill="1" applyBorder="1" applyAlignment="1">
      <alignment horizontal="center" vertical="center" wrapText="1"/>
    </xf>
    <xf numFmtId="165" fontId="0" fillId="26" borderId="30" xfId="0" applyNumberFormat="1" applyFill="1" applyBorder="1" applyAlignment="1">
      <alignment horizontal="center" vertical="center" wrapText="1"/>
    </xf>
    <xf numFmtId="0" fontId="51" fillId="0" borderId="3" xfId="0" applyFont="1" applyBorder="1"/>
    <xf numFmtId="43" fontId="28" fillId="8" borderId="3" xfId="2" applyFont="1" applyFill="1" applyBorder="1" applyAlignment="1">
      <alignment vertical="center" wrapText="1"/>
    </xf>
    <xf numFmtId="2" fontId="28" fillId="0" borderId="0" xfId="0" applyNumberFormat="1" applyFont="1" applyAlignment="1">
      <alignment horizontal="center" vertical="center" wrapText="1"/>
    </xf>
    <xf numFmtId="165" fontId="0" fillId="0" borderId="3" xfId="0" applyNumberFormat="1" applyBorder="1" applyAlignment="1">
      <alignment vertical="center" wrapText="1"/>
    </xf>
    <xf numFmtId="15" fontId="0" fillId="0" borderId="3" xfId="0" applyNumberFormat="1" applyBorder="1" applyAlignment="1">
      <alignment horizontal="left" vertical="center" wrapText="1"/>
    </xf>
    <xf numFmtId="15" fontId="0" fillId="0" borderId="3" xfId="0" applyNumberFormat="1" applyBorder="1" applyAlignment="1">
      <alignment horizontal="center" vertical="center" wrapText="1"/>
    </xf>
    <xf numFmtId="43" fontId="52" fillId="0" borderId="0" xfId="0" applyNumberFormat="1" applyFont="1" applyAlignment="1">
      <alignment horizontal="center"/>
    </xf>
    <xf numFmtId="166" fontId="52" fillId="26" borderId="0" xfId="0" applyNumberFormat="1" applyFont="1" applyFill="1" applyAlignment="1">
      <alignment horizontal="center"/>
    </xf>
    <xf numFmtId="43" fontId="52" fillId="26" borderId="0" xfId="2" applyFont="1" applyFill="1" applyAlignment="1">
      <alignment horizontal="center"/>
    </xf>
    <xf numFmtId="0" fontId="0" fillId="0" borderId="72" xfId="0" applyBorder="1" applyAlignment="1">
      <alignment horizontal="right" vertical="center" wrapText="1"/>
    </xf>
    <xf numFmtId="0" fontId="0" fillId="0" borderId="75" xfId="0" applyBorder="1" applyAlignment="1">
      <alignment horizontal="right" vertical="center" wrapText="1"/>
    </xf>
    <xf numFmtId="0" fontId="0" fillId="0" borderId="78" xfId="0" applyBorder="1" applyAlignment="1">
      <alignment horizontal="right" vertical="center" wrapText="1"/>
    </xf>
    <xf numFmtId="0" fontId="2" fillId="0" borderId="73" xfId="0" applyFont="1" applyBorder="1" applyAlignment="1">
      <alignment horizontal="center" vertical="center"/>
    </xf>
    <xf numFmtId="0" fontId="2" fillId="0" borderId="76" xfId="0" applyFont="1" applyBorder="1" applyAlignment="1">
      <alignment horizontal="center" vertical="center"/>
    </xf>
    <xf numFmtId="0" fontId="2" fillId="0" borderId="79" xfId="0" applyFont="1" applyBorder="1" applyAlignment="1">
      <alignment horizontal="center" vertical="center"/>
    </xf>
    <xf numFmtId="0" fontId="7" fillId="0" borderId="11" xfId="0" applyFont="1" applyBorder="1" applyAlignment="1">
      <alignment horizontal="left"/>
    </xf>
    <xf numFmtId="0" fontId="0" fillId="0" borderId="76" xfId="0" applyBorder="1" applyAlignment="1">
      <alignment horizontal="center" vertical="center"/>
    </xf>
    <xf numFmtId="0" fontId="0" fillId="0" borderId="79" xfId="0" applyBorder="1" applyAlignment="1">
      <alignment horizontal="center" vertical="center"/>
    </xf>
    <xf numFmtId="0" fontId="2" fillId="0" borderId="76" xfId="0" applyFont="1" applyBorder="1" applyAlignment="1">
      <alignment horizontal="right" vertical="center"/>
    </xf>
    <xf numFmtId="0" fontId="2" fillId="0" borderId="79" xfId="0" applyFont="1" applyBorder="1" applyAlignment="1">
      <alignment horizontal="right" vertical="center"/>
    </xf>
    <xf numFmtId="37" fontId="0" fillId="0" borderId="76" xfId="2" applyNumberFormat="1" applyFont="1" applyBorder="1" applyAlignment="1">
      <alignment horizontal="center" vertical="center"/>
    </xf>
    <xf numFmtId="37" fontId="0" fillId="0" borderId="73" xfId="2" applyNumberFormat="1" applyFont="1" applyBorder="1" applyAlignment="1">
      <alignment horizontal="center" vertical="center"/>
    </xf>
    <xf numFmtId="37" fontId="0" fillId="0" borderId="79" xfId="2" applyNumberFormat="1" applyFont="1" applyBorder="1" applyAlignment="1">
      <alignment horizontal="center" vertical="center"/>
    </xf>
    <xf numFmtId="0" fontId="0" fillId="0" borderId="81" xfId="0" applyBorder="1" applyAlignment="1">
      <alignment horizontal="right" vertical="center" wrapText="1"/>
    </xf>
    <xf numFmtId="0" fontId="0" fillId="0" borderId="52" xfId="0" applyBorder="1" applyAlignment="1">
      <alignment horizontal="right" vertical="center" wrapText="1"/>
    </xf>
    <xf numFmtId="0" fontId="0" fillId="0" borderId="29" xfId="0" applyBorder="1" applyAlignment="1">
      <alignment horizontal="right" vertical="center" wrapText="1"/>
    </xf>
    <xf numFmtId="0" fontId="0" fillId="0" borderId="93" xfId="0" applyBorder="1" applyAlignment="1">
      <alignment horizontal="right" vertical="center" wrapText="1"/>
    </xf>
    <xf numFmtId="0" fontId="0" fillId="0" borderId="31" xfId="0" applyBorder="1" applyAlignment="1">
      <alignment horizontal="right" vertical="center" wrapText="1"/>
    </xf>
    <xf numFmtId="0" fontId="2" fillId="0" borderId="27" xfId="0" applyFont="1" applyBorder="1" applyAlignment="1">
      <alignment horizontal="center" vertical="center"/>
    </xf>
    <xf numFmtId="0" fontId="2" fillId="0" borderId="26" xfId="0" applyFont="1" applyBorder="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2" xfId="0" applyFont="1" applyBorder="1" applyAlignment="1">
      <alignment horizontal="center" vertical="center"/>
    </xf>
    <xf numFmtId="0" fontId="2" fillId="0" borderId="73" xfId="0" applyFont="1" applyBorder="1" applyAlignment="1">
      <alignment horizontal="right"/>
    </xf>
    <xf numFmtId="0" fontId="2" fillId="0" borderId="76" xfId="0" applyFont="1" applyBorder="1" applyAlignment="1">
      <alignment horizontal="right"/>
    </xf>
    <xf numFmtId="37" fontId="0" fillId="0" borderId="51" xfId="2" applyNumberFormat="1" applyFont="1" applyBorder="1" applyAlignment="1">
      <alignment horizontal="center" vertical="center"/>
    </xf>
    <xf numFmtId="37" fontId="0" fillId="0" borderId="33" xfId="2" applyNumberFormat="1" applyFont="1" applyBorder="1" applyAlignment="1">
      <alignment horizontal="center" vertical="center"/>
    </xf>
    <xf numFmtId="37" fontId="0" fillId="0" borderId="26" xfId="2" applyNumberFormat="1" applyFont="1" applyBorder="1" applyAlignment="1">
      <alignment horizontal="center" vertical="center"/>
    </xf>
    <xf numFmtId="37" fontId="0" fillId="0" borderId="2" xfId="2" applyNumberFormat="1" applyFont="1" applyBorder="1" applyAlignment="1">
      <alignment horizontal="center" vertical="center"/>
    </xf>
    <xf numFmtId="0" fontId="11" fillId="0" borderId="57" xfId="0" applyFont="1" applyBorder="1" applyAlignment="1">
      <alignment horizontal="center"/>
    </xf>
    <xf numFmtId="0" fontId="11" fillId="0" borderId="58" xfId="0" applyFont="1" applyBorder="1" applyAlignment="1">
      <alignment horizont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39" xfId="0" applyBorder="1" applyAlignment="1">
      <alignment horizontal="center" vertical="center"/>
    </xf>
    <xf numFmtId="1" fontId="0" fillId="0" borderId="51" xfId="0" applyNumberFormat="1" applyBorder="1" applyAlignment="1">
      <alignment horizontal="center" vertical="center"/>
    </xf>
    <xf numFmtId="1" fontId="0" fillId="0" borderId="33" xfId="0" applyNumberFormat="1" applyBorder="1" applyAlignment="1">
      <alignment horizontal="center" vertical="center"/>
    </xf>
    <xf numFmtId="1" fontId="0" fillId="0" borderId="46" xfId="0" applyNumberFormat="1" applyBorder="1" applyAlignment="1">
      <alignment horizontal="center" vertical="center"/>
    </xf>
    <xf numFmtId="0" fontId="0" fillId="0" borderId="0" xfId="0" applyAlignment="1">
      <alignment horizontal="center" vertical="center"/>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 xfId="0" applyBorder="1" applyAlignment="1">
      <alignment horizontal="left" vertical="center"/>
    </xf>
    <xf numFmtId="2" fontId="0" fillId="0" borderId="1" xfId="0" applyNumberFormat="1" applyBorder="1" applyAlignment="1">
      <alignment horizontal="center" vertical="center"/>
    </xf>
    <xf numFmtId="1" fontId="0" fillId="0" borderId="2" xfId="0" applyNumberFormat="1" applyBorder="1" applyAlignment="1">
      <alignment horizontal="center" vertical="center"/>
    </xf>
    <xf numFmtId="1" fontId="0" fillId="0" borderId="26" xfId="0" applyNumberFormat="1" applyBorder="1" applyAlignment="1">
      <alignment horizontal="center" vertical="center"/>
    </xf>
    <xf numFmtId="39"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30"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23" xfId="0" applyBorder="1" applyAlignment="1">
      <alignment horizontal="center" vertical="center"/>
    </xf>
    <xf numFmtId="0" fontId="0" fillId="0" borderId="93" xfId="0" applyBorder="1" applyAlignment="1">
      <alignment horizontal="left" vertical="center" wrapText="1"/>
    </xf>
    <xf numFmtId="0" fontId="0" fillId="0" borderId="91" xfId="0" applyBorder="1" applyAlignment="1">
      <alignment horizontal="left" vertical="center" wrapText="1"/>
    </xf>
    <xf numFmtId="0" fontId="0" fillId="0" borderId="52" xfId="0" applyBorder="1" applyAlignment="1">
      <alignment horizontal="left" vertical="center" wrapText="1"/>
    </xf>
    <xf numFmtId="0" fontId="0" fillId="0" borderId="16" xfId="0" applyBorder="1" applyAlignment="1">
      <alignment horizontal="left" vertical="center"/>
    </xf>
    <xf numFmtId="0" fontId="0" fillId="0" borderId="34" xfId="0" applyBorder="1" applyAlignment="1">
      <alignment horizontal="left" vertical="center"/>
    </xf>
    <xf numFmtId="0" fontId="0" fillId="0" borderId="23" xfId="0" applyBorder="1" applyAlignment="1">
      <alignment horizontal="left" vertical="center"/>
    </xf>
    <xf numFmtId="0" fontId="44" fillId="29" borderId="0" xfId="4" applyFont="1" applyAlignment="1">
      <alignment horizontal="center"/>
    </xf>
    <xf numFmtId="0" fontId="44" fillId="30" borderId="0" xfId="4" applyFont="1" applyFill="1" applyAlignment="1">
      <alignment horizontal="center"/>
    </xf>
    <xf numFmtId="0" fontId="0" fillId="0" borderId="55" xfId="0" applyBorder="1" applyAlignment="1">
      <alignment horizontal="left" vertical="center" wrapText="1"/>
    </xf>
    <xf numFmtId="0" fontId="0" fillId="0" borderId="11" xfId="0" applyBorder="1" applyAlignment="1">
      <alignment horizontal="left"/>
    </xf>
    <xf numFmtId="0" fontId="7" fillId="0" borderId="0" xfId="0" applyFont="1" applyAlignment="1">
      <alignment horizontal="left"/>
    </xf>
    <xf numFmtId="0" fontId="10" fillId="0" borderId="1" xfId="0" applyFont="1" applyBorder="1" applyAlignment="1">
      <alignment horizontal="center" vertical="center"/>
    </xf>
    <xf numFmtId="167" fontId="33" fillId="0" borderId="1" xfId="0" applyNumberFormat="1" applyFont="1" applyBorder="1" applyAlignment="1">
      <alignment horizontal="center" vertical="center"/>
    </xf>
    <xf numFmtId="1" fontId="10" fillId="0" borderId="10" xfId="0" applyNumberFormat="1" applyFont="1" applyBorder="1" applyAlignment="1">
      <alignment horizontal="center" vertical="center"/>
    </xf>
    <xf numFmtId="0" fontId="10" fillId="0" borderId="12" xfId="0" applyFont="1" applyBorder="1" applyAlignment="1">
      <alignment horizontal="center" vertical="center"/>
    </xf>
    <xf numFmtId="0" fontId="6" fillId="0" borderId="1" xfId="0" applyFont="1" applyBorder="1" applyAlignment="1">
      <alignment horizontal="center" vertical="center"/>
    </xf>
    <xf numFmtId="1" fontId="33" fillId="0" borderId="1" xfId="0" applyNumberFormat="1" applyFont="1" applyBorder="1" applyAlignment="1">
      <alignment horizontal="center" vertical="center"/>
    </xf>
    <xf numFmtId="0" fontId="2" fillId="0" borderId="0" xfId="0" applyFont="1" applyAlignment="1">
      <alignment horizontal="center" vertical="center"/>
    </xf>
    <xf numFmtId="0" fontId="0" fillId="0" borderId="0" xfId="0" applyAlignment="1">
      <alignment horizontal="right" vertical="center"/>
    </xf>
    <xf numFmtId="43" fontId="0" fillId="0" borderId="66" xfId="2" applyFont="1" applyBorder="1" applyAlignment="1">
      <alignment horizontal="right" vertical="center"/>
    </xf>
    <xf numFmtId="43" fontId="0" fillId="0" borderId="66" xfId="2" applyFont="1" applyBorder="1" applyAlignment="1">
      <alignment vertical="center"/>
    </xf>
    <xf numFmtId="1" fontId="34" fillId="0" borderId="30" xfId="0" applyNumberFormat="1" applyFont="1" applyBorder="1" applyAlignment="1">
      <alignment horizontal="center" vertical="center"/>
    </xf>
    <xf numFmtId="1" fontId="34" fillId="0" borderId="37" xfId="0" applyNumberFormat="1" applyFont="1" applyBorder="1" applyAlignment="1">
      <alignment horizontal="center" vertical="center"/>
    </xf>
    <xf numFmtId="0" fontId="5" fillId="0" borderId="93" xfId="0" applyFont="1" applyBorder="1" applyAlignment="1">
      <alignment horizontal="center" vertical="center"/>
    </xf>
    <xf numFmtId="0" fontId="5" fillId="0" borderId="91" xfId="0" applyFont="1" applyBorder="1" applyAlignment="1">
      <alignment horizontal="center" vertical="center"/>
    </xf>
    <xf numFmtId="0" fontId="5" fillId="0" borderId="52" xfId="0" applyFont="1" applyBorder="1" applyAlignment="1">
      <alignment horizontal="center" vertical="center"/>
    </xf>
    <xf numFmtId="0" fontId="5" fillId="0" borderId="90" xfId="0" applyFont="1" applyBorder="1" applyAlignment="1">
      <alignment horizontal="center" vertical="center"/>
    </xf>
    <xf numFmtId="0" fontId="34" fillId="0" borderId="29" xfId="0" applyFont="1" applyBorder="1" applyAlignment="1">
      <alignment horizontal="center" vertical="center"/>
    </xf>
    <xf numFmtId="0" fontId="34" fillId="0" borderId="1" xfId="0" applyFont="1" applyBorder="1" applyAlignment="1">
      <alignment horizontal="center" vertical="center"/>
    </xf>
    <xf numFmtId="0" fontId="34" fillId="0" borderId="31" xfId="0" applyFont="1" applyBorder="1" applyAlignment="1">
      <alignment horizontal="center" vertical="center"/>
    </xf>
    <xf numFmtId="0" fontId="34" fillId="0" borderId="32" xfId="0" applyFont="1" applyBorder="1" applyAlignment="1">
      <alignment horizontal="center" vertical="center"/>
    </xf>
    <xf numFmtId="167" fontId="34" fillId="0" borderId="1" xfId="0" applyNumberFormat="1" applyFont="1" applyBorder="1" applyAlignment="1">
      <alignment horizontal="center" vertical="center"/>
    </xf>
    <xf numFmtId="167" fontId="34" fillId="0" borderId="32" xfId="0" applyNumberFormat="1" applyFont="1" applyBorder="1" applyAlignment="1">
      <alignment horizontal="center" vertical="center"/>
    </xf>
    <xf numFmtId="0" fontId="5" fillId="0" borderId="92" xfId="0" applyFont="1" applyBorder="1" applyAlignment="1">
      <alignment horizontal="center" vertical="center"/>
    </xf>
    <xf numFmtId="0" fontId="56" fillId="37" borderId="97" xfId="0" applyFont="1" applyFill="1" applyBorder="1" applyAlignment="1">
      <alignment horizontal="center" vertical="center" wrapText="1" readingOrder="1"/>
    </xf>
    <xf numFmtId="0" fontId="56" fillId="37" borderId="98" xfId="0" applyFont="1" applyFill="1" applyBorder="1" applyAlignment="1">
      <alignment horizontal="center" vertical="center" wrapText="1" readingOrder="1"/>
    </xf>
    <xf numFmtId="0" fontId="56" fillId="36" borderId="97" xfId="0" applyFont="1" applyFill="1" applyBorder="1" applyAlignment="1">
      <alignment horizontal="center" vertical="center" wrapText="1" readingOrder="1"/>
    </xf>
    <xf numFmtId="0" fontId="56" fillId="36" borderId="102" xfId="0" applyFont="1" applyFill="1" applyBorder="1" applyAlignment="1">
      <alignment horizontal="center" vertical="center" wrapText="1" readingOrder="1"/>
    </xf>
    <xf numFmtId="0" fontId="56" fillId="36" borderId="98" xfId="0" applyFont="1" applyFill="1" applyBorder="1" applyAlignment="1">
      <alignment horizontal="center" vertical="center" wrapText="1" readingOrder="1"/>
    </xf>
    <xf numFmtId="0" fontId="55" fillId="0" borderId="99" xfId="0" applyFont="1" applyBorder="1" applyAlignment="1">
      <alignment horizontal="center" vertical="center" wrapText="1" readingOrder="1"/>
    </xf>
    <xf numFmtId="0" fontId="55" fillId="0" borderId="101" xfId="0" applyFont="1" applyBorder="1" applyAlignment="1">
      <alignment horizontal="center" vertical="center" wrapText="1" readingOrder="1"/>
    </xf>
    <xf numFmtId="0" fontId="55" fillId="0" borderId="100" xfId="0" applyFont="1" applyBorder="1" applyAlignment="1">
      <alignment horizontal="center" vertical="center" wrapText="1" readingOrder="1"/>
    </xf>
    <xf numFmtId="0" fontId="55" fillId="36" borderId="97" xfId="0" applyFont="1" applyFill="1" applyBorder="1" applyAlignment="1">
      <alignment horizontal="center" vertical="center" wrapText="1" readingOrder="1"/>
    </xf>
    <xf numFmtId="0" fontId="55" fillId="36" borderId="102" xfId="0" applyFont="1" applyFill="1" applyBorder="1" applyAlignment="1">
      <alignment horizontal="center" vertical="center" wrapText="1" readingOrder="1"/>
    </xf>
    <xf numFmtId="0" fontId="55" fillId="36" borderId="98" xfId="0" applyFont="1" applyFill="1" applyBorder="1" applyAlignment="1">
      <alignment horizontal="center" vertical="center" wrapText="1" readingOrder="1"/>
    </xf>
    <xf numFmtId="0" fontId="55" fillId="37" borderId="97" xfId="0" applyFont="1" applyFill="1" applyBorder="1" applyAlignment="1">
      <alignment horizontal="center" vertical="center" wrapText="1" readingOrder="1"/>
    </xf>
    <xf numFmtId="0" fontId="55" fillId="37" borderId="102" xfId="0" applyFont="1" applyFill="1" applyBorder="1" applyAlignment="1">
      <alignment horizontal="center" vertical="center" wrapText="1" readingOrder="1"/>
    </xf>
    <xf numFmtId="0" fontId="55" fillId="37" borderId="98" xfId="0" applyFont="1" applyFill="1" applyBorder="1" applyAlignment="1">
      <alignment horizontal="center" vertical="center" wrapText="1" readingOrder="1"/>
    </xf>
    <xf numFmtId="0" fontId="55" fillId="22" borderId="97" xfId="0" applyFont="1" applyFill="1" applyBorder="1" applyAlignment="1">
      <alignment horizontal="center" vertical="center" wrapText="1" readingOrder="1"/>
    </xf>
    <xf numFmtId="0" fontId="55" fillId="22" borderId="102" xfId="0" applyFont="1" applyFill="1" applyBorder="1" applyAlignment="1">
      <alignment horizontal="center" vertical="center" wrapText="1" readingOrder="1"/>
    </xf>
    <xf numFmtId="0" fontId="55" fillId="22" borderId="98" xfId="0" applyFont="1" applyFill="1" applyBorder="1" applyAlignment="1">
      <alignment horizontal="center" vertical="center" wrapText="1" readingOrder="1"/>
    </xf>
    <xf numFmtId="0" fontId="56" fillId="38" borderId="103" xfId="0" applyFont="1" applyFill="1" applyBorder="1" applyAlignment="1">
      <alignment horizontal="center" vertical="center" wrapText="1" readingOrder="1"/>
    </xf>
    <xf numFmtId="0" fontId="56" fillId="38" borderId="104" xfId="0" applyFont="1" applyFill="1" applyBorder="1" applyAlignment="1">
      <alignment horizontal="center" vertical="center" wrapText="1" readingOrder="1"/>
    </xf>
    <xf numFmtId="0" fontId="56" fillId="38" borderId="105" xfId="0" applyFont="1" applyFill="1" applyBorder="1" applyAlignment="1">
      <alignment horizontal="center" vertical="center" wrapText="1" readingOrder="1"/>
    </xf>
    <xf numFmtId="0" fontId="56" fillId="22" borderId="103" xfId="0" applyFont="1" applyFill="1" applyBorder="1" applyAlignment="1">
      <alignment horizontal="center" vertical="center" wrapText="1" readingOrder="1"/>
    </xf>
    <xf numFmtId="0" fontId="56" fillId="22" borderId="104" xfId="0" applyFont="1" applyFill="1" applyBorder="1" applyAlignment="1">
      <alignment horizontal="center" vertical="center" wrapText="1" readingOrder="1"/>
    </xf>
    <xf numFmtId="0" fontId="56" fillId="22" borderId="105" xfId="0" applyFont="1" applyFill="1" applyBorder="1" applyAlignment="1">
      <alignment horizontal="center" vertical="center" wrapText="1" readingOrder="1"/>
    </xf>
    <xf numFmtId="0" fontId="56" fillId="36" borderId="103" xfId="0" applyFont="1" applyFill="1" applyBorder="1" applyAlignment="1">
      <alignment horizontal="center" vertical="center" wrapText="1" readingOrder="1"/>
    </xf>
    <xf numFmtId="0" fontId="56" fillId="36" borderId="104" xfId="0" applyFont="1" applyFill="1" applyBorder="1" applyAlignment="1">
      <alignment horizontal="center" vertical="center" wrapText="1" readingOrder="1"/>
    </xf>
    <xf numFmtId="0" fontId="56" fillId="36" borderId="105" xfId="0" applyFont="1" applyFill="1" applyBorder="1" applyAlignment="1">
      <alignment horizontal="center" vertical="center" wrapText="1" readingOrder="1"/>
    </xf>
    <xf numFmtId="0" fontId="56" fillId="37" borderId="103" xfId="0" applyFont="1" applyFill="1" applyBorder="1" applyAlignment="1">
      <alignment horizontal="center" vertical="center" wrapText="1" readingOrder="1"/>
    </xf>
    <xf numFmtId="0" fontId="56" fillId="37" borderId="105" xfId="0" applyFont="1" applyFill="1" applyBorder="1" applyAlignment="1">
      <alignment horizontal="center" vertical="center" wrapText="1" readingOrder="1"/>
    </xf>
    <xf numFmtId="0" fontId="55" fillId="38" borderId="97" xfId="0" applyFont="1" applyFill="1" applyBorder="1" applyAlignment="1">
      <alignment horizontal="center" vertical="center" wrapText="1" readingOrder="1"/>
    </xf>
    <xf numFmtId="0" fontId="55" fillId="38" borderId="102" xfId="0" applyFont="1" applyFill="1" applyBorder="1" applyAlignment="1">
      <alignment horizontal="center" vertical="center" wrapText="1" readingOrder="1"/>
    </xf>
    <xf numFmtId="0" fontId="55" fillId="38" borderId="98" xfId="0" applyFont="1" applyFill="1" applyBorder="1" applyAlignment="1">
      <alignment horizontal="center" vertical="center" wrapText="1" readingOrder="1"/>
    </xf>
    <xf numFmtId="0" fontId="56" fillId="37" borderId="102" xfId="0" applyFont="1" applyFill="1" applyBorder="1" applyAlignment="1">
      <alignment horizontal="center" vertical="center" wrapText="1" readingOrder="1"/>
    </xf>
    <xf numFmtId="0" fontId="56" fillId="38" borderId="19" xfId="0" applyFont="1" applyFill="1" applyBorder="1" applyAlignment="1">
      <alignment horizontal="center" vertical="center" wrapText="1" readingOrder="1"/>
    </xf>
    <xf numFmtId="0" fontId="56" fillId="38" borderId="67" xfId="0" applyFont="1" applyFill="1" applyBorder="1" applyAlignment="1">
      <alignment horizontal="center" vertical="center" wrapText="1" readingOrder="1"/>
    </xf>
    <xf numFmtId="0" fontId="56" fillId="38" borderId="22" xfId="0" applyFont="1" applyFill="1" applyBorder="1" applyAlignment="1">
      <alignment horizontal="center" vertical="center" wrapText="1" readingOrder="1"/>
    </xf>
    <xf numFmtId="0" fontId="56" fillId="22" borderId="97" xfId="0" applyFont="1" applyFill="1" applyBorder="1" applyAlignment="1">
      <alignment horizontal="center" vertical="center" wrapText="1" readingOrder="1"/>
    </xf>
    <xf numFmtId="0" fontId="56" fillId="22" borderId="102" xfId="0" applyFont="1" applyFill="1" applyBorder="1" applyAlignment="1">
      <alignment horizontal="center" vertical="center" wrapText="1" readingOrder="1"/>
    </xf>
    <xf numFmtId="0" fontId="56" fillId="22" borderId="98" xfId="0" applyFont="1" applyFill="1" applyBorder="1" applyAlignment="1">
      <alignment horizontal="center" vertical="center" wrapText="1" readingOrder="1"/>
    </xf>
    <xf numFmtId="0" fontId="2" fillId="41" borderId="19" xfId="0" applyFont="1" applyFill="1" applyBorder="1" applyAlignment="1">
      <alignment horizontal="left"/>
    </xf>
    <xf numFmtId="0" fontId="2" fillId="41" borderId="67" xfId="0" applyFont="1" applyFill="1" applyBorder="1" applyAlignment="1">
      <alignment horizontal="left"/>
    </xf>
    <xf numFmtId="0" fontId="2" fillId="41" borderId="22" xfId="0" applyFont="1" applyFill="1" applyBorder="1" applyAlignment="1">
      <alignment horizontal="left"/>
    </xf>
    <xf numFmtId="0" fontId="11" fillId="33" borderId="19" xfId="0" applyFont="1" applyFill="1" applyBorder="1" applyAlignment="1">
      <alignment horizontal="left"/>
    </xf>
    <xf numFmtId="0" fontId="11" fillId="33" borderId="67" xfId="0" applyFont="1" applyFill="1" applyBorder="1" applyAlignment="1">
      <alignment horizontal="left"/>
    </xf>
    <xf numFmtId="0" fontId="11" fillId="33" borderId="22" xfId="0" applyFont="1" applyFill="1" applyBorder="1" applyAlignment="1">
      <alignment horizontal="left"/>
    </xf>
    <xf numFmtId="0" fontId="11" fillId="20" borderId="49" xfId="0" applyFont="1" applyFill="1" applyBorder="1" applyAlignment="1">
      <alignment horizontal="left"/>
    </xf>
    <xf numFmtId="0" fontId="11" fillId="20" borderId="0" xfId="0" applyFont="1" applyFill="1" applyAlignment="1">
      <alignment horizontal="left"/>
    </xf>
    <xf numFmtId="0" fontId="0" fillId="0" borderId="1" xfId="0" applyBorder="1" applyAlignment="1">
      <alignment horizontal="left"/>
    </xf>
    <xf numFmtId="0" fontId="19" fillId="6" borderId="2" xfId="0" applyFont="1" applyFill="1" applyBorder="1" applyAlignment="1">
      <alignment horizontal="left" vertical="center" wrapText="1"/>
    </xf>
    <xf numFmtId="0" fontId="19" fillId="6" borderId="26" xfId="0" applyFont="1" applyFill="1" applyBorder="1" applyAlignment="1">
      <alignment horizontal="left" vertical="center" wrapText="1"/>
    </xf>
    <xf numFmtId="0" fontId="15" fillId="5" borderId="1" xfId="0" applyFont="1" applyFill="1" applyBorder="1" applyAlignment="1">
      <alignment horizontal="center" vertical="center" wrapText="1"/>
    </xf>
    <xf numFmtId="170" fontId="15" fillId="5" borderId="1" xfId="0" applyNumberFormat="1" applyFont="1" applyFill="1" applyBorder="1" applyAlignment="1">
      <alignment horizontal="center" vertical="center" wrapText="1"/>
    </xf>
    <xf numFmtId="0" fontId="19" fillId="6" borderId="2" xfId="0" applyFont="1" applyFill="1" applyBorder="1" applyAlignment="1">
      <alignment horizontal="center" vertical="center" wrapText="1"/>
    </xf>
    <xf numFmtId="0" fontId="19" fillId="6" borderId="26" xfId="0" applyFont="1" applyFill="1" applyBorder="1" applyAlignment="1">
      <alignment horizontal="center" vertical="center" wrapText="1"/>
    </xf>
    <xf numFmtId="0" fontId="19" fillId="6" borderId="2" xfId="3" applyFont="1" applyFill="1" applyBorder="1" applyAlignment="1" applyProtection="1">
      <alignment horizontal="center" vertical="center" wrapText="1"/>
    </xf>
    <xf numFmtId="0" fontId="19" fillId="6" borderId="26" xfId="3" applyFont="1" applyFill="1" applyBorder="1" applyAlignment="1" applyProtection="1">
      <alignment horizontal="center" vertical="center" wrapText="1"/>
    </xf>
    <xf numFmtId="0" fontId="16" fillId="6" borderId="2" xfId="0" applyFont="1" applyFill="1" applyBorder="1" applyAlignment="1">
      <alignment horizontal="center" vertical="center" wrapText="1"/>
    </xf>
    <xf numFmtId="0" fontId="16" fillId="6" borderId="26" xfId="0" applyFont="1" applyFill="1" applyBorder="1" applyAlignment="1">
      <alignment horizontal="center" vertical="center" wrapText="1"/>
    </xf>
    <xf numFmtId="15" fontId="19" fillId="6" borderId="2" xfId="0" applyNumberFormat="1" applyFont="1" applyFill="1" applyBorder="1" applyAlignment="1">
      <alignment horizontal="center" vertical="center" wrapText="1"/>
    </xf>
    <xf numFmtId="15" fontId="19" fillId="6" borderId="26" xfId="0" applyNumberFormat="1" applyFont="1" applyFill="1" applyBorder="1" applyAlignment="1">
      <alignment horizontal="center" vertical="center" wrapText="1"/>
    </xf>
    <xf numFmtId="0" fontId="16" fillId="6" borderId="2" xfId="0" applyFont="1" applyFill="1" applyBorder="1" applyAlignment="1">
      <alignment horizontal="left" vertical="center" wrapText="1"/>
    </xf>
    <xf numFmtId="0" fontId="16" fillId="6" borderId="26" xfId="0" applyFont="1" applyFill="1" applyBorder="1" applyAlignment="1">
      <alignment horizontal="left" vertical="center" wrapText="1"/>
    </xf>
    <xf numFmtId="0" fontId="15" fillId="0" borderId="2" xfId="0" applyFont="1" applyBorder="1" applyAlignment="1">
      <alignment horizontal="center" vertical="center" wrapText="1"/>
    </xf>
    <xf numFmtId="0" fontId="15" fillId="0" borderId="26" xfId="0" applyFont="1" applyBorder="1" applyAlignment="1">
      <alignment horizontal="center" vertical="center" wrapText="1"/>
    </xf>
    <xf numFmtId="0" fontId="15" fillId="5" borderId="2" xfId="0" applyFont="1" applyFill="1" applyBorder="1" applyAlignment="1">
      <alignment horizontal="center" vertical="center" wrapText="1"/>
    </xf>
    <xf numFmtId="0" fontId="15" fillId="5" borderId="26" xfId="0" applyFont="1" applyFill="1" applyBorder="1" applyAlignment="1">
      <alignment horizontal="center" vertical="center" wrapText="1"/>
    </xf>
    <xf numFmtId="0" fontId="15" fillId="12" borderId="40" xfId="0" applyFont="1" applyFill="1" applyBorder="1" applyAlignment="1">
      <alignment horizontal="center" vertical="center" wrapText="1"/>
    </xf>
    <xf numFmtId="0" fontId="15" fillId="12" borderId="0" xfId="0" applyFont="1" applyFill="1" applyAlignment="1">
      <alignment horizontal="center" vertical="center" wrapText="1"/>
    </xf>
    <xf numFmtId="0" fontId="15" fillId="12" borderId="1" xfId="0" applyFont="1" applyFill="1" applyBorder="1" applyAlignment="1">
      <alignment horizontal="center" vertical="center" wrapText="1"/>
    </xf>
    <xf numFmtId="0" fontId="16" fillId="2" borderId="1" xfId="0" applyFont="1" applyFill="1" applyBorder="1" applyAlignment="1">
      <alignment horizontal="center" vertical="center"/>
    </xf>
    <xf numFmtId="0" fontId="17" fillId="5" borderId="2" xfId="0" applyFont="1" applyFill="1" applyBorder="1" applyAlignment="1">
      <alignment horizontal="center" vertical="center" wrapText="1"/>
    </xf>
    <xf numFmtId="0" fontId="17" fillId="5" borderId="26" xfId="0" applyFont="1" applyFill="1" applyBorder="1" applyAlignment="1">
      <alignment horizontal="center" vertical="center" wrapText="1"/>
    </xf>
    <xf numFmtId="0" fontId="2" fillId="3" borderId="3" xfId="0" applyFont="1" applyFill="1" applyBorder="1" applyAlignment="1">
      <alignment horizontal="left" vertical="center"/>
    </xf>
    <xf numFmtId="0" fontId="2" fillId="3" borderId="6" xfId="0" applyFont="1" applyFill="1" applyBorder="1" applyAlignment="1">
      <alignment horizontal="left" vertical="center"/>
    </xf>
    <xf numFmtId="0" fontId="2" fillId="3" borderId="5" xfId="0" applyFont="1" applyFill="1" applyBorder="1" applyAlignment="1">
      <alignment horizontal="left" vertical="center"/>
    </xf>
    <xf numFmtId="0" fontId="2" fillId="3" borderId="3" xfId="0" applyFont="1" applyFill="1" applyBorder="1" applyAlignment="1">
      <alignment horizontal="left" vertical="center" wrapText="1"/>
    </xf>
    <xf numFmtId="0" fontId="2" fillId="3" borderId="6" xfId="0" applyFont="1" applyFill="1" applyBorder="1" applyAlignment="1">
      <alignment horizontal="left" vertical="center" wrapText="1"/>
    </xf>
    <xf numFmtId="0" fontId="2" fillId="3" borderId="5" xfId="0" applyFont="1" applyFill="1" applyBorder="1" applyAlignment="1">
      <alignment horizontal="left" vertical="center" wrapText="1"/>
    </xf>
    <xf numFmtId="0" fontId="0" fillId="0" borderId="16" xfId="0" applyBorder="1" applyAlignment="1">
      <alignment horizontal="center" vertical="center"/>
    </xf>
    <xf numFmtId="0" fontId="0" fillId="0" borderId="24" xfId="0" applyBorder="1" applyAlignment="1">
      <alignment horizontal="center" vertical="center"/>
    </xf>
    <xf numFmtId="0" fontId="0" fillId="0" borderId="8" xfId="0" applyBorder="1" applyAlignment="1">
      <alignment horizontal="center"/>
    </xf>
    <xf numFmtId="0" fontId="0" fillId="0" borderId="12" xfId="0" applyBorder="1" applyAlignment="1">
      <alignment horizontal="center"/>
    </xf>
    <xf numFmtId="165" fontId="0" fillId="0" borderId="16" xfId="0" applyNumberFormat="1" applyBorder="1" applyAlignment="1">
      <alignment horizontal="center" vertical="center" wrapText="1"/>
    </xf>
    <xf numFmtId="165" fontId="0" fillId="0" borderId="24" xfId="0" applyNumberFormat="1" applyBorder="1" applyAlignment="1">
      <alignment horizontal="center" vertical="center" wrapText="1"/>
    </xf>
    <xf numFmtId="0" fontId="52" fillId="0" borderId="0" xfId="0" applyFont="1" applyBorder="1" applyAlignment="1">
      <alignment horizontal="center"/>
    </xf>
    <xf numFmtId="0" fontId="52" fillId="0" borderId="0" xfId="0" applyFont="1" applyBorder="1"/>
    <xf numFmtId="43" fontId="52" fillId="0" borderId="108" xfId="2" applyFont="1" applyBorder="1" applyAlignment="1">
      <alignment horizontal="right"/>
    </xf>
    <xf numFmtId="49" fontId="52" fillId="0" borderId="0" xfId="0" applyNumberFormat="1" applyFont="1" applyBorder="1" applyAlignment="1">
      <alignment horizontal="center"/>
    </xf>
    <xf numFmtId="166" fontId="52" fillId="0" borderId="0" xfId="0" applyNumberFormat="1" applyFont="1" applyBorder="1" applyAlignment="1">
      <alignment horizontal="center"/>
    </xf>
    <xf numFmtId="0" fontId="0" fillId="0" borderId="0" xfId="0" applyBorder="1"/>
    <xf numFmtId="43" fontId="52" fillId="0" borderId="76" xfId="2" applyFont="1" applyBorder="1" applyAlignment="1">
      <alignment horizontal="center"/>
    </xf>
    <xf numFmtId="43" fontId="52" fillId="0" borderId="76" xfId="2" applyFont="1" applyBorder="1"/>
    <xf numFmtId="0" fontId="0" fillId="0" borderId="0" xfId="0" applyNumberFormat="1"/>
    <xf numFmtId="0" fontId="0" fillId="0" borderId="0" xfId="0" applyNumberFormat="1" applyAlignment="1">
      <alignment horizontal="center"/>
    </xf>
  </cellXfs>
  <cellStyles count="5">
    <cellStyle name="Accent1" xfId="4" builtinId="29"/>
    <cellStyle name="Comma" xfId="2" builtinId="3"/>
    <cellStyle name="Hyperlink" xfId="3" builtinId="8"/>
    <cellStyle name="Normal" xfId="0" builtinId="0"/>
    <cellStyle name="Percent" xfId="1" builtinId="5"/>
  </cellStyles>
  <dxfs count="504">
    <dxf>
      <numFmt numFmtId="7" formatCode="#,##0.00_);\(#,##0.00\)"/>
    </dxf>
    <dxf>
      <alignment wrapText="1"/>
    </dxf>
    <dxf>
      <alignment wrapText="1"/>
    </dxf>
    <dxf>
      <alignment wrapText="1"/>
    </dxf>
    <dxf>
      <alignment wrapText="1"/>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7" formatCode="#,##0.00_);\(#,##0.00\)"/>
    </dxf>
    <dxf>
      <alignment wrapText="1"/>
    </dxf>
    <dxf>
      <numFmt numFmtId="7" formatCode="#,##0.00_);\(#,##0.00\)"/>
    </dxf>
    <dxf>
      <alignment wrapText="1"/>
    </dxf>
    <dxf>
      <alignment wrapText="1"/>
    </dxf>
    <dxf>
      <alignment wrapText="1"/>
    </dxf>
    <dxf>
      <alignment wrapText="1"/>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7" formatCode="#,##0.00_);\(#,##0.00\)"/>
    </dxf>
    <dxf>
      <alignment wrapText="1"/>
    </dxf>
    <dxf>
      <numFmt numFmtId="7" formatCode="#,##0.00_);\(#,##0.00\)"/>
    </dxf>
    <dxf>
      <alignment wrapText="1"/>
    </dxf>
    <dxf>
      <alignment wrapText="1"/>
    </dxf>
    <dxf>
      <alignment wrapText="1"/>
    </dxf>
    <dxf>
      <numFmt numFmtId="175" formatCode="0.0000_);\(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7" formatCode="#,##0.00_);\(#,##0.00\)"/>
    </dxf>
    <dxf>
      <numFmt numFmtId="7" formatCode="#,##0.00_);\(#,##0.00\)"/>
    </dxf>
    <dxf>
      <numFmt numFmtId="7" formatCode="#,##0.00_);\(#,##0.00\)"/>
    </dxf>
    <dxf>
      <alignment wrapText="1"/>
    </dxf>
    <dxf>
      <alignment wrapText="1"/>
    </dxf>
    <dxf>
      <alignment wrapText="1"/>
    </dxf>
    <dxf>
      <numFmt numFmtId="175" formatCode="0.0000_);\(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7" formatCode="#,##0.00_);\(#,##0.00\)"/>
    </dxf>
    <dxf>
      <numFmt numFmtId="7" formatCode="#,##0.00_);\(#,##0.00\)"/>
    </dxf>
    <dxf>
      <numFmt numFmtId="165" formatCode="0.0000"/>
    </dxf>
    <dxf>
      <numFmt numFmtId="35" formatCode="_(* #,##0.00_);_(* \(#,##0.00\);_(* &quot;-&quot;??_);_(@_)"/>
    </dxf>
    <dxf>
      <numFmt numFmtId="35" formatCode="_(* #,##0.00_);_(* \(#,##0.00\);_(* &quot;-&quot;??_);_(@_)"/>
    </dxf>
    <dxf>
      <numFmt numFmtId="7" formatCode="#,##0.00_);\(#,##0.00\)"/>
    </dxf>
    <dxf>
      <alignment wrapText="1"/>
    </dxf>
    <dxf>
      <alignment wrapText="1"/>
    </dxf>
    <dxf>
      <alignment wrapText="1"/>
    </dxf>
    <dxf>
      <numFmt numFmtId="14" formatCode="0.00%"/>
    </dxf>
    <dxf>
      <numFmt numFmtId="14" formatCode="0.00%"/>
    </dxf>
    <dxf>
      <numFmt numFmtId="35" formatCode="_(* #,##0.00_);_(* \(#,##0.00\);_(* &quot;-&quot;??_);_(@_)"/>
    </dxf>
    <dxf>
      <alignment horizontal="center"/>
    </dxf>
    <dxf>
      <alignment horizontal="center"/>
    </dxf>
    <dxf>
      <numFmt numFmtId="14" formatCode="0.00%"/>
    </dxf>
    <dxf>
      <alignment horizontal="center"/>
    </dxf>
    <dxf>
      <font>
        <b/>
      </font>
    </dxf>
    <dxf>
      <font>
        <b/>
      </font>
    </dxf>
    <dxf>
      <font>
        <b/>
      </font>
    </dxf>
    <dxf>
      <font>
        <b/>
      </font>
    </dxf>
    <dxf>
      <font>
        <b/>
      </font>
    </dxf>
    <dxf>
      <font>
        <b/>
      </font>
    </dxf>
    <dxf>
      <font>
        <b/>
      </font>
    </dxf>
    <dxf>
      <font>
        <b/>
      </font>
    </dxf>
    <dxf>
      <font>
        <b/>
      </font>
    </dxf>
    <dxf>
      <numFmt numFmtId="176" formatCode="#,##0.000_);[Red]\(#,##0.000\)"/>
    </dxf>
    <dxf>
      <alignment horizontal="center"/>
    </dxf>
    <dxf>
      <alignment horizontal="center"/>
    </dxf>
    <dxf>
      <numFmt numFmtId="14" formatCode="0.00%"/>
    </dxf>
    <dxf>
      <alignment horizontal="center"/>
    </dxf>
    <dxf>
      <font>
        <b/>
      </font>
    </dxf>
    <dxf>
      <font>
        <b/>
      </font>
    </dxf>
    <dxf>
      <font>
        <b/>
      </font>
    </dxf>
    <dxf>
      <font>
        <b/>
      </font>
    </dxf>
    <dxf>
      <font>
        <b/>
      </font>
    </dxf>
    <dxf>
      <font>
        <b/>
      </font>
    </dxf>
    <dxf>
      <font>
        <b/>
      </font>
    </dxf>
    <dxf>
      <font>
        <b/>
      </font>
    </dxf>
    <dxf>
      <font>
        <b/>
      </font>
    </dxf>
    <dxf>
      <numFmt numFmtId="176" formatCode="#,##0.000_);[Red]\(#,##0.000\)"/>
    </dxf>
    <dxf>
      <alignment horizontal="center"/>
    </dxf>
    <dxf>
      <alignment horizontal="center"/>
    </dxf>
    <dxf>
      <font>
        <b/>
      </font>
    </dxf>
    <dxf>
      <font>
        <b/>
      </font>
    </dxf>
    <dxf>
      <font>
        <b/>
      </font>
    </dxf>
    <dxf>
      <font>
        <b/>
      </font>
    </dxf>
    <dxf>
      <numFmt numFmtId="176" formatCode="#,##0.000_);[Red]\(#,##0.000\)"/>
    </dxf>
    <dxf>
      <numFmt numFmtId="177" formatCode="_(* #,##0_);_(* \(#,##0\);_(* &quot;-&quot;??_);_(@_)"/>
    </dxf>
    <dxf>
      <numFmt numFmtId="177" formatCode="_(* #,##0_);_(* \(#,##0\);_(* &quot;-&quot;??_);_(@_)"/>
    </dxf>
    <dxf>
      <alignment horizontal="center"/>
    </dxf>
    <dxf>
      <alignment horizontal="center"/>
    </dxf>
    <dxf>
      <numFmt numFmtId="13" formatCode="0%"/>
    </dxf>
    <dxf>
      <alignment horizontal="center"/>
    </dxf>
    <dxf>
      <alignment horizontal="center"/>
    </dxf>
    <dxf>
      <font>
        <b/>
      </font>
    </dxf>
    <dxf>
      <font>
        <b/>
      </font>
    </dxf>
    <dxf>
      <font>
        <b/>
      </font>
    </dxf>
    <dxf>
      <font>
        <b/>
      </font>
    </dxf>
    <dxf>
      <numFmt numFmtId="176" formatCode="#,##0.000_);[Red]\(#,##0.000\)"/>
    </dxf>
    <dxf>
      <numFmt numFmtId="14" formatCode="0.00%"/>
    </dxf>
    <dxf>
      <numFmt numFmtId="177" formatCode="_(* #,##0_);_(* \(#,##0\);_(* &quot;-&quot;??_);_(@_)"/>
    </dxf>
    <dxf>
      <numFmt numFmtId="177" formatCode="_(* #,##0_);_(* \(#,##0\);_(* &quot;-&quot;??_);_(@_)"/>
    </dxf>
    <dxf>
      <alignment horizontal="center"/>
    </dxf>
    <dxf>
      <alignment horizontal="center"/>
    </dxf>
    <dxf>
      <font>
        <b/>
      </font>
    </dxf>
    <dxf>
      <font>
        <b/>
      </font>
    </dxf>
    <dxf>
      <font>
        <b/>
      </font>
    </dxf>
    <dxf>
      <alignment horizontal="center"/>
    </dxf>
    <dxf>
      <alignment horizontal="center"/>
    </dxf>
    <dxf>
      <font>
        <b/>
      </font>
    </dxf>
    <dxf>
      <font>
        <b/>
      </font>
    </dxf>
    <dxf>
      <font>
        <b/>
      </font>
    </dxf>
    <dxf>
      <font>
        <b/>
      </font>
    </dxf>
    <dxf>
      <numFmt numFmtId="176" formatCode="#,##0.000_);[Red]\(#,##0.000\)"/>
    </dxf>
    <dxf>
      <numFmt numFmtId="177" formatCode="_(* #,##0_);_(* \(#,##0\);_(* &quot;-&quot;??_);_(@_)"/>
    </dxf>
    <dxf>
      <numFmt numFmtId="177" formatCode="_(* #,##0_);_(* \(#,##0\);_(* &quot;-&quot;??_);_(@_)"/>
    </dxf>
    <dxf>
      <alignment horizontal="center"/>
    </dxf>
    <dxf>
      <alignment horizontal="center"/>
    </dxf>
    <dxf>
      <numFmt numFmtId="13" formatCode="0%"/>
    </dxf>
    <dxf>
      <alignment horizontal="center"/>
    </dxf>
    <dxf>
      <alignment horizontal="center"/>
    </dxf>
    <dxf>
      <font>
        <b/>
      </font>
    </dxf>
    <dxf>
      <font>
        <b/>
      </font>
    </dxf>
    <dxf>
      <font>
        <b/>
      </font>
    </dxf>
    <dxf>
      <font>
        <b/>
      </font>
    </dxf>
    <dxf>
      <numFmt numFmtId="176" formatCode="#,##0.000_);[Red]\(#,##0.000\)"/>
    </dxf>
    <dxf>
      <numFmt numFmtId="177" formatCode="_(* #,##0_);_(* \(#,##0\);_(* &quot;-&quot;??_);_(@_)"/>
    </dxf>
    <dxf>
      <numFmt numFmtId="177" formatCode="_(* #,##0_);_(* \(#,##0\);_(* &quot;-&quot;??_);_(@_)"/>
    </dxf>
    <dxf>
      <alignment horizontal="center"/>
    </dxf>
    <dxf>
      <alignment horizontal="center"/>
    </dxf>
    <dxf>
      <numFmt numFmtId="13" formatCode="0%"/>
    </dxf>
    <dxf>
      <alignment horizontal="center"/>
    </dxf>
    <dxf>
      <alignment horizontal="center"/>
    </dxf>
    <dxf>
      <font>
        <b/>
      </font>
    </dxf>
    <dxf>
      <font>
        <b/>
      </font>
    </dxf>
    <dxf>
      <font>
        <b/>
      </font>
    </dxf>
    <dxf>
      <font>
        <b/>
      </font>
    </dxf>
    <dxf>
      <numFmt numFmtId="176" formatCode="#,##0.000_);[Red]\(#,##0.000\)"/>
    </dxf>
    <dxf>
      <numFmt numFmtId="177" formatCode="_(* #,##0_);_(* \(#,##0\);_(* &quot;-&quot;??_);_(@_)"/>
    </dxf>
    <dxf>
      <numFmt numFmtId="177" formatCode="_(* #,##0_);_(* \(#,##0\);_(* &quot;-&quot;??_);_(@_)"/>
    </dxf>
    <dxf>
      <alignment horizontal="center"/>
    </dxf>
    <dxf>
      <alignment horizontal="center"/>
    </dxf>
    <dxf>
      <numFmt numFmtId="13" formatCode="0%"/>
    </dxf>
    <dxf>
      <font>
        <color rgb="FF9C5700"/>
      </font>
      <fill>
        <patternFill>
          <bgColor rgb="FFFFEB9C"/>
        </patternFill>
      </fill>
    </dxf>
    <dxf>
      <fill>
        <patternFill>
          <bgColor theme="0" tint="-0.3499862666707357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ont>
        <color rgb="FF9C5700"/>
      </font>
      <fill>
        <patternFill>
          <bgColor rgb="FFFFEB9C"/>
        </patternFill>
      </fill>
    </dxf>
    <dxf>
      <numFmt numFmtId="2" formatCode="0.00"/>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176" formatCode="#,##0.000_);[Red]\(#,##0.000\)"/>
    </dxf>
    <dxf>
      <font>
        <b/>
      </font>
    </dxf>
    <dxf>
      <font>
        <b/>
      </font>
    </dxf>
    <dxf>
      <font>
        <b/>
      </font>
    </dxf>
    <dxf>
      <font>
        <b/>
      </font>
    </dxf>
    <dxf>
      <font>
        <b/>
      </font>
    </dxf>
    <dxf>
      <font>
        <b/>
      </font>
    </dxf>
    <dxf>
      <font>
        <b/>
      </font>
    </dxf>
    <dxf>
      <font>
        <b/>
      </font>
    </dxf>
    <dxf>
      <font>
        <b/>
      </font>
    </dxf>
    <dxf>
      <alignment horizontal="center"/>
    </dxf>
    <dxf>
      <numFmt numFmtId="14" formatCode="0.00%"/>
    </dxf>
    <dxf>
      <alignment horizontal="center"/>
    </dxf>
    <dxf>
      <alignment horizontal="center"/>
    </dxf>
    <dxf>
      <numFmt numFmtId="176" formatCode="#,##0.000_);[Red]\(#,##0.000\)"/>
    </dxf>
    <dxf>
      <font>
        <b/>
      </font>
    </dxf>
    <dxf>
      <font>
        <b/>
      </font>
    </dxf>
    <dxf>
      <font>
        <b/>
      </font>
    </dxf>
    <dxf>
      <font>
        <b/>
      </font>
    </dxf>
    <dxf>
      <font>
        <b/>
      </font>
    </dxf>
    <dxf>
      <font>
        <b/>
      </font>
    </dxf>
    <dxf>
      <font>
        <b/>
      </font>
    </dxf>
    <dxf>
      <font>
        <b/>
      </font>
    </dxf>
    <dxf>
      <font>
        <b/>
      </font>
    </dxf>
    <dxf>
      <alignment horizontal="center"/>
    </dxf>
    <dxf>
      <numFmt numFmtId="14" formatCode="0.00%"/>
    </dxf>
    <dxf>
      <alignment horizontal="center"/>
    </dxf>
    <dxf>
      <alignment horizontal="center"/>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35" formatCode="_(* #,##0.00_);_(* \(#,##0.00\);_(* &quot;-&quot;??_);_(@_)"/>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dxf>
    <dxf>
      <font>
        <b val="0"/>
        <i val="0"/>
        <strike val="0"/>
        <condense val="0"/>
        <extend val="0"/>
        <outline val="0"/>
        <shadow val="0"/>
        <u val="none"/>
        <vertAlign val="baseline"/>
        <sz val="10"/>
        <color theme="1"/>
        <name val="Calibri"/>
        <family val="2"/>
        <scheme val="minor"/>
      </font>
      <numFmt numFmtId="166" formatCode="[$-409]d\-mmm\-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dxf>
    <dxf>
      <font>
        <b val="0"/>
        <i val="0"/>
        <strike val="0"/>
        <condense val="0"/>
        <extend val="0"/>
        <outline val="0"/>
        <shadow val="0"/>
        <u val="none"/>
        <vertAlign val="baseline"/>
        <sz val="10"/>
        <color theme="1"/>
        <name val="Calibri"/>
        <family val="2"/>
        <scheme val="minor"/>
      </font>
      <numFmt numFmtId="166" formatCode="[$-409]d\-mmm\-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5" formatCode="_(* #,##0.00_);_(* \(#,##0.00\);_(* &quot;-&quot;??_);_(@_)"/>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fill>
        <patternFill patternType="none">
          <fgColor indexed="64"/>
          <bgColor auto="1"/>
        </patternFill>
      </fill>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strike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center" textRotation="0" wrapText="1" indent="0" justifyLastLine="0" shrinkToFit="0" readingOrder="0"/>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font>
        <b/>
      </font>
    </dxf>
    <dxf>
      <font>
        <b/>
      </font>
    </dxf>
    <dxf>
      <font>
        <b/>
      </font>
    </dxf>
    <dxf>
      <alignment horizontal="center"/>
    </dxf>
    <dxf>
      <alignment horizontal="center"/>
    </dxf>
    <dxf>
      <numFmt numFmtId="177" formatCode="_(* #,##0_);_(* \(#,##0\);_(* &quot;-&quot;??_);_(@_)"/>
    </dxf>
    <dxf>
      <numFmt numFmtId="177" formatCode="_(* #,##0_);_(* \(#,##0\);_(* &quot;-&quot;??_);_(@_)"/>
    </dxf>
    <dxf>
      <numFmt numFmtId="14" formatCode="0.00%"/>
    </dxf>
    <dxf>
      <numFmt numFmtId="176" formatCode="#,##0.000_);[Red]\(#,##0.000\)"/>
    </dxf>
    <dxf>
      <font>
        <b/>
      </font>
    </dxf>
    <dxf>
      <font>
        <b/>
      </font>
    </dxf>
    <dxf>
      <font>
        <b/>
      </font>
    </dxf>
    <dxf>
      <font>
        <b/>
      </font>
    </dxf>
    <dxf>
      <alignment horizontal="center"/>
    </dxf>
    <dxf>
      <alignment horizontal="center"/>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numFmt numFmtId="35" formatCode="_(* #,##0.00_);_(* \(#,##0.00\);_(* &quot;-&quot;??_);_(@_)"/>
    </dxf>
    <dxf>
      <numFmt numFmtId="14" formatCode="0.00%"/>
    </dxf>
    <dxf>
      <numFmt numFmtId="14" formatCode="0.00%"/>
    </dxf>
    <dxf>
      <alignment wrapText="1"/>
    </dxf>
    <dxf>
      <alignment wrapText="1"/>
    </dxf>
    <dxf>
      <alignment wrapText="1"/>
    </dxf>
    <dxf>
      <numFmt numFmtId="7" formatCode="#,##0.00_);\(#,##0.00\)"/>
    </dxf>
    <dxf>
      <alignment horizontal="general" vertical="center" textRotation="0" wrapText="0" indent="0" justifyLastLine="0" shrinkToFit="0" readingOrder="0"/>
    </dxf>
    <dxf>
      <numFmt numFmtId="19" formatCode="m/d/yyyy"/>
    </dxf>
    <dxf>
      <numFmt numFmtId="2" formatCode="0.00"/>
      <alignment horizontal="general" vertical="center" textRotation="0" wrapText="1" indent="0" justifyLastLine="0" shrinkToFit="0" readingOrder="0"/>
      <border diagonalUp="0" diagonalDown="0">
        <left style="thin">
          <color indexed="64"/>
        </left>
        <right style="medium">
          <color indexed="64"/>
        </right>
        <top style="thin">
          <color indexed="64"/>
        </top>
        <bottom style="medium">
          <color indexed="64"/>
        </bottom>
        <vertical/>
        <horizontal/>
      </border>
    </dxf>
    <dxf>
      <numFmt numFmtId="2" formatCode="0.00"/>
      <alignment horizontal="general" vertical="center" textRotation="0" wrapText="1" indent="0" justifyLastLine="0" shrinkToFit="0" readingOrder="0"/>
      <border diagonalUp="0" diagonalDown="0">
        <left style="thin">
          <color indexed="64"/>
        </left>
        <right style="medium">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numFmt numFmtId="178" formatCode="dd\-mmm\-yy"/>
      <alignment horizontal="left"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2" formatCode="0.00"/>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numFmt numFmtId="2" formatCode="0.00"/>
      <fill>
        <patternFill patternType="solid">
          <fgColor indexed="64"/>
          <bgColor theme="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alignment horizontal="general" vertical="center" textRotation="0" wrapText="1" indent="0" justifyLastLine="0" shrinkToFit="0" readingOrder="0"/>
      <border diagonalUp="0" diagonalDown="0">
        <left style="medium">
          <color indexed="64"/>
        </left>
        <right style="thin">
          <color indexed="64"/>
        </right>
        <top style="thin">
          <color indexed="64"/>
        </top>
        <bottom style="medium">
          <color indexed="64"/>
        </bottom>
        <vertical/>
        <horizontal/>
      </border>
    </dxf>
    <dxf>
      <border outline="0">
        <top style="medium">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wrapText="1"/>
    </dxf>
    <dxf>
      <numFmt numFmtId="7" formatCode="#,##0.00_);\(#,##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alignment wrapText="1"/>
    </dxf>
    <dxf>
      <alignment wrapText="1"/>
    </dxf>
    <dxf>
      <alignment wrapText="1"/>
    </dxf>
    <dxf>
      <alignment wrapText="1"/>
    </dxf>
    <dxf>
      <numFmt numFmtId="7" formatCode="#,##0.00_);\(#,##0.00\)"/>
    </dxf>
    <dxf>
      <numFmt numFmtId="35" formatCode="_(* #,##0.00_);_(* \(#,##0.00\);_(* &quot;-&quot;??_);_(@_)"/>
    </dxf>
    <dxf>
      <numFmt numFmtId="35" formatCode="_(* #,##0.00_);_(* \(#,##0.00\);_(* &quot;-&quot;??_);_(@_)"/>
    </dxf>
    <dxf>
      <numFmt numFmtId="165" formatCode="0.0000"/>
    </dxf>
    <dxf>
      <numFmt numFmtId="7" formatCode="#,##0.00_);\(#,##0.00\)"/>
    </dxf>
    <dxf>
      <numFmt numFmtId="7" formatCode="#,##0.00_);\(#,##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75" formatCode="0.0000_);\(0.0000\)"/>
    </dxf>
    <dxf>
      <alignment wrapText="1"/>
    </dxf>
    <dxf>
      <alignment wrapText="1"/>
    </dxf>
    <dxf>
      <alignment wrapText="1"/>
    </dxf>
    <dxf>
      <numFmt numFmtId="7" formatCode="#,##0.00_);\(#,##0.00\)"/>
    </dxf>
    <dxf>
      <alignment wrapText="1"/>
    </dxf>
    <dxf>
      <numFmt numFmtId="7" formatCode="#,##0.00_);\(#,##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alignment wrapText="1"/>
    </dxf>
    <dxf>
      <alignment wrapText="1"/>
    </dxf>
    <dxf>
      <alignment wrapText="1"/>
    </dxf>
    <dxf>
      <alignment wrapText="1"/>
    </dxf>
    <dxf>
      <numFmt numFmtId="7" formatCode="#,##0.00_);\(#,##0.00\)"/>
    </dxf>
    <dxf>
      <numFmt numFmtId="7" formatCode="#,##0.00_);\(#,##0.00\)"/>
    </dxf>
    <dxf>
      <numFmt numFmtId="7" formatCode="#,##0.00_);\(#,##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75" formatCode="0.0000_);\(0.0000\)"/>
    </dxf>
    <dxf>
      <alignment wrapText="1"/>
    </dxf>
    <dxf>
      <alignment wrapText="1"/>
    </dxf>
    <dxf>
      <alignment wrapText="1"/>
    </dxf>
    <dxf>
      <numFmt numFmtId="7" formatCode="#,##0.00_);\(#,##0.00\)"/>
    </dxf>
  </dxfs>
  <tableStyles count="0" defaultTableStyle="TableStyleMedium2" defaultPivotStyle="PivotStyleLight16"/>
  <colors>
    <mruColors>
      <color rgb="FF66FF99"/>
      <color rgb="FF66FFFF"/>
      <color rgb="FF0000FF"/>
      <color rgb="FFFF9F9F"/>
      <color rgb="FFFF7D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Percentage</a:t>
            </a:r>
            <a:r>
              <a:rPr lang="en-US" baseline="0"/>
              <a:t> of</a:t>
            </a:r>
            <a:r>
              <a:rPr lang="en-US"/>
              <a:t> RE</a:t>
            </a:r>
            <a:r>
              <a:rPr lang="en-US" baseline="0"/>
              <a:t> Plants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21333396365168691"/>
          <c:y val="0.21141227787087877"/>
          <c:w val="0.5113615222840292"/>
          <c:h val="0.7885877221291212"/>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77E-634D-9687-CA8848EFBA7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77E-634D-9687-CA8848EFBA7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77E-634D-9687-CA8848EFBA7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77E-634D-9687-CA8848EFBA7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RE'!$B$15:$B$18</c:f>
              <c:strCache>
                <c:ptCount val="4"/>
                <c:pt idx="0">
                  <c:v>Solar</c:v>
                </c:pt>
                <c:pt idx="1">
                  <c:v>Wind</c:v>
                </c:pt>
                <c:pt idx="2">
                  <c:v>Biomass</c:v>
                </c:pt>
                <c:pt idx="3">
                  <c:v>ROR Hydro</c:v>
                </c:pt>
              </c:strCache>
            </c:strRef>
          </c:cat>
          <c:val>
            <c:numRef>
              <c:f>'Per RE'!$C$15:$C$18</c:f>
              <c:numCache>
                <c:formatCode>0</c:formatCode>
                <c:ptCount val="4"/>
                <c:pt idx="0">
                  <c:v>543.63199999999995</c:v>
                </c:pt>
                <c:pt idx="1">
                  <c:v>375.53999999999996</c:v>
                </c:pt>
                <c:pt idx="2">
                  <c:v>239.44499999999999</c:v>
                </c:pt>
                <c:pt idx="3">
                  <c:v>349.87799999999999</c:v>
                </c:pt>
              </c:numCache>
            </c:numRef>
          </c:val>
          <c:extLst>
            <c:ext xmlns:c16="http://schemas.microsoft.com/office/drawing/2014/chart" uri="{C3380CC4-5D6E-409C-BE32-E72D297353CC}">
              <c16:uniqueId val="{00000000-E384-034F-B15E-3A2C41CA986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Luzon</a:t>
            </a:r>
            <a:r>
              <a:rPr lang="en-US" baseline="0"/>
              <a:t> (Capacity)</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explosion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050-A64B-8033-82C5010E42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BBF-3E44-8B67-4D0A8CBA935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050-A64B-8033-82C5010E42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050-A64B-8033-82C5010E429B}"/>
              </c:ext>
            </c:extLst>
          </c:dPt>
          <c:dLbls>
            <c:dLbl>
              <c:idx val="0"/>
              <c:layout>
                <c:manualLayout>
                  <c:x val="-0.10856014060509137"/>
                  <c:y val="0.1104136259557316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050-A64B-8033-82C5010E429B}"/>
                </c:ext>
              </c:extLst>
            </c:dLbl>
            <c:dLbl>
              <c:idx val="1"/>
              <c:layout>
                <c:manualLayout>
                  <c:x val="-6.8548392253419965E-2"/>
                  <c:y val="-6.22023450855417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BF-3E44-8B67-4D0A8CBA935A}"/>
                </c:ext>
              </c:extLst>
            </c:dLbl>
            <c:dLbl>
              <c:idx val="2"/>
              <c:layout>
                <c:manualLayout>
                  <c:x val="0.11595039092256529"/>
                  <c:y val="8.9295358480291735E-3"/>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3101496635989938"/>
                      <c:h val="0.18846069727686204"/>
                    </c:manualLayout>
                  </c15:layout>
                </c:ext>
                <c:ext xmlns:c16="http://schemas.microsoft.com/office/drawing/2014/chart" uri="{C3380CC4-5D6E-409C-BE32-E72D297353CC}">
                  <c16:uniqueId val="{00000002-9050-A64B-8033-82C5010E429B}"/>
                </c:ext>
              </c:extLst>
            </c:dLbl>
            <c:dLbl>
              <c:idx val="3"/>
              <c:layout>
                <c:manualLayout>
                  <c:x val="0.10457610233513409"/>
                  <c:y val="0.1202224572961440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50-A64B-8033-82C5010E429B}"/>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Island'!$P$3:$P$6</c:f>
              <c:strCache>
                <c:ptCount val="4"/>
                <c:pt idx="0">
                  <c:v>SOLAR</c:v>
                </c:pt>
                <c:pt idx="1">
                  <c:v>WIND</c:v>
                </c:pt>
                <c:pt idx="2">
                  <c:v>BIOMASS</c:v>
                </c:pt>
                <c:pt idx="3">
                  <c:v>ROR</c:v>
                </c:pt>
              </c:strCache>
            </c:strRef>
          </c:cat>
          <c:val>
            <c:numRef>
              <c:f>'Per Island'!$Q$3:$Q$6</c:f>
              <c:numCache>
                <c:formatCode>0.00%</c:formatCode>
                <c:ptCount val="4"/>
                <c:pt idx="0">
                  <c:v>0.27805674201377256</c:v>
                </c:pt>
                <c:pt idx="1">
                  <c:v>0.3309415559093265</c:v>
                </c:pt>
                <c:pt idx="2">
                  <c:v>0.13921130986516433</c:v>
                </c:pt>
                <c:pt idx="3">
                  <c:v>0.25179039221173655</c:v>
                </c:pt>
              </c:numCache>
            </c:numRef>
          </c:val>
          <c:extLst>
            <c:ext xmlns:c16="http://schemas.microsoft.com/office/drawing/2014/chart" uri="{C3380CC4-5D6E-409C-BE32-E72D297353CC}">
              <c16:uniqueId val="{00000000-9050-A64B-8033-82C5010E429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Visayas</a:t>
            </a:r>
            <a:r>
              <a:rPr lang="en-US" baseline="0"/>
              <a:t> (Capacity)</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B6D-ED49-BA7E-B12FBE7433B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B6D-ED49-BA7E-B12FBE7433B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B6D-ED49-BA7E-B12FBE7433B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B6D-ED49-BA7E-B12FBE7433B8}"/>
              </c:ext>
            </c:extLst>
          </c:dPt>
          <c:dLbls>
            <c:dLbl>
              <c:idx val="0"/>
              <c:layout>
                <c:manualLayout>
                  <c:x val="-0.13792026970855395"/>
                  <c:y val="-2.7978664786769473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B6D-ED49-BA7E-B12FBE7433B8}"/>
                </c:ext>
              </c:extLst>
            </c:dLbl>
            <c:dLbl>
              <c:idx val="1"/>
              <c:layout>
                <c:manualLayout>
                  <c:x val="0.10999371384181368"/>
                  <c:y val="-6.4317605399842923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B6D-ED49-BA7E-B12FBE7433B8}"/>
                </c:ext>
              </c:extLst>
            </c:dLbl>
            <c:dLbl>
              <c:idx val="2"/>
              <c:layout>
                <c:manualLayout>
                  <c:x val="9.0328034253916042E-2"/>
                  <c:y val="6.9608798891401619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3891915557645263"/>
                      <c:h val="0.17514696826052784"/>
                    </c:manualLayout>
                  </c15:layout>
                </c:ext>
                <c:ext xmlns:c16="http://schemas.microsoft.com/office/drawing/2014/chart" uri="{C3380CC4-5D6E-409C-BE32-E72D297353CC}">
                  <c16:uniqueId val="{00000002-5B6D-ED49-BA7E-B12FBE7433B8}"/>
                </c:ext>
              </c:extLst>
            </c:dLbl>
            <c:dLbl>
              <c:idx val="3"/>
              <c:layout>
                <c:manualLayout>
                  <c:x val="9.5077377062318998E-3"/>
                  <c:y val="0.11846575770312881"/>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6448372912828524"/>
                      <c:h val="0.16183636267136989"/>
                    </c:manualLayout>
                  </c15:layout>
                </c:ext>
                <c:ext xmlns:c16="http://schemas.microsoft.com/office/drawing/2014/chart" uri="{C3380CC4-5D6E-409C-BE32-E72D297353CC}">
                  <c16:uniqueId val="{00000004-5B6D-ED49-BA7E-B12FBE7433B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Island'!$P$8:$P$11</c:f>
              <c:strCache>
                <c:ptCount val="4"/>
                <c:pt idx="0">
                  <c:v>SOLAR</c:v>
                </c:pt>
                <c:pt idx="1">
                  <c:v>WIND</c:v>
                </c:pt>
                <c:pt idx="2">
                  <c:v>BIOMASS</c:v>
                </c:pt>
                <c:pt idx="3">
                  <c:v>ROR</c:v>
                </c:pt>
              </c:strCache>
            </c:strRef>
          </c:cat>
          <c:val>
            <c:numRef>
              <c:f>'Per Island'!$Q$8:$Q$11</c:f>
              <c:numCache>
                <c:formatCode>0.00%</c:formatCode>
                <c:ptCount val="4"/>
                <c:pt idx="0">
                  <c:v>0.58046566862072557</c:v>
                </c:pt>
                <c:pt idx="1">
                  <c:v>0.17751805276979174</c:v>
                </c:pt>
                <c:pt idx="2">
                  <c:v>0.19210718009512523</c:v>
                </c:pt>
                <c:pt idx="3">
                  <c:v>4.9909098514357535E-2</c:v>
                </c:pt>
              </c:numCache>
            </c:numRef>
          </c:val>
          <c:extLst>
            <c:ext xmlns:c16="http://schemas.microsoft.com/office/drawing/2014/chart" uri="{C3380CC4-5D6E-409C-BE32-E72D297353CC}">
              <c16:uniqueId val="{00000000-5B6D-ED49-BA7E-B12FBE7433B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Mindanao</a:t>
            </a:r>
            <a:r>
              <a:rPr lang="en-US" baseline="0"/>
              <a:t> (Capacity)</a:t>
            </a:r>
            <a:endParaRPr lang="en-US"/>
          </a:p>
        </c:rich>
      </c:tx>
      <c:layout>
        <c:manualLayout>
          <c:xMode val="edge"/>
          <c:yMode val="edge"/>
          <c:x val="0.27612479410049345"/>
          <c:y val="3.380644611731635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254-D444-B0C3-35F85F94323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254-D444-B0C3-35F85F94323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254-D444-B0C3-35F85F94323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1D5-6549-B308-CB308587D88C}"/>
              </c:ext>
            </c:extLst>
          </c:dPt>
          <c:dLbls>
            <c:dLbl>
              <c:idx val="0"/>
              <c:layout>
                <c:manualLayout>
                  <c:x val="-9.7044096585298625E-2"/>
                  <c:y val="7.15490417273045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254-D444-B0C3-35F85F943239}"/>
                </c:ext>
              </c:extLst>
            </c:dLbl>
            <c:dLbl>
              <c:idx val="1"/>
              <c:delete val="1"/>
              <c:extLst>
                <c:ext xmlns:c15="http://schemas.microsoft.com/office/drawing/2012/chart" uri="{CE6537A1-D6FC-4f65-9D91-7224C49458BB}"/>
                <c:ext xmlns:c16="http://schemas.microsoft.com/office/drawing/2014/chart" uri="{C3380CC4-5D6E-409C-BE32-E72D297353CC}">
                  <c16:uniqueId val="{00000004-9254-D444-B0C3-35F85F943239}"/>
                </c:ext>
              </c:extLst>
            </c:dLbl>
            <c:dLbl>
              <c:idx val="2"/>
              <c:layout>
                <c:manualLayout>
                  <c:x val="-0.13426054602946341"/>
                  <c:y val="1.6683341542844808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4320642334323633"/>
                      <c:h val="0.19394960648052295"/>
                    </c:manualLayout>
                  </c15:layout>
                </c:ext>
                <c:ext xmlns:c16="http://schemas.microsoft.com/office/drawing/2014/chart" uri="{C3380CC4-5D6E-409C-BE32-E72D297353CC}">
                  <c16:uniqueId val="{00000003-9254-D444-B0C3-35F85F943239}"/>
                </c:ext>
              </c:extLst>
            </c:dLbl>
            <c:dLbl>
              <c:idx val="3"/>
              <c:layout>
                <c:manualLayout>
                  <c:x val="8.8957834030121349E-2"/>
                  <c:y val="-0.143829778209130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1D5-6549-B308-CB308587D88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Island'!$P$13:$P$16</c:f>
              <c:strCache>
                <c:ptCount val="4"/>
                <c:pt idx="0">
                  <c:v>SOLAR</c:v>
                </c:pt>
                <c:pt idx="1">
                  <c:v>WIND</c:v>
                </c:pt>
                <c:pt idx="2">
                  <c:v>BIOMASS</c:v>
                </c:pt>
                <c:pt idx="3">
                  <c:v>ROR</c:v>
                </c:pt>
              </c:strCache>
            </c:strRef>
          </c:cat>
          <c:val>
            <c:numRef>
              <c:f>'Per Island'!$Q$13:$Q$16</c:f>
              <c:numCache>
                <c:formatCode>0.00%</c:formatCode>
                <c:ptCount val="4"/>
                <c:pt idx="0">
                  <c:v>0.11410788381742737</c:v>
                </c:pt>
                <c:pt idx="1">
                  <c:v>0</c:v>
                </c:pt>
                <c:pt idx="2">
                  <c:v>0.16324525005459706</c:v>
                </c:pt>
                <c:pt idx="3">
                  <c:v>0.72264686612797546</c:v>
                </c:pt>
              </c:numCache>
            </c:numRef>
          </c:val>
          <c:extLst>
            <c:ext xmlns:c16="http://schemas.microsoft.com/office/drawing/2014/chart" uri="{C3380CC4-5D6E-409C-BE32-E72D297353CC}">
              <c16:uniqueId val="{00000000-9254-D444-B0C3-35F85F94323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Philippines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B1C-A04C-83D7-6306248400E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B1C-A04C-83D7-6306248400E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B1C-A04C-83D7-6306248400EA}"/>
              </c:ext>
            </c:extLst>
          </c:dPt>
          <c:dLbls>
            <c:dLbl>
              <c:idx val="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4-5B1C-A04C-83D7-6306248400E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Island'!$I$31:$I$33</c:f>
              <c:strCache>
                <c:ptCount val="3"/>
                <c:pt idx="0">
                  <c:v>Luzon</c:v>
                </c:pt>
                <c:pt idx="1">
                  <c:v>Visayas</c:v>
                </c:pt>
                <c:pt idx="2">
                  <c:v>Mindanao</c:v>
                </c:pt>
              </c:strCache>
            </c:strRef>
          </c:cat>
          <c:val>
            <c:numRef>
              <c:f>'Per Island'!$J$31:$J$33</c:f>
              <c:numCache>
                <c:formatCode>0.00%</c:formatCode>
                <c:ptCount val="3"/>
                <c:pt idx="0">
                  <c:v>0.57797738805895948</c:v>
                </c:pt>
                <c:pt idx="1">
                  <c:v>0.32488738776064885</c:v>
                </c:pt>
                <c:pt idx="2">
                  <c:v>9.7135224180391735E-2</c:v>
                </c:pt>
              </c:numCache>
            </c:numRef>
          </c:val>
          <c:extLst>
            <c:ext xmlns:c16="http://schemas.microsoft.com/office/drawing/2014/chart" uri="{C3380CC4-5D6E-409C-BE32-E72D297353CC}">
              <c16:uniqueId val="{00000000-5B1C-A04C-83D7-6306248400E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June 2026.xlsm]GEA Reports!PivotTable1</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Percentage of RE Plants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4C92A18-4113-4166-83E8-3736A1F39650}" type="CELLRANGE">
                  <a:rPr lang="en-US"/>
                  <a:pPr>
                    <a:defRPr/>
                  </a:pPr>
                  <a:t>[CELLRANGE]</a:t>
                </a:fld>
                <a:endParaRPr lang="en-US" baseline="0"/>
              </a:p>
              <a:p>
                <a:pPr>
                  <a:defRPr/>
                </a:pPr>
                <a:fld id="{A659670B-2C35-4FA4-9A4A-21EF643EED7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5"/>
        <c:spPr>
          <a:solidFill>
            <a:schemeClr val="accent1"/>
          </a:solidFill>
          <a:ln>
            <a:noFill/>
          </a:ln>
          <a:effectLst>
            <a:outerShdw blurRad="254000" sx="102000" sy="102000" algn="ctr" rotWithShape="0">
              <a:prstClr val="black">
                <a:alpha val="20000"/>
              </a:prstClr>
            </a:outerShdw>
          </a:effectLst>
          <a:sp3d/>
        </c:spPr>
        <c:dLbl>
          <c:idx val="0"/>
          <c:layout>
            <c:manualLayout>
              <c:x val="1.8562146398366872E-2"/>
              <c:y val="0.16283814566638058"/>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4431BB22-7F71-475D-ADD4-836E17ED1524}" type="CELLRANGE">
                  <a:rPr lang="en-US"/>
                  <a:pPr>
                    <a:defRPr/>
                  </a:pPr>
                  <a:t>[CELLRANGE]</a:t>
                </a:fld>
                <a:endParaRPr lang="en-US" baseline="0"/>
              </a:p>
              <a:p>
                <a:pPr>
                  <a:defRPr/>
                </a:pPr>
                <a:fld id="{0D0DAD62-5109-47EB-B1D3-AFB9E447243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a:noFill/>
          </a:ln>
          <a:effectLst>
            <a:outerShdw blurRad="254000" sx="102000" sy="102000" algn="ctr" rotWithShape="0">
              <a:prstClr val="black">
                <a:alpha val="20000"/>
              </a:prstClr>
            </a:outerShdw>
          </a:effectLst>
          <a:sp3d/>
        </c:spPr>
        <c:dLbl>
          <c:idx val="0"/>
          <c:layout>
            <c:manualLayout>
              <c:x val="6.7669407990667826E-2"/>
              <c:y val="4.332995181046162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D6AC71BE-10C9-4E42-8CF7-248CE038C465}" type="CELLRANGE">
                  <a:rPr lang="en-US"/>
                  <a:pPr>
                    <a:defRPr/>
                  </a:pPr>
                  <a:t>[CELLRANGE]</a:t>
                </a:fld>
                <a:endParaRPr lang="en-US" baseline="0"/>
              </a:p>
              <a:p>
                <a:pPr>
                  <a:defRPr/>
                </a:pPr>
                <a:fld id="{9CCE1C86-FA15-4280-8399-46C163B17A3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layout>
            <c:manualLayout>
              <c:x val="2.6912413726062019E-2"/>
              <c:y val="1.9065841632592256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ECC6B75F-5219-4144-846A-0FD81AEFEE72}" type="CELLRANGE">
                  <a:rPr lang="en-US"/>
                  <a:pPr>
                    <a:defRPr/>
                  </a:pPr>
                  <a:t>[CELLRANGE]</a:t>
                </a:fld>
                <a:endParaRPr lang="en-US" baseline="0"/>
              </a:p>
              <a:p>
                <a:pPr>
                  <a:defRPr/>
                </a:pPr>
                <a:fld id="{B28CCC63-7A07-4BF0-B1FF-2EA4502B6928}"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2.3912355400019441E-2"/>
              <c:y val="0.1149216866088743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EF373E0-8FD2-4220-AFB4-1198DD684CFF}" type="CELLRANGE">
                  <a:rPr lang="en-US"/>
                  <a:pPr>
                    <a:defRPr/>
                  </a:pPr>
                  <a:t>[CELLRANGE]</a:t>
                </a:fld>
                <a:endParaRPr lang="en-US" baseline="0"/>
              </a:p>
              <a:p>
                <a:pPr>
                  <a:defRPr/>
                </a:pPr>
                <a:fld id="{DF51A502-6E19-4C40-98BD-76428E72E8A0}"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layout>
            <c:manualLayout>
              <c:x val="4.8393972975600198E-2"/>
              <c:y val="0.15744420430511974"/>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72F18CA7-EA50-4029-9401-DD616EC5CBC7}" type="CELLRANGE">
                  <a:rPr lang="en-US"/>
                  <a:pPr>
                    <a:defRPr/>
                  </a:pPr>
                  <a:t>[CELLRANGE]</a:t>
                </a:fld>
                <a:endParaRPr lang="en-US" baseline="0"/>
              </a:p>
              <a:p>
                <a:pPr>
                  <a:defRPr/>
                </a:pPr>
                <a:fld id="{D8288B71-D4AD-4465-8C6B-E6E7BB19844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83DEE0C-5CEA-449C-8BF7-EB14E89BFE54}" type="CELLRANGE">
                  <a:rPr lang="en-US"/>
                  <a:pPr>
                    <a:defRPr/>
                  </a:pPr>
                  <a:t>[CELLRANGE]</a:t>
                </a:fld>
                <a:endParaRPr lang="en-US" baseline="0"/>
              </a:p>
              <a:p>
                <a:pPr>
                  <a:defRPr/>
                </a:pPr>
                <a:fld id="{E9B362EA-2093-4530-8608-3B96297D125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a:noFill/>
          </a:ln>
          <a:effectLst>
            <a:outerShdw blurRad="254000" sx="102000" sy="102000" algn="ctr" rotWithShape="0">
              <a:prstClr val="black">
                <a:alpha val="20000"/>
              </a:prstClr>
            </a:outerShdw>
          </a:effectLst>
          <a:sp3d/>
        </c:spPr>
        <c:dLbl>
          <c:idx val="0"/>
          <c:layout>
            <c:manualLayout>
              <c:x val="5.8709905706231164E-2"/>
              <c:y val="-9.8071578568877979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885613F3-C8F3-443A-8CE6-965C621D77C7}" type="CELLRANGE">
                  <a:rPr lang="en-US"/>
                  <a:pPr>
                    <a:defRPr/>
                  </a:pPr>
                  <a:t>[CELLRANGE]</a:t>
                </a:fld>
                <a:endParaRPr lang="en-US" baseline="0"/>
              </a:p>
              <a:p>
                <a:pPr>
                  <a:defRPr/>
                </a:pPr>
                <a:fld id="{07679B6B-4CAF-497C-BC12-AC416C1AE134}"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2"/>
        <c:spPr>
          <a:solidFill>
            <a:schemeClr val="accent1"/>
          </a:solidFill>
          <a:ln>
            <a:noFill/>
          </a:ln>
          <a:effectLst>
            <a:outerShdw blurRad="254000" sx="102000" sy="102000" algn="ctr" rotWithShape="0">
              <a:prstClr val="black">
                <a:alpha val="20000"/>
              </a:prstClr>
            </a:outerShdw>
          </a:effectLst>
          <a:sp3d/>
        </c:spPr>
        <c:dLbl>
          <c:idx val="0"/>
          <c:layout>
            <c:manualLayout>
              <c:x val="-9.2843083503450996E-2"/>
              <c:y val="-7.0743667930065354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52B95C3-B269-4717-93CC-DA71155E145A}" type="CELLRANGE">
                  <a:rPr lang="en-US"/>
                  <a:pPr>
                    <a:defRPr/>
                  </a:pPr>
                  <a:t>[CELLRANGE]</a:t>
                </a:fld>
                <a:endParaRPr lang="en-US" baseline="0"/>
              </a:p>
              <a:p>
                <a:pPr>
                  <a:defRPr/>
                </a:pPr>
                <a:fld id="{7F6BC69B-22B0-460F-AA09-42279FB4B6DA}"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3"/>
        <c:spPr>
          <a:solidFill>
            <a:schemeClr val="accent1"/>
          </a:solidFill>
          <a:ln>
            <a:noFill/>
          </a:ln>
          <a:effectLst>
            <a:outerShdw blurRad="254000" sx="102000" sy="102000" algn="ctr" rotWithShape="0">
              <a:prstClr val="black">
                <a:alpha val="20000"/>
              </a:prstClr>
            </a:outerShdw>
          </a:effectLst>
          <a:sp3d/>
        </c:spPr>
        <c:dLbl>
          <c:idx val="0"/>
          <c:layout>
            <c:manualLayout>
              <c:x val="2.2777797219791972E-2"/>
              <c:y val="-3.6570613711216539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3B723E6-3820-4321-97C1-FA383DEA9D6C}" type="CELLRANGE">
                  <a:rPr lang="en-US"/>
                  <a:pPr>
                    <a:defRPr/>
                  </a:pPr>
                  <a:t>[CELLRANGE]</a:t>
                </a:fld>
                <a:endParaRPr lang="en-US" baseline="0"/>
              </a:p>
              <a:p>
                <a:pPr>
                  <a:defRPr/>
                </a:pPr>
                <a:fld id="{3B4D5B1A-4203-475F-A651-6362A74C57F4}"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4"/>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0D3CA0F-D78C-497C-9D9B-E38D5A91C0D1}" type="CELLRANGE">
                  <a:rPr lang="en-US"/>
                  <a:pPr>
                    <a:defRPr/>
                  </a:pPr>
                  <a:t>[CELLRANGE]</a:t>
                </a:fld>
                <a:endParaRPr lang="en-US" baseline="0"/>
              </a:p>
              <a:p>
                <a:pPr>
                  <a:defRPr/>
                </a:pPr>
                <a:fld id="{ACD6EF93-AB49-4ADE-B87D-B90192807F3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5"/>
        <c:spPr>
          <a:solidFill>
            <a:schemeClr val="accent1"/>
          </a:solidFill>
          <a:ln>
            <a:noFill/>
          </a:ln>
          <a:effectLst>
            <a:outerShdw blurRad="254000" sx="102000" sy="102000" algn="ctr" rotWithShape="0">
              <a:prstClr val="black">
                <a:alpha val="20000"/>
              </a:prstClr>
            </a:outerShdw>
          </a:effectLst>
          <a:sp3d/>
        </c:spPr>
        <c:dLbl>
          <c:idx val="0"/>
          <c:layout>
            <c:manualLayout>
              <c:x val="6.8862058909302998E-2"/>
              <c:y val="0.1164959220831754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25344C2-1F56-432F-8987-D82D20DC5D44}" type="CELLRANGE">
                  <a:rPr lang="en-US"/>
                  <a:pPr>
                    <a:defRPr/>
                  </a:pPr>
                  <a:t>[CELLRANGE]</a:t>
                </a:fld>
                <a:endParaRPr lang="en-US" baseline="0"/>
              </a:p>
              <a:p>
                <a:pPr>
                  <a:defRPr/>
                </a:pPr>
                <a:fld id="{A5CAF7B8-81C0-403A-9F44-5971ED79A58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6"/>
        <c:spPr>
          <a:solidFill>
            <a:schemeClr val="accent1"/>
          </a:solidFill>
          <a:ln>
            <a:noFill/>
          </a:ln>
          <a:effectLst>
            <a:outerShdw blurRad="254000" sx="102000" sy="102000" algn="ctr" rotWithShape="0">
              <a:prstClr val="black">
                <a:alpha val="20000"/>
              </a:prstClr>
            </a:outerShdw>
          </a:effectLst>
          <a:sp3d/>
        </c:spPr>
      </c:pivotFmt>
      <c:pivotFmt>
        <c:idx val="17"/>
        <c:spPr>
          <a:solidFill>
            <a:schemeClr val="accent1"/>
          </a:solidFill>
          <a:ln>
            <a:noFill/>
          </a:ln>
          <a:effectLst>
            <a:outerShdw blurRad="254000" sx="102000" sy="102000" algn="ctr" rotWithShape="0">
              <a:prstClr val="black">
                <a:alpha val="20000"/>
              </a:prstClr>
            </a:outerShdw>
          </a:effectLst>
          <a:sp3d/>
        </c:spPr>
      </c:pivotFmt>
      <c:pivotFmt>
        <c:idx val="18"/>
        <c:spPr>
          <a:solidFill>
            <a:schemeClr val="accent1"/>
          </a:solidFill>
          <a:ln>
            <a:noFill/>
          </a:ln>
          <a:effectLst>
            <a:outerShdw blurRad="254000" sx="102000" sy="102000" algn="ctr" rotWithShape="0">
              <a:prstClr val="black">
                <a:alpha val="20000"/>
              </a:prstClr>
            </a:outerShdw>
          </a:effectLst>
          <a:sp3d/>
        </c:spPr>
      </c:pivotFmt>
      <c:pivotFmt>
        <c:idx val="19"/>
        <c:spPr>
          <a:solidFill>
            <a:schemeClr val="accent1"/>
          </a:solidFill>
          <a:ln>
            <a:noFill/>
          </a:ln>
          <a:effectLst>
            <a:outerShdw blurRad="254000" sx="102000" sy="102000" algn="ctr" rotWithShape="0">
              <a:prstClr val="black">
                <a:alpha val="20000"/>
              </a:prstClr>
            </a:outerShdw>
          </a:effectLst>
          <a:sp3d/>
        </c:spPr>
      </c:pivotFmt>
      <c:pivotFmt>
        <c:idx val="20"/>
        <c:spPr>
          <a:solidFill>
            <a:schemeClr val="accent1"/>
          </a:solidFill>
          <a:ln>
            <a:noFill/>
          </a:ln>
          <a:effectLst>
            <a:outerShdw blurRad="254000" sx="102000" sy="102000" algn="ctr" rotWithShape="0">
              <a:prstClr val="black">
                <a:alpha val="20000"/>
              </a:prstClr>
            </a:outerShdw>
          </a:effectLst>
          <a:sp3d/>
        </c:spPr>
      </c:pivotFmt>
      <c:pivotFmt>
        <c:idx val="21"/>
        <c:spPr>
          <a:solidFill>
            <a:schemeClr val="accent1"/>
          </a:solidFill>
          <a:ln>
            <a:noFill/>
          </a:ln>
          <a:effectLst>
            <a:outerShdw blurRad="254000" sx="102000" sy="102000" algn="ctr" rotWithShape="0">
              <a:prstClr val="black">
                <a:alpha val="20000"/>
              </a:prstClr>
            </a:outerShdw>
          </a:effectLst>
          <a:sp3d/>
        </c:spPr>
      </c:pivotFmt>
      <c:pivotFmt>
        <c:idx val="22"/>
        <c:spPr>
          <a:solidFill>
            <a:schemeClr val="accent1"/>
          </a:solidFill>
          <a:ln>
            <a:noFill/>
          </a:ln>
          <a:effectLst>
            <a:outerShdw blurRad="254000" sx="102000" sy="102000" algn="ctr" rotWithShape="0">
              <a:prstClr val="black">
                <a:alpha val="20000"/>
              </a:prstClr>
            </a:outerShdw>
          </a:effectLst>
          <a:sp3d/>
        </c:spPr>
      </c:pivotFmt>
      <c:pivotFmt>
        <c:idx val="23"/>
        <c:spPr>
          <a:solidFill>
            <a:schemeClr val="accent1"/>
          </a:solidFill>
          <a:ln>
            <a:noFill/>
          </a:ln>
          <a:effectLst>
            <a:outerShdw blurRad="254000" sx="102000" sy="102000" algn="ctr" rotWithShape="0">
              <a:prstClr val="black">
                <a:alpha val="20000"/>
              </a:prstClr>
            </a:outerShdw>
          </a:effectLst>
          <a:sp3d/>
        </c:spPr>
      </c:pivotFmt>
      <c:pivotFmt>
        <c:idx val="24"/>
        <c:spPr>
          <a:solidFill>
            <a:schemeClr val="accent1"/>
          </a:solidFill>
          <a:ln>
            <a:noFill/>
          </a:ln>
          <a:effectLst>
            <a:outerShdw blurRad="254000" sx="102000" sy="102000" algn="ctr" rotWithShape="0">
              <a:prstClr val="black">
                <a:alpha val="20000"/>
              </a:prstClr>
            </a:outerShdw>
          </a:effectLst>
          <a:sp3d/>
        </c:spPr>
      </c:pivotFmt>
      <c:pivotFmt>
        <c:idx val="25"/>
        <c:spPr>
          <a:solidFill>
            <a:schemeClr val="accent1"/>
          </a:solidFill>
          <a:ln>
            <a:noFill/>
          </a:ln>
          <a:effectLst>
            <a:outerShdw blurRad="254000" sx="102000" sy="102000" algn="ctr" rotWithShape="0">
              <a:prstClr val="black">
                <a:alpha val="20000"/>
              </a:prstClr>
            </a:outerShdw>
          </a:effectLst>
          <a:sp3d/>
        </c:spPr>
      </c:pivotFmt>
      <c:pivotFmt>
        <c:idx val="26"/>
        <c:spPr>
          <a:solidFill>
            <a:schemeClr val="accent1"/>
          </a:solidFill>
          <a:ln>
            <a:noFill/>
          </a:ln>
          <a:effectLst>
            <a:outerShdw blurRad="254000" sx="102000" sy="102000" algn="ctr" rotWithShape="0">
              <a:prstClr val="black">
                <a:alpha val="20000"/>
              </a:prstClr>
            </a:outerShdw>
          </a:effectLst>
          <a:sp3d/>
        </c:spPr>
      </c:pivotFmt>
      <c:pivotFmt>
        <c:idx val="27"/>
        <c:spPr>
          <a:solidFill>
            <a:schemeClr val="accent1"/>
          </a:solidFill>
          <a:ln>
            <a:noFill/>
          </a:ln>
          <a:effectLst>
            <a:outerShdw blurRad="254000" sx="102000" sy="102000" algn="ctr" rotWithShape="0">
              <a:prstClr val="black">
                <a:alpha val="20000"/>
              </a:prstClr>
            </a:outerShdw>
          </a:effectLst>
          <a:sp3d/>
        </c:spPr>
      </c:pivotFmt>
      <c:pivotFmt>
        <c:idx val="28"/>
        <c:spPr>
          <a:solidFill>
            <a:schemeClr val="accent1"/>
          </a:solidFill>
          <a:ln>
            <a:noFill/>
          </a:ln>
          <a:effectLst>
            <a:outerShdw blurRad="254000" sx="102000" sy="102000" algn="ctr" rotWithShape="0">
              <a:prstClr val="black">
                <a:alpha val="20000"/>
              </a:prstClr>
            </a:outerShdw>
          </a:effectLst>
          <a:sp3d/>
        </c:spPr>
      </c:pivotFmt>
      <c:pivotFmt>
        <c:idx val="29"/>
        <c:spPr>
          <a:solidFill>
            <a:schemeClr val="accent1"/>
          </a:solidFill>
          <a:ln>
            <a:noFill/>
          </a:ln>
          <a:effectLst>
            <a:outerShdw blurRad="254000" sx="102000" sy="102000" algn="ctr" rotWithShape="0">
              <a:prstClr val="black">
                <a:alpha val="20000"/>
              </a:prstClr>
            </a:outerShdw>
          </a:effectLst>
          <a:sp3d/>
        </c:spPr>
      </c:pivotFmt>
      <c:pivotFmt>
        <c:idx val="30"/>
        <c:spPr>
          <a:solidFill>
            <a:schemeClr val="accent1"/>
          </a:solidFill>
          <a:ln>
            <a:noFill/>
          </a:ln>
          <a:effectLst>
            <a:outerShdw blurRad="254000" sx="102000" sy="102000" algn="ctr" rotWithShape="0">
              <a:prstClr val="black">
                <a:alpha val="20000"/>
              </a:prstClr>
            </a:outerShdw>
          </a:effectLst>
          <a:sp3d/>
        </c:spPr>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6944298629338004E-2"/>
          <c:y val="0.22205641233664894"/>
          <c:w val="0.93425955088947232"/>
          <c:h val="0.71149087476871664"/>
        </c:manualLayout>
      </c:layout>
      <c:pie3DChart>
        <c:varyColors val="1"/>
        <c:ser>
          <c:idx val="0"/>
          <c:order val="0"/>
          <c:tx>
            <c:strRef>
              <c:f>'GEA Reports'!$A$19:$A$30</c:f>
              <c:strCache>
                <c:ptCount val="1"/>
                <c:pt idx="0">
                  <c:v>Sum of Capacity (MW)</c:v>
                </c:pt>
              </c:strCache>
            </c:strRef>
          </c:tx>
          <c:dPt>
            <c:idx val="0"/>
            <c:bubble3D val="0"/>
            <c:explosion val="4"/>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56DC-4F53-B7A6-0E868EA1AB49}"/>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56DC-4F53-B7A6-0E868EA1AB49}"/>
              </c:ext>
            </c:extLst>
          </c:dPt>
          <c:dPt>
            <c:idx val="2"/>
            <c:bubble3D val="0"/>
            <c:explosion val="6"/>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8-56DC-4F53-B7A6-0E868EA1AB49}"/>
              </c:ext>
            </c:extLst>
          </c:dPt>
          <c:dPt>
            <c:idx val="3"/>
            <c:bubble3D val="0"/>
            <c:explosion val="6"/>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6-56DC-4F53-B7A6-0E868EA1AB49}"/>
              </c:ext>
            </c:extLst>
          </c:dPt>
          <c:dPt>
            <c:idx val="4"/>
            <c:bubble3D val="0"/>
            <c:explosion val="5"/>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56DC-4F53-B7A6-0E868EA1AB49}"/>
              </c:ext>
            </c:extLst>
          </c:dPt>
          <c:dPt>
            <c:idx val="5"/>
            <c:bubble3D val="0"/>
            <c:explosion val="8"/>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56DC-4F53-B7A6-0E868EA1AB49}"/>
              </c:ext>
            </c:extLst>
          </c:dPt>
          <c:dPt>
            <c:idx val="6"/>
            <c:bubble3D val="0"/>
            <c:explosion val="7"/>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56DC-4F53-B7A6-0E868EA1AB49}"/>
              </c:ext>
            </c:extLst>
          </c:dPt>
          <c:dPt>
            <c:idx val="7"/>
            <c:bubble3D val="0"/>
            <c:explosion val="6"/>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56DC-4F53-B7A6-0E868EA1AB49}"/>
              </c:ext>
            </c:extLst>
          </c:dPt>
          <c:dPt>
            <c:idx val="8"/>
            <c:bubble3D val="0"/>
            <c:explosion val="7"/>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56DC-4F53-B7A6-0E868EA1AB4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56DC-4F53-B7A6-0E868EA1AB4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56DC-4F53-B7A6-0E868EA1AB49}"/>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56DC-4F53-B7A6-0E868EA1AB49}"/>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360D-4D04-AA41-A01A385373C0}"/>
              </c:ext>
            </c:extLst>
          </c:dPt>
          <c:dLbls>
            <c:dLbl>
              <c:idx val="0"/>
              <c:layout>
                <c:manualLayout>
                  <c:x val="6.7669407990667826E-2"/>
                  <c:y val="4.332995181046162E-2"/>
                </c:manualLayout>
              </c:layout>
              <c:tx>
                <c:rich>
                  <a:bodyPr/>
                  <a:lstStyle/>
                  <a:p>
                    <a:fld id="{D6AC71BE-10C9-4E42-8CF7-248CE038C465}" type="CELLRANGE">
                      <a:rPr lang="en-US"/>
                      <a:pPr/>
                      <a:t>[CELLRANGE]</a:t>
                    </a:fld>
                    <a:endParaRPr lang="en-US" baseline="0"/>
                  </a:p>
                  <a:p>
                    <a:fld id="{9CCE1C86-FA15-4280-8399-46C163B17A3B}"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56DC-4F53-B7A6-0E868EA1AB49}"/>
                </c:ext>
              </c:extLst>
            </c:dLbl>
            <c:dLbl>
              <c:idx val="1"/>
              <c:layout>
                <c:manualLayout>
                  <c:x val="6.8862058909302998E-2"/>
                  <c:y val="0.11649592208317543"/>
                </c:manualLayout>
              </c:layout>
              <c:tx>
                <c:rich>
                  <a:bodyPr/>
                  <a:lstStyle/>
                  <a:p>
                    <a:fld id="{625344C2-1F56-432F-8987-D82D20DC5D44}" type="CELLRANGE">
                      <a:rPr lang="en-US"/>
                      <a:pPr/>
                      <a:t>[CELLRANGE]</a:t>
                    </a:fld>
                    <a:endParaRPr lang="en-US" baseline="0"/>
                  </a:p>
                  <a:p>
                    <a:fld id="{A5CAF7B8-81C0-403A-9F44-5971ED79A586}"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56DC-4F53-B7A6-0E868EA1AB49}"/>
                </c:ext>
              </c:extLst>
            </c:dLbl>
            <c:dLbl>
              <c:idx val="2"/>
              <c:layout>
                <c:manualLayout>
                  <c:x val="1.8562146398366872E-2"/>
                  <c:y val="0.16283814566638058"/>
                </c:manualLayout>
              </c:layout>
              <c:tx>
                <c:rich>
                  <a:bodyPr/>
                  <a:lstStyle/>
                  <a:p>
                    <a:fld id="{4431BB22-7F71-475D-ADD4-836E17ED1524}" type="CELLRANGE">
                      <a:rPr lang="en-US"/>
                      <a:pPr/>
                      <a:t>[CELLRANGE]</a:t>
                    </a:fld>
                    <a:endParaRPr lang="en-US" baseline="0"/>
                  </a:p>
                  <a:p>
                    <a:fld id="{0D0DAD62-5109-47EB-B1D3-AFB9E447243F}"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56DC-4F53-B7A6-0E868EA1AB49}"/>
                </c:ext>
              </c:extLst>
            </c:dLbl>
            <c:dLbl>
              <c:idx val="3"/>
              <c:tx>
                <c:rich>
                  <a:bodyPr/>
                  <a:lstStyle/>
                  <a:p>
                    <a:fld id="{183DEE0C-5CEA-449C-8BF7-EB14E89BFE54}" type="CELLRANGE">
                      <a:rPr lang="en-US"/>
                      <a:pPr/>
                      <a:t>[CELLRANGE]</a:t>
                    </a:fld>
                    <a:endParaRPr lang="en-US" baseline="0"/>
                  </a:p>
                  <a:p>
                    <a:fld id="{E9B362EA-2093-4530-8608-3B96297D1252}"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56DC-4F53-B7A6-0E868EA1AB49}"/>
                </c:ext>
              </c:extLst>
            </c:dLbl>
            <c:dLbl>
              <c:idx val="4"/>
              <c:layout>
                <c:manualLayout>
                  <c:x val="5.8709905706231164E-2"/>
                  <c:y val="-9.8071578568877979E-2"/>
                </c:manualLayout>
              </c:layout>
              <c:tx>
                <c:rich>
                  <a:bodyPr/>
                  <a:lstStyle/>
                  <a:p>
                    <a:fld id="{885613F3-C8F3-443A-8CE6-965C621D77C7}" type="CELLRANGE">
                      <a:rPr lang="en-US"/>
                      <a:pPr/>
                      <a:t>[CELLRANGE]</a:t>
                    </a:fld>
                    <a:endParaRPr lang="en-US" baseline="0"/>
                  </a:p>
                  <a:p>
                    <a:fld id="{07679B6B-4CAF-497C-BC12-AC416C1AE134}"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56DC-4F53-B7A6-0E868EA1AB49}"/>
                </c:ext>
              </c:extLst>
            </c:dLbl>
            <c:dLbl>
              <c:idx val="5"/>
              <c:layout>
                <c:manualLayout>
                  <c:x val="2.2777797219791972E-2"/>
                  <c:y val="-3.6570613711216539E-2"/>
                </c:manualLayout>
              </c:layout>
              <c:tx>
                <c:rich>
                  <a:bodyPr/>
                  <a:lstStyle/>
                  <a:p>
                    <a:fld id="{C3B723E6-3820-4321-97C1-FA383DEA9D6C}" type="CELLRANGE">
                      <a:rPr lang="en-US"/>
                      <a:pPr/>
                      <a:t>[CELLRANGE]</a:t>
                    </a:fld>
                    <a:endParaRPr lang="en-US" baseline="0"/>
                  </a:p>
                  <a:p>
                    <a:fld id="{3B4D5B1A-4203-475F-A651-6362A74C57F4}"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56DC-4F53-B7A6-0E868EA1AB49}"/>
                </c:ext>
              </c:extLst>
            </c:dLbl>
            <c:dLbl>
              <c:idx val="6"/>
              <c:layout>
                <c:manualLayout>
                  <c:x val="-9.2843083503450996E-2"/>
                  <c:y val="-7.0743667930065354E-2"/>
                </c:manualLayout>
              </c:layout>
              <c:tx>
                <c:rich>
                  <a:bodyPr/>
                  <a:lstStyle/>
                  <a:p>
                    <a:fld id="{152B95C3-B269-4717-93CC-DA71155E145A}" type="CELLRANGE">
                      <a:rPr lang="en-US"/>
                      <a:pPr/>
                      <a:t>[CELLRANGE]</a:t>
                    </a:fld>
                    <a:endParaRPr lang="en-US" baseline="0"/>
                  </a:p>
                  <a:p>
                    <a:fld id="{7F6BC69B-22B0-460F-AA09-42279FB4B6DA}"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56DC-4F53-B7A6-0E868EA1AB49}"/>
                </c:ext>
              </c:extLst>
            </c:dLbl>
            <c:dLbl>
              <c:idx val="7"/>
              <c:tx>
                <c:rich>
                  <a:bodyPr/>
                  <a:lstStyle/>
                  <a:p>
                    <a:fld id="{30D3CA0F-D78C-497C-9D9B-E38D5A91C0D1}" type="CELLRANGE">
                      <a:rPr lang="en-US"/>
                      <a:pPr/>
                      <a:t>[CELLRANGE]</a:t>
                    </a:fld>
                    <a:endParaRPr lang="en-US" baseline="0"/>
                  </a:p>
                  <a:p>
                    <a:fld id="{ACD6EF93-AB49-4ADE-B87D-B90192807F3E}"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56DC-4F53-B7A6-0E868EA1AB49}"/>
                </c:ext>
              </c:extLst>
            </c:dLbl>
            <c:dLbl>
              <c:idx val="8"/>
              <c:tx>
                <c:rich>
                  <a:bodyPr/>
                  <a:lstStyle/>
                  <a:p>
                    <a:fld id="{64C92A18-4113-4166-83E8-3736A1F39650}" type="CELLRANGE">
                      <a:rPr lang="en-US"/>
                      <a:pPr/>
                      <a:t>[CELLRANGE]</a:t>
                    </a:fld>
                    <a:endParaRPr lang="en-US" baseline="0"/>
                  </a:p>
                  <a:p>
                    <a:fld id="{A659670B-2C35-4FA4-9A4A-21EF643EED76}"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56DC-4F53-B7A6-0E868EA1AB49}"/>
                </c:ext>
              </c:extLst>
            </c:dLbl>
            <c:dLbl>
              <c:idx val="9"/>
              <c:layout>
                <c:manualLayout>
                  <c:x val="-2.3912355400019441E-2"/>
                  <c:y val="0.11492168660887433"/>
                </c:manualLayout>
              </c:layout>
              <c:tx>
                <c:rich>
                  <a:bodyPr/>
                  <a:lstStyle/>
                  <a:p>
                    <a:fld id="{3EF373E0-8FD2-4220-AFB4-1198DD684CFF}" type="CELLRANGE">
                      <a:rPr lang="en-US"/>
                      <a:pPr/>
                      <a:t>[CELLRANGE]</a:t>
                    </a:fld>
                    <a:endParaRPr lang="en-US" baseline="0"/>
                  </a:p>
                  <a:p>
                    <a:fld id="{DF51A502-6E19-4C40-98BD-76428E72E8A0}"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E-56DC-4F53-B7A6-0E868EA1AB49}"/>
                </c:ext>
              </c:extLst>
            </c:dLbl>
            <c:dLbl>
              <c:idx val="10"/>
              <c:layout>
                <c:manualLayout>
                  <c:x val="4.8393972975600198E-2"/>
                  <c:y val="0.15744420430511974"/>
                </c:manualLayout>
              </c:layout>
              <c:tx>
                <c:rich>
                  <a:bodyPr/>
                  <a:lstStyle/>
                  <a:p>
                    <a:fld id="{72F18CA7-EA50-4029-9401-DD616EC5CBC7}" type="CELLRANGE">
                      <a:rPr lang="en-US"/>
                      <a:pPr/>
                      <a:t>[CELLRANGE]</a:t>
                    </a:fld>
                    <a:endParaRPr lang="en-US" baseline="0"/>
                  </a:p>
                  <a:p>
                    <a:fld id="{D8288B71-D4AD-4465-8C6B-E6E7BB19844B}"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F-56DC-4F53-B7A6-0E868EA1AB49}"/>
                </c:ext>
              </c:extLst>
            </c:dLbl>
            <c:dLbl>
              <c:idx val="11"/>
              <c:layout>
                <c:manualLayout>
                  <c:x val="2.6912413726062019E-2"/>
                  <c:y val="1.9065841632592256E-2"/>
                </c:manualLayout>
              </c:layout>
              <c:tx>
                <c:rich>
                  <a:bodyPr/>
                  <a:lstStyle/>
                  <a:p>
                    <a:fld id="{ECC6B75F-5219-4144-846A-0FD81AEFEE72}" type="CELLRANGE">
                      <a:rPr lang="en-US"/>
                      <a:pPr/>
                      <a:t>[CELLRANGE]</a:t>
                    </a:fld>
                    <a:endParaRPr lang="en-US" baseline="0"/>
                  </a:p>
                  <a:p>
                    <a:fld id="{B28CCC63-7A07-4BF0-B1FF-2EA4502B6928}"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56DC-4F53-B7A6-0E868EA1AB4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strRef>
              <c:f>'GEA Reports'!$A$19:$A$30</c:f>
              <c:str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strCache>
            </c:strRef>
          </c:cat>
          <c:val>
            <c:numRef>
              <c:f>'GEA Reports'!$A$19:$A$30</c:f>
              <c:numCache>
                <c:formatCode>#,##0.000_);[Red]\(#,##0.000\)</c:formatCode>
                <c:ptCount val="12"/>
                <c:pt idx="0">
                  <c:v>1490.38</c:v>
                </c:pt>
                <c:pt idx="1">
                  <c:v>34.209000000000003</c:v>
                </c:pt>
                <c:pt idx="2">
                  <c:v>2374</c:v>
                </c:pt>
                <c:pt idx="3">
                  <c:v>6088.0649999999987</c:v>
                </c:pt>
                <c:pt idx="4">
                  <c:v>1189.2900000000002</c:v>
                </c:pt>
                <c:pt idx="5">
                  <c:v>99.15</c:v>
                </c:pt>
                <c:pt idx="6">
                  <c:v>300</c:v>
                </c:pt>
                <c:pt idx="7">
                  <c:v>3980.674</c:v>
                </c:pt>
                <c:pt idx="8">
                  <c:v>6350</c:v>
                </c:pt>
                <c:pt idx="9">
                  <c:v>374</c:v>
                </c:pt>
                <c:pt idx="10">
                  <c:v>3.4</c:v>
                </c:pt>
                <c:pt idx="11">
                  <c:v>30.887</c:v>
                </c:pt>
              </c:numCache>
            </c:numRef>
          </c:val>
          <c:extLst>
            <c:ext xmlns:c15="http://schemas.microsoft.com/office/drawing/2012/chart" uri="{02D57815-91ED-43cb-92C2-25804820EDAC}">
              <c15:datalabelsRange>
                <c15:f>'GEA Reports'!$A$19:$A$30</c15:f>
                <c15:dlblRange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15:dlblRangeCache>
              </c15:datalabelsRange>
            </c:ext>
            <c:ext xmlns:c16="http://schemas.microsoft.com/office/drawing/2014/chart" uri="{C3380CC4-5D6E-409C-BE32-E72D297353CC}">
              <c16:uniqueId val="{00000000-56DC-4F53-B7A6-0E868EA1AB49}"/>
            </c:ext>
          </c:extLst>
        </c:ser>
        <c:ser>
          <c:idx val="1"/>
          <c:order val="1"/>
          <c:tx>
            <c:strRef>
              <c:f>'GEA Reports'!$A$19:$A$30</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952D-46F9-9EFB-44BF40C7E8F1}"/>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B-952D-46F9-9EFB-44BF40C7E8F1}"/>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952D-46F9-9EFB-44BF40C7E8F1}"/>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F-952D-46F9-9EFB-44BF40C7E8F1}"/>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1-952D-46F9-9EFB-44BF40C7E8F1}"/>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3-952D-46F9-9EFB-44BF40C7E8F1}"/>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952D-46F9-9EFB-44BF40C7E8F1}"/>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952D-46F9-9EFB-44BF40C7E8F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952D-46F9-9EFB-44BF40C7E8F1}"/>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952D-46F9-9EFB-44BF40C7E8F1}"/>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D-952D-46F9-9EFB-44BF40C7E8F1}"/>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F-952D-46F9-9EFB-44BF40C7E8F1}"/>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3-360D-4D04-AA41-A01A385373C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Reports'!$A$19:$A$30</c:f>
              <c:str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strCache>
            </c:strRef>
          </c:cat>
          <c:val>
            <c:numRef>
              <c:f>'GEA Reports'!$A$19:$A$30</c:f>
              <c:numCache>
                <c:formatCode>General</c:formatCode>
                <c:ptCount val="12"/>
                <c:pt idx="0">
                  <c:v>7</c:v>
                </c:pt>
                <c:pt idx="1">
                  <c:v>62</c:v>
                </c:pt>
                <c:pt idx="2">
                  <c:v>21</c:v>
                </c:pt>
                <c:pt idx="3">
                  <c:v>92</c:v>
                </c:pt>
                <c:pt idx="4">
                  <c:v>20</c:v>
                </c:pt>
                <c:pt idx="5">
                  <c:v>6</c:v>
                </c:pt>
                <c:pt idx="6">
                  <c:v>2</c:v>
                </c:pt>
                <c:pt idx="7">
                  <c:v>33</c:v>
                </c:pt>
                <c:pt idx="8">
                  <c:v>7</c:v>
                </c:pt>
                <c:pt idx="9">
                  <c:v>5</c:v>
                </c:pt>
                <c:pt idx="10">
                  <c:v>1</c:v>
                </c:pt>
                <c:pt idx="11">
                  <c:v>3</c:v>
                </c:pt>
              </c:numCache>
            </c:numRef>
          </c:val>
          <c:extLst>
            <c:ext xmlns:c16="http://schemas.microsoft.com/office/drawing/2014/chart" uri="{C3380CC4-5D6E-409C-BE32-E72D297353CC}">
              <c16:uniqueId val="{00000001-56DC-4F53-B7A6-0E868EA1AB49}"/>
            </c:ext>
          </c:extLst>
        </c:ser>
        <c:ser>
          <c:idx val="2"/>
          <c:order val="2"/>
          <c:tx>
            <c:strRef>
              <c:f>'GEA Reports'!$A$19:$A$30</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952D-46F9-9EFB-44BF40C7E8F1}"/>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3-952D-46F9-9EFB-44BF40C7E8F1}"/>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5-952D-46F9-9EFB-44BF40C7E8F1}"/>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7-952D-46F9-9EFB-44BF40C7E8F1}"/>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9-952D-46F9-9EFB-44BF40C7E8F1}"/>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B-952D-46F9-9EFB-44BF40C7E8F1}"/>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D-952D-46F9-9EFB-44BF40C7E8F1}"/>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F-952D-46F9-9EFB-44BF40C7E8F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1-952D-46F9-9EFB-44BF40C7E8F1}"/>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3-952D-46F9-9EFB-44BF40C7E8F1}"/>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5-952D-46F9-9EFB-44BF40C7E8F1}"/>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7-952D-46F9-9EFB-44BF40C7E8F1}"/>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D-360D-4D04-AA41-A01A385373C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Reports'!$A$19:$A$30</c:f>
              <c:str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strCache>
            </c:strRef>
          </c:cat>
          <c:val>
            <c:numRef>
              <c:f>'GEA Reports'!$A$19:$A$30</c:f>
              <c:numCache>
                <c:formatCode>_(* #,##0_);_(* \(#,##0\);_(* "-"??_);_(@_)</c:formatCode>
                <c:ptCount val="12"/>
                <c:pt idx="0">
                  <c:v>6.6791087500680621E-2</c:v>
                </c:pt>
                <c:pt idx="1">
                  <c:v>1.5330696280886642E-3</c:v>
                </c:pt>
                <c:pt idx="2">
                  <c:v>0.10639034456086084</c:v>
                </c:pt>
                <c:pt idx="3">
                  <c:v>0.27283543936769888</c:v>
                </c:pt>
                <c:pt idx="4">
                  <c:v>5.329779818146007E-2</c:v>
                </c:pt>
                <c:pt idx="5">
                  <c:v>4.4433878109559196E-3</c:v>
                </c:pt>
                <c:pt idx="6">
                  <c:v>1.34444411829226E-2</c:v>
                </c:pt>
                <c:pt idx="7">
                  <c:v>0.17839312487129746</c:v>
                </c:pt>
                <c:pt idx="8">
                  <c:v>0.28457400503852837</c:v>
                </c:pt>
                <c:pt idx="9">
                  <c:v>1.6760736674710175E-2</c:v>
                </c:pt>
                <c:pt idx="10">
                  <c:v>1.5237033340645612E-4</c:v>
                </c:pt>
                <c:pt idx="11">
                  <c:v>1.3841948493897678E-3</c:v>
                </c:pt>
              </c:numCache>
            </c:numRef>
          </c:val>
          <c:extLst>
            <c:ext xmlns:c16="http://schemas.microsoft.com/office/drawing/2014/chart" uri="{C3380CC4-5D6E-409C-BE32-E72D297353CC}">
              <c16:uniqueId val="{00000004-56DC-4F53-B7A6-0E868EA1AB49}"/>
            </c:ext>
          </c:extLst>
        </c:ser>
        <c:dLbls>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June 2026.xlsm]GEA Reports!PivotTable2</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Luzon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84"/>
        <c:spPr>
          <a:solidFill>
            <a:schemeClr val="accent1"/>
          </a:solidFill>
          <a:ln>
            <a:noFill/>
          </a:ln>
          <a:effectLst>
            <a:outerShdw blurRad="254000" sx="102000" sy="102000" algn="ctr" rotWithShape="0">
              <a:prstClr val="black">
                <a:alpha val="20000"/>
              </a:prstClr>
            </a:outerShdw>
          </a:effectLst>
        </c:spPr>
        <c:dLbl>
          <c:idx val="0"/>
          <c:layout>
            <c:manualLayout>
              <c:x val="6.4603301699225998E-2"/>
              <c:y val="0.1205253316445833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1EA5A1D-CFEC-42B9-90BC-DDCDBF1AC9DF}" type="CELLRANGE">
                  <a:rPr lang="en-US"/>
                  <a:pPr>
                    <a:defRPr/>
                  </a:pPr>
                  <a:t>[CELLRANGE]</a:t>
                </a:fld>
                <a:endParaRPr lang="en-US" baseline="0"/>
              </a:p>
              <a:p>
                <a:pPr>
                  <a:defRPr/>
                </a:pPr>
                <a:fld id="{33FC5470-E2D1-4E8E-9C57-7A9FA0615F09}"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5"/>
        <c:spPr>
          <a:solidFill>
            <a:schemeClr val="accent1"/>
          </a:solidFill>
          <a:ln>
            <a:noFill/>
          </a:ln>
          <a:effectLst>
            <a:outerShdw blurRad="254000" sx="102000" sy="102000" algn="ctr" rotWithShape="0">
              <a:prstClr val="black">
                <a:alpha val="20000"/>
              </a:prstClr>
            </a:outerShdw>
          </a:effectLst>
        </c:spPr>
        <c:dLbl>
          <c:idx val="0"/>
          <c:layout>
            <c:manualLayout>
              <c:x val="9.2531445193567374E-2"/>
              <c:y val="0.1925758616528877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86BD4BE7-1C7D-4A8F-AAAA-8BAE3B2BAF89}" type="CELLRANGE">
                  <a:rPr lang="en-US"/>
                  <a:pPr>
                    <a:defRPr/>
                  </a:pPr>
                  <a:t>[CELLRANGE]</a:t>
                </a:fld>
                <a:endParaRPr lang="en-US" baseline="0"/>
              </a:p>
              <a:p>
                <a:pPr>
                  <a:defRPr/>
                </a:pPr>
                <a:fld id="{2A836F09-41CB-48E7-9BE9-FF5C500E5E4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6"/>
        <c:spPr>
          <a:solidFill>
            <a:schemeClr val="accent1"/>
          </a:solidFill>
          <a:ln>
            <a:noFill/>
          </a:ln>
          <a:effectLst>
            <a:outerShdw blurRad="254000" sx="102000" sy="102000" algn="ctr" rotWithShape="0">
              <a:prstClr val="black">
                <a:alpha val="20000"/>
              </a:prstClr>
            </a:outerShdw>
          </a:effectLst>
        </c:spPr>
        <c:dLbl>
          <c:idx val="0"/>
          <c:layout>
            <c:manualLayout>
              <c:x val="3.7080608726796417E-3"/>
              <c:y val="0.2223713635946610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F018BDB6-2662-4B70-9663-2148504961CF}" type="CELLRANGE">
                  <a:rPr lang="en-US"/>
                  <a:pPr>
                    <a:defRPr/>
                  </a:pPr>
                  <a:t>[CELLRANGE]</a:t>
                </a:fld>
                <a:endParaRPr lang="en-US" baseline="0"/>
              </a:p>
              <a:p>
                <a:pPr>
                  <a:defRPr/>
                </a:pPr>
                <a:fld id="{0352BF11-486D-474E-AA6F-C0973D9EF6F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7"/>
        <c:spPr>
          <a:solidFill>
            <a:schemeClr val="accent1"/>
          </a:solidFill>
          <a:ln>
            <a:noFill/>
          </a:ln>
          <a:effectLst>
            <a:outerShdw blurRad="254000" sx="102000" sy="102000" algn="ctr" rotWithShape="0">
              <a:prstClr val="black">
                <a:alpha val="20000"/>
              </a:prstClr>
            </a:outerShdw>
          </a:effectLst>
        </c:spPr>
        <c:dLbl>
          <c:idx val="0"/>
          <c:layout>
            <c:manualLayout>
              <c:x val="-0.19793144306760968"/>
              <c:y val="-9.9052391471391735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B91C1226-0C59-4323-9CB6-007E235A436A}" type="CELLRANGE">
                  <a:rPr lang="en-US"/>
                  <a:pPr>
                    <a:defRPr/>
                  </a:pPr>
                  <a:t>[CELLRANGE]</a:t>
                </a:fld>
                <a:endParaRPr lang="en-US" baseline="0"/>
              </a:p>
              <a:p>
                <a:pPr>
                  <a:defRPr/>
                </a:pPr>
                <a:fld id="{60A7D29A-A3A6-41E1-9275-09264779CC6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8"/>
        <c:spPr>
          <a:solidFill>
            <a:schemeClr val="accent1"/>
          </a:solidFill>
          <a:ln>
            <a:noFill/>
          </a:ln>
          <a:effectLst>
            <a:outerShdw blurRad="254000" sx="102000" sy="102000" algn="ctr" rotWithShape="0">
              <a:prstClr val="black">
                <a:alpha val="20000"/>
              </a:prstClr>
            </a:outerShdw>
          </a:effectLst>
        </c:spPr>
        <c:dLbl>
          <c:idx val="0"/>
          <c:layout>
            <c:manualLayout>
              <c:x val="3.0955897873326223E-2"/>
              <c:y val="-0.15277167673896694"/>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F16B31F3-85FA-479D-A790-697DEC67D0EB}" type="CELLRANGE">
                  <a:rPr lang="en-US"/>
                  <a:pPr>
                    <a:defRPr/>
                  </a:pPr>
                  <a:t>[CELLRANGE]</a:t>
                </a:fld>
                <a:endParaRPr lang="en-US" baseline="0"/>
              </a:p>
              <a:p>
                <a:pPr>
                  <a:defRPr/>
                </a:pPr>
                <a:fld id="{FEC46E27-05D4-498E-A7CB-A393D6F1DAF7}"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9"/>
        <c:spPr>
          <a:solidFill>
            <a:schemeClr val="accent1"/>
          </a:solidFill>
          <a:ln>
            <a:noFill/>
          </a:ln>
          <a:effectLst>
            <a:outerShdw blurRad="254000" sx="102000" sy="102000" algn="ctr" rotWithShape="0">
              <a:prstClr val="black">
                <a:alpha val="20000"/>
              </a:prstClr>
            </a:outerShdw>
          </a:effectLst>
        </c:spPr>
        <c:dLbl>
          <c:idx val="0"/>
          <c:layout>
            <c:manualLayout>
              <c:x val="3.8885069637049109E-2"/>
              <c:y val="-6.5390693000020761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DB711347-77D4-4235-A20E-B2CB4F3E9498}" type="CELLRANGE">
                  <a:rPr lang="en-US"/>
                  <a:pPr>
                    <a:defRPr/>
                  </a:pPr>
                  <a:t>[CELLRANGE]</a:t>
                </a:fld>
                <a:endParaRPr lang="en-US" baseline="0"/>
              </a:p>
              <a:p>
                <a:pPr>
                  <a:defRPr/>
                </a:pPr>
                <a:fld id="{451280BC-C7FB-49A7-8FC5-99A8737B044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0"/>
        <c:spPr>
          <a:solidFill>
            <a:schemeClr val="accent1"/>
          </a:solidFill>
          <a:ln>
            <a:noFill/>
          </a:ln>
          <a:effectLst>
            <a:outerShdw blurRad="254000" sx="102000" sy="102000" algn="ctr" rotWithShape="0">
              <a:prstClr val="black">
                <a:alpha val="20000"/>
              </a:prstClr>
            </a:outerShdw>
          </a:effectLst>
        </c:spPr>
        <c:dLbl>
          <c:idx val="0"/>
          <c:layout>
            <c:manualLayout>
              <c:x val="-8.5379549631027007E-2"/>
              <c:y val="-1.6771832364746871E-4"/>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1BE4256-06C3-4B17-BD80-E7D6041505CA}" type="CELLRANGE">
                  <a:rPr lang="en-US"/>
                  <a:pPr>
                    <a:defRPr/>
                  </a:pPr>
                  <a:t>[CELLRANGE]</a:t>
                </a:fld>
                <a:endParaRPr lang="en-US" baseline="0"/>
              </a:p>
              <a:p>
                <a:pPr>
                  <a:defRPr/>
                </a:pPr>
                <a:fld id="{7B6D47AE-6B51-4CEB-BEA4-5CDB88BC0ED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1"/>
        <c:spPr>
          <a:solidFill>
            <a:schemeClr val="accent1"/>
          </a:solidFill>
          <a:ln>
            <a:noFill/>
          </a:ln>
          <a:effectLst>
            <a:outerShdw blurRad="254000" sx="102000" sy="102000" algn="ctr" rotWithShape="0">
              <a:prstClr val="black">
                <a:alpha val="20000"/>
              </a:prstClr>
            </a:outerShdw>
          </a:effectLst>
        </c:spPr>
        <c:dLbl>
          <c:idx val="0"/>
          <c:layout>
            <c:manualLayout>
              <c:x val="2.6827418000397858E-2"/>
              <c:y val="-0.1026943501795611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5E80632D-7215-4C76-A863-9A39BE8B146C}" type="CELLRANGE">
                  <a:rPr lang="en-US"/>
                  <a:pPr>
                    <a:defRPr/>
                  </a:pPr>
                  <a:t>[CELLRANGE]</a:t>
                </a:fld>
                <a:endParaRPr lang="en-US" baseline="0"/>
              </a:p>
              <a:p>
                <a:pPr>
                  <a:defRPr/>
                </a:pPr>
                <a:fld id="{8259E2FA-DE8C-4A7C-9C5C-A088C01754A4}"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2"/>
        <c:spPr>
          <a:solidFill>
            <a:schemeClr val="accent1"/>
          </a:solidFill>
          <a:ln>
            <a:noFill/>
          </a:ln>
          <a:effectLst>
            <a:outerShdw blurRad="254000" sx="102000" sy="102000" algn="ctr" rotWithShape="0">
              <a:prstClr val="black">
                <a:alpha val="20000"/>
              </a:prstClr>
            </a:outerShdw>
          </a:effectLst>
        </c:spPr>
        <c:dLbl>
          <c:idx val="0"/>
          <c:layout>
            <c:manualLayout>
              <c:x val="0.12017464526333348"/>
              <c:y val="9.9611277295960018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F1EE3162-885D-46F9-AB59-F9999723EAF2}" type="CELLRANGE">
                  <a:rPr lang="en-US"/>
                  <a:pPr>
                    <a:defRPr/>
                  </a:pPr>
                  <a:t>[CELLRANGE]</a:t>
                </a:fld>
                <a:endParaRPr lang="en-US" baseline="0"/>
              </a:p>
              <a:p>
                <a:pPr>
                  <a:defRPr/>
                </a:pPr>
                <a:fld id="{3B9F6D0D-F0C9-4333-B0FA-501E6747FB91}"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4909804071295946"/>
                  <c:h val="0.13225851650251039"/>
                </c:manualLayout>
              </c15:layout>
              <c15:dlblFieldTable/>
              <c15:showDataLabelsRange val="1"/>
            </c:ext>
          </c:extLst>
        </c:dLbl>
      </c:pivotFmt>
      <c:pivotFmt>
        <c:idx val="193"/>
        <c:spPr>
          <a:solidFill>
            <a:schemeClr val="accent1"/>
          </a:solidFill>
          <a:ln>
            <a:noFill/>
          </a:ln>
          <a:effectLst>
            <a:outerShdw blurRad="254000" sx="102000" sy="102000" algn="ctr" rotWithShape="0">
              <a:prstClr val="black">
                <a:alpha val="20000"/>
              </a:prstClr>
            </a:outerShdw>
          </a:effectLst>
        </c:spPr>
        <c:dLbl>
          <c:idx val="0"/>
          <c:layout>
            <c:manualLayout>
              <c:x val="8.0120624241949615E-2"/>
              <c:y val="0.1979878007264464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9979C730-66A0-47BA-926C-7518B6BA7103}" type="CELLRANGE">
                  <a:rPr lang="en-US"/>
                  <a:pPr>
                    <a:defRPr/>
                  </a:pPr>
                  <a:t>[CELLRANGE]</a:t>
                </a:fld>
                <a:endParaRPr lang="en-US" baseline="0"/>
              </a:p>
              <a:p>
                <a:pPr>
                  <a:defRPr/>
                </a:pPr>
                <a:fld id="{22D19E87-117E-4E1B-A9B8-06DF18ADEEAD}"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4"/>
        <c:spPr>
          <a:solidFill>
            <a:schemeClr val="accent1"/>
          </a:solidFill>
          <a:ln>
            <a:noFill/>
          </a:ln>
          <a:effectLst>
            <a:outerShdw blurRad="254000" sx="102000" sy="102000" algn="ctr" rotWithShape="0">
              <a:prstClr val="black">
                <a:alpha val="20000"/>
              </a:prstClr>
            </a:outerShdw>
          </a:effectLst>
        </c:spPr>
        <c:dLbl>
          <c:idx val="0"/>
          <c:layout>
            <c:manualLayout>
              <c:x val="-0.1740690853847561"/>
              <c:y val="0.10782185159452018"/>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98777B2-7D11-41A8-81D5-E10419E9B55A}" type="CELLRANGE">
                  <a:rPr lang="en-US"/>
                  <a:pPr>
                    <a:defRPr/>
                  </a:pPr>
                  <a:t>[CELLRANGE]</a:t>
                </a:fld>
                <a:endParaRPr lang="en-US" baseline="0"/>
              </a:p>
              <a:p>
                <a:pPr>
                  <a:defRPr/>
                </a:pPr>
                <a:fld id="{33955428-E8A7-4F52-BD6F-29DE74FB505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a:outerShdw blurRad="254000" sx="102000" sy="102000" algn="ctr" rotWithShape="0">
              <a:prstClr val="black">
                <a:alpha val="20000"/>
              </a:prstClr>
            </a:outerShdw>
          </a:effectLst>
        </c:spPr>
      </c:pivotFmt>
      <c:pivotFmt>
        <c:idx val="197"/>
        <c:spPr>
          <a:solidFill>
            <a:schemeClr val="accent1"/>
          </a:solidFill>
          <a:ln>
            <a:noFill/>
          </a:ln>
          <a:effectLst>
            <a:outerShdw blurRad="254000" sx="102000" sy="102000" algn="ctr" rotWithShape="0">
              <a:prstClr val="black">
                <a:alpha val="20000"/>
              </a:prstClr>
            </a:outerShdw>
          </a:effectLst>
        </c:spPr>
      </c:pivotFmt>
      <c:pivotFmt>
        <c:idx val="198"/>
        <c:spPr>
          <a:solidFill>
            <a:schemeClr val="accent1"/>
          </a:solidFill>
          <a:ln>
            <a:noFill/>
          </a:ln>
          <a:effectLst>
            <a:outerShdw blurRad="254000" sx="102000" sy="102000" algn="ctr" rotWithShape="0">
              <a:prstClr val="black">
                <a:alpha val="20000"/>
              </a:prstClr>
            </a:outerShdw>
          </a:effectLst>
        </c:spPr>
      </c:pivotFmt>
      <c:pivotFmt>
        <c:idx val="199"/>
        <c:spPr>
          <a:solidFill>
            <a:schemeClr val="accent1"/>
          </a:solidFill>
          <a:ln>
            <a:noFill/>
          </a:ln>
          <a:effectLst>
            <a:outerShdw blurRad="254000" sx="102000" sy="102000" algn="ctr" rotWithShape="0">
              <a:prstClr val="black">
                <a:alpha val="20000"/>
              </a:prstClr>
            </a:outerShdw>
          </a:effectLst>
        </c:spPr>
      </c:pivotFmt>
      <c:pivotFmt>
        <c:idx val="200"/>
        <c:spPr>
          <a:solidFill>
            <a:schemeClr val="accent1"/>
          </a:solidFill>
          <a:ln>
            <a:noFill/>
          </a:ln>
          <a:effectLst>
            <a:outerShdw blurRad="254000" sx="102000" sy="102000" algn="ctr" rotWithShape="0">
              <a:prstClr val="black">
                <a:alpha val="20000"/>
              </a:prstClr>
            </a:outerShdw>
          </a:effectLst>
        </c:spPr>
      </c:pivotFmt>
      <c:pivotFmt>
        <c:idx val="201"/>
        <c:spPr>
          <a:solidFill>
            <a:schemeClr val="accent1"/>
          </a:solidFill>
          <a:ln>
            <a:noFill/>
          </a:ln>
          <a:effectLst>
            <a:outerShdw blurRad="254000" sx="102000" sy="102000" algn="ctr" rotWithShape="0">
              <a:prstClr val="black">
                <a:alpha val="20000"/>
              </a:prstClr>
            </a:outerShdw>
          </a:effectLst>
        </c:spPr>
      </c:pivotFmt>
      <c:pivotFmt>
        <c:idx val="202"/>
        <c:spPr>
          <a:solidFill>
            <a:schemeClr val="accent1"/>
          </a:solidFill>
          <a:ln>
            <a:noFill/>
          </a:ln>
          <a:effectLst>
            <a:outerShdw blurRad="254000" sx="102000" sy="102000" algn="ctr" rotWithShape="0">
              <a:prstClr val="black">
                <a:alpha val="20000"/>
              </a:prstClr>
            </a:outerShdw>
          </a:effectLst>
        </c:spPr>
      </c:pivotFmt>
      <c:pivotFmt>
        <c:idx val="203"/>
        <c:spPr>
          <a:solidFill>
            <a:schemeClr val="accent1"/>
          </a:solidFill>
          <a:ln>
            <a:noFill/>
          </a:ln>
          <a:effectLst>
            <a:outerShdw blurRad="254000" sx="102000" sy="102000" algn="ctr" rotWithShape="0">
              <a:prstClr val="black">
                <a:alpha val="20000"/>
              </a:prstClr>
            </a:outerShdw>
          </a:effectLst>
        </c:spPr>
      </c:pivotFmt>
      <c:pivotFmt>
        <c:idx val="204"/>
        <c:spPr>
          <a:solidFill>
            <a:schemeClr val="accent1"/>
          </a:solidFill>
          <a:ln>
            <a:noFill/>
          </a:ln>
          <a:effectLst>
            <a:outerShdw blurRad="254000" sx="102000" sy="102000" algn="ctr" rotWithShape="0">
              <a:prstClr val="black">
                <a:alpha val="20000"/>
              </a:prstClr>
            </a:outerShdw>
          </a:effectLst>
        </c:spPr>
      </c:pivotFmt>
      <c:pivotFmt>
        <c:idx val="205"/>
        <c:spPr>
          <a:solidFill>
            <a:schemeClr val="accent1"/>
          </a:solidFill>
          <a:ln>
            <a:noFill/>
          </a:ln>
          <a:effectLst>
            <a:outerShdw blurRad="254000" sx="102000" sy="102000" algn="ctr" rotWithShape="0">
              <a:prstClr val="black">
                <a:alpha val="20000"/>
              </a:prstClr>
            </a:outerShdw>
          </a:effectLst>
        </c:spPr>
      </c:pivotFmt>
      <c:pivotFmt>
        <c:idx val="206"/>
        <c:spPr>
          <a:solidFill>
            <a:schemeClr val="accent1"/>
          </a:solidFill>
          <a:ln>
            <a:noFill/>
          </a:ln>
          <a:effectLst>
            <a:outerShdw blurRad="254000" sx="102000" sy="102000" algn="ctr" rotWithShape="0">
              <a:prstClr val="black">
                <a:alpha val="20000"/>
              </a:prstClr>
            </a:outerShdw>
          </a:effectLst>
        </c:spPr>
      </c:pivotFmt>
      <c:pivotFmt>
        <c:idx val="20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a:outerShdw blurRad="254000" sx="102000" sy="102000" algn="ctr" rotWithShape="0">
              <a:prstClr val="black">
                <a:alpha val="20000"/>
              </a:prstClr>
            </a:outerShdw>
          </a:effectLst>
        </c:spPr>
      </c:pivotFmt>
      <c:pivotFmt>
        <c:idx val="209"/>
        <c:spPr>
          <a:solidFill>
            <a:schemeClr val="accent1"/>
          </a:solidFill>
          <a:ln>
            <a:noFill/>
          </a:ln>
          <a:effectLst>
            <a:outerShdw blurRad="254000" sx="102000" sy="102000" algn="ctr" rotWithShape="0">
              <a:prstClr val="black">
                <a:alpha val="20000"/>
              </a:prstClr>
            </a:outerShdw>
          </a:effectLst>
        </c:spPr>
      </c:pivotFmt>
      <c:pivotFmt>
        <c:idx val="210"/>
        <c:spPr>
          <a:solidFill>
            <a:schemeClr val="accent1"/>
          </a:solidFill>
          <a:ln>
            <a:noFill/>
          </a:ln>
          <a:effectLst>
            <a:outerShdw blurRad="254000" sx="102000" sy="102000" algn="ctr" rotWithShape="0">
              <a:prstClr val="black">
                <a:alpha val="20000"/>
              </a:prstClr>
            </a:outerShdw>
          </a:effectLst>
        </c:spPr>
      </c:pivotFmt>
      <c:pivotFmt>
        <c:idx val="211"/>
        <c:spPr>
          <a:solidFill>
            <a:schemeClr val="accent1"/>
          </a:solidFill>
          <a:ln>
            <a:noFill/>
          </a:ln>
          <a:effectLst>
            <a:outerShdw blurRad="254000" sx="102000" sy="102000" algn="ctr" rotWithShape="0">
              <a:prstClr val="black">
                <a:alpha val="20000"/>
              </a:prstClr>
            </a:outerShdw>
          </a:effectLst>
        </c:spPr>
      </c:pivotFmt>
      <c:pivotFmt>
        <c:idx val="212"/>
        <c:spPr>
          <a:solidFill>
            <a:schemeClr val="accent1"/>
          </a:solidFill>
          <a:ln>
            <a:noFill/>
          </a:ln>
          <a:effectLst>
            <a:outerShdw blurRad="254000" sx="102000" sy="102000" algn="ctr" rotWithShape="0">
              <a:prstClr val="black">
                <a:alpha val="20000"/>
              </a:prstClr>
            </a:outerShdw>
          </a:effectLst>
        </c:spPr>
      </c:pivotFmt>
      <c:pivotFmt>
        <c:idx val="213"/>
        <c:spPr>
          <a:solidFill>
            <a:schemeClr val="accent1"/>
          </a:solidFill>
          <a:ln>
            <a:noFill/>
          </a:ln>
          <a:effectLst>
            <a:outerShdw blurRad="254000" sx="102000" sy="102000" algn="ctr" rotWithShape="0">
              <a:prstClr val="black">
                <a:alpha val="20000"/>
              </a:prstClr>
            </a:outerShdw>
          </a:effectLst>
        </c:spPr>
      </c:pivotFmt>
      <c:pivotFmt>
        <c:idx val="214"/>
        <c:spPr>
          <a:solidFill>
            <a:schemeClr val="accent1"/>
          </a:solidFill>
          <a:ln>
            <a:noFill/>
          </a:ln>
          <a:effectLst>
            <a:outerShdw blurRad="254000" sx="102000" sy="102000" algn="ctr" rotWithShape="0">
              <a:prstClr val="black">
                <a:alpha val="20000"/>
              </a:prstClr>
            </a:outerShdw>
          </a:effectLst>
        </c:spPr>
      </c:pivotFmt>
      <c:pivotFmt>
        <c:idx val="215"/>
        <c:spPr>
          <a:solidFill>
            <a:schemeClr val="accent1"/>
          </a:solidFill>
          <a:ln>
            <a:noFill/>
          </a:ln>
          <a:effectLst>
            <a:outerShdw blurRad="254000" sx="102000" sy="102000" algn="ctr" rotWithShape="0">
              <a:prstClr val="black">
                <a:alpha val="20000"/>
              </a:prstClr>
            </a:outerShdw>
          </a:effectLst>
        </c:spPr>
      </c:pivotFmt>
      <c:pivotFmt>
        <c:idx val="216"/>
        <c:spPr>
          <a:solidFill>
            <a:schemeClr val="accent1"/>
          </a:solidFill>
          <a:ln>
            <a:noFill/>
          </a:ln>
          <a:effectLst>
            <a:outerShdw blurRad="254000" sx="102000" sy="102000" algn="ctr" rotWithShape="0">
              <a:prstClr val="black">
                <a:alpha val="20000"/>
              </a:prstClr>
            </a:outerShdw>
          </a:effectLst>
        </c:spPr>
      </c:pivotFmt>
      <c:pivotFmt>
        <c:idx val="217"/>
        <c:spPr>
          <a:solidFill>
            <a:schemeClr val="accent1"/>
          </a:solidFill>
          <a:ln>
            <a:noFill/>
          </a:ln>
          <a:effectLst>
            <a:outerShdw blurRad="254000" sx="102000" sy="102000" algn="ctr" rotWithShape="0">
              <a:prstClr val="black">
                <a:alpha val="20000"/>
              </a:prstClr>
            </a:outerShdw>
          </a:effectLst>
        </c:spPr>
      </c:pivotFmt>
      <c:pivotFmt>
        <c:idx val="21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571136391689934"/>
          <c:y val="0.21240237571165277"/>
          <c:w val="0.57258182605456731"/>
          <c:h val="0.69385517391312346"/>
        </c:manualLayout>
      </c:layout>
      <c:pieChart>
        <c:varyColors val="1"/>
        <c:ser>
          <c:idx val="0"/>
          <c:order val="0"/>
          <c:tx>
            <c:strRef>
              <c:f>'GEA Reports'!$B$77:$B$87</c:f>
              <c:strCache>
                <c:ptCount val="1"/>
                <c:pt idx="0">
                  <c:v>Sum of Capacity (MW)</c:v>
                </c:pt>
              </c:strCache>
            </c:strRef>
          </c:tx>
          <c:explosion val="1"/>
          <c:dPt>
            <c:idx val="0"/>
            <c:bubble3D val="0"/>
            <c:explosion val="3"/>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E-3989-41AA-9DC7-69A222295D6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0-3989-41AA-9DC7-69A222295D69}"/>
              </c:ext>
            </c:extLst>
          </c:dPt>
          <c:dPt>
            <c:idx val="2"/>
            <c:bubble3D val="0"/>
            <c:explosion val="3"/>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2-3989-41AA-9DC7-69A222295D6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4-3989-41AA-9DC7-69A222295D69}"/>
              </c:ext>
            </c:extLst>
          </c:dPt>
          <c:dPt>
            <c:idx val="4"/>
            <c:bubble3D val="0"/>
            <c:explosion val="5"/>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6-3989-41AA-9DC7-69A222295D6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8-3989-41AA-9DC7-69A222295D6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A-3989-41AA-9DC7-69A222295D6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C-3989-41AA-9DC7-69A222295D6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E-3989-41AA-9DC7-69A222295D6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0-3989-41AA-9DC7-69A222295D6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2-3989-41AA-9DC7-69A222295D69}"/>
              </c:ext>
            </c:extLst>
          </c:dPt>
          <c:dLbls>
            <c:dLbl>
              <c:idx val="0"/>
              <c:layout>
                <c:manualLayout>
                  <c:x val="6.4603301699225998E-2"/>
                  <c:y val="0.12052533164458332"/>
                </c:manualLayout>
              </c:layout>
              <c:tx>
                <c:rich>
                  <a:bodyPr/>
                  <a:lstStyle/>
                  <a:p>
                    <a:fld id="{C1EA5A1D-CFEC-42B9-90BC-DDCDBF1AC9DF}" type="CELLRANGE">
                      <a:rPr lang="en-US"/>
                      <a:pPr/>
                      <a:t>[CELLRANGE]</a:t>
                    </a:fld>
                    <a:endParaRPr lang="en-US" baseline="0"/>
                  </a:p>
                  <a:p>
                    <a:fld id="{33FC5470-E2D1-4E8E-9C57-7A9FA0615F09}"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4E-3989-41AA-9DC7-69A222295D69}"/>
                </c:ext>
              </c:extLst>
            </c:dLbl>
            <c:dLbl>
              <c:idx val="1"/>
              <c:layout>
                <c:manualLayout>
                  <c:x val="9.2531445193567374E-2"/>
                  <c:y val="0.19257586165288773"/>
                </c:manualLayout>
              </c:layout>
              <c:tx>
                <c:rich>
                  <a:bodyPr/>
                  <a:lstStyle/>
                  <a:p>
                    <a:fld id="{86BD4BE7-1C7D-4A8F-AAAA-8BAE3B2BAF89}" type="CELLRANGE">
                      <a:rPr lang="en-US"/>
                      <a:pPr/>
                      <a:t>[CELLRANGE]</a:t>
                    </a:fld>
                    <a:endParaRPr lang="en-US" baseline="0"/>
                  </a:p>
                  <a:p>
                    <a:fld id="{2A836F09-41CB-48E7-9BE9-FF5C500E5E4E}"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0-3989-41AA-9DC7-69A222295D69}"/>
                </c:ext>
              </c:extLst>
            </c:dLbl>
            <c:dLbl>
              <c:idx val="2"/>
              <c:layout>
                <c:manualLayout>
                  <c:x val="3.7080608726796417E-3"/>
                  <c:y val="0.22237136359466103"/>
                </c:manualLayout>
              </c:layout>
              <c:tx>
                <c:rich>
                  <a:bodyPr/>
                  <a:lstStyle/>
                  <a:p>
                    <a:fld id="{F018BDB6-2662-4B70-9663-2148504961CF}" type="CELLRANGE">
                      <a:rPr lang="en-US"/>
                      <a:pPr/>
                      <a:t>[CELLRANGE]</a:t>
                    </a:fld>
                    <a:endParaRPr lang="en-US" baseline="0"/>
                  </a:p>
                  <a:p>
                    <a:fld id="{0352BF11-486D-474E-AA6F-C0973D9EF6FB}"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2-3989-41AA-9DC7-69A222295D69}"/>
                </c:ext>
              </c:extLst>
            </c:dLbl>
            <c:dLbl>
              <c:idx val="3"/>
              <c:layout>
                <c:manualLayout>
                  <c:x val="-0.19793144306760968"/>
                  <c:y val="-9.9052391471391735E-2"/>
                </c:manualLayout>
              </c:layout>
              <c:tx>
                <c:rich>
                  <a:bodyPr/>
                  <a:lstStyle/>
                  <a:p>
                    <a:fld id="{B91C1226-0C59-4323-9CB6-007E235A436A}" type="CELLRANGE">
                      <a:rPr lang="en-US"/>
                      <a:pPr/>
                      <a:t>[CELLRANGE]</a:t>
                    </a:fld>
                    <a:endParaRPr lang="en-US" baseline="0"/>
                  </a:p>
                  <a:p>
                    <a:fld id="{60A7D29A-A3A6-41E1-9275-09264779CC62}"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4-3989-41AA-9DC7-69A222295D69}"/>
                </c:ext>
              </c:extLst>
            </c:dLbl>
            <c:dLbl>
              <c:idx val="4"/>
              <c:layout>
                <c:manualLayout>
                  <c:x val="3.0955897873326223E-2"/>
                  <c:y val="-0.15277167673896694"/>
                </c:manualLayout>
              </c:layout>
              <c:tx>
                <c:rich>
                  <a:bodyPr/>
                  <a:lstStyle/>
                  <a:p>
                    <a:fld id="{F16B31F3-85FA-479D-A790-697DEC67D0EB}" type="CELLRANGE">
                      <a:rPr lang="en-US"/>
                      <a:pPr/>
                      <a:t>[CELLRANGE]</a:t>
                    </a:fld>
                    <a:endParaRPr lang="en-US" baseline="0"/>
                  </a:p>
                  <a:p>
                    <a:fld id="{FEC46E27-05D4-498E-A7CB-A393D6F1DAF7}"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6-3989-41AA-9DC7-69A222295D69}"/>
                </c:ext>
              </c:extLst>
            </c:dLbl>
            <c:dLbl>
              <c:idx val="5"/>
              <c:layout>
                <c:manualLayout>
                  <c:x val="3.8885069637049109E-2"/>
                  <c:y val="-6.5390693000020761E-2"/>
                </c:manualLayout>
              </c:layout>
              <c:tx>
                <c:rich>
                  <a:bodyPr/>
                  <a:lstStyle/>
                  <a:p>
                    <a:fld id="{DB711347-77D4-4235-A20E-B2CB4F3E9498}" type="CELLRANGE">
                      <a:rPr lang="en-US"/>
                      <a:pPr/>
                      <a:t>[CELLRANGE]</a:t>
                    </a:fld>
                    <a:endParaRPr lang="en-US" baseline="0"/>
                  </a:p>
                  <a:p>
                    <a:fld id="{451280BC-C7FB-49A7-8FC5-99A8737B0446}"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8-3989-41AA-9DC7-69A222295D69}"/>
                </c:ext>
              </c:extLst>
            </c:dLbl>
            <c:dLbl>
              <c:idx val="6"/>
              <c:layout>
                <c:manualLayout>
                  <c:x val="-8.5379549631027007E-2"/>
                  <c:y val="-1.6771832364746871E-4"/>
                </c:manualLayout>
              </c:layout>
              <c:tx>
                <c:rich>
                  <a:bodyPr/>
                  <a:lstStyle/>
                  <a:p>
                    <a:fld id="{C1BE4256-06C3-4B17-BD80-E7D6041505CA}" type="CELLRANGE">
                      <a:rPr lang="en-US"/>
                      <a:pPr/>
                      <a:t>[CELLRANGE]</a:t>
                    </a:fld>
                    <a:endParaRPr lang="en-US" baseline="0"/>
                  </a:p>
                  <a:p>
                    <a:fld id="{7B6D47AE-6B51-4CEB-BEA4-5CDB88BC0EDB}"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A-3989-41AA-9DC7-69A222295D69}"/>
                </c:ext>
              </c:extLst>
            </c:dLbl>
            <c:dLbl>
              <c:idx val="7"/>
              <c:layout>
                <c:manualLayout>
                  <c:x val="2.6827418000397858E-2"/>
                  <c:y val="-0.10269435017956113"/>
                </c:manualLayout>
              </c:layout>
              <c:tx>
                <c:rich>
                  <a:bodyPr/>
                  <a:lstStyle/>
                  <a:p>
                    <a:fld id="{5E80632D-7215-4C76-A863-9A39BE8B146C}" type="CELLRANGE">
                      <a:rPr lang="en-US"/>
                      <a:pPr/>
                      <a:t>[CELLRANGE]</a:t>
                    </a:fld>
                    <a:endParaRPr lang="en-US" baseline="0"/>
                  </a:p>
                  <a:p>
                    <a:fld id="{8259E2FA-DE8C-4A7C-9C5C-A088C01754A4}"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C-3989-41AA-9DC7-69A222295D69}"/>
                </c:ext>
              </c:extLst>
            </c:dLbl>
            <c:dLbl>
              <c:idx val="8"/>
              <c:layout>
                <c:manualLayout>
                  <c:x val="0.12017464526333348"/>
                  <c:y val="9.9611277295960018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F1EE3162-885D-46F9-AB59-F9999723EAF2}" type="CELLRANGE">
                      <a:rPr lang="en-US"/>
                      <a:pPr>
                        <a:defRPr/>
                      </a:pPr>
                      <a:t>[CELLRANGE]</a:t>
                    </a:fld>
                    <a:endParaRPr lang="en-US" baseline="0"/>
                  </a:p>
                  <a:p>
                    <a:pPr>
                      <a:defRPr/>
                    </a:pPr>
                    <a:fld id="{3B9F6D0D-F0C9-4333-B0FA-501E6747FB91}"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4909804071295946"/>
                      <c:h val="0.13225851650251039"/>
                    </c:manualLayout>
                  </c15:layout>
                  <c15:dlblFieldTable/>
                  <c15:showDataLabelsRange val="1"/>
                </c:ext>
                <c:ext xmlns:c16="http://schemas.microsoft.com/office/drawing/2014/chart" uri="{C3380CC4-5D6E-409C-BE32-E72D297353CC}">
                  <c16:uniqueId val="{0000005E-3989-41AA-9DC7-69A222295D69}"/>
                </c:ext>
              </c:extLst>
            </c:dLbl>
            <c:dLbl>
              <c:idx val="9"/>
              <c:layout>
                <c:manualLayout>
                  <c:x val="8.0120624241949615E-2"/>
                  <c:y val="0.19798780072644642"/>
                </c:manualLayout>
              </c:layout>
              <c:tx>
                <c:rich>
                  <a:bodyPr/>
                  <a:lstStyle/>
                  <a:p>
                    <a:fld id="{9979C730-66A0-47BA-926C-7518B6BA7103}" type="CELLRANGE">
                      <a:rPr lang="en-US"/>
                      <a:pPr/>
                      <a:t>[CELLRANGE]</a:t>
                    </a:fld>
                    <a:endParaRPr lang="en-US" baseline="0"/>
                  </a:p>
                  <a:p>
                    <a:fld id="{22D19E87-117E-4E1B-A9B8-06DF18ADEEAD}"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60-3989-41AA-9DC7-69A222295D69}"/>
                </c:ext>
              </c:extLst>
            </c:dLbl>
            <c:dLbl>
              <c:idx val="10"/>
              <c:layout>
                <c:manualLayout>
                  <c:x val="-0.1740690853847561"/>
                  <c:y val="0.10782185159452018"/>
                </c:manualLayout>
              </c:layout>
              <c:tx>
                <c:rich>
                  <a:bodyPr/>
                  <a:lstStyle/>
                  <a:p>
                    <a:fld id="{398777B2-7D11-41A8-81D5-E10419E9B55A}" type="CELLRANGE">
                      <a:rPr lang="en-US"/>
                      <a:pPr/>
                      <a:t>[CELLRANGE]</a:t>
                    </a:fld>
                    <a:endParaRPr lang="en-US" baseline="0"/>
                  </a:p>
                  <a:p>
                    <a:fld id="{33955428-E8A7-4F52-BD6F-29DE74FB505E}"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62-3989-41AA-9DC7-69A222295D6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multiLvlStrRef>
              <c:f>'GEA Reports'!$B$77:$B$87</c:f>
              <c:multiLvlStrCache>
                <c:ptCount val="11"/>
                <c:lvl>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lvl>
                <c:lvl>
                  <c:pt idx="0">
                    <c:v>Luzon</c:v>
                  </c:pt>
                </c:lvl>
              </c:multiLvlStrCache>
            </c:multiLvlStrRef>
          </c:cat>
          <c:val>
            <c:numRef>
              <c:f>'GEA Reports'!$B$77:$B$87</c:f>
              <c:numCache>
                <c:formatCode>#,##0.000_);[Red]\(#,##0.000\)</c:formatCode>
                <c:ptCount val="11"/>
                <c:pt idx="0">
                  <c:v>1070.3800000000001</c:v>
                </c:pt>
                <c:pt idx="1">
                  <c:v>33.779000000000003</c:v>
                </c:pt>
                <c:pt idx="2">
                  <c:v>2240</c:v>
                </c:pt>
                <c:pt idx="3">
                  <c:v>4287.4139999999989</c:v>
                </c:pt>
                <c:pt idx="4">
                  <c:v>715</c:v>
                </c:pt>
                <c:pt idx="5">
                  <c:v>80</c:v>
                </c:pt>
                <c:pt idx="6">
                  <c:v>300</c:v>
                </c:pt>
                <c:pt idx="7">
                  <c:v>2761.674</c:v>
                </c:pt>
                <c:pt idx="8">
                  <c:v>6100</c:v>
                </c:pt>
                <c:pt idx="9">
                  <c:v>360.8</c:v>
                </c:pt>
                <c:pt idx="10">
                  <c:v>21.573</c:v>
                </c:pt>
              </c:numCache>
            </c:numRef>
          </c:val>
          <c:extLst>
            <c:ext xmlns:c15="http://schemas.microsoft.com/office/drawing/2012/chart" uri="{02D57815-91ED-43cb-92C2-25804820EDAC}">
              <c15:datalabelsRange>
                <c15:f>'GEA Reports'!$B$77:$B$87</c15:f>
                <c15:dlblRangeCache>
                  <c:ptCount val="11"/>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15:dlblRangeCache>
              </c15:datalabelsRange>
            </c:ext>
            <c:ext xmlns:c16="http://schemas.microsoft.com/office/drawing/2014/chart" uri="{C3380CC4-5D6E-409C-BE32-E72D297353CC}">
              <c16:uniqueId val="{00000063-3989-41AA-9DC7-69A222295D69}"/>
            </c:ext>
          </c:extLst>
        </c:ser>
        <c:ser>
          <c:idx val="1"/>
          <c:order val="1"/>
          <c:tx>
            <c:strRef>
              <c:f>'GEA Reports'!$B$77:$B$87</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6-3989-41AA-9DC7-69A222295D6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8-3989-41AA-9DC7-69A222295D6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A-3989-41AA-9DC7-69A222295D6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C-3989-41AA-9DC7-69A222295D6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E-3989-41AA-9DC7-69A222295D6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0-3989-41AA-9DC7-69A222295D6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2-3989-41AA-9DC7-69A222295D6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4-3989-41AA-9DC7-69A222295D6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6-3989-41AA-9DC7-69A222295D6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8-3989-41AA-9DC7-69A222295D6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A-3989-41AA-9DC7-69A222295D6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Reports'!$B$77:$B$87</c:f>
              <c:multiLvlStrCache>
                <c:ptCount val="11"/>
                <c:lvl>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lvl>
                <c:lvl>
                  <c:pt idx="0">
                    <c:v>Luzon</c:v>
                  </c:pt>
                </c:lvl>
              </c:multiLvlStrCache>
            </c:multiLvlStrRef>
          </c:cat>
          <c:val>
            <c:numRef>
              <c:f>'GEA Reports'!$B$77:$B$87</c:f>
              <c:numCache>
                <c:formatCode>General</c:formatCode>
                <c:ptCount val="11"/>
                <c:pt idx="0">
                  <c:v>5</c:v>
                </c:pt>
                <c:pt idx="1">
                  <c:v>58</c:v>
                </c:pt>
                <c:pt idx="2">
                  <c:v>19</c:v>
                </c:pt>
                <c:pt idx="3">
                  <c:v>61</c:v>
                </c:pt>
                <c:pt idx="4">
                  <c:v>10</c:v>
                </c:pt>
                <c:pt idx="5">
                  <c:v>2</c:v>
                </c:pt>
                <c:pt idx="6">
                  <c:v>2</c:v>
                </c:pt>
                <c:pt idx="7">
                  <c:v>21</c:v>
                </c:pt>
                <c:pt idx="8">
                  <c:v>6</c:v>
                </c:pt>
                <c:pt idx="9">
                  <c:v>4</c:v>
                </c:pt>
                <c:pt idx="10">
                  <c:v>1</c:v>
                </c:pt>
              </c:numCache>
            </c:numRef>
          </c:val>
          <c:extLst>
            <c:ext xmlns:c16="http://schemas.microsoft.com/office/drawing/2014/chart" uri="{C3380CC4-5D6E-409C-BE32-E72D297353CC}">
              <c16:uniqueId val="{0000007B-3989-41AA-9DC7-69A222295D69}"/>
            </c:ext>
          </c:extLst>
        </c:ser>
        <c:ser>
          <c:idx val="2"/>
          <c:order val="2"/>
          <c:tx>
            <c:strRef>
              <c:f>'GEA Reports'!$B$77:$B$87</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E-3989-41AA-9DC7-69A222295D6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0-3989-41AA-9DC7-69A222295D6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2-3989-41AA-9DC7-69A222295D6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4-3989-41AA-9DC7-69A222295D6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6-3989-41AA-9DC7-69A222295D6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8-3989-41AA-9DC7-69A222295D6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A-3989-41AA-9DC7-69A222295D6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C-3989-41AA-9DC7-69A222295D6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E-3989-41AA-9DC7-69A222295D6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0-3989-41AA-9DC7-69A222295D6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2-3989-41AA-9DC7-69A222295D6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Reports'!$B$77:$B$87</c:f>
              <c:multiLvlStrCache>
                <c:ptCount val="11"/>
                <c:lvl>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lvl>
                <c:lvl>
                  <c:pt idx="0">
                    <c:v>Luzon</c:v>
                  </c:pt>
                </c:lvl>
              </c:multiLvlStrCache>
            </c:multiLvlStrRef>
          </c:cat>
          <c:val>
            <c:numRef>
              <c:f>'GEA Reports'!$B$77:$B$87</c:f>
              <c:numCache>
                <c:formatCode>0%</c:formatCode>
                <c:ptCount val="11"/>
                <c:pt idx="0">
                  <c:v>5.9562775240921025E-2</c:v>
                </c:pt>
                <c:pt idx="1">
                  <c:v>1.8796791652152239E-3</c:v>
                </c:pt>
                <c:pt idx="2">
                  <c:v>0.12464789751271799</c:v>
                </c:pt>
                <c:pt idx="3">
                  <c:v>0.23857908074401435</c:v>
                </c:pt>
                <c:pt idx="4">
                  <c:v>3.9787163714997034E-2</c:v>
                </c:pt>
                <c:pt idx="5">
                  <c:v>4.4517106254542138E-3</c:v>
                </c:pt>
                <c:pt idx="6">
                  <c:v>1.6693914845453302E-2</c:v>
                </c:pt>
                <c:pt idx="7">
                  <c:v>0.15367716862300801</c:v>
                </c:pt>
                <c:pt idx="8">
                  <c:v>0.33944293519088381</c:v>
                </c:pt>
                <c:pt idx="9">
                  <c:v>2.0077214920798506E-2</c:v>
                </c:pt>
                <c:pt idx="10">
                  <c:v>1.2004594165365469E-3</c:v>
                </c:pt>
              </c:numCache>
            </c:numRef>
          </c:val>
          <c:extLst>
            <c:ext xmlns:c16="http://schemas.microsoft.com/office/drawing/2014/chart" uri="{C3380CC4-5D6E-409C-BE32-E72D297353CC}">
              <c16:uniqueId val="{00000093-3989-41AA-9DC7-69A222295D6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June 2026.xlsm]GEA Reports!PivotTable3</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Visayas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2.7651290662093826E-2"/>
              <c:y val="0.23506391233920695"/>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AA63A73-C4C3-4194-834F-005CBD1E7875}" type="CELLRANGE">
                  <a:rPr lang="en-US"/>
                  <a:pPr>
                    <a:defRPr/>
                  </a:pPr>
                  <a:t>[CELLRANGE]</a:t>
                </a:fld>
                <a:endParaRPr lang="en-US" baseline="0"/>
              </a:p>
              <a:p>
                <a:pPr>
                  <a:defRPr/>
                </a:pPr>
                <a:fld id="{052CB8D0-1E3A-4886-BFF5-11DF7F3C009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4.4220618979584743E-2"/>
              <c:y val="0.14324207158170416"/>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EEA0FDE0-90B9-4C90-B637-36F5E901FA99}" type="CELLRANGE">
                  <a:rPr lang="en-US"/>
                  <a:pPr>
                    <a:defRPr/>
                  </a:pPr>
                  <a:t>[CELLRANGE]</a:t>
                </a:fld>
                <a:endParaRPr lang="en-US" baseline="0"/>
              </a:p>
              <a:p>
                <a:pPr>
                  <a:defRPr/>
                </a:pPr>
                <a:fld id="{E9BAE50D-1B9F-4419-AF7F-DC179D8CF650}"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448472146441235"/>
                  <c:h val="0.10142654990206153"/>
                </c:manualLayout>
              </c15:layout>
              <c15:dlblFieldTable/>
              <c15:showDataLabelsRange val="1"/>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8.2953871986281482E-3"/>
              <c:y val="8.0803219866602383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AAF329DA-DF64-4521-BA64-CDAADA3A7E2E}" type="CELLRANGE">
                  <a:rPr lang="en-US"/>
                  <a:pPr>
                    <a:defRPr/>
                  </a:pPr>
                  <a:t>[CELLRANGE]</a:t>
                </a:fld>
                <a:endParaRPr lang="en-US" baseline="0"/>
              </a:p>
              <a:p>
                <a:pPr>
                  <a:defRPr/>
                </a:pPr>
                <a:fld id="{A66A2C48-5EC9-4FBD-827C-62DFC1ACD0B3}"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1.1060516264837479E-2"/>
              <c:y val="0.25342828049070748"/>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AE995C69-F783-406F-B20B-A55B2E74EFA5}" type="CELLRANGE">
                  <a:rPr lang="en-US"/>
                  <a:pPr>
                    <a:defRPr/>
                  </a:pPr>
                  <a:t>[CELLRANGE]</a:t>
                </a:fld>
                <a:endParaRPr lang="en-US" baseline="0"/>
              </a:p>
              <a:p>
                <a:pPr>
                  <a:defRPr/>
                </a:pPr>
                <a:fld id="{3600280A-A1EE-4F27-8FC9-E2B22810E29C}"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2.5464988022854337E-2"/>
              <c:y val="0.194662302405905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3566FCD5-5F3B-4C46-9746-4D94D65FECA3}" type="CELLRANGE">
                  <a:rPr lang="en-US"/>
                  <a:pPr>
                    <a:defRPr/>
                  </a:pPr>
                  <a:t>[CELLRANGE]</a:t>
                </a:fld>
                <a:endParaRPr lang="en-US" baseline="0"/>
              </a:p>
              <a:p>
                <a:pPr>
                  <a:defRPr/>
                </a:pPr>
                <a:fld id="{EC902F69-4149-466C-99A8-617D1E73A288}"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701492342334301"/>
                  <c:h val="0.11611804442326196"/>
                </c:manualLayout>
              </c15:layout>
              <c15:dlblFieldTable/>
              <c15:showDataLabelsRange val="1"/>
            </c:ext>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8.2953871986281985E-3"/>
              <c:y val="0.1358963243211040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61D7A60-CE96-4955-9685-D6D1C6FF57C6}" type="CELLRANGE">
                  <a:rPr lang="en-US"/>
                  <a:pPr>
                    <a:defRPr/>
                  </a:pPr>
                  <a:t>[CELLRANGE]</a:t>
                </a:fld>
                <a:endParaRPr lang="en-US" baseline="0"/>
              </a:p>
              <a:p>
                <a:pPr>
                  <a:defRPr/>
                </a:pPr>
                <a:fld id="{DE74A4D4-9164-4BCC-8638-33435F1A27B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7.1893355721443952E-2"/>
              <c:y val="-6.9784598975702064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E28864D1-3351-4CFC-ADA6-FFAB74D57C9F}" type="CELLRANGE">
                  <a:rPr lang="en-US"/>
                  <a:pPr>
                    <a:defRPr/>
                  </a:pPr>
                  <a:t>[CELLRANGE]</a:t>
                </a:fld>
                <a:endParaRPr lang="en-US" baseline="0"/>
              </a:p>
              <a:p>
                <a:pPr>
                  <a:defRPr/>
                </a:pPr>
                <a:fld id="{DC31459C-BF64-4AE8-B8EA-04A3387A283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0.14655184050909728"/>
              <c:y val="8.8148967127202604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9758A76-D13B-475D-AD7F-EAD09C75F683}" type="CELLRANGE">
                  <a:rPr lang="en-US"/>
                  <a:pPr>
                    <a:defRPr/>
                  </a:pPr>
                  <a:t>[CELLRANGE]</a:t>
                </a:fld>
                <a:endParaRPr lang="en-US" baseline="0"/>
              </a:p>
              <a:p>
                <a:pPr>
                  <a:defRPr/>
                </a:pPr>
                <a:fld id="{51903DC3-B1BC-48F2-A27B-1FA42DA4AF29}"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a:noFill/>
          </a:ln>
          <a:effectLst>
            <a:outerShdw blurRad="254000" sx="102000" sy="102000" algn="ctr" rotWithShape="0">
              <a:prstClr val="black">
                <a:alpha val="20000"/>
              </a:prstClr>
            </a:outerShdw>
          </a:effectLst>
        </c:spPr>
        <c:dLbl>
          <c:idx val="0"/>
          <c:layout>
            <c:manualLayout>
              <c:x val="-1.1060516264837632E-2"/>
              <c:y val="-4.7747357193901545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A19D871-FDC5-4089-B7F6-138D8BD47610}" type="CELLRANGE">
                  <a:rPr lang="en-US"/>
                  <a:pPr>
                    <a:defRPr/>
                  </a:pPr>
                  <a:t>[CELLRANGE]</a:t>
                </a:fld>
                <a:endParaRPr lang="en-US" baseline="0"/>
              </a:p>
              <a:p>
                <a:pPr>
                  <a:defRPr/>
                </a:pPr>
                <a:fld id="{B2672233-F27A-4F86-B1C8-AB361CD532E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53190458171"/>
          <c:y val="0.21435931635964434"/>
          <c:w val="0.51850524525388453"/>
          <c:h val="0.68872164621088139"/>
        </c:manualLayout>
      </c:layout>
      <c:pieChart>
        <c:varyColors val="1"/>
        <c:ser>
          <c:idx val="0"/>
          <c:order val="0"/>
          <c:tx>
            <c:strRef>
              <c:f>'GEA Reports'!$B$92:$B$100</c:f>
              <c:strCache>
                <c:ptCount val="1"/>
                <c:pt idx="0">
                  <c:v>Sum of Capacity (MW)</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DFC-4DFC-9E3B-D292007D6ED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FC-4DFC-9E3B-D292007D6ED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DFC-4DFC-9E3B-D292007D6ED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DFC-4DFC-9E3B-D292007D6ED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EDFC-4DFC-9E3B-D292007D6ED4}"/>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EDFC-4DFC-9E3B-D292007D6ED4}"/>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DFC-4DFC-9E3B-D292007D6ED4}"/>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EDFC-4DFC-9E3B-D292007D6ED4}"/>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FC-4DFC-9E3B-D292007D6ED4}"/>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3C3B-4A7D-9C02-A775CCA62A74}"/>
              </c:ext>
            </c:extLst>
          </c:dPt>
          <c:dLbls>
            <c:dLbl>
              <c:idx val="0"/>
              <c:layout>
                <c:manualLayout>
                  <c:x val="8.2953871986281482E-3"/>
                  <c:y val="8.0803219866602383E-2"/>
                </c:manualLayout>
              </c:layout>
              <c:tx>
                <c:rich>
                  <a:bodyPr/>
                  <a:lstStyle/>
                  <a:p>
                    <a:fld id="{AAF329DA-DF64-4521-BA64-CDAADA3A7E2E}" type="CELLRANGE">
                      <a:rPr lang="en-US"/>
                      <a:pPr/>
                      <a:t>[CELLRANGE]</a:t>
                    </a:fld>
                    <a:endParaRPr lang="en-US" baseline="0"/>
                  </a:p>
                  <a:p>
                    <a:fld id="{A66A2C48-5EC9-4FBD-827C-62DFC1ACD0B3}"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EDFC-4DFC-9E3B-D292007D6ED4}"/>
                </c:ext>
              </c:extLst>
            </c:dLbl>
            <c:dLbl>
              <c:idx val="1"/>
              <c:layout>
                <c:manualLayout>
                  <c:x val="-4.4220618979584743E-2"/>
                  <c:y val="0.14324207158170416"/>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EEA0FDE0-90B9-4C90-B637-36F5E901FA99}" type="CELLRANGE">
                      <a:rPr lang="en-US"/>
                      <a:pPr>
                        <a:defRPr/>
                      </a:pPr>
                      <a:t>[CELLRANGE]</a:t>
                    </a:fld>
                    <a:endParaRPr lang="en-US" baseline="0"/>
                  </a:p>
                  <a:p>
                    <a:pPr>
                      <a:defRPr/>
                    </a:pPr>
                    <a:fld id="{E9BAE50D-1B9F-4419-AF7F-DC179D8CF650}"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448472146441235"/>
                      <c:h val="0.10142654990206153"/>
                    </c:manualLayout>
                  </c15:layout>
                  <c15:dlblFieldTable/>
                  <c15:showDataLabelsRange val="1"/>
                </c:ext>
                <c:ext xmlns:c16="http://schemas.microsoft.com/office/drawing/2014/chart" uri="{C3380CC4-5D6E-409C-BE32-E72D297353CC}">
                  <c16:uniqueId val="{00000005-EDFC-4DFC-9E3B-D292007D6ED4}"/>
                </c:ext>
              </c:extLst>
            </c:dLbl>
            <c:dLbl>
              <c:idx val="2"/>
              <c:layout>
                <c:manualLayout>
                  <c:x val="-2.7651290662093826E-2"/>
                  <c:y val="0.23506391233920695"/>
                </c:manualLayout>
              </c:layout>
              <c:tx>
                <c:rich>
                  <a:bodyPr/>
                  <a:lstStyle/>
                  <a:p>
                    <a:fld id="{CAA63A73-C4C3-4194-834F-005CBD1E7875}" type="CELLRANGE">
                      <a:rPr lang="en-US"/>
                      <a:pPr/>
                      <a:t>[CELLRANGE]</a:t>
                    </a:fld>
                    <a:endParaRPr lang="en-US" baseline="0"/>
                  </a:p>
                  <a:p>
                    <a:fld id="{052CB8D0-1E3A-4886-BFF5-11DF7F3C009F}"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EDFC-4DFC-9E3B-D292007D6ED4}"/>
                </c:ext>
              </c:extLst>
            </c:dLbl>
            <c:dLbl>
              <c:idx val="3"/>
              <c:layout>
                <c:manualLayout>
                  <c:x val="-1.1060516264837632E-2"/>
                  <c:y val="-4.7747357193901545E-2"/>
                </c:manualLayout>
              </c:layout>
              <c:tx>
                <c:rich>
                  <a:bodyPr/>
                  <a:lstStyle/>
                  <a:p>
                    <a:fld id="{1A19D871-FDC5-4089-B7F6-138D8BD47610}" type="CELLRANGE">
                      <a:rPr lang="en-US"/>
                      <a:pPr/>
                      <a:t>[CELLRANGE]</a:t>
                    </a:fld>
                    <a:endParaRPr lang="en-US" baseline="0"/>
                  </a:p>
                  <a:p>
                    <a:fld id="{B2672233-F27A-4F86-B1C8-AB361CD532E2}"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EDFC-4DFC-9E3B-D292007D6ED4}"/>
                </c:ext>
              </c:extLst>
            </c:dLbl>
            <c:dLbl>
              <c:idx val="4"/>
              <c:layout>
                <c:manualLayout>
                  <c:x val="7.1893355721443952E-2"/>
                  <c:y val="-6.9784598975702064E-2"/>
                </c:manualLayout>
              </c:layout>
              <c:tx>
                <c:rich>
                  <a:bodyPr/>
                  <a:lstStyle/>
                  <a:p>
                    <a:fld id="{E28864D1-3351-4CFC-ADA6-FFAB74D57C9F}" type="CELLRANGE">
                      <a:rPr lang="en-US"/>
                      <a:pPr/>
                      <a:t>[CELLRANGE]</a:t>
                    </a:fld>
                    <a:endParaRPr lang="en-US" baseline="0"/>
                  </a:p>
                  <a:p>
                    <a:fld id="{DC31459C-BF64-4AE8-B8EA-04A3387A283F}"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EDFC-4DFC-9E3B-D292007D6ED4}"/>
                </c:ext>
              </c:extLst>
            </c:dLbl>
            <c:dLbl>
              <c:idx val="5"/>
              <c:layout>
                <c:manualLayout>
                  <c:x val="0.14655184050909728"/>
                  <c:y val="8.8148967127202604E-2"/>
                </c:manualLayout>
              </c:layout>
              <c:tx>
                <c:rich>
                  <a:bodyPr/>
                  <a:lstStyle/>
                  <a:p>
                    <a:fld id="{39758A76-D13B-475D-AD7F-EAD09C75F683}" type="CELLRANGE">
                      <a:rPr lang="en-US"/>
                      <a:pPr/>
                      <a:t>[CELLRANGE]</a:t>
                    </a:fld>
                    <a:endParaRPr lang="en-US" baseline="0"/>
                  </a:p>
                  <a:p>
                    <a:fld id="{51903DC3-B1BC-48F2-A27B-1FA42DA4AF29}"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EDFC-4DFC-9E3B-D292007D6ED4}"/>
                </c:ext>
              </c:extLst>
            </c:dLbl>
            <c:dLbl>
              <c:idx val="6"/>
              <c:layout>
                <c:manualLayout>
                  <c:x val="-2.5464988022854337E-2"/>
                  <c:y val="0.194662302405905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3566FCD5-5F3B-4C46-9746-4D94D65FECA3}" type="CELLRANGE">
                      <a:rPr lang="en-US"/>
                      <a:pPr>
                        <a:defRPr/>
                      </a:pPr>
                      <a:t>[CELLRANGE]</a:t>
                    </a:fld>
                    <a:endParaRPr lang="en-US" baseline="0"/>
                  </a:p>
                  <a:p>
                    <a:pPr>
                      <a:defRPr/>
                    </a:pPr>
                    <a:fld id="{EC902F69-4149-466C-99A8-617D1E73A288}"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701492342334301"/>
                      <c:h val="0.11611804442326196"/>
                    </c:manualLayout>
                  </c15:layout>
                  <c15:dlblFieldTable/>
                  <c15:showDataLabelsRange val="1"/>
                </c:ext>
                <c:ext xmlns:c16="http://schemas.microsoft.com/office/drawing/2014/chart" uri="{C3380CC4-5D6E-409C-BE32-E72D297353CC}">
                  <c16:uniqueId val="{00000009-EDFC-4DFC-9E3B-D292007D6ED4}"/>
                </c:ext>
              </c:extLst>
            </c:dLbl>
            <c:dLbl>
              <c:idx val="7"/>
              <c:layout>
                <c:manualLayout>
                  <c:x val="-8.2953871986281985E-3"/>
                  <c:y val="0.13589632432110402"/>
                </c:manualLayout>
              </c:layout>
              <c:tx>
                <c:rich>
                  <a:bodyPr/>
                  <a:lstStyle/>
                  <a:p>
                    <a:fld id="{C61D7A60-CE96-4955-9685-D6D1C6FF57C6}" type="CELLRANGE">
                      <a:rPr lang="en-US"/>
                      <a:pPr/>
                      <a:t>[CELLRANGE]</a:t>
                    </a:fld>
                    <a:endParaRPr lang="en-US" baseline="0"/>
                  </a:p>
                  <a:p>
                    <a:fld id="{DE74A4D4-9164-4BCC-8638-33435F1A27B6}"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EDFC-4DFC-9E3B-D292007D6ED4}"/>
                </c:ext>
              </c:extLst>
            </c:dLbl>
            <c:dLbl>
              <c:idx val="8"/>
              <c:layout>
                <c:manualLayout>
                  <c:x val="1.1060516264837479E-2"/>
                  <c:y val="0.25342828049070748"/>
                </c:manualLayout>
              </c:layout>
              <c:tx>
                <c:rich>
                  <a:bodyPr/>
                  <a:lstStyle/>
                  <a:p>
                    <a:fld id="{AE995C69-F783-406F-B20B-A55B2E74EFA5}" type="CELLRANGE">
                      <a:rPr lang="en-US"/>
                      <a:pPr/>
                      <a:t>[CELLRANGE]</a:t>
                    </a:fld>
                    <a:endParaRPr lang="en-US" baseline="0"/>
                  </a:p>
                  <a:p>
                    <a:fld id="{3600280A-A1EE-4F27-8FC9-E2B22810E29C}"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EDFC-4DFC-9E3B-D292007D6ED4}"/>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multiLvlStrRef>
              <c:f>'GEA Reports'!$B$92:$B$100</c:f>
              <c:multiLvlStrCache>
                <c:ptCount val="9"/>
                <c:lvl>
                  <c:pt idx="0">
                    <c:v>Solar</c:v>
                  </c:pt>
                  <c:pt idx="1">
                    <c:v>Roof Mounted Solar</c:v>
                  </c:pt>
                  <c:pt idx="2">
                    <c:v>Floating Solar</c:v>
                  </c:pt>
                  <c:pt idx="3">
                    <c:v>Ground Mounted Solar</c:v>
                  </c:pt>
                  <c:pt idx="4">
                    <c:v>IRESS</c:v>
                  </c:pt>
                  <c:pt idx="5">
                    <c:v>Onshore Wind</c:v>
                  </c:pt>
                  <c:pt idx="6">
                    <c:v>Pumped Storage Hydro</c:v>
                  </c:pt>
                  <c:pt idx="7">
                    <c:v>Wind</c:v>
                  </c:pt>
                  <c:pt idx="8">
                    <c:v>Geothermal</c:v>
                  </c:pt>
                </c:lvl>
                <c:lvl>
                  <c:pt idx="0">
                    <c:v>Visayas</c:v>
                  </c:pt>
                </c:lvl>
              </c:multiLvlStrCache>
            </c:multiLvlStrRef>
          </c:cat>
          <c:val>
            <c:numRef>
              <c:f>'GEA Reports'!$B$92:$B$100</c:f>
              <c:numCache>
                <c:formatCode>#,##0.000_);[Red]\(#,##0.000\)</c:formatCode>
                <c:ptCount val="9"/>
                <c:pt idx="0">
                  <c:v>300</c:v>
                </c:pt>
                <c:pt idx="1">
                  <c:v>0.25</c:v>
                </c:pt>
                <c:pt idx="2">
                  <c:v>134</c:v>
                </c:pt>
                <c:pt idx="3">
                  <c:v>1417.6509999999998</c:v>
                </c:pt>
                <c:pt idx="4">
                  <c:v>307.51</c:v>
                </c:pt>
                <c:pt idx="5">
                  <c:v>1068</c:v>
                </c:pt>
                <c:pt idx="6">
                  <c:v>250</c:v>
                </c:pt>
                <c:pt idx="7">
                  <c:v>13.2</c:v>
                </c:pt>
                <c:pt idx="8">
                  <c:v>5.6449999999999996</c:v>
                </c:pt>
              </c:numCache>
            </c:numRef>
          </c:val>
          <c:extLst>
            <c:ext xmlns:c15="http://schemas.microsoft.com/office/drawing/2012/chart" uri="{02D57815-91ED-43cb-92C2-25804820EDAC}">
              <c15:datalabelsRange>
                <c15:f>'GEA Reports'!$B$92:$B$100</c15:f>
                <c15:dlblRangeCache>
                  <c:ptCount val="9"/>
                  <c:pt idx="0">
                    <c:v>Solar</c:v>
                  </c:pt>
                  <c:pt idx="1">
                    <c:v>Roof Mounted Solar</c:v>
                  </c:pt>
                  <c:pt idx="2">
                    <c:v>Floating Solar</c:v>
                  </c:pt>
                  <c:pt idx="3">
                    <c:v>Ground Mounted Solar</c:v>
                  </c:pt>
                  <c:pt idx="4">
                    <c:v>IRESS</c:v>
                  </c:pt>
                  <c:pt idx="5">
                    <c:v>Onshore Wind</c:v>
                  </c:pt>
                  <c:pt idx="6">
                    <c:v>Pumped Storage Hydro</c:v>
                  </c:pt>
                  <c:pt idx="7">
                    <c:v>Wind</c:v>
                  </c:pt>
                  <c:pt idx="8">
                    <c:v>Geothermal</c:v>
                  </c:pt>
                </c15:dlblRangeCache>
              </c15:datalabelsRange>
            </c:ext>
            <c:ext xmlns:c16="http://schemas.microsoft.com/office/drawing/2014/chart" uri="{C3380CC4-5D6E-409C-BE32-E72D297353CC}">
              <c16:uniqueId val="{00000000-EDFC-4DFC-9E3B-D292007D6ED4}"/>
            </c:ext>
          </c:extLst>
        </c:ser>
        <c:ser>
          <c:idx val="1"/>
          <c:order val="1"/>
          <c:tx>
            <c:strRef>
              <c:f>'GEA Reports'!$B$92:$B$100</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0AEC-45F7-9B73-03992AF6C75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0AEC-45F7-9B73-03992AF6C75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0AEC-45F7-9B73-03992AF6C75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0AEC-45F7-9B73-03992AF6C75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0AEC-45F7-9B73-03992AF6C75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0AEC-45F7-9B73-03992AF6C75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0AEC-45F7-9B73-03992AF6C75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0AEC-45F7-9B73-03992AF6C75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0AEC-45F7-9B73-03992AF6C75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3C3B-4A7D-9C02-A775CCA62A7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Reports'!$B$92:$B$100</c:f>
              <c:multiLvlStrCache>
                <c:ptCount val="9"/>
                <c:lvl>
                  <c:pt idx="0">
                    <c:v>Solar</c:v>
                  </c:pt>
                  <c:pt idx="1">
                    <c:v>Roof Mounted Solar</c:v>
                  </c:pt>
                  <c:pt idx="2">
                    <c:v>Floating Solar</c:v>
                  </c:pt>
                  <c:pt idx="3">
                    <c:v>Ground Mounted Solar</c:v>
                  </c:pt>
                  <c:pt idx="4">
                    <c:v>IRESS</c:v>
                  </c:pt>
                  <c:pt idx="5">
                    <c:v>Onshore Wind</c:v>
                  </c:pt>
                  <c:pt idx="6">
                    <c:v>Pumped Storage Hydro</c:v>
                  </c:pt>
                  <c:pt idx="7">
                    <c:v>Wind</c:v>
                  </c:pt>
                  <c:pt idx="8">
                    <c:v>Geothermal</c:v>
                  </c:pt>
                </c:lvl>
                <c:lvl>
                  <c:pt idx="0">
                    <c:v>Visayas</c:v>
                  </c:pt>
                </c:lvl>
              </c:multiLvlStrCache>
            </c:multiLvlStrRef>
          </c:cat>
          <c:val>
            <c:numRef>
              <c:f>'GEA Reports'!$B$92:$B$100</c:f>
              <c:numCache>
                <c:formatCode>General</c:formatCode>
                <c:ptCount val="9"/>
                <c:pt idx="0">
                  <c:v>1</c:v>
                </c:pt>
                <c:pt idx="1">
                  <c:v>2</c:v>
                </c:pt>
                <c:pt idx="2">
                  <c:v>2</c:v>
                </c:pt>
                <c:pt idx="3">
                  <c:v>23</c:v>
                </c:pt>
                <c:pt idx="4">
                  <c:v>6</c:v>
                </c:pt>
                <c:pt idx="5">
                  <c:v>10</c:v>
                </c:pt>
                <c:pt idx="6">
                  <c:v>1</c:v>
                </c:pt>
                <c:pt idx="7">
                  <c:v>1</c:v>
                </c:pt>
                <c:pt idx="8">
                  <c:v>1</c:v>
                </c:pt>
              </c:numCache>
            </c:numRef>
          </c:val>
          <c:extLst>
            <c:ext xmlns:c16="http://schemas.microsoft.com/office/drawing/2014/chart" uri="{C3380CC4-5D6E-409C-BE32-E72D297353CC}">
              <c16:uniqueId val="{00000001-EDFC-4DFC-9E3B-D292007D6ED4}"/>
            </c:ext>
          </c:extLst>
        </c:ser>
        <c:ser>
          <c:idx val="2"/>
          <c:order val="2"/>
          <c:tx>
            <c:strRef>
              <c:f>'GEA Reports'!$B$92:$B$100</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0AEC-45F7-9B73-03992AF6C75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0AEC-45F7-9B73-03992AF6C75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0AEC-45F7-9B73-03992AF6C75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0AEC-45F7-9B73-03992AF6C75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0AEC-45F7-9B73-03992AF6C75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0AEC-45F7-9B73-03992AF6C75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0AEC-45F7-9B73-03992AF6C75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0AEC-45F7-9B73-03992AF6C75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0AEC-45F7-9B73-03992AF6C75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3C3B-4A7D-9C02-A775CCA62A7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Reports'!$B$92:$B$100</c:f>
              <c:multiLvlStrCache>
                <c:ptCount val="9"/>
                <c:lvl>
                  <c:pt idx="0">
                    <c:v>Solar</c:v>
                  </c:pt>
                  <c:pt idx="1">
                    <c:v>Roof Mounted Solar</c:v>
                  </c:pt>
                  <c:pt idx="2">
                    <c:v>Floating Solar</c:v>
                  </c:pt>
                  <c:pt idx="3">
                    <c:v>Ground Mounted Solar</c:v>
                  </c:pt>
                  <c:pt idx="4">
                    <c:v>IRESS</c:v>
                  </c:pt>
                  <c:pt idx="5">
                    <c:v>Onshore Wind</c:v>
                  </c:pt>
                  <c:pt idx="6">
                    <c:v>Pumped Storage Hydro</c:v>
                  </c:pt>
                  <c:pt idx="7">
                    <c:v>Wind</c:v>
                  </c:pt>
                  <c:pt idx="8">
                    <c:v>Geothermal</c:v>
                  </c:pt>
                </c:lvl>
                <c:lvl>
                  <c:pt idx="0">
                    <c:v>Visayas</c:v>
                  </c:pt>
                </c:lvl>
              </c:multiLvlStrCache>
            </c:multiLvlStrRef>
          </c:cat>
          <c:val>
            <c:numRef>
              <c:f>'GEA Reports'!$B$92:$B$100</c:f>
              <c:numCache>
                <c:formatCode>0%</c:formatCode>
                <c:ptCount val="9"/>
                <c:pt idx="0">
                  <c:v>8.5806073697120566E-2</c:v>
                </c:pt>
                <c:pt idx="1">
                  <c:v>7.1505061414267146E-5</c:v>
                </c:pt>
                <c:pt idx="2">
                  <c:v>3.8326712918047186E-2</c:v>
                </c:pt>
                <c:pt idx="3">
                  <c:v>0.40547688727598885</c:v>
                </c:pt>
                <c:pt idx="4">
                  <c:v>8.7954085742005153E-2</c:v>
                </c:pt>
                <c:pt idx="5">
                  <c:v>0.30546962236174924</c:v>
                </c:pt>
                <c:pt idx="6">
                  <c:v>7.1505061414267143E-2</c:v>
                </c:pt>
                <c:pt idx="7">
                  <c:v>3.7754672426733049E-3</c:v>
                </c:pt>
                <c:pt idx="8">
                  <c:v>1.6145842867341519E-3</c:v>
                </c:pt>
              </c:numCache>
            </c:numRef>
          </c:val>
          <c:extLst>
            <c:ext xmlns:c16="http://schemas.microsoft.com/office/drawing/2014/chart" uri="{C3380CC4-5D6E-409C-BE32-E72D297353CC}">
              <c16:uniqueId val="{00000002-EDFC-4DFC-9E3B-D292007D6ED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b="1" i="0" u="none" strike="noStrike" kern="1200" baseline="0">
                <a:solidFill>
                  <a:sysClr val="windowText" lastClr="000000">
                    <a:lumMod val="75000"/>
                    <a:lumOff val="25000"/>
                  </a:sysClr>
                </a:solidFill>
              </a:rPr>
              <a:t>Philippines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234-4118-8272-E17A7099513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234-4118-8272-E17A7099513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0234-4118-8272-E17A70995135}"/>
              </c:ext>
            </c:extLst>
          </c:dPt>
          <c:dLbls>
            <c:dLbl>
              <c:idx val="0"/>
              <c:layout>
                <c:manualLayout>
                  <c:x val="-0.16378324584426945"/>
                  <c:y val="-0.20588582677165354"/>
                </c:manualLayout>
              </c:layout>
              <c:tx>
                <c:rich>
                  <a:bodyPr/>
                  <a:lstStyle/>
                  <a:p>
                    <a:fld id="{D52FA2DE-BAD9-4818-8066-80103DCB8538}" type="CATEGORYNAME">
                      <a:rPr lang="en-US"/>
                      <a:pPr/>
                      <a:t>[CATEGORY NAME]</a:t>
                    </a:fld>
                    <a:r>
                      <a:rPr lang="en-US"/>
                      <a:t>uzon</a:t>
                    </a:r>
                    <a:r>
                      <a:rPr lang="en-US" baseline="0"/>
                      <a:t>
</a:t>
                    </a:r>
                    <a:fld id="{D73709C3-84C7-4D91-A33E-4D56AD1E0EFD}"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0234-4118-8272-E17A70995135}"/>
                </c:ext>
              </c:extLst>
            </c:dLbl>
            <c:dLbl>
              <c:idx val="1"/>
              <c:layout>
                <c:manualLayout>
                  <c:x val="9.5705161854768156E-2"/>
                  <c:y val="0.18636300670749487"/>
                </c:manualLayout>
              </c:layout>
              <c:tx>
                <c:rich>
                  <a:bodyPr/>
                  <a:lstStyle/>
                  <a:p>
                    <a:fld id="{F915F1B9-34CF-4557-95BA-749E58B88294}" type="CATEGORYNAME">
                      <a:rPr lang="en-US"/>
                      <a:pPr/>
                      <a:t>[CATEGORY NAME]</a:t>
                    </a:fld>
                    <a:r>
                      <a:rPr lang="en-US"/>
                      <a:t>isayas</a:t>
                    </a:r>
                    <a:r>
                      <a:rPr lang="en-US" baseline="0"/>
                      <a:t>
</a:t>
                    </a:r>
                    <a:fld id="{685EC4A2-24CD-4FF9-83B2-E72EC3149767}"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234-4118-8272-E17A70995135}"/>
                </c:ext>
              </c:extLst>
            </c:dLbl>
            <c:dLbl>
              <c:idx val="2"/>
              <c:layout>
                <c:manualLayout>
                  <c:x val="0.12599715660542427"/>
                  <c:y val="0.26601961213181685"/>
                </c:manualLayout>
              </c:layout>
              <c:tx>
                <c:rich>
                  <a:bodyPr/>
                  <a:lstStyle/>
                  <a:p>
                    <a:fld id="{793830CA-3B92-4846-B6BC-0221AC77DAF0}" type="CATEGORYNAME">
                      <a:rPr lang="en-US"/>
                      <a:pPr/>
                      <a:t>[CATEGORY NAME]</a:t>
                    </a:fld>
                    <a:r>
                      <a:rPr lang="en-US"/>
                      <a:t>indanao</a:t>
                    </a:r>
                    <a:r>
                      <a:rPr lang="en-US" baseline="0"/>
                      <a:t>
</a:t>
                    </a:r>
                    <a:fld id="{6EAC57AF-832B-4D06-989C-B56BA0E0551A}"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0234-4118-8272-E17A7099513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Reports'!$F$33:$F$35</c:f>
              <c:strCache>
                <c:ptCount val="3"/>
                <c:pt idx="0">
                  <c:v>L</c:v>
                </c:pt>
                <c:pt idx="1">
                  <c:v>V</c:v>
                </c:pt>
                <c:pt idx="2">
                  <c:v>M</c:v>
                </c:pt>
              </c:strCache>
            </c:strRef>
          </c:cat>
          <c:val>
            <c:numRef>
              <c:f>'GEA Reports'!$G$33:$G$35</c:f>
              <c:numCache>
                <c:formatCode>#,##0.000_);[Red]\(#,##0.000\)</c:formatCode>
                <c:ptCount val="3"/>
                <c:pt idx="0">
                  <c:v>17965.419999999998</c:v>
                </c:pt>
                <c:pt idx="1">
                  <c:v>2828.9959999999996</c:v>
                </c:pt>
                <c:pt idx="2" formatCode="0.000">
                  <c:v>747.77899999999988</c:v>
                </c:pt>
              </c:numCache>
            </c:numRef>
          </c:val>
          <c:extLst>
            <c:ext xmlns:c16="http://schemas.microsoft.com/office/drawing/2014/chart" uri="{C3380CC4-5D6E-409C-BE32-E72D297353CC}">
              <c16:uniqueId val="{00000000-0234-4118-8272-E17A70995135}"/>
            </c:ext>
          </c:extLst>
        </c:ser>
        <c: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773-40FC-B7F1-187C5E51488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773-40FC-B7F1-187C5E51488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1773-40FC-B7F1-187C5E51488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Reports'!$F$33:$F$35</c:f>
              <c:strCache>
                <c:ptCount val="3"/>
                <c:pt idx="0">
                  <c:v>L</c:v>
                </c:pt>
                <c:pt idx="1">
                  <c:v>V</c:v>
                </c:pt>
                <c:pt idx="2">
                  <c:v>M</c:v>
                </c:pt>
              </c:strCache>
            </c:strRef>
          </c:cat>
          <c:val>
            <c:numRef>
              <c:f>'GEA Reports'!$H$33:$H$35</c:f>
              <c:numCache>
                <c:formatCode>0.00%</c:formatCode>
                <c:ptCount val="3"/>
                <c:pt idx="0">
                  <c:v>0.83396422695087491</c:v>
                </c:pt>
                <c:pt idx="1">
                  <c:v>0.13132347933903671</c:v>
                </c:pt>
                <c:pt idx="2">
                  <c:v>3.4712293710088507E-2</c:v>
                </c:pt>
              </c:numCache>
            </c:numRef>
          </c:val>
          <c:extLst>
            <c:ext xmlns:c16="http://schemas.microsoft.com/office/drawing/2014/chart" uri="{C3380CC4-5D6E-409C-BE32-E72D297353CC}">
              <c16:uniqueId val="{00000001-0234-4118-8272-E17A70995135}"/>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June 2026.xlsm]GEA Reports!PivotTable4</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b="1" i="0" u="none" strike="noStrike" kern="1200" baseline="0">
                <a:solidFill>
                  <a:sysClr val="windowText" lastClr="000000">
                    <a:lumMod val="75000"/>
                    <a:lumOff val="25000"/>
                  </a:sysClr>
                </a:solidFill>
              </a:rPr>
              <a:t>Mindanao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1.93219243419516E-2"/>
              <c:y val="0.3402474860737029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DC1E52C-79E7-406F-B1F6-6449ECB3D8C7}" type="CELLRANGE">
                  <a:rPr lang="en-US"/>
                  <a:pPr>
                    <a:defRPr/>
                  </a:pPr>
                  <a:t>[CELLRANGE]</a:t>
                </a:fld>
                <a:endParaRPr lang="en-US" baseline="0"/>
              </a:p>
              <a:p>
                <a:pPr>
                  <a:defRPr/>
                </a:pPr>
                <a:fld id="{F3A0EDC3-5B3E-4017-B6A6-DA95008E562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5.5205498119861567E-3"/>
              <c:y val="0.1442353473573306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194EE69-E41D-40AA-8FA3-3FF94DB04D63}" type="CELLRANGE">
                  <a:rPr lang="en-US"/>
                  <a:pPr>
                    <a:defRPr/>
                  </a:pPr>
                  <a:t>[CELLRANGE]</a:t>
                </a:fld>
                <a:endParaRPr lang="en-US" baseline="0"/>
              </a:p>
              <a:p>
                <a:pPr>
                  <a:defRPr/>
                </a:pPr>
                <a:fld id="{95116AC3-35FB-46E3-9708-190A2B95B16A}"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6.3486322837840697E-2"/>
              <c:y val="0.26628064127507189"/>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57812ECC-5AA0-4803-A65F-B5B865741D7C}" type="CELLRANGE">
                  <a:rPr lang="en-US"/>
                  <a:pPr>
                    <a:defRPr/>
                  </a:pPr>
                  <a:t>[CELLRANGE]</a:t>
                </a:fld>
                <a:endParaRPr lang="en-US" baseline="0"/>
              </a:p>
              <a:p>
                <a:pPr>
                  <a:defRPr/>
                </a:pPr>
                <a:fld id="{DEB0998B-C53D-47BF-84FB-A10496779FD7}"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0.18217814379554328"/>
              <c:y val="-2.5888395679520882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B36A5384-5B00-44A2-8F94-95FEF93DF39B}" type="CELLRANGE">
                  <a:rPr lang="en-US"/>
                  <a:pPr>
                    <a:defRPr/>
                  </a:pPr>
                  <a:t>[CELLRANGE]</a:t>
                </a:fld>
                <a:endParaRPr lang="en-US" baseline="0"/>
              </a:p>
              <a:p>
                <a:pPr>
                  <a:defRPr/>
                </a:pPr>
                <a:fld id="{2BA1871D-2166-4516-9156-8D463FF8070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0.12973292058167468"/>
              <c:y val="-0.27737566799486657"/>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292A80AA-757F-416F-A2DF-4B487DDAF1F1}" type="CELLRANGE">
                  <a:rPr lang="en-US"/>
                  <a:pPr>
                    <a:defRPr/>
                  </a:pPr>
                  <a:t>[CELLRANGE]</a:t>
                </a:fld>
                <a:endParaRPr lang="en-US" baseline="0"/>
              </a:p>
              <a:p>
                <a:pPr>
                  <a:defRPr/>
                </a:pPr>
                <a:fld id="{4B14959E-6B2C-443F-983A-04B9B9C663BA}"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9.1089071897771587E-2"/>
              <c:y val="0.11834695167780961"/>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7BDE9DC-B7CB-40D6-A035-C256F102BD9E}" type="CELLRANGE">
                  <a:rPr lang="en-US"/>
                  <a:pPr>
                    <a:defRPr/>
                  </a:pPr>
                  <a:t>[CELLRANGE]</a:t>
                </a:fld>
                <a:endParaRPr lang="en-US" baseline="0"/>
              </a:p>
              <a:p>
                <a:pPr>
                  <a:defRPr/>
                </a:pPr>
                <a:fld id="{FC38AF6B-4389-4E98-B942-020628A25671}"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2.4842474153937706E-2"/>
              <c:y val="0.1035535827180835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8EC520EE-2290-4BA0-A0F2-DD43E1CC5CB6}" type="CELLRANGE">
                  <a:rPr lang="en-US"/>
                  <a:pPr>
                    <a:defRPr/>
                  </a:pPr>
                  <a:t>[CELLRANGE]</a:t>
                </a:fld>
                <a:endParaRPr lang="en-US" baseline="0"/>
              </a:p>
              <a:p>
                <a:pPr>
                  <a:defRPr/>
                </a:pPr>
                <a:fld id="{F0851F48-E99C-4028-8B3C-A9BBF5C4E05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4.6924673401882333E-2"/>
              <c:y val="0.1849171119965777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9BFD2B99-D9EE-4C0F-B0AE-90F422E9B855}" type="CELLRANGE">
                  <a:rPr lang="en-US"/>
                  <a:pPr>
                    <a:defRPr/>
                  </a:pPr>
                  <a:t>[CELLRANGE]</a:t>
                </a:fld>
                <a:endParaRPr lang="en-US" baseline="0"/>
              </a:p>
              <a:p>
                <a:pPr>
                  <a:defRPr/>
                </a:pPr>
                <a:fld id="{CD1AAD2D-28CD-4AAA-8CB0-14EABAA9A94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6055475874653963"/>
          <c:y val="0.23345013688234409"/>
          <c:w val="0.54134946145297824"/>
          <c:h val="0.72532470425638418"/>
        </c:manualLayout>
      </c:layout>
      <c:pieChart>
        <c:varyColors val="1"/>
        <c:ser>
          <c:idx val="0"/>
          <c:order val="0"/>
          <c:tx>
            <c:strRef>
              <c:f>'GEA Reports'!$B$106:$B$113</c:f>
              <c:strCache>
                <c:ptCount val="1"/>
                <c:pt idx="0">
                  <c:v>Sum of Capacity (MW)</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F770-4D17-83EC-0BE4A93B817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770-4D17-83EC-0BE4A93B817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F770-4D17-83EC-0BE4A93B817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F770-4D17-83EC-0BE4A93B817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770-4D17-83EC-0BE4A93B817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F770-4D17-83EC-0BE4A93B817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770-4D17-83EC-0BE4A93B8176}"/>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770-4D17-83EC-0BE4A93B8176}"/>
              </c:ext>
            </c:extLst>
          </c:dPt>
          <c:dLbls>
            <c:dLbl>
              <c:idx val="0"/>
              <c:layout>
                <c:manualLayout>
                  <c:x val="6.3486322837840697E-2"/>
                  <c:y val="0.26628064127507189"/>
                </c:manualLayout>
              </c:layout>
              <c:tx>
                <c:rich>
                  <a:bodyPr/>
                  <a:lstStyle/>
                  <a:p>
                    <a:fld id="{57812ECC-5AA0-4803-A65F-B5B865741D7C}" type="CELLRANGE">
                      <a:rPr lang="en-US"/>
                      <a:pPr/>
                      <a:t>[CELLRANGE]</a:t>
                    </a:fld>
                    <a:endParaRPr lang="en-US" baseline="0"/>
                  </a:p>
                  <a:p>
                    <a:fld id="{DEB0998B-C53D-47BF-84FB-A10496779FD7}"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F770-4D17-83EC-0BE4A93B8176}"/>
                </c:ext>
              </c:extLst>
            </c:dLbl>
            <c:dLbl>
              <c:idx val="1"/>
              <c:layout>
                <c:manualLayout>
                  <c:x val="-0.18217814379554328"/>
                  <c:y val="-2.5888395679520882E-2"/>
                </c:manualLayout>
              </c:layout>
              <c:tx>
                <c:rich>
                  <a:bodyPr/>
                  <a:lstStyle/>
                  <a:p>
                    <a:fld id="{B36A5384-5B00-44A2-8F94-95FEF93DF39B}" type="CELLRANGE">
                      <a:rPr lang="en-US"/>
                      <a:pPr/>
                      <a:t>[CELLRANGE]</a:t>
                    </a:fld>
                    <a:endParaRPr lang="en-US" baseline="0"/>
                  </a:p>
                  <a:p>
                    <a:fld id="{2BA1871D-2166-4516-9156-8D463FF8070F}"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F770-4D17-83EC-0BE4A93B8176}"/>
                </c:ext>
              </c:extLst>
            </c:dLbl>
            <c:dLbl>
              <c:idx val="2"/>
              <c:layout>
                <c:manualLayout>
                  <c:x val="0.12973292058167468"/>
                  <c:y val="-0.27737566799486657"/>
                </c:manualLayout>
              </c:layout>
              <c:tx>
                <c:rich>
                  <a:bodyPr/>
                  <a:lstStyle/>
                  <a:p>
                    <a:fld id="{292A80AA-757F-416F-A2DF-4B487DDAF1F1}" type="CELLRANGE">
                      <a:rPr lang="en-US"/>
                      <a:pPr/>
                      <a:t>[CELLRANGE]</a:t>
                    </a:fld>
                    <a:endParaRPr lang="en-US" baseline="0"/>
                  </a:p>
                  <a:p>
                    <a:fld id="{4B14959E-6B2C-443F-983A-04B9B9C663BA}"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F770-4D17-83EC-0BE4A93B8176}"/>
                </c:ext>
              </c:extLst>
            </c:dLbl>
            <c:dLbl>
              <c:idx val="3"/>
              <c:layout>
                <c:manualLayout>
                  <c:x val="9.1089071897771587E-2"/>
                  <c:y val="0.11834695167780961"/>
                </c:manualLayout>
              </c:layout>
              <c:tx>
                <c:rich>
                  <a:bodyPr/>
                  <a:lstStyle/>
                  <a:p>
                    <a:fld id="{17BDE9DC-B7CB-40D6-A035-C256F102BD9E}" type="CELLRANGE">
                      <a:rPr lang="en-US"/>
                      <a:pPr/>
                      <a:t>[CELLRANGE]</a:t>
                    </a:fld>
                    <a:endParaRPr lang="en-US" baseline="0"/>
                  </a:p>
                  <a:p>
                    <a:fld id="{FC38AF6B-4389-4E98-B942-020628A25671}"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F770-4D17-83EC-0BE4A93B8176}"/>
                </c:ext>
              </c:extLst>
            </c:dLbl>
            <c:dLbl>
              <c:idx val="4"/>
              <c:layout>
                <c:manualLayout>
                  <c:x val="2.4842474153937706E-2"/>
                  <c:y val="0.10355358271808353"/>
                </c:manualLayout>
              </c:layout>
              <c:tx>
                <c:rich>
                  <a:bodyPr/>
                  <a:lstStyle/>
                  <a:p>
                    <a:fld id="{8EC520EE-2290-4BA0-A0F2-DD43E1CC5CB6}" type="CELLRANGE">
                      <a:rPr lang="en-US"/>
                      <a:pPr/>
                      <a:t>[CELLRANGE]</a:t>
                    </a:fld>
                    <a:endParaRPr lang="en-US" baseline="0"/>
                  </a:p>
                  <a:p>
                    <a:fld id="{F0851F48-E99C-4028-8B3C-A9BBF5C4E052}"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F770-4D17-83EC-0BE4A93B8176}"/>
                </c:ext>
              </c:extLst>
            </c:dLbl>
            <c:dLbl>
              <c:idx val="5"/>
              <c:layout>
                <c:manualLayout>
                  <c:x val="4.6924673401882333E-2"/>
                  <c:y val="0.18491711199657773"/>
                </c:manualLayout>
              </c:layout>
              <c:tx>
                <c:rich>
                  <a:bodyPr/>
                  <a:lstStyle/>
                  <a:p>
                    <a:fld id="{9BFD2B99-D9EE-4C0F-B0AE-90F422E9B855}" type="CELLRANGE">
                      <a:rPr lang="en-US"/>
                      <a:pPr/>
                      <a:t>[CELLRANGE]</a:t>
                    </a:fld>
                    <a:endParaRPr lang="en-US" baseline="0"/>
                  </a:p>
                  <a:p>
                    <a:fld id="{CD1AAD2D-28CD-4AAA-8CB0-14EABAA9A94E}"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E-F770-4D17-83EC-0BE4A93B8176}"/>
                </c:ext>
              </c:extLst>
            </c:dLbl>
            <c:dLbl>
              <c:idx val="6"/>
              <c:layout>
                <c:manualLayout>
                  <c:x val="-5.5205498119861567E-3"/>
                  <c:y val="0.14423534735733062"/>
                </c:manualLayout>
              </c:layout>
              <c:tx>
                <c:rich>
                  <a:bodyPr/>
                  <a:lstStyle/>
                  <a:p>
                    <a:fld id="{C194EE69-E41D-40AA-8FA3-3FF94DB04D63}" type="CELLRANGE">
                      <a:rPr lang="en-US"/>
                      <a:pPr/>
                      <a:t>[CELLRANGE]</a:t>
                    </a:fld>
                    <a:endParaRPr lang="en-US" baseline="0"/>
                  </a:p>
                  <a:p>
                    <a:fld id="{95116AC3-35FB-46E3-9708-190A2B95B16A}"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F770-4D17-83EC-0BE4A93B8176}"/>
                </c:ext>
              </c:extLst>
            </c:dLbl>
            <c:dLbl>
              <c:idx val="7"/>
              <c:layout>
                <c:manualLayout>
                  <c:x val="-1.93219243419516E-2"/>
                  <c:y val="0.34024748607370292"/>
                </c:manualLayout>
              </c:layout>
              <c:tx>
                <c:rich>
                  <a:bodyPr/>
                  <a:lstStyle/>
                  <a:p>
                    <a:fld id="{6DC1E52C-79E7-406F-B1F6-6449ECB3D8C7}" type="CELLRANGE">
                      <a:rPr lang="en-US"/>
                      <a:pPr/>
                      <a:t>[CELLRANGE]</a:t>
                    </a:fld>
                    <a:endParaRPr lang="en-US" baseline="0"/>
                  </a:p>
                  <a:p>
                    <a:fld id="{F3A0EDC3-5B3E-4017-B6A6-DA95008E5626}"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F770-4D17-83EC-0BE4A93B8176}"/>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multiLvlStrRef>
              <c:f>'GEA Reports'!$B$106:$B$113</c:f>
              <c:multiLvlStrCache>
                <c:ptCount val="8"/>
                <c:lvl>
                  <c:pt idx="0">
                    <c:v>Solar</c:v>
                  </c:pt>
                  <c:pt idx="1">
                    <c:v>Roof Mounted Solar</c:v>
                  </c:pt>
                  <c:pt idx="2">
                    <c:v>Ground Mounted Solar</c:v>
                  </c:pt>
                  <c:pt idx="3">
                    <c:v>IRESS</c:v>
                  </c:pt>
                  <c:pt idx="4">
                    <c:v>Hydro</c:v>
                  </c:pt>
                  <c:pt idx="5">
                    <c:v>Onshore Wind</c:v>
                  </c:pt>
                  <c:pt idx="6">
                    <c:v>Biomass</c:v>
                  </c:pt>
                  <c:pt idx="7">
                    <c:v>Geothermal</c:v>
                  </c:pt>
                </c:lvl>
                <c:lvl>
                  <c:pt idx="0">
                    <c:v>Mindanao</c:v>
                  </c:pt>
                </c:lvl>
              </c:multiLvlStrCache>
            </c:multiLvlStrRef>
          </c:cat>
          <c:val>
            <c:numRef>
              <c:f>'GEA Reports'!$B$106:$B$113</c:f>
              <c:numCache>
                <c:formatCode>#,##0.000_);[Red]\(#,##0.000\)</c:formatCode>
                <c:ptCount val="8"/>
                <c:pt idx="0">
                  <c:v>120</c:v>
                </c:pt>
                <c:pt idx="1">
                  <c:v>0.18</c:v>
                </c:pt>
                <c:pt idx="2">
                  <c:v>383</c:v>
                </c:pt>
                <c:pt idx="3">
                  <c:v>166.78</c:v>
                </c:pt>
                <c:pt idx="4">
                  <c:v>19.149999999999999</c:v>
                </c:pt>
                <c:pt idx="5">
                  <c:v>151</c:v>
                </c:pt>
                <c:pt idx="6">
                  <c:v>3.4</c:v>
                </c:pt>
                <c:pt idx="7">
                  <c:v>3.669</c:v>
                </c:pt>
              </c:numCache>
            </c:numRef>
          </c:val>
          <c:extLst>
            <c:ext xmlns:c15="http://schemas.microsoft.com/office/drawing/2012/chart" uri="{02D57815-91ED-43cb-92C2-25804820EDAC}">
              <c15:datalabelsRange>
                <c15:f>'GEA Reports'!$B$106:$B$113</c15:f>
                <c15:dlblRangeCache>
                  <c:ptCount val="8"/>
                  <c:pt idx="0">
                    <c:v>Solar</c:v>
                  </c:pt>
                  <c:pt idx="1">
                    <c:v>Roof Mounted Solar</c:v>
                  </c:pt>
                  <c:pt idx="2">
                    <c:v>Ground Mounted Solar</c:v>
                  </c:pt>
                  <c:pt idx="3">
                    <c:v>IRESS</c:v>
                  </c:pt>
                  <c:pt idx="4">
                    <c:v>Hydro</c:v>
                  </c:pt>
                  <c:pt idx="5">
                    <c:v>Onshore Wind</c:v>
                  </c:pt>
                  <c:pt idx="6">
                    <c:v>Biomass</c:v>
                  </c:pt>
                  <c:pt idx="7">
                    <c:v>Geothermal</c:v>
                  </c:pt>
                </c15:dlblRangeCache>
              </c15:datalabelsRange>
            </c:ext>
            <c:ext xmlns:c16="http://schemas.microsoft.com/office/drawing/2014/chart" uri="{C3380CC4-5D6E-409C-BE32-E72D297353CC}">
              <c16:uniqueId val="{00000000-F770-4D17-83EC-0BE4A93B8176}"/>
            </c:ext>
          </c:extLst>
        </c:ser>
        <c:ser>
          <c:idx val="1"/>
          <c:order val="1"/>
          <c:tx>
            <c:strRef>
              <c:f>'GEA Reports'!$B$106:$B$113</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6CCF-4612-96D3-D68037CBF9C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6CCF-4612-96D3-D68037CBF9C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6CCF-4612-96D3-D68037CBF9C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6CCF-4612-96D3-D68037CBF9C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6CCF-4612-96D3-D68037CBF9C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6CCF-4612-96D3-D68037CBF9C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6CCF-4612-96D3-D68037CBF9C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6CCF-4612-96D3-D68037CBF9C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Reports'!$B$106:$B$113</c:f>
              <c:multiLvlStrCache>
                <c:ptCount val="8"/>
                <c:lvl>
                  <c:pt idx="0">
                    <c:v>Solar</c:v>
                  </c:pt>
                  <c:pt idx="1">
                    <c:v>Roof Mounted Solar</c:v>
                  </c:pt>
                  <c:pt idx="2">
                    <c:v>Ground Mounted Solar</c:v>
                  </c:pt>
                  <c:pt idx="3">
                    <c:v>IRESS</c:v>
                  </c:pt>
                  <c:pt idx="4">
                    <c:v>Hydro</c:v>
                  </c:pt>
                  <c:pt idx="5">
                    <c:v>Onshore Wind</c:v>
                  </c:pt>
                  <c:pt idx="6">
                    <c:v>Biomass</c:v>
                  </c:pt>
                  <c:pt idx="7">
                    <c:v>Geothermal</c:v>
                  </c:pt>
                </c:lvl>
                <c:lvl>
                  <c:pt idx="0">
                    <c:v>Mindanao</c:v>
                  </c:pt>
                </c:lvl>
              </c:multiLvlStrCache>
            </c:multiLvlStrRef>
          </c:cat>
          <c:val>
            <c:numRef>
              <c:f>'GEA Reports'!$B$106:$B$113</c:f>
              <c:numCache>
                <c:formatCode>General</c:formatCode>
                <c:ptCount val="8"/>
                <c:pt idx="0">
                  <c:v>1</c:v>
                </c:pt>
                <c:pt idx="1">
                  <c:v>2</c:v>
                </c:pt>
                <c:pt idx="2">
                  <c:v>8</c:v>
                </c:pt>
                <c:pt idx="3">
                  <c:v>4</c:v>
                </c:pt>
                <c:pt idx="4">
                  <c:v>4</c:v>
                </c:pt>
                <c:pt idx="5">
                  <c:v>2</c:v>
                </c:pt>
                <c:pt idx="6">
                  <c:v>1</c:v>
                </c:pt>
                <c:pt idx="7">
                  <c:v>1</c:v>
                </c:pt>
              </c:numCache>
            </c:numRef>
          </c:val>
          <c:extLst>
            <c:ext xmlns:c16="http://schemas.microsoft.com/office/drawing/2014/chart" uri="{C3380CC4-5D6E-409C-BE32-E72D297353CC}">
              <c16:uniqueId val="{00000001-F770-4D17-83EC-0BE4A93B8176}"/>
            </c:ext>
          </c:extLst>
        </c:ser>
        <c:ser>
          <c:idx val="2"/>
          <c:order val="2"/>
          <c:tx>
            <c:strRef>
              <c:f>'GEA Reports'!$B$106:$B$113</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6CCF-4612-96D3-D68037CBF9C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6CCF-4612-96D3-D68037CBF9C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6CCF-4612-96D3-D68037CBF9C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6CCF-4612-96D3-D68037CBF9C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6CCF-4612-96D3-D68037CBF9C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6CCF-4612-96D3-D68037CBF9C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6CCF-4612-96D3-D68037CBF9C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6CCF-4612-96D3-D68037CBF9C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Reports'!$B$106:$B$113</c:f>
              <c:multiLvlStrCache>
                <c:ptCount val="8"/>
                <c:lvl>
                  <c:pt idx="0">
                    <c:v>Solar</c:v>
                  </c:pt>
                  <c:pt idx="1">
                    <c:v>Roof Mounted Solar</c:v>
                  </c:pt>
                  <c:pt idx="2">
                    <c:v>Ground Mounted Solar</c:v>
                  </c:pt>
                  <c:pt idx="3">
                    <c:v>IRESS</c:v>
                  </c:pt>
                  <c:pt idx="4">
                    <c:v>Hydro</c:v>
                  </c:pt>
                  <c:pt idx="5">
                    <c:v>Onshore Wind</c:v>
                  </c:pt>
                  <c:pt idx="6">
                    <c:v>Biomass</c:v>
                  </c:pt>
                  <c:pt idx="7">
                    <c:v>Geothermal</c:v>
                  </c:pt>
                </c:lvl>
                <c:lvl>
                  <c:pt idx="0">
                    <c:v>Mindanao</c:v>
                  </c:pt>
                </c:lvl>
              </c:multiLvlStrCache>
            </c:multiLvlStrRef>
          </c:cat>
          <c:val>
            <c:numRef>
              <c:f>'GEA Reports'!$B$106:$B$113</c:f>
              <c:numCache>
                <c:formatCode>0%</c:formatCode>
                <c:ptCount val="8"/>
                <c:pt idx="0">
                  <c:v>0.14164657055946853</c:v>
                </c:pt>
                <c:pt idx="1">
                  <c:v>2.1246985583920277E-4</c:v>
                </c:pt>
                <c:pt idx="2">
                  <c:v>0.45208863770230373</c:v>
                </c:pt>
                <c:pt idx="3">
                  <c:v>0.19686512531590133</c:v>
                </c:pt>
                <c:pt idx="4">
                  <c:v>2.2604431885115184E-2</c:v>
                </c:pt>
                <c:pt idx="5">
                  <c:v>0.17823860128733124</c:v>
                </c:pt>
                <c:pt idx="6">
                  <c:v>4.0133194991849412E-3</c:v>
                </c:pt>
                <c:pt idx="7">
                  <c:v>4.3308438948557503E-3</c:v>
                </c:pt>
              </c:numCache>
            </c:numRef>
          </c:val>
          <c:extLst>
            <c:ext xmlns:c16="http://schemas.microsoft.com/office/drawing/2014/chart" uri="{C3380CC4-5D6E-409C-BE32-E72D297353CC}">
              <c16:uniqueId val="{00000002-F770-4D17-83EC-0BE4A93B817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GEA-1</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'GEA Reports'!$C$122</c:f>
              <c:strCache>
                <c:ptCount val="1"/>
                <c:pt idx="0">
                  <c:v>Targeted</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Reports'!$B$123:$B$126</c:f>
              <c:strCache>
                <c:ptCount val="4"/>
                <c:pt idx="0">
                  <c:v>Biomass</c:v>
                </c:pt>
                <c:pt idx="1">
                  <c:v>Hydro</c:v>
                </c:pt>
                <c:pt idx="2">
                  <c:v>Solar</c:v>
                </c:pt>
                <c:pt idx="3">
                  <c:v>Wind</c:v>
                </c:pt>
              </c:strCache>
            </c:strRef>
          </c:cat>
          <c:val>
            <c:numRef>
              <c:f>'GEA Reports'!$C$123:$C$126</c:f>
              <c:numCache>
                <c:formatCode>#,##0_);\(#,##0\)</c:formatCode>
                <c:ptCount val="4"/>
                <c:pt idx="0">
                  <c:v>230</c:v>
                </c:pt>
                <c:pt idx="1">
                  <c:v>130</c:v>
                </c:pt>
                <c:pt idx="2">
                  <c:v>1260</c:v>
                </c:pt>
                <c:pt idx="3">
                  <c:v>380</c:v>
                </c:pt>
              </c:numCache>
            </c:numRef>
          </c:val>
          <c:extLst>
            <c:ext xmlns:c16="http://schemas.microsoft.com/office/drawing/2014/chart" uri="{C3380CC4-5D6E-409C-BE32-E72D297353CC}">
              <c16:uniqueId val="{00000000-3E6D-4174-BE97-1BD63B70AE8A}"/>
            </c:ext>
          </c:extLst>
        </c:ser>
        <c:ser>
          <c:idx val="1"/>
          <c:order val="1"/>
          <c:tx>
            <c:strRef>
              <c:f>'GEA Reports'!$D$122</c:f>
              <c:strCache>
                <c:ptCount val="1"/>
                <c:pt idx="0">
                  <c:v>Awarded</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Reports'!$B$123:$B$126</c:f>
              <c:strCache>
                <c:ptCount val="4"/>
                <c:pt idx="0">
                  <c:v>Biomass</c:v>
                </c:pt>
                <c:pt idx="1">
                  <c:v>Hydro</c:v>
                </c:pt>
                <c:pt idx="2">
                  <c:v>Solar</c:v>
                </c:pt>
                <c:pt idx="3">
                  <c:v>Wind</c:v>
                </c:pt>
              </c:strCache>
            </c:strRef>
          </c:cat>
          <c:val>
            <c:numRef>
              <c:f>'GEA Reports'!$D$123:$D$126</c:f>
              <c:numCache>
                <c:formatCode>#,##0_);\(#,##0\)</c:formatCode>
                <c:ptCount val="4"/>
                <c:pt idx="0">
                  <c:v>3.4</c:v>
                </c:pt>
                <c:pt idx="1">
                  <c:v>99.15</c:v>
                </c:pt>
                <c:pt idx="2">
                  <c:v>1490.38</c:v>
                </c:pt>
                <c:pt idx="3">
                  <c:v>374</c:v>
                </c:pt>
              </c:numCache>
            </c:numRef>
          </c:val>
          <c:extLst>
            <c:ext xmlns:c16="http://schemas.microsoft.com/office/drawing/2014/chart" uri="{C3380CC4-5D6E-409C-BE32-E72D297353CC}">
              <c16:uniqueId val="{00000001-3E6D-4174-BE97-1BD63B70AE8A}"/>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GEA-2</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Targeted</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Reports'!$B$128:$B$133</c:f>
              <c:strCache>
                <c:ptCount val="6"/>
                <c:pt idx="0">
                  <c:v>Floating Solar</c:v>
                </c:pt>
                <c:pt idx="1">
                  <c:v>Ground Mounted Solar</c:v>
                </c:pt>
                <c:pt idx="2">
                  <c:v>Onshore Wind</c:v>
                </c:pt>
                <c:pt idx="3">
                  <c:v>Roof Mounted Solar</c:v>
                </c:pt>
                <c:pt idx="4">
                  <c:v>Biomass</c:v>
                </c:pt>
                <c:pt idx="5">
                  <c:v>Biomass WTE</c:v>
                </c:pt>
              </c:strCache>
            </c:strRef>
          </c:cat>
          <c:val>
            <c:numRef>
              <c:f>'GEA Reports'!$C$128:$C$133</c:f>
              <c:numCache>
                <c:formatCode>#,##0_);\(#,##0\)</c:formatCode>
                <c:ptCount val="6"/>
                <c:pt idx="0">
                  <c:v>300</c:v>
                </c:pt>
                <c:pt idx="1">
                  <c:v>6715</c:v>
                </c:pt>
                <c:pt idx="2">
                  <c:v>3720</c:v>
                </c:pt>
                <c:pt idx="3">
                  <c:v>605</c:v>
                </c:pt>
                <c:pt idx="4">
                  <c:v>230</c:v>
                </c:pt>
                <c:pt idx="5">
                  <c:v>30</c:v>
                </c:pt>
              </c:numCache>
            </c:numRef>
          </c:val>
          <c:extLst>
            <c:ext xmlns:c16="http://schemas.microsoft.com/office/drawing/2014/chart" uri="{C3380CC4-5D6E-409C-BE32-E72D297353CC}">
              <c16:uniqueId val="{00000000-97C8-4444-8C9A-5747042B1C28}"/>
            </c:ext>
          </c:extLst>
        </c:ser>
        <c:ser>
          <c:idx val="1"/>
          <c:order val="1"/>
          <c:tx>
            <c:v>Awarded</c:v>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Reports'!$B$128:$B$133</c:f>
              <c:strCache>
                <c:ptCount val="6"/>
                <c:pt idx="0">
                  <c:v>Floating Solar</c:v>
                </c:pt>
                <c:pt idx="1">
                  <c:v>Ground Mounted Solar</c:v>
                </c:pt>
                <c:pt idx="2">
                  <c:v>Onshore Wind</c:v>
                </c:pt>
                <c:pt idx="3">
                  <c:v>Roof Mounted Solar</c:v>
                </c:pt>
                <c:pt idx="4">
                  <c:v>Biomass</c:v>
                </c:pt>
                <c:pt idx="5">
                  <c:v>Biomass WTE</c:v>
                </c:pt>
              </c:strCache>
            </c:strRef>
          </c:cat>
          <c:val>
            <c:numRef>
              <c:f>'GEA Reports'!$D$128:$D$133</c:f>
              <c:numCache>
                <c:formatCode>#,##0_);\(#,##0\)</c:formatCode>
                <c:ptCount val="6"/>
                <c:pt idx="0">
                  <c:v>90</c:v>
                </c:pt>
                <c:pt idx="1">
                  <c:v>1908.9819999999997</c:v>
                </c:pt>
                <c:pt idx="2">
                  <c:v>1462.384</c:v>
                </c:pt>
                <c:pt idx="3">
                  <c:v>9.3899999999999988</c:v>
                </c:pt>
                <c:pt idx="4">
                  <c:v>0</c:v>
                </c:pt>
                <c:pt idx="5">
                  <c:v>0</c:v>
                </c:pt>
              </c:numCache>
            </c:numRef>
          </c:val>
          <c:extLst>
            <c:ext xmlns:c16="http://schemas.microsoft.com/office/drawing/2014/chart" uri="{C3380CC4-5D6E-409C-BE32-E72D297353CC}">
              <c16:uniqueId val="{00000003-97C8-4444-8C9A-5747042B1C28}"/>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GEA-3</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Targeted</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Reports'!$B$135:$B$137</c:f>
              <c:strCache>
                <c:ptCount val="3"/>
                <c:pt idx="0">
                  <c:v>Geothermal</c:v>
                </c:pt>
                <c:pt idx="1">
                  <c:v>Impounding Hydro</c:v>
                </c:pt>
                <c:pt idx="2">
                  <c:v>Pumped Storage Hydro</c:v>
                </c:pt>
              </c:strCache>
            </c:strRef>
          </c:cat>
          <c:val>
            <c:numRef>
              <c:f>'GEA Reports'!$C$135:$C$137</c:f>
              <c:numCache>
                <c:formatCode>#,##0_);\(#,##0\)</c:formatCode>
                <c:ptCount val="3"/>
                <c:pt idx="0">
                  <c:v>100</c:v>
                </c:pt>
                <c:pt idx="1">
                  <c:v>300</c:v>
                </c:pt>
                <c:pt idx="2">
                  <c:v>4250</c:v>
                </c:pt>
              </c:numCache>
            </c:numRef>
          </c:val>
          <c:extLst>
            <c:ext xmlns:c16="http://schemas.microsoft.com/office/drawing/2014/chart" uri="{C3380CC4-5D6E-409C-BE32-E72D297353CC}">
              <c16:uniqueId val="{00000000-448F-4D6C-8DC4-D211F5665483}"/>
            </c:ext>
          </c:extLst>
        </c:ser>
        <c:ser>
          <c:idx val="1"/>
          <c:order val="1"/>
          <c:tx>
            <c:v>Awarded</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Reports'!$B$135:$B$137</c:f>
              <c:strCache>
                <c:ptCount val="3"/>
                <c:pt idx="0">
                  <c:v>Geothermal</c:v>
                </c:pt>
                <c:pt idx="1">
                  <c:v>Impounding Hydro</c:v>
                </c:pt>
                <c:pt idx="2">
                  <c:v>Pumped Storage Hydro</c:v>
                </c:pt>
              </c:strCache>
            </c:strRef>
          </c:cat>
          <c:val>
            <c:numRef>
              <c:f>'GEA Reports'!$D$135:$D$137</c:f>
              <c:numCache>
                <c:formatCode>#,##0_);\(#,##0\)</c:formatCode>
                <c:ptCount val="3"/>
                <c:pt idx="0">
                  <c:v>30.887</c:v>
                </c:pt>
                <c:pt idx="1">
                  <c:v>300</c:v>
                </c:pt>
                <c:pt idx="2">
                  <c:v>6350</c:v>
                </c:pt>
              </c:numCache>
            </c:numRef>
          </c:val>
          <c:extLst>
            <c:ext xmlns:c16="http://schemas.microsoft.com/office/drawing/2014/chart" uri="{C3380CC4-5D6E-409C-BE32-E72D297353CC}">
              <c16:uniqueId val="{00000001-448F-4D6C-8DC4-D211F5665483}"/>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GEA-4</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Targeted</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Reports'!$B$139:$B$143</c:f>
              <c:strCache>
                <c:ptCount val="5"/>
                <c:pt idx="0">
                  <c:v>Floating Solar</c:v>
                </c:pt>
                <c:pt idx="1">
                  <c:v>Ground Mounted Solar</c:v>
                </c:pt>
                <c:pt idx="2">
                  <c:v>IRESS</c:v>
                </c:pt>
                <c:pt idx="3">
                  <c:v>Onshore Wind</c:v>
                </c:pt>
                <c:pt idx="4">
                  <c:v>Roof Mounted Solar</c:v>
                </c:pt>
              </c:strCache>
            </c:strRef>
          </c:cat>
          <c:val>
            <c:numRef>
              <c:f>'GEA Reports'!$C$139:$C$143</c:f>
              <c:numCache>
                <c:formatCode>#,##0_);\(#,##0\)</c:formatCode>
                <c:ptCount val="5"/>
                <c:pt idx="0">
                  <c:v>3175</c:v>
                </c:pt>
                <c:pt idx="1">
                  <c:v>3970</c:v>
                </c:pt>
                <c:pt idx="2">
                  <c:v>1100</c:v>
                </c:pt>
                <c:pt idx="3">
                  <c:v>2390</c:v>
                </c:pt>
                <c:pt idx="4">
                  <c:v>48</c:v>
                </c:pt>
              </c:numCache>
            </c:numRef>
          </c:val>
          <c:extLst>
            <c:ext xmlns:c16="http://schemas.microsoft.com/office/drawing/2014/chart" uri="{C3380CC4-5D6E-409C-BE32-E72D297353CC}">
              <c16:uniqueId val="{00000000-248D-44A3-81CA-FC61589C2EC7}"/>
            </c:ext>
          </c:extLst>
        </c:ser>
        <c:ser>
          <c:idx val="1"/>
          <c:order val="1"/>
          <c:tx>
            <c:v>Awarded</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Reports'!$B$139:$B$143</c:f>
              <c:strCache>
                <c:ptCount val="5"/>
                <c:pt idx="0">
                  <c:v>Floating Solar</c:v>
                </c:pt>
                <c:pt idx="1">
                  <c:v>Ground Mounted Solar</c:v>
                </c:pt>
                <c:pt idx="2">
                  <c:v>IRESS</c:v>
                </c:pt>
                <c:pt idx="3">
                  <c:v>Onshore Wind</c:v>
                </c:pt>
                <c:pt idx="4">
                  <c:v>Roof Mounted Solar</c:v>
                </c:pt>
              </c:strCache>
            </c:strRef>
          </c:cat>
          <c:val>
            <c:numRef>
              <c:f>'GEA Reports'!$D$139:$D$143</c:f>
              <c:numCache>
                <c:formatCode>#,##0_);\(#,##0\)</c:formatCode>
                <c:ptCount val="5"/>
                <c:pt idx="0">
                  <c:v>2284</c:v>
                </c:pt>
                <c:pt idx="1">
                  <c:v>4179.0830000000005</c:v>
                </c:pt>
                <c:pt idx="2">
                  <c:v>1189.2900000000002</c:v>
                </c:pt>
                <c:pt idx="3">
                  <c:v>2518.29</c:v>
                </c:pt>
                <c:pt idx="4">
                  <c:v>24.819000000000003</c:v>
                </c:pt>
              </c:numCache>
            </c:numRef>
          </c:val>
          <c:extLst>
            <c:ext xmlns:c16="http://schemas.microsoft.com/office/drawing/2014/chart" uri="{C3380CC4-5D6E-409C-BE32-E72D297353CC}">
              <c16:uniqueId val="{00000001-248D-44A3-81CA-FC61589C2EC7}"/>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312872910575593E-2"/>
          <c:y val="4.2918722977377435E-2"/>
          <c:w val="0.95475873827491053"/>
          <c:h val="0.9384384052266832"/>
        </c:manualLayout>
      </c:layout>
      <c:pieChart>
        <c:varyColors val="1"/>
        <c:ser>
          <c:idx val="0"/>
          <c:order val="0"/>
          <c:dPt>
            <c:idx val="0"/>
            <c:bubble3D val="0"/>
            <c:spPr>
              <a:solidFill>
                <a:schemeClr val="tx1"/>
              </a:solidFill>
            </c:spPr>
            <c:extLst>
              <c:ext xmlns:c16="http://schemas.microsoft.com/office/drawing/2014/chart" uri="{C3380CC4-5D6E-409C-BE32-E72D297353CC}">
                <c16:uniqueId val="{00000001-7983-4063-9EB4-49C128722119}"/>
              </c:ext>
            </c:extLst>
          </c:dPt>
          <c:dPt>
            <c:idx val="1"/>
            <c:bubble3D val="0"/>
            <c:spPr>
              <a:solidFill>
                <a:srgbClr val="C00000"/>
              </a:solidFill>
            </c:spPr>
            <c:extLst>
              <c:ext xmlns:c16="http://schemas.microsoft.com/office/drawing/2014/chart" uri="{C3380CC4-5D6E-409C-BE32-E72D297353CC}">
                <c16:uniqueId val="{00000003-7983-4063-9EB4-49C128722119}"/>
              </c:ext>
            </c:extLst>
          </c:dPt>
          <c:dPt>
            <c:idx val="2"/>
            <c:bubble3D val="0"/>
            <c:spPr>
              <a:solidFill>
                <a:schemeClr val="bg1">
                  <a:lumMod val="50000"/>
                </a:schemeClr>
              </a:solidFill>
            </c:spPr>
            <c:extLst>
              <c:ext xmlns:c16="http://schemas.microsoft.com/office/drawing/2014/chart" uri="{C3380CC4-5D6E-409C-BE32-E72D297353CC}">
                <c16:uniqueId val="{00000005-7983-4063-9EB4-49C128722119}"/>
              </c:ext>
            </c:extLst>
          </c:dPt>
          <c:dPt>
            <c:idx val="3"/>
            <c:bubble3D val="0"/>
            <c:spPr>
              <a:solidFill>
                <a:schemeClr val="tx2"/>
              </a:solidFill>
            </c:spPr>
            <c:extLst>
              <c:ext xmlns:c16="http://schemas.microsoft.com/office/drawing/2014/chart" uri="{C3380CC4-5D6E-409C-BE32-E72D297353CC}">
                <c16:uniqueId val="{00000007-7983-4063-9EB4-49C128722119}"/>
              </c:ext>
            </c:extLst>
          </c:dPt>
          <c:dLbls>
            <c:dLbl>
              <c:idx val="0"/>
              <c:layout>
                <c:manualLayout>
                  <c:x val="-0.26189276413386797"/>
                  <c:y val="-6.9790951537512663E-2"/>
                </c:manualLayout>
              </c:layout>
              <c:tx>
                <c:rich>
                  <a:bodyPr/>
                  <a:lstStyle/>
                  <a:p>
                    <a:r>
                      <a:rPr lang="en-US" sz="800">
                        <a:solidFill>
                          <a:schemeClr val="bg1"/>
                        </a:solidFill>
                      </a:rPr>
                      <a:t>Wind</a:t>
                    </a:r>
                    <a:br>
                      <a:rPr lang="en-US" sz="800">
                        <a:solidFill>
                          <a:schemeClr val="bg1"/>
                        </a:solidFill>
                      </a:rPr>
                    </a:br>
                    <a:r>
                      <a:rPr lang="en-US" sz="800">
                        <a:solidFill>
                          <a:schemeClr val="bg1"/>
                        </a:solidFill>
                      </a:rPr>
                      <a:t>39%</a:t>
                    </a:r>
                    <a:endParaRPr lang="en-US">
                      <a:solidFill>
                        <a:schemeClr val="bg1"/>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983-4063-9EB4-49C128722119}"/>
                </c:ext>
              </c:extLst>
            </c:dLbl>
            <c:dLbl>
              <c:idx val="1"/>
              <c:layout>
                <c:manualLayout>
                  <c:x val="-0.4364252828626824"/>
                  <c:y val="-0.3001551569655046"/>
                </c:manualLayout>
              </c:layout>
              <c:tx>
                <c:rich>
                  <a:bodyPr/>
                  <a:lstStyle/>
                  <a:p>
                    <a:r>
                      <a:rPr lang="en-US" sz="800"/>
                      <a:t>Solar</a:t>
                    </a:r>
                  </a:p>
                  <a:p>
                    <a:r>
                      <a:rPr lang="en-US" sz="800"/>
                      <a:t>44%</a:t>
                    </a:r>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983-4063-9EB4-49C128722119}"/>
                </c:ext>
              </c:extLst>
            </c:dLbl>
            <c:dLbl>
              <c:idx val="2"/>
              <c:layout>
                <c:manualLayout>
                  <c:x val="0.63084136480085995"/>
                  <c:y val="-0.28930053001008799"/>
                </c:manualLayout>
              </c:layout>
              <c:tx>
                <c:rich>
                  <a:bodyPr/>
                  <a:lstStyle/>
                  <a:p>
                    <a:r>
                      <a:rPr lang="en-US" sz="800"/>
                      <a:t>Biomass</a:t>
                    </a:r>
                  </a:p>
                  <a:p>
                    <a:r>
                      <a:rPr lang="en-US" sz="800"/>
                      <a:t>12%</a:t>
                    </a:r>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983-4063-9EB4-49C128722119}"/>
                </c:ext>
              </c:extLst>
            </c:dLbl>
            <c:dLbl>
              <c:idx val="3"/>
              <c:layout>
                <c:manualLayout>
                  <c:x val="0.1826819468259635"/>
                  <c:y val="0.20670096601006591"/>
                </c:manualLayout>
              </c:layout>
              <c:tx>
                <c:rich>
                  <a:bodyPr/>
                  <a:lstStyle/>
                  <a:p>
                    <a:r>
                      <a:rPr lang="en-US" sz="800">
                        <a:solidFill>
                          <a:schemeClr val="bg1"/>
                        </a:solidFill>
                      </a:rPr>
                      <a:t>ROR </a:t>
                    </a:r>
                  </a:p>
                  <a:p>
                    <a:r>
                      <a:rPr lang="en-US" sz="800">
                        <a:solidFill>
                          <a:schemeClr val="bg1"/>
                        </a:solidFill>
                      </a:rPr>
                      <a:t>Hydro</a:t>
                    </a:r>
                  </a:p>
                  <a:p>
                    <a:r>
                      <a:rPr lang="en-US" sz="800">
                        <a:solidFill>
                          <a:schemeClr val="bg1"/>
                        </a:solidFill>
                      </a:rPr>
                      <a:t>4%</a:t>
                    </a:r>
                    <a:endParaRPr lang="en-US">
                      <a:solidFill>
                        <a:schemeClr val="bg1"/>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983-4063-9EB4-49C128722119}"/>
                </c:ext>
              </c:extLst>
            </c:dLbl>
            <c:dLbl>
              <c:idx val="4"/>
              <c:layout>
                <c:manualLayout>
                  <c:x val="-5.9140201224846894E-2"/>
                  <c:y val="1.8936278798483523E-2"/>
                </c:manualLayout>
              </c:layout>
              <c:tx>
                <c:rich>
                  <a:bodyPr/>
                  <a:lstStyle/>
                  <a:p>
                    <a:r>
                      <a:rPr lang="en-US" sz="800">
                        <a:solidFill>
                          <a:sysClr val="windowText" lastClr="000000"/>
                        </a:solidFill>
                      </a:rPr>
                      <a:t>Wind</a:t>
                    </a:r>
                  </a:p>
                  <a:p>
                    <a:r>
                      <a:rPr lang="en-US" sz="800">
                        <a:solidFill>
                          <a:sysClr val="windowText" lastClr="000000"/>
                        </a:solidFill>
                      </a:rPr>
                      <a:t>5%</a:t>
                    </a:r>
                    <a:endParaRPr lang="en-US">
                      <a:solidFill>
                        <a:sysClr val="windowText" lastClr="000000"/>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7983-4063-9EB4-49C128722119}"/>
                </c:ext>
              </c:extLst>
            </c:dLbl>
            <c:dLbl>
              <c:idx val="5"/>
              <c:layout>
                <c:manualLayout>
                  <c:x val="-9.4453630796150476E-2"/>
                  <c:y val="1.1845532979673638E-2"/>
                </c:manualLayout>
              </c:layout>
              <c:tx>
                <c:rich>
                  <a:bodyPr/>
                  <a:lstStyle/>
                  <a:p>
                    <a:r>
                      <a:rPr lang="en-US" sz="800">
                        <a:solidFill>
                          <a:sysClr val="windowText" lastClr="000000"/>
                        </a:solidFill>
                      </a:rPr>
                      <a:t>Solar</a:t>
                    </a:r>
                  </a:p>
                  <a:p>
                    <a:r>
                      <a:rPr lang="en-US" sz="800">
                        <a:solidFill>
                          <a:sysClr val="windowText" lastClr="000000"/>
                        </a:solidFill>
                      </a:rPr>
                      <a:t>3%</a:t>
                    </a:r>
                    <a:endParaRPr lang="en-US">
                      <a:solidFill>
                        <a:sysClr val="windowText" lastClr="000000"/>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983-4063-9EB4-49C128722119}"/>
                </c:ext>
              </c:extLst>
            </c:dLbl>
            <c:dLbl>
              <c:idx val="6"/>
              <c:layout>
                <c:manualLayout>
                  <c:x val="-5.0755468066491685E-2"/>
                  <c:y val="-4.601709422389441E-3"/>
                </c:manualLayout>
              </c:layout>
              <c:tx>
                <c:rich>
                  <a:bodyPr/>
                  <a:lstStyle/>
                  <a:p>
                    <a:r>
                      <a:rPr lang="en-US" sz="800">
                        <a:solidFill>
                          <a:sysClr val="windowText" lastClr="000000"/>
                        </a:solidFill>
                      </a:rPr>
                      <a:t>Biomass</a:t>
                    </a:r>
                  </a:p>
                  <a:p>
                    <a:r>
                      <a:rPr lang="en-US" sz="800">
                        <a:solidFill>
                          <a:sysClr val="windowText" lastClr="000000"/>
                        </a:solidFill>
                      </a:rPr>
                      <a:t>2%</a:t>
                    </a:r>
                    <a:endParaRPr lang="en-US">
                      <a:solidFill>
                        <a:sysClr val="windowText" lastClr="000000"/>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7983-4063-9EB4-49C128722119}"/>
                </c:ext>
              </c:extLst>
            </c:dLbl>
            <c:spPr>
              <a:noFill/>
              <a:ln>
                <a:noFill/>
              </a:ln>
              <a:effectLst/>
            </c:spPr>
            <c:txPr>
              <a:bodyPr/>
              <a:lstStyle/>
              <a:p>
                <a:pPr>
                  <a:defRPr sz="800">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graph!$A$6:$A$14</c:f>
              <c:strCache>
                <c:ptCount val="9"/>
                <c:pt idx="0">
                  <c:v>WIND</c:v>
                </c:pt>
                <c:pt idx="1">
                  <c:v>SOLAR</c:v>
                </c:pt>
                <c:pt idx="2">
                  <c:v>BIOMASS</c:v>
                </c:pt>
                <c:pt idx="3">
                  <c:v>HYDRO</c:v>
                </c:pt>
                <c:pt idx="4">
                  <c:v>WIND</c:v>
                </c:pt>
                <c:pt idx="5">
                  <c:v>SOLAR</c:v>
                </c:pt>
                <c:pt idx="6">
                  <c:v>BIOMASS</c:v>
                </c:pt>
                <c:pt idx="8">
                  <c:v>HYDRO</c:v>
                </c:pt>
              </c:strCache>
            </c:strRef>
          </c:cat>
          <c:val>
            <c:numRef>
              <c:f>graph!$L$15:$L$18</c:f>
              <c:numCache>
                <c:formatCode>0%</c:formatCode>
                <c:ptCount val="4"/>
                <c:pt idx="0">
                  <c:v>0.42886090235206609</c:v>
                </c:pt>
                <c:pt idx="1">
                  <c:v>0</c:v>
                </c:pt>
                <c:pt idx="2">
                  <c:v>0.39159206915125561</c:v>
                </c:pt>
                <c:pt idx="3">
                  <c:v>0.17954702849667839</c:v>
                </c:pt>
              </c:numCache>
            </c:numRef>
          </c:val>
          <c:extLst>
            <c:ext xmlns:c16="http://schemas.microsoft.com/office/drawing/2014/chart" uri="{C3380CC4-5D6E-409C-BE32-E72D297353CC}">
              <c16:uniqueId val="{0000000B-7983-4063-9EB4-49C128722119}"/>
            </c:ext>
          </c:extLst>
        </c:ser>
        <c:ser>
          <c:idx val="1"/>
          <c:order val="1"/>
          <c:explosion val="25"/>
          <c:cat>
            <c:strRef>
              <c:f>graph!$A$6:$A$14</c:f>
              <c:strCache>
                <c:ptCount val="9"/>
                <c:pt idx="0">
                  <c:v>WIND</c:v>
                </c:pt>
                <c:pt idx="1">
                  <c:v>SOLAR</c:v>
                </c:pt>
                <c:pt idx="2">
                  <c:v>BIOMASS</c:v>
                </c:pt>
                <c:pt idx="3">
                  <c:v>HYDRO</c:v>
                </c:pt>
                <c:pt idx="4">
                  <c:v>WIND</c:v>
                </c:pt>
                <c:pt idx="5">
                  <c:v>SOLAR</c:v>
                </c:pt>
                <c:pt idx="6">
                  <c:v>BIOMASS</c:v>
                </c:pt>
                <c:pt idx="8">
                  <c:v>HYDRO</c:v>
                </c:pt>
              </c:strCache>
            </c:strRef>
          </c:cat>
          <c:val>
            <c:numRef>
              <c:f>graph!$C$6:$C$9</c:f>
              <c:numCache>
                <c:formatCode>0%</c:formatCode>
                <c:ptCount val="4"/>
              </c:numCache>
            </c:numRef>
          </c:val>
          <c:extLst>
            <c:ext xmlns:c16="http://schemas.microsoft.com/office/drawing/2014/chart" uri="{C3380CC4-5D6E-409C-BE32-E72D297353CC}">
              <c16:uniqueId val="{0000000C-7983-4063-9EB4-49C128722119}"/>
            </c:ext>
          </c:extLst>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6</xdr:col>
      <xdr:colOff>526073</xdr:colOff>
      <xdr:row>0</xdr:row>
      <xdr:rowOff>198804</xdr:rowOff>
    </xdr:from>
    <xdr:to>
      <xdr:col>9</xdr:col>
      <xdr:colOff>431800</xdr:colOff>
      <xdr:row>14</xdr:row>
      <xdr:rowOff>142631</xdr:rowOff>
    </xdr:to>
    <xdr:graphicFrame macro="">
      <xdr:nvGraphicFramePr>
        <xdr:cNvPr id="2" name="Chart 1">
          <a:extLst>
            <a:ext uri="{FF2B5EF4-FFF2-40B4-BE49-F238E27FC236}">
              <a16:creationId xmlns:a16="http://schemas.microsoft.com/office/drawing/2014/main" id="{BE3CCDCC-17CB-A849-B6CA-819069B492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403860</xdr:colOff>
      <xdr:row>2</xdr:row>
      <xdr:rowOff>38100</xdr:rowOff>
    </xdr:from>
    <xdr:to>
      <xdr:col>42</xdr:col>
      <xdr:colOff>74012</xdr:colOff>
      <xdr:row>14</xdr:row>
      <xdr:rowOff>34596</xdr:rowOff>
    </xdr:to>
    <xdr:pic>
      <xdr:nvPicPr>
        <xdr:cNvPr id="2" name="Picture 1">
          <a:extLst>
            <a:ext uri="{FF2B5EF4-FFF2-40B4-BE49-F238E27FC236}">
              <a16:creationId xmlns:a16="http://schemas.microsoft.com/office/drawing/2014/main" id="{9D95BC59-1D7E-6015-B352-B8084A694C30}"/>
            </a:ext>
          </a:extLst>
        </xdr:cNvPr>
        <xdr:cNvPicPr>
          <a:picLocks noChangeAspect="1"/>
        </xdr:cNvPicPr>
      </xdr:nvPicPr>
      <xdr:blipFill>
        <a:blip xmlns:r="http://schemas.openxmlformats.org/officeDocument/2006/relationships" r:embed="rId1"/>
        <a:stretch>
          <a:fillRect/>
        </a:stretch>
      </xdr:blipFill>
      <xdr:spPr>
        <a:xfrm>
          <a:off x="403860" y="403860"/>
          <a:ext cx="25273352" cy="21910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160409</xdr:colOff>
      <xdr:row>1</xdr:row>
      <xdr:rowOff>643493</xdr:rowOff>
    </xdr:from>
    <xdr:to>
      <xdr:col>9</xdr:col>
      <xdr:colOff>113527</xdr:colOff>
      <xdr:row>7</xdr:row>
      <xdr:rowOff>196870</xdr:rowOff>
    </xdr:to>
    <xdr:graphicFrame macro="">
      <xdr:nvGraphicFramePr>
        <xdr:cNvPr id="2" name="Chart 1">
          <a:extLst>
            <a:ext uri="{FF2B5EF4-FFF2-40B4-BE49-F238E27FC236}">
              <a16:creationId xmlns:a16="http://schemas.microsoft.com/office/drawing/2014/main" id="{4AA3777B-BB9A-8146-91D3-D756712D04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159306</xdr:colOff>
      <xdr:row>7</xdr:row>
      <xdr:rowOff>205692</xdr:rowOff>
    </xdr:from>
    <xdr:to>
      <xdr:col>9</xdr:col>
      <xdr:colOff>114579</xdr:colOff>
      <xdr:row>14</xdr:row>
      <xdr:rowOff>64254</xdr:rowOff>
    </xdr:to>
    <xdr:graphicFrame macro="">
      <xdr:nvGraphicFramePr>
        <xdr:cNvPr id="3" name="Chart 2">
          <a:extLst>
            <a:ext uri="{FF2B5EF4-FFF2-40B4-BE49-F238E27FC236}">
              <a16:creationId xmlns:a16="http://schemas.microsoft.com/office/drawing/2014/main" id="{8652D5D6-C888-2146-8330-D67E434C62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159746</xdr:colOff>
      <xdr:row>14</xdr:row>
      <xdr:rowOff>74269</xdr:rowOff>
    </xdr:from>
    <xdr:to>
      <xdr:col>9</xdr:col>
      <xdr:colOff>114441</xdr:colOff>
      <xdr:row>22</xdr:row>
      <xdr:rowOff>108167</xdr:rowOff>
    </xdr:to>
    <xdr:graphicFrame macro="">
      <xdr:nvGraphicFramePr>
        <xdr:cNvPr id="4" name="Chart 3">
          <a:extLst>
            <a:ext uri="{FF2B5EF4-FFF2-40B4-BE49-F238E27FC236}">
              <a16:creationId xmlns:a16="http://schemas.microsoft.com/office/drawing/2014/main" id="{79D368E3-2B49-A041-ABA9-927CC55CF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117827</xdr:colOff>
      <xdr:row>1</xdr:row>
      <xdr:rowOff>644773</xdr:rowOff>
    </xdr:from>
    <xdr:to>
      <xdr:col>14</xdr:col>
      <xdr:colOff>529646</xdr:colOff>
      <xdr:row>22</xdr:row>
      <xdr:rowOff>117132</xdr:rowOff>
    </xdr:to>
    <xdr:graphicFrame macro="">
      <xdr:nvGraphicFramePr>
        <xdr:cNvPr id="6" name="Chart 5">
          <a:extLst>
            <a:ext uri="{FF2B5EF4-FFF2-40B4-BE49-F238E27FC236}">
              <a16:creationId xmlns:a16="http://schemas.microsoft.com/office/drawing/2014/main" id="{1B24112D-50EA-B84B-84A3-68420DF21B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417739</xdr:colOff>
      <xdr:row>6</xdr:row>
      <xdr:rowOff>68036</xdr:rowOff>
    </xdr:from>
    <xdr:to>
      <xdr:col>34</xdr:col>
      <xdr:colOff>343657</xdr:colOff>
      <xdr:row>20</xdr:row>
      <xdr:rowOff>19421</xdr:rowOff>
    </xdr:to>
    <xdr:pic>
      <xdr:nvPicPr>
        <xdr:cNvPr id="2" name="Picture 1">
          <a:extLst>
            <a:ext uri="{FF2B5EF4-FFF2-40B4-BE49-F238E27FC236}">
              <a16:creationId xmlns:a16="http://schemas.microsoft.com/office/drawing/2014/main" id="{754A2EEA-2469-4CAC-8415-C273FA2FBA8F}"/>
            </a:ext>
          </a:extLst>
        </xdr:cNvPr>
        <xdr:cNvPicPr>
          <a:picLocks noChangeAspect="1"/>
        </xdr:cNvPicPr>
      </xdr:nvPicPr>
      <xdr:blipFill>
        <a:blip xmlns:r="http://schemas.openxmlformats.org/officeDocument/2006/relationships" r:embed="rId1"/>
        <a:stretch>
          <a:fillRect/>
        </a:stretch>
      </xdr:blipFill>
      <xdr:spPr>
        <a:xfrm>
          <a:off x="12568918" y="2013857"/>
          <a:ext cx="15233953" cy="2686421"/>
        </a:xfrm>
        <a:prstGeom prst="rect">
          <a:avLst/>
        </a:prstGeom>
      </xdr:spPr>
    </xdr:pic>
    <xdr:clientData/>
  </xdr:twoCellAnchor>
  <xdr:twoCellAnchor editAs="oneCell">
    <xdr:from>
      <xdr:col>11</xdr:col>
      <xdr:colOff>227773</xdr:colOff>
      <xdr:row>27</xdr:row>
      <xdr:rowOff>136604</xdr:rowOff>
    </xdr:from>
    <xdr:to>
      <xdr:col>35</xdr:col>
      <xdr:colOff>516207</xdr:colOff>
      <xdr:row>70</xdr:row>
      <xdr:rowOff>70540</xdr:rowOff>
    </xdr:to>
    <xdr:pic>
      <xdr:nvPicPr>
        <xdr:cNvPr id="3" name="Picture 2">
          <a:extLst>
            <a:ext uri="{FF2B5EF4-FFF2-40B4-BE49-F238E27FC236}">
              <a16:creationId xmlns:a16="http://schemas.microsoft.com/office/drawing/2014/main" id="{8D12B8ED-072E-4BE1-B039-53527CDE5CA4}"/>
            </a:ext>
          </a:extLst>
        </xdr:cNvPr>
        <xdr:cNvPicPr>
          <a:picLocks noChangeAspect="1"/>
        </xdr:cNvPicPr>
      </xdr:nvPicPr>
      <xdr:blipFill>
        <a:blip xmlns:r="http://schemas.openxmlformats.org/officeDocument/2006/relationships" r:embed="rId2"/>
        <a:stretch>
          <a:fillRect/>
        </a:stretch>
      </xdr:blipFill>
      <xdr:spPr>
        <a:xfrm>
          <a:off x="13637316" y="6257452"/>
          <a:ext cx="14998348" cy="86223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209549</xdr:colOff>
      <xdr:row>3</xdr:row>
      <xdr:rowOff>90486</xdr:rowOff>
    </xdr:from>
    <xdr:to>
      <xdr:col>10</xdr:col>
      <xdr:colOff>771525</xdr:colOff>
      <xdr:row>26</xdr:row>
      <xdr:rowOff>47625</xdr:rowOff>
    </xdr:to>
    <xdr:graphicFrame macro="">
      <xdr:nvGraphicFramePr>
        <xdr:cNvPr id="3" name="Chart 2">
          <a:extLst>
            <a:ext uri="{FF2B5EF4-FFF2-40B4-BE49-F238E27FC236}">
              <a16:creationId xmlns:a16="http://schemas.microsoft.com/office/drawing/2014/main" id="{75DAA568-362D-3B45-F9E9-2B64AF8B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676274</xdr:colOff>
      <xdr:row>61</xdr:row>
      <xdr:rowOff>100011</xdr:rowOff>
    </xdr:from>
    <xdr:to>
      <xdr:col>9</xdr:col>
      <xdr:colOff>241853</xdr:colOff>
      <xdr:row>79</xdr:row>
      <xdr:rowOff>129209</xdr:rowOff>
    </xdr:to>
    <xdr:graphicFrame macro="">
      <xdr:nvGraphicFramePr>
        <xdr:cNvPr id="4" name="Chart 3">
          <a:extLst>
            <a:ext uri="{FF2B5EF4-FFF2-40B4-BE49-F238E27FC236}">
              <a16:creationId xmlns:a16="http://schemas.microsoft.com/office/drawing/2014/main" id="{7B153869-0098-0C5E-AF7A-D6648D5CBB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676481</xdr:colOff>
      <xdr:row>81</xdr:row>
      <xdr:rowOff>78476</xdr:rowOff>
    </xdr:from>
    <xdr:to>
      <xdr:col>9</xdr:col>
      <xdr:colOff>225287</xdr:colOff>
      <xdr:row>99</xdr:row>
      <xdr:rowOff>107259</xdr:rowOff>
    </xdr:to>
    <xdr:graphicFrame macro="">
      <xdr:nvGraphicFramePr>
        <xdr:cNvPr id="6" name="Chart 5">
          <a:extLst>
            <a:ext uri="{FF2B5EF4-FFF2-40B4-BE49-F238E27FC236}">
              <a16:creationId xmlns:a16="http://schemas.microsoft.com/office/drawing/2014/main" id="{860845FF-0B30-D4A6-F4F6-602E28168E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62118</xdr:colOff>
      <xdr:row>36</xdr:row>
      <xdr:rowOff>235225</xdr:rowOff>
    </xdr:from>
    <xdr:to>
      <xdr:col>9</xdr:col>
      <xdr:colOff>942974</xdr:colOff>
      <xdr:row>50</xdr:row>
      <xdr:rowOff>200024</xdr:rowOff>
    </xdr:to>
    <xdr:graphicFrame macro="">
      <xdr:nvGraphicFramePr>
        <xdr:cNvPr id="8" name="Chart 7">
          <a:extLst>
            <a:ext uri="{FF2B5EF4-FFF2-40B4-BE49-F238E27FC236}">
              <a16:creationId xmlns:a16="http://schemas.microsoft.com/office/drawing/2014/main" id="{AB2E4707-96FD-DFF0-8F2F-04BFF85D1E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677929</xdr:colOff>
      <xdr:row>100</xdr:row>
      <xdr:rowOff>94420</xdr:rowOff>
    </xdr:from>
    <xdr:to>
      <xdr:col>9</xdr:col>
      <xdr:colOff>234812</xdr:colOff>
      <xdr:row>118</xdr:row>
      <xdr:rowOff>99391</xdr:rowOff>
    </xdr:to>
    <xdr:graphicFrame macro="">
      <xdr:nvGraphicFramePr>
        <xdr:cNvPr id="9" name="Chart 8">
          <a:extLst>
            <a:ext uri="{FF2B5EF4-FFF2-40B4-BE49-F238E27FC236}">
              <a16:creationId xmlns:a16="http://schemas.microsoft.com/office/drawing/2014/main" id="{41501E9E-3E5E-51AA-26B2-D8391D0CE4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613367</xdr:colOff>
      <xdr:row>122</xdr:row>
      <xdr:rowOff>30983</xdr:rowOff>
    </xdr:from>
    <xdr:to>
      <xdr:col>9</xdr:col>
      <xdr:colOff>1172306</xdr:colOff>
      <xdr:row>142</xdr:row>
      <xdr:rowOff>83736</xdr:rowOff>
    </xdr:to>
    <xdr:graphicFrame macro="">
      <xdr:nvGraphicFramePr>
        <xdr:cNvPr id="2" name="Chart 1">
          <a:extLst>
            <a:ext uri="{FF2B5EF4-FFF2-40B4-BE49-F238E27FC236}">
              <a16:creationId xmlns:a16="http://schemas.microsoft.com/office/drawing/2014/main" id="{91086597-8404-885D-1316-A0F7D4803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638609</xdr:colOff>
      <xdr:row>142</xdr:row>
      <xdr:rowOff>151535</xdr:rowOff>
    </xdr:from>
    <xdr:to>
      <xdr:col>10</xdr:col>
      <xdr:colOff>0</xdr:colOff>
      <xdr:row>161</xdr:row>
      <xdr:rowOff>0</xdr:rowOff>
    </xdr:to>
    <xdr:graphicFrame macro="">
      <xdr:nvGraphicFramePr>
        <xdr:cNvPr id="5" name="Chart 4">
          <a:extLst>
            <a:ext uri="{FF2B5EF4-FFF2-40B4-BE49-F238E27FC236}">
              <a16:creationId xmlns:a16="http://schemas.microsoft.com/office/drawing/2014/main" id="{4CBA83CC-8ABD-40AA-937E-687A6CFA9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20934</xdr:colOff>
      <xdr:row>122</xdr:row>
      <xdr:rowOff>52693</xdr:rowOff>
    </xdr:from>
    <xdr:to>
      <xdr:col>14</xdr:col>
      <xdr:colOff>527538</xdr:colOff>
      <xdr:row>142</xdr:row>
      <xdr:rowOff>105446</xdr:rowOff>
    </xdr:to>
    <xdr:graphicFrame macro="">
      <xdr:nvGraphicFramePr>
        <xdr:cNvPr id="7" name="Chart 6">
          <a:extLst>
            <a:ext uri="{FF2B5EF4-FFF2-40B4-BE49-F238E27FC236}">
              <a16:creationId xmlns:a16="http://schemas.microsoft.com/office/drawing/2014/main" id="{A11F785C-CA87-48FE-915B-52F8DD8C21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32472</xdr:colOff>
      <xdr:row>142</xdr:row>
      <xdr:rowOff>129886</xdr:rowOff>
    </xdr:from>
    <xdr:to>
      <xdr:col>14</xdr:col>
      <xdr:colOff>539076</xdr:colOff>
      <xdr:row>160</xdr:row>
      <xdr:rowOff>182639</xdr:rowOff>
    </xdr:to>
    <xdr:graphicFrame macro="">
      <xdr:nvGraphicFramePr>
        <xdr:cNvPr id="10" name="Chart 9">
          <a:extLst>
            <a:ext uri="{FF2B5EF4-FFF2-40B4-BE49-F238E27FC236}">
              <a16:creationId xmlns:a16="http://schemas.microsoft.com/office/drawing/2014/main" id="{35F053FF-7C04-469C-AAEA-B2BDD371F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266</xdr:row>
      <xdr:rowOff>38100</xdr:rowOff>
    </xdr:from>
    <xdr:to>
      <xdr:col>14</xdr:col>
      <xdr:colOff>717371</xdr:colOff>
      <xdr:row>286</xdr:row>
      <xdr:rowOff>94769</xdr:rowOff>
    </xdr:to>
    <xdr:pic>
      <xdr:nvPicPr>
        <xdr:cNvPr id="2" name="Picture 1">
          <a:extLst>
            <a:ext uri="{FF2B5EF4-FFF2-40B4-BE49-F238E27FC236}">
              <a16:creationId xmlns:a16="http://schemas.microsoft.com/office/drawing/2014/main" id="{91CEC696-F0B0-7297-C5C6-78604AF46F72}"/>
            </a:ext>
          </a:extLst>
        </xdr:cNvPr>
        <xdr:cNvPicPr>
          <a:picLocks noChangeAspect="1"/>
        </xdr:cNvPicPr>
      </xdr:nvPicPr>
      <xdr:blipFill>
        <a:blip xmlns:r="http://schemas.openxmlformats.org/officeDocument/2006/relationships" r:embed="rId1"/>
        <a:stretch>
          <a:fillRect/>
        </a:stretch>
      </xdr:blipFill>
      <xdr:spPr>
        <a:xfrm>
          <a:off x="304800" y="48558450"/>
          <a:ext cx="16285714" cy="3866667"/>
        </a:xfrm>
        <a:prstGeom prst="rect">
          <a:avLst/>
        </a:prstGeom>
        <a:ln w="38100" cap="sq">
          <a:solidFill>
            <a:srgbClr val="0000FF"/>
          </a:solidFill>
          <a:miter lim="800000"/>
        </a:ln>
        <a:effectLst>
          <a:outerShdw blurRad="57150" dist="50800" dir="2700000" algn="tl" rotWithShape="0">
            <a:srgbClr val="000000">
              <a:alpha val="40000"/>
            </a:srgbClr>
          </a:outerShd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867833</xdr:colOff>
      <xdr:row>43</xdr:row>
      <xdr:rowOff>95249</xdr:rowOff>
    </xdr:from>
    <xdr:to>
      <xdr:col>11</xdr:col>
      <xdr:colOff>1046686</xdr:colOff>
      <xdr:row>58</xdr:row>
      <xdr:rowOff>38490</xdr:rowOff>
    </xdr:to>
    <xdr:pic>
      <xdr:nvPicPr>
        <xdr:cNvPr id="2" name="Picture 1">
          <a:extLst>
            <a:ext uri="{FF2B5EF4-FFF2-40B4-BE49-F238E27FC236}">
              <a16:creationId xmlns:a16="http://schemas.microsoft.com/office/drawing/2014/main" id="{D71610FD-C092-BD5A-2B8B-5D88ED5E17B7}"/>
            </a:ext>
          </a:extLst>
        </xdr:cNvPr>
        <xdr:cNvPicPr>
          <a:picLocks noChangeAspect="1"/>
        </xdr:cNvPicPr>
      </xdr:nvPicPr>
      <xdr:blipFill>
        <a:blip xmlns:r="http://schemas.openxmlformats.org/officeDocument/2006/relationships" r:embed="rId1"/>
        <a:stretch>
          <a:fillRect/>
        </a:stretch>
      </xdr:blipFill>
      <xdr:spPr>
        <a:xfrm>
          <a:off x="5609166" y="2550582"/>
          <a:ext cx="7544853" cy="2800741"/>
        </a:xfrm>
        <a:prstGeom prst="rect">
          <a:avLst/>
        </a:prstGeom>
        <a:solidFill>
          <a:srgbClr val="000000">
            <a:shade val="95000"/>
          </a:srgbClr>
        </a:solidFill>
        <a:ln w="444500" cap="sq">
          <a:solidFill>
            <a:srgbClr val="000000"/>
          </a:solidFill>
          <a:miter lim="800000"/>
        </a:ln>
        <a:effectLst>
          <a:outerShdw blurRad="254000" dist="190500" dir="2700000" sy="90000" algn="bl" rotWithShape="0">
            <a:srgbClr val="000000">
              <a:alpha val="40000"/>
            </a:srgbClr>
          </a:outerShdw>
        </a:effec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228600</xdr:colOff>
      <xdr:row>14</xdr:row>
      <xdr:rowOff>104774</xdr:rowOff>
    </xdr:from>
    <xdr:to>
      <xdr:col>11</xdr:col>
      <xdr:colOff>503470</xdr:colOff>
      <xdr:row>22</xdr:row>
      <xdr:rowOff>104776</xdr:rowOff>
    </xdr:to>
    <xdr:pic>
      <xdr:nvPicPr>
        <xdr:cNvPr id="2" name="Picture 1">
          <a:extLst>
            <a:ext uri="{FF2B5EF4-FFF2-40B4-BE49-F238E27FC236}">
              <a16:creationId xmlns:a16="http://schemas.microsoft.com/office/drawing/2014/main" id="{907ABA4B-6A6B-27DE-1145-E0D223E64D75}"/>
            </a:ext>
          </a:extLst>
        </xdr:cNvPr>
        <xdr:cNvPicPr>
          <a:picLocks noChangeAspect="1"/>
        </xdr:cNvPicPr>
      </xdr:nvPicPr>
      <xdr:blipFill>
        <a:blip xmlns:r="http://schemas.openxmlformats.org/officeDocument/2006/relationships" r:embed="rId1"/>
        <a:stretch>
          <a:fillRect/>
        </a:stretch>
      </xdr:blipFill>
      <xdr:spPr>
        <a:xfrm>
          <a:off x="838200" y="2781299"/>
          <a:ext cx="8714020" cy="15240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0</xdr:colOff>
      <xdr:row>27</xdr:row>
      <xdr:rowOff>0</xdr:rowOff>
    </xdr:from>
    <xdr:to>
      <xdr:col>7</xdr:col>
      <xdr:colOff>11195</xdr:colOff>
      <xdr:row>40</xdr:row>
      <xdr:rowOff>25889</xdr:rowOff>
    </xdr:to>
    <xdr:pic>
      <xdr:nvPicPr>
        <xdr:cNvPr id="3" name="Picture 2">
          <a:extLst>
            <a:ext uri="{FF2B5EF4-FFF2-40B4-BE49-F238E27FC236}">
              <a16:creationId xmlns:a16="http://schemas.microsoft.com/office/drawing/2014/main" id="{AD345B35-5C60-4307-B92D-A56686C3F799}"/>
            </a:ext>
          </a:extLst>
        </xdr:cNvPr>
        <xdr:cNvPicPr>
          <a:picLocks noChangeAspect="1"/>
        </xdr:cNvPicPr>
      </xdr:nvPicPr>
      <xdr:blipFill>
        <a:blip xmlns:r="http://schemas.openxmlformats.org/officeDocument/2006/relationships" r:embed="rId2"/>
        <a:stretch>
          <a:fillRect/>
        </a:stretch>
      </xdr:blipFill>
      <xdr:spPr>
        <a:xfrm>
          <a:off x="606136" y="5472545"/>
          <a:ext cx="5994627" cy="250238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533050</xdr:colOff>
      <xdr:row>1</xdr:row>
      <xdr:rowOff>332064</xdr:rowOff>
    </xdr:from>
    <xdr:to>
      <xdr:col>9</xdr:col>
      <xdr:colOff>813747</xdr:colOff>
      <xdr:row>7</xdr:row>
      <xdr:rowOff>199094</xdr:rowOff>
    </xdr:to>
    <xdr:pic>
      <xdr:nvPicPr>
        <xdr:cNvPr id="2" name="Picture 1">
          <a:extLst>
            <a:ext uri="{FF2B5EF4-FFF2-40B4-BE49-F238E27FC236}">
              <a16:creationId xmlns:a16="http://schemas.microsoft.com/office/drawing/2014/main" id="{CA7B76DC-7730-C5E2-09CA-4D9B10157DA5}"/>
            </a:ext>
          </a:extLst>
        </xdr:cNvPr>
        <xdr:cNvPicPr>
          <a:picLocks noChangeAspect="1"/>
        </xdr:cNvPicPr>
      </xdr:nvPicPr>
      <xdr:blipFill>
        <a:blip xmlns:r="http://schemas.openxmlformats.org/officeDocument/2006/relationships" r:embed="rId1"/>
        <a:stretch>
          <a:fillRect/>
        </a:stretch>
      </xdr:blipFill>
      <xdr:spPr>
        <a:xfrm>
          <a:off x="3381811" y="524312"/>
          <a:ext cx="7621064" cy="2724530"/>
        </a:xfrm>
        <a:prstGeom prst="rect">
          <a:avLst/>
        </a:prstGeom>
        <a:solidFill>
          <a:srgbClr val="000000">
            <a:shade val="95000"/>
          </a:srgbClr>
        </a:solidFill>
        <a:ln w="444500" cap="sq">
          <a:solidFill>
            <a:srgbClr val="000000"/>
          </a:solidFill>
          <a:miter lim="800000"/>
        </a:ln>
        <a:effectLst>
          <a:outerShdw blurRad="254000" dist="190500" dir="2700000" sy="90000" algn="bl" rotWithShape="0">
            <a:srgbClr val="000000">
              <a:alpha val="40000"/>
            </a:srgb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177362</xdr:colOff>
      <xdr:row>0</xdr:row>
      <xdr:rowOff>39415</xdr:rowOff>
    </xdr:from>
    <xdr:to>
      <xdr:col>8</xdr:col>
      <xdr:colOff>0</xdr:colOff>
      <xdr:row>12</xdr:row>
      <xdr:rowOff>111672</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C:\Users\leize\Downloads\FIT%20ADJUSTMENT%20Dashboard_4Sept2025%20(1).xlsx" TargetMode="External"/><Relationship Id="rId1" Type="http://schemas.openxmlformats.org/officeDocument/2006/relationships/externalLinkPath" Target="file:///C:\Users\leize\Downloads\FIT%20ADJUSTMENT%20Dashboard_4Sept2025%20(1).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123266c75649137c/Documents/ERC/ERC%20ReSource/Source%20docs/FIT%20List%20as%20of%2030%20June%202026.xlsx" TargetMode="External"/><Relationship Id="rId1" Type="http://schemas.openxmlformats.org/officeDocument/2006/relationships/externalLinkPath" Target="Source%20docs/FIT%20List%20as%20of%2030%20June%2020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OREX"/>
      <sheetName val="LEGAL BASIS"/>
      <sheetName val="Annex A (s1)"/>
      <sheetName val="Annex A(s1)"/>
      <sheetName val="Annex A(s2)"/>
      <sheetName val="Revised Biomass (deg)"/>
      <sheetName val="Revised ROR (deg)"/>
      <sheetName val="FIT-All Simulation Orig Formula"/>
      <sheetName val="FIT-All Simulation Orig For (2"/>
      <sheetName val="FIT-All Simulation Orig For (3"/>
      <sheetName val="FIT-All Simulation Rev Formula"/>
      <sheetName val="FIT-All Simulation Rev Formula2"/>
      <sheetName val="Annex A(s1) (2)"/>
      <sheetName val="CPI"/>
      <sheetName val="Revised Summary"/>
      <sheetName val="Sheet1"/>
      <sheetName val="Escalation"/>
      <sheetName val="Final 2009"/>
      <sheetName val="Final 2009 (2)"/>
      <sheetName val="Final 2009 (3)"/>
      <sheetName val="Final 2015"/>
      <sheetName val="Final 2015 (3)"/>
      <sheetName val="FOREX-monthly"/>
      <sheetName val="CPI-monthly"/>
      <sheetName val="Final 2009 (4)"/>
      <sheetName val="Final 2014"/>
      <sheetName val="FD"/>
      <sheetName val="Summary"/>
      <sheetName val="Final 2015 (4)"/>
      <sheetName val="Final 2009 (20)"/>
      <sheetName val="Final 2015 (2)"/>
      <sheetName val="Summary Original"/>
      <sheetName val="Summary Original (2)"/>
      <sheetName val="Final 2015 (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row r="1">
          <cell r="B1"/>
          <cell r="C1"/>
          <cell r="G1"/>
        </row>
        <row r="2">
          <cell r="B2"/>
          <cell r="F2"/>
          <cell r="G2"/>
        </row>
        <row r="3">
          <cell r="B3"/>
          <cell r="C3" t="str">
            <v>Date of Commercial Operation for FIT</v>
          </cell>
          <cell r="D3" t="str">
            <v>Developer</v>
          </cell>
          <cell r="E3" t="str">
            <v>Location</v>
          </cell>
          <cell r="F3" t="str">
            <v>Grid</v>
          </cell>
          <cell r="G3" t="str">
            <v>Registered Installed Capacity (MW) based on COC</v>
          </cell>
          <cell r="H3" t="str">
            <v>Original FIT Rate</v>
          </cell>
        </row>
        <row r="4">
          <cell r="B4"/>
          <cell r="C4"/>
          <cell r="D4"/>
          <cell r="E4"/>
          <cell r="F4"/>
          <cell r="G4"/>
          <cell r="H4"/>
        </row>
        <row r="5">
          <cell r="B5" t="str">
            <v>Technology/Project Name</v>
          </cell>
          <cell r="C5"/>
          <cell r="D5"/>
          <cell r="E5"/>
          <cell r="F5"/>
          <cell r="G5"/>
          <cell r="H5"/>
        </row>
        <row r="6">
          <cell r="B6">
            <v>0</v>
          </cell>
          <cell r="C6"/>
          <cell r="D6"/>
          <cell r="E6" t="str">
            <v>Total Philippines</v>
          </cell>
          <cell r="F6"/>
          <cell r="G6">
            <v>1536.3140000000003</v>
          </cell>
          <cell r="H6"/>
        </row>
        <row r="7">
          <cell r="B7"/>
          <cell r="C7" t="str">
            <v>Total Biomass</v>
          </cell>
          <cell r="D7"/>
          <cell r="E7"/>
          <cell r="F7"/>
          <cell r="G7">
            <v>257.255</v>
          </cell>
          <cell r="H7"/>
        </row>
        <row r="9">
          <cell r="B9" t="str">
            <v>Payatas Landfill Methane Recovery and Power Generation Facility</v>
          </cell>
          <cell r="C9">
            <v>42170</v>
          </cell>
          <cell r="D9" t="str">
            <v>Pangea Green Energy Philippines, Inc.</v>
          </cell>
          <cell r="E9" t="str">
            <v>Metro Manila</v>
          </cell>
          <cell r="F9" t="str">
            <v>Luzon</v>
          </cell>
          <cell r="G9">
            <v>0.876</v>
          </cell>
          <cell r="H9">
            <v>6.63</v>
          </cell>
        </row>
        <row r="10">
          <cell r="B10" t="str">
            <v>Montalban Landfill Methane Recovery and Electricity Generation</v>
          </cell>
          <cell r="C10">
            <v>42170</v>
          </cell>
          <cell r="D10" t="str">
            <v>Montalban Methane Power Corporation</v>
          </cell>
          <cell r="E10" t="str">
            <v>Rizal</v>
          </cell>
          <cell r="F10" t="str">
            <v>Luzon</v>
          </cell>
          <cell r="G10">
            <v>2.1749999999999998</v>
          </cell>
          <cell r="H10">
            <v>6.63</v>
          </cell>
        </row>
        <row r="11">
          <cell r="B11" t="str">
            <v>Bataan 2020 Rice hull-fired Cogen Plant</v>
          </cell>
          <cell r="C11">
            <v>42195</v>
          </cell>
          <cell r="D11" t="str">
            <v>Bataan 2020 Inc.</v>
          </cell>
          <cell r="E11" t="str">
            <v>Bataan</v>
          </cell>
          <cell r="F11" t="str">
            <v>Luzon</v>
          </cell>
          <cell r="G11">
            <v>11.1</v>
          </cell>
          <cell r="H11">
            <v>6.63</v>
          </cell>
        </row>
        <row r="12">
          <cell r="B12" t="str">
            <v>SJCi Power Rice Husk-Fired Biomass Power Plant Project</v>
          </cell>
          <cell r="C12">
            <v>41945</v>
          </cell>
          <cell r="D12" t="str">
            <v>San Jose City I Power Corporation</v>
          </cell>
          <cell r="E12" t="str">
            <v>Nueva Ecija</v>
          </cell>
          <cell r="F12" t="str">
            <v>Luzon</v>
          </cell>
          <cell r="G12">
            <v>12</v>
          </cell>
          <cell r="H12">
            <v>6.63</v>
          </cell>
        </row>
        <row r="13">
          <cell r="B13" t="str">
            <v>GFII Bagasse-fired Cogeneration Power Plant</v>
          </cell>
          <cell r="C13">
            <v>41243</v>
          </cell>
          <cell r="D13" t="str">
            <v>Green Future Innovations Inc.</v>
          </cell>
          <cell r="E13" t="str">
            <v>Isabela</v>
          </cell>
          <cell r="F13" t="str">
            <v>Luzon</v>
          </cell>
          <cell r="G13">
            <v>14</v>
          </cell>
          <cell r="H13">
            <v>6.63</v>
          </cell>
        </row>
        <row r="14">
          <cell r="B14" t="str">
            <v>IBEC Rice Husk-Fired Biomass Power Plant</v>
          </cell>
          <cell r="C14">
            <v>42283</v>
          </cell>
          <cell r="D14" t="str">
            <v>Isabela Biomass Energy Corporation</v>
          </cell>
          <cell r="E14" t="str">
            <v>Isabela</v>
          </cell>
          <cell r="F14" t="str">
            <v>Luzon</v>
          </cell>
          <cell r="G14">
            <v>18</v>
          </cell>
          <cell r="H14">
            <v>6.63</v>
          </cell>
        </row>
        <row r="15">
          <cell r="B15" t="str">
            <v>GIFT Rice Husk-Fired Biomass Power Plant Project</v>
          </cell>
          <cell r="C15">
            <v>42427</v>
          </cell>
          <cell r="D15" t="str">
            <v>Green Innovations for tomorrow Corporation</v>
          </cell>
          <cell r="E15" t="str">
            <v>Nueva Ecija</v>
          </cell>
          <cell r="F15" t="str">
            <v>Luzon</v>
          </cell>
          <cell r="G15">
            <v>10.8</v>
          </cell>
          <cell r="H15">
            <v>6.63</v>
          </cell>
        </row>
        <row r="16">
          <cell r="B16" t="str">
            <v>BBEC Rice Husk-Fired  Biomass Power  Plant Project</v>
          </cell>
          <cell r="C16">
            <v>42653</v>
          </cell>
          <cell r="D16" t="str">
            <v>Bicol Biomass Energy Corporation</v>
          </cell>
          <cell r="E16" t="str">
            <v>Camarines Sur</v>
          </cell>
          <cell r="F16" t="str">
            <v>Luzon</v>
          </cell>
          <cell r="G16">
            <v>4.4000000000000004</v>
          </cell>
          <cell r="H16">
            <v>6.63</v>
          </cell>
        </row>
        <row r="17">
          <cell r="B17" t="str">
            <v>ASEAGAS Biomass Power Plant Project</v>
          </cell>
          <cell r="C17">
            <v>42718</v>
          </cell>
          <cell r="D17" t="str">
            <v>AseaGas Corporation</v>
          </cell>
          <cell r="E17" t="str">
            <v>Batangas</v>
          </cell>
          <cell r="F17" t="str">
            <v>Luzon</v>
          </cell>
          <cell r="G17">
            <v>2.21</v>
          </cell>
          <cell r="H17">
            <v>6.63</v>
          </cell>
        </row>
        <row r="18">
          <cell r="B18" t="str">
            <v>SJCi Power Rice Husk-Fired Biomass Power Plant Project Phase II</v>
          </cell>
          <cell r="C18">
            <v>43000</v>
          </cell>
          <cell r="D18" t="str">
            <v>San Jose City I Power Corporation</v>
          </cell>
          <cell r="E18" t="str">
            <v>Nueva Ecija</v>
          </cell>
          <cell r="F18" t="str">
            <v>Luzon</v>
          </cell>
          <cell r="G18">
            <v>10.8</v>
          </cell>
          <cell r="H18">
            <v>6.5968499999999999</v>
          </cell>
        </row>
        <row r="19">
          <cell r="B19" t="str">
            <v>Payatas Landfill Methane Recovery and Power Gen. Facility</v>
          </cell>
          <cell r="C19">
            <v>42783</v>
          </cell>
          <cell r="D19" t="str">
            <v>Pangea Green Energy Philippines, Inc.</v>
          </cell>
          <cell r="E19" t="str">
            <v>Metro Manila</v>
          </cell>
          <cell r="F19" t="str">
            <v>Luzon</v>
          </cell>
          <cell r="G19">
            <v>0.42399999999999999</v>
          </cell>
          <cell r="H19">
            <v>6.5968499999999999</v>
          </cell>
        </row>
        <row r="20">
          <cell r="B20" t="str">
            <v>ACNC Biogas Power Plant Project</v>
          </cell>
          <cell r="C20">
            <v>42937</v>
          </cell>
          <cell r="D20" t="str">
            <v>Asian Carbon Neutral Power Corporation</v>
          </cell>
          <cell r="E20" t="str">
            <v>Tarlac</v>
          </cell>
          <cell r="F20" t="str">
            <v>Luzon</v>
          </cell>
          <cell r="G20">
            <v>1.7</v>
          </cell>
          <cell r="H20">
            <v>6.5968499999999999</v>
          </cell>
        </row>
        <row r="21">
          <cell r="B21" t="str">
            <v>Rice Husk-Fired Biomass Power Plant</v>
          </cell>
          <cell r="C21">
            <v>43741</v>
          </cell>
          <cell r="D21" t="str">
            <v>Cagayan Biomass Energy Corporation</v>
          </cell>
          <cell r="E21" t="str">
            <v>Isabela</v>
          </cell>
          <cell r="F21" t="str">
            <v>Luzon</v>
          </cell>
          <cell r="G21">
            <v>13.5</v>
          </cell>
          <cell r="H21">
            <v>6.19</v>
          </cell>
        </row>
        <row r="22">
          <cell r="B22" t="str">
            <v>12 MW Biomass Power Plant</v>
          </cell>
          <cell r="C22">
            <v>43812</v>
          </cell>
          <cell r="D22" t="str">
            <v>Grass Gold RE Corporation</v>
          </cell>
          <cell r="E22" t="str">
            <v>Nueva Ecija</v>
          </cell>
          <cell r="F22" t="str">
            <v>Luzon</v>
          </cell>
          <cell r="G22">
            <v>10.8</v>
          </cell>
          <cell r="H22">
            <v>6.19</v>
          </cell>
        </row>
        <row r="23">
          <cell r="B23" t="str">
            <v>6 MW Biomass Power Plant</v>
          </cell>
          <cell r="C23">
            <v>43830</v>
          </cell>
          <cell r="D23" t="str">
            <v>VS Gripal Power Corporation</v>
          </cell>
          <cell r="E23" t="str">
            <v>Nueva Ecija</v>
          </cell>
          <cell r="F23" t="str">
            <v>Luzon</v>
          </cell>
          <cell r="G23">
            <v>5.4</v>
          </cell>
          <cell r="H23">
            <v>6.19</v>
          </cell>
        </row>
        <row r="24">
          <cell r="B24" t="str">
            <v>Biomass Power Plant Nueva Ecija</v>
          </cell>
          <cell r="C24">
            <v>43824</v>
          </cell>
          <cell r="D24" t="str">
            <v>Green Innovations for tomorrow Corporation</v>
          </cell>
          <cell r="E24" t="str">
            <v>Nueva Ecija</v>
          </cell>
          <cell r="F24" t="str">
            <v>Luzon</v>
          </cell>
          <cell r="G24">
            <v>5.4</v>
          </cell>
          <cell r="H24">
            <v>6.19</v>
          </cell>
        </row>
        <row r="25">
          <cell r="B25" t="str">
            <v>FFHC Bagasse-Fired Cogeneration Power Plant</v>
          </cell>
          <cell r="C25">
            <v>42170</v>
          </cell>
          <cell r="D25" t="str">
            <v>First Farmers Holdings Corporation</v>
          </cell>
          <cell r="E25" t="str">
            <v>Negros Occidental</v>
          </cell>
          <cell r="F25" t="str">
            <v>Visayas</v>
          </cell>
          <cell r="G25">
            <v>8</v>
          </cell>
          <cell r="H25">
            <v>6.63</v>
          </cell>
        </row>
        <row r="26">
          <cell r="B26" t="str">
            <v>URC Bagasse-Fired Cogeneration Power Plant Project</v>
          </cell>
          <cell r="C26">
            <v>42024</v>
          </cell>
          <cell r="D26" t="str">
            <v>Universal Robina  Corporation</v>
          </cell>
          <cell r="E26" t="str">
            <v>Negros Occidental</v>
          </cell>
          <cell r="F26" t="str">
            <v>Visayas</v>
          </cell>
          <cell r="G26">
            <v>20</v>
          </cell>
          <cell r="H26">
            <v>6.63</v>
          </cell>
        </row>
        <row r="27">
          <cell r="B27" t="str">
            <v>CASA Cogeneration Power Plant</v>
          </cell>
          <cell r="C27">
            <v>44167</v>
          </cell>
          <cell r="D27" t="str">
            <v>Central Azucarera De San Antonio</v>
          </cell>
          <cell r="E27" t="str">
            <v>Iloilo</v>
          </cell>
          <cell r="F27" t="str">
            <v>Visayas</v>
          </cell>
          <cell r="G27">
            <v>8</v>
          </cell>
          <cell r="H27">
            <v>6.19</v>
          </cell>
        </row>
        <row r="28">
          <cell r="B28" t="str">
            <v>VMC Bagasse-Fired Biomass Power Plant</v>
          </cell>
          <cell r="C28">
            <v>42300</v>
          </cell>
          <cell r="D28" t="str">
            <v>Victoria Milling Company, Inc,</v>
          </cell>
          <cell r="E28" t="str">
            <v>Negros Occidental</v>
          </cell>
          <cell r="F28" t="str">
            <v>Visayas</v>
          </cell>
          <cell r="G28">
            <v>2.5</v>
          </cell>
          <cell r="H28">
            <v>6.63</v>
          </cell>
        </row>
        <row r="29">
          <cell r="B29" t="str">
            <v>GEEC  MW Biomass Cogeneration System</v>
          </cell>
          <cell r="C29">
            <v>42882</v>
          </cell>
          <cell r="D29" t="str">
            <v>Green Earth Enersource Corporation</v>
          </cell>
          <cell r="E29" t="str">
            <v>Maguindanao</v>
          </cell>
          <cell r="F29" t="str">
            <v>Mindanao</v>
          </cell>
          <cell r="G29">
            <v>1.64</v>
          </cell>
          <cell r="H29">
            <v>6.5968499999999999</v>
          </cell>
        </row>
        <row r="30">
          <cell r="B30" t="str">
            <v>Lamsan Biomass Power Plant Project</v>
          </cell>
          <cell r="C30">
            <v>42734</v>
          </cell>
          <cell r="D30" t="str">
            <v>Lamsan Power Corporation</v>
          </cell>
          <cell r="E30" t="str">
            <v>Maguindanao</v>
          </cell>
          <cell r="F30" t="str">
            <v>Mindanao</v>
          </cell>
          <cell r="G30">
            <v>13.5</v>
          </cell>
          <cell r="H30">
            <v>6.63</v>
          </cell>
        </row>
        <row r="31">
          <cell r="B31" t="str">
            <v>BFI Biogas Power Plant Project</v>
          </cell>
          <cell r="C31">
            <v>43228</v>
          </cell>
          <cell r="D31" t="str">
            <v>Biotech Farms, Inc.</v>
          </cell>
          <cell r="E31" t="str">
            <v>South Cotabato</v>
          </cell>
          <cell r="F31" t="str">
            <v>Mindanao</v>
          </cell>
          <cell r="G31">
            <v>3.5</v>
          </cell>
          <cell r="H31">
            <v>6.19</v>
          </cell>
        </row>
        <row r="32">
          <cell r="B32" t="str">
            <v>28.58 Biomass Power Plant</v>
          </cell>
          <cell r="C32">
            <v>43484</v>
          </cell>
          <cell r="D32" t="str">
            <v>Hawaiian-Philippines Company</v>
          </cell>
          <cell r="E32" t="str">
            <v>Negros Occidental</v>
          </cell>
          <cell r="F32" t="str">
            <v>Visayas</v>
          </cell>
          <cell r="G32">
            <v>9.5</v>
          </cell>
          <cell r="H32">
            <v>6.19</v>
          </cell>
        </row>
        <row r="33">
          <cell r="B33" t="str">
            <v>25 MW Biomass Cogeneration Plant</v>
          </cell>
          <cell r="C33">
            <v>43783</v>
          </cell>
          <cell r="D33" t="str">
            <v>Central Azucarera De Bais</v>
          </cell>
          <cell r="E33" t="str">
            <v>Negros Occidental</v>
          </cell>
          <cell r="F33" t="str">
            <v>Visayas</v>
          </cell>
          <cell r="G33">
            <v>12</v>
          </cell>
          <cell r="H33">
            <v>6.19</v>
          </cell>
        </row>
        <row r="34">
          <cell r="B34" t="str">
            <v>6MW Biomass Power Plant South Cotabato</v>
          </cell>
          <cell r="C34">
            <v>43859</v>
          </cell>
          <cell r="D34" t="str">
            <v>Surallah Power Generation, Inc.</v>
          </cell>
          <cell r="E34" t="str">
            <v>Surallah, South Cotabato</v>
          </cell>
          <cell r="F34" t="str">
            <v>Mindanao</v>
          </cell>
          <cell r="G34">
            <v>5.28</v>
          </cell>
          <cell r="H34">
            <v>6.19</v>
          </cell>
        </row>
        <row r="35">
          <cell r="B35" t="str">
            <v>VMC Bagasse-Fired Biomass Power Plant Expn</v>
          </cell>
          <cell r="C35">
            <v>43520</v>
          </cell>
          <cell r="D35" t="str">
            <v>Victoria Milling Company, Inc,</v>
          </cell>
          <cell r="E35" t="str">
            <v>Negros Occidental</v>
          </cell>
          <cell r="F35" t="str">
            <v>Visayas</v>
          </cell>
          <cell r="G35">
            <v>21.45</v>
          </cell>
          <cell r="H35">
            <v>6.19</v>
          </cell>
        </row>
        <row r="36">
          <cell r="H36"/>
        </row>
        <row r="37">
          <cell r="H37"/>
        </row>
        <row r="38">
          <cell r="H38"/>
        </row>
        <row r="39">
          <cell r="B39" t="str">
            <v>12.39 MW Biogas Power Plant Project (Phase 1&amp;2:9.5MW)</v>
          </cell>
          <cell r="C39">
            <v>43312</v>
          </cell>
          <cell r="D39" t="str">
            <v>Biotech Farms, Inc.</v>
          </cell>
          <cell r="E39" t="str">
            <v>South Cotabato</v>
          </cell>
          <cell r="F39" t="str">
            <v>Mindanao</v>
          </cell>
          <cell r="G39">
            <v>6.4</v>
          </cell>
          <cell r="H39">
            <v>6.19</v>
          </cell>
        </row>
        <row r="40">
          <cell r="B40" t="str">
            <v>48.5 MW Bagasse Fired CoGeneration Power Plant</v>
          </cell>
          <cell r="C40">
            <v>43797</v>
          </cell>
          <cell r="D40" t="str">
            <v>Biscom, Inc</v>
          </cell>
          <cell r="E40" t="str">
            <v>Negros Occidental</v>
          </cell>
          <cell r="F40" t="str">
            <v>Visayas</v>
          </cell>
          <cell r="G40">
            <v>12.7</v>
          </cell>
          <cell r="H40">
            <v>6.19</v>
          </cell>
        </row>
        <row r="41">
          <cell r="B41" t="str">
            <v>8 MW Biomass Cogeneration Plant</v>
          </cell>
          <cell r="C41">
            <v>43706</v>
          </cell>
          <cell r="D41" t="str">
            <v>San Carlos Bionergy Inc</v>
          </cell>
          <cell r="E41" t="str">
            <v>Negros Occidental</v>
          </cell>
          <cell r="F41" t="str">
            <v>Visayas</v>
          </cell>
          <cell r="G41">
            <v>1.5</v>
          </cell>
          <cell r="H41">
            <v>6.19</v>
          </cell>
        </row>
        <row r="42">
          <cell r="B42" t="str">
            <v>12 MW Biomass Power Plant</v>
          </cell>
          <cell r="C42">
            <v>43830</v>
          </cell>
          <cell r="D42" t="str">
            <v>Clean green Energy Corporation</v>
          </cell>
          <cell r="E42" t="str">
            <v>Bataan</v>
          </cell>
          <cell r="F42" t="str">
            <v>Luzon</v>
          </cell>
          <cell r="G42">
            <v>7.7</v>
          </cell>
          <cell r="H42">
            <v>6.19</v>
          </cell>
        </row>
        <row r="43">
          <cell r="D43" t="str">
            <v>With COE from DOE List</v>
          </cell>
          <cell r="F43">
            <v>255.04499999999999</v>
          </cell>
          <cell r="H43"/>
        </row>
        <row r="44">
          <cell r="B44"/>
          <cell r="C44" t="str">
            <v>Total Hydropower</v>
          </cell>
          <cell r="D44"/>
          <cell r="E44"/>
          <cell r="F44"/>
          <cell r="G44">
            <v>308.52900000000005</v>
          </cell>
          <cell r="H44"/>
        </row>
        <row r="45">
          <cell r="F45">
            <v>225.22900000000004</v>
          </cell>
          <cell r="G45"/>
          <cell r="H45"/>
        </row>
        <row r="46">
          <cell r="B46" t="str">
            <v xml:space="preserve">Sabangan Hydroelectric Power Project </v>
          </cell>
          <cell r="C46">
            <v>42157</v>
          </cell>
          <cell r="D46" t="str">
            <v>Hedcor Sabangan, Inc.</v>
          </cell>
          <cell r="E46" t="str">
            <v>Sabangan, Benguet</v>
          </cell>
          <cell r="F46" t="str">
            <v>Luzon</v>
          </cell>
          <cell r="G46">
            <v>14.138999999999999</v>
          </cell>
          <cell r="H46">
            <v>5.9</v>
          </cell>
        </row>
        <row r="47">
          <cell r="B47" t="str">
            <v>Tudaya 2 Hydroelectric Power Project *</v>
          </cell>
          <cell r="C47">
            <v>42170</v>
          </cell>
          <cell r="D47" t="str">
            <v>Hedcor Tudaya, Inc.</v>
          </cell>
          <cell r="E47" t="str">
            <v>Sta. Cruz, Davao del Sur</v>
          </cell>
          <cell r="F47" t="str">
            <v>Mindanao</v>
          </cell>
          <cell r="G47">
            <v>8.1370000000000005</v>
          </cell>
          <cell r="H47">
            <v>5.9</v>
          </cell>
        </row>
        <row r="48">
          <cell r="B48" t="str">
            <v>Irisan 1 Hydroelectric Power Plant</v>
          </cell>
          <cell r="C48">
            <v>41029</v>
          </cell>
          <cell r="D48" t="str">
            <v>HedCor (Aboitiz)</v>
          </cell>
          <cell r="E48" t="str">
            <v>Irisan Benguet</v>
          </cell>
          <cell r="F48" t="str">
            <v>Luzon</v>
          </cell>
          <cell r="G48">
            <v>3.8</v>
          </cell>
          <cell r="H48">
            <v>5.9</v>
          </cell>
        </row>
        <row r="49">
          <cell r="B49" t="str">
            <v>Communal-Uddiawan Hydroelectric Power Plant</v>
          </cell>
          <cell r="C49">
            <v>42170</v>
          </cell>
          <cell r="D49" t="str">
            <v>Smith Bell</v>
          </cell>
          <cell r="E49" t="str">
            <v>Solano, Nueva Viscaya</v>
          </cell>
          <cell r="F49" t="str">
            <v>Luzon</v>
          </cell>
          <cell r="G49">
            <v>1.8</v>
          </cell>
          <cell r="H49">
            <v>5.9</v>
          </cell>
        </row>
        <row r="50">
          <cell r="B50" t="str">
            <v>Villasiga Hydroelectric Power Project</v>
          </cell>
          <cell r="C50">
            <v>42477</v>
          </cell>
          <cell r="D50" t="str">
            <v>Sunwest Water &amp; Electric Co. Inc.</v>
          </cell>
          <cell r="E50" t="str">
            <v>Bugasong Antique</v>
          </cell>
          <cell r="F50" t="str">
            <v>Visayas</v>
          </cell>
          <cell r="G50">
            <v>8.08</v>
          </cell>
          <cell r="H50">
            <v>5.9</v>
          </cell>
        </row>
        <row r="51">
          <cell r="B51" t="str">
            <v>Maris Main Canal 1 HPP</v>
          </cell>
          <cell r="C51">
            <v>43059</v>
          </cell>
          <cell r="D51" t="str">
            <v>SN Aboitiz Power Magat</v>
          </cell>
          <cell r="E51" t="str">
            <v>Ramon Isabela</v>
          </cell>
          <cell r="F51" t="str">
            <v>Luzon</v>
          </cell>
          <cell r="G51">
            <v>8.5</v>
          </cell>
          <cell r="H51">
            <v>5.8705000000000007</v>
          </cell>
        </row>
        <row r="52">
          <cell r="B52" t="str">
            <v>Manolo Fortich 1 HEP</v>
          </cell>
          <cell r="C52">
            <v>43283</v>
          </cell>
          <cell r="D52" t="str">
            <v>Hedcor Bukidnon, Inc.</v>
          </cell>
          <cell r="E52" t="str">
            <v>Santiago, Bukidnon</v>
          </cell>
          <cell r="F52" t="str">
            <v>Mindanao</v>
          </cell>
          <cell r="G52">
            <v>45.936</v>
          </cell>
          <cell r="H52">
            <v>5.8704999999999998</v>
          </cell>
        </row>
        <row r="53">
          <cell r="B53" t="str">
            <v>Bakun Plant</v>
          </cell>
          <cell r="C53" t="str">
            <v>6/23/20</v>
          </cell>
          <cell r="D53" t="str">
            <v>Vivant Sta Clara Northern Renewables Generation Corp.</v>
          </cell>
          <cell r="E53" t="str">
            <v>Alilem, Ilocos Sur</v>
          </cell>
          <cell r="F53" t="str">
            <v>Luzon</v>
          </cell>
          <cell r="G53">
            <v>74.8</v>
          </cell>
          <cell r="H53">
            <v>5.6715</v>
          </cell>
        </row>
        <row r="54">
          <cell r="B54" t="str">
            <v>La Trinidad HEP</v>
          </cell>
          <cell r="C54">
            <v>43647</v>
          </cell>
          <cell r="D54" t="str">
            <v>HedCor, Inc.</v>
          </cell>
          <cell r="E54" t="str">
            <v>La Trinidad Benguet</v>
          </cell>
          <cell r="F54" t="str">
            <v>Luzon</v>
          </cell>
          <cell r="G54">
            <v>20.399999999999999</v>
          </cell>
          <cell r="H54">
            <v>5.8704999999999998</v>
          </cell>
        </row>
        <row r="55">
          <cell r="B55" t="str">
            <v>Manolo Fortich 2 HEP</v>
          </cell>
          <cell r="C55">
            <v>43427</v>
          </cell>
          <cell r="D55" t="str">
            <v>Hedcor Bukidnon, Inc.</v>
          </cell>
          <cell r="E55" t="str">
            <v>Santiago, Bukidnon</v>
          </cell>
          <cell r="F55" t="str">
            <v>Mindanao</v>
          </cell>
          <cell r="G55">
            <v>27.387</v>
          </cell>
          <cell r="H55">
            <v>5.8704999999999998</v>
          </cell>
        </row>
        <row r="56">
          <cell r="B56" t="str">
            <v>New Bataan Hydroelectic Power Plant</v>
          </cell>
          <cell r="C56">
            <v>43165</v>
          </cell>
          <cell r="D56" t="str">
            <v>Euro Hydro Power (Asia) Holdings, Inc.</v>
          </cell>
          <cell r="E56" t="str">
            <v>New Bataan, Compostela Valley</v>
          </cell>
          <cell r="F56" t="str">
            <v>Mindanao</v>
          </cell>
          <cell r="G56">
            <v>3.1880000000000002</v>
          </cell>
          <cell r="H56">
            <v>5.8704999999999998</v>
          </cell>
        </row>
        <row r="57">
          <cell r="B57" t="str">
            <v>Balugbog  Hydroelectric Power Plant</v>
          </cell>
          <cell r="C57">
            <v>43304</v>
          </cell>
          <cell r="D57" t="str">
            <v>Philippine Power &amp; Development Co.</v>
          </cell>
          <cell r="E57" t="str">
            <v>Brgy. Palina, Nagcarlan, Laguna</v>
          </cell>
          <cell r="F57" t="str">
            <v>Luzon</v>
          </cell>
          <cell r="G57">
            <v>1.1000000000000001</v>
          </cell>
          <cell r="H57">
            <v>5.8704999999999998</v>
          </cell>
        </row>
        <row r="58">
          <cell r="B58" t="str">
            <v>Palakpakin Hydroelectric Power Plant</v>
          </cell>
          <cell r="C58">
            <v>43392</v>
          </cell>
          <cell r="D58" t="str">
            <v>Philippine Power &amp; Development Co.</v>
          </cell>
          <cell r="E58" t="str">
            <v>Calauan &amp; San Pablo Laguna</v>
          </cell>
          <cell r="F58" t="str">
            <v>Luzon</v>
          </cell>
          <cell r="G58">
            <v>1.5</v>
          </cell>
          <cell r="H58">
            <v>5.8704999999999998</v>
          </cell>
        </row>
        <row r="59">
          <cell r="B59" t="str">
            <v>Majayjay HEP</v>
          </cell>
          <cell r="C59">
            <v>43602</v>
          </cell>
          <cell r="D59" t="str">
            <v>Majayjay Hydropower Corporation</v>
          </cell>
          <cell r="E59" t="str">
            <v>Majayjay, Laguna</v>
          </cell>
          <cell r="F59" t="str">
            <v>Luzon</v>
          </cell>
          <cell r="G59">
            <v>2.19</v>
          </cell>
          <cell r="H59">
            <v>5.8704999999999998</v>
          </cell>
        </row>
        <row r="60">
          <cell r="B60" t="str">
            <v>Loboc 2</v>
          </cell>
          <cell r="C60">
            <v>43824</v>
          </cell>
          <cell r="D60" t="str">
            <v>Sta Clara Power Corporation</v>
          </cell>
          <cell r="E60" t="str">
            <v>Loboc, Bohol</v>
          </cell>
          <cell r="F60" t="str">
            <v>Visayas</v>
          </cell>
          <cell r="G60">
            <v>1.2</v>
          </cell>
          <cell r="H60">
            <v>5.8704999999999998</v>
          </cell>
        </row>
        <row r="61">
          <cell r="B61" t="str">
            <v>Marbel 1</v>
          </cell>
          <cell r="C61" t="str">
            <v>06/16/22</v>
          </cell>
          <cell r="D61" t="str">
            <v>Euro Hydro Power Holdings</v>
          </cell>
          <cell r="E61" t="str">
            <v>Koronadal &amp; Tampakan South Cotabato</v>
          </cell>
          <cell r="F61" t="str">
            <v>Mindanao</v>
          </cell>
          <cell r="G61">
            <v>0.45300000000000001</v>
          </cell>
          <cell r="H61">
            <v>6.0804450000000001</v>
          </cell>
        </row>
        <row r="62">
          <cell r="B62" t="str">
            <v>Man-asok</v>
          </cell>
          <cell r="C62">
            <v>44743</v>
          </cell>
          <cell r="D62" t="str">
            <v xml:space="preserve">Benguet Electric Cooperative, Inc. </v>
          </cell>
          <cell r="E62" t="str">
            <v>Vitali, Zamboanga City</v>
          </cell>
          <cell r="F62" t="str">
            <v>Luzon</v>
          </cell>
          <cell r="G62">
            <v>3.24</v>
          </cell>
          <cell r="H62">
            <v>6.0804450000000001</v>
          </cell>
        </row>
        <row r="63">
          <cell r="B63" t="str">
            <v>Tubig</v>
          </cell>
          <cell r="C63" t="str">
            <v>10/15/22</v>
          </cell>
          <cell r="D63" t="str">
            <v>Taft Hydroenergy Corporation</v>
          </cell>
          <cell r="E63" t="str">
            <v>Taft, Eastern Samar</v>
          </cell>
          <cell r="F63" t="str">
            <v>Visayas</v>
          </cell>
          <cell r="G63">
            <v>15.18</v>
          </cell>
          <cell r="H63">
            <v>6.0804450000000001</v>
          </cell>
        </row>
        <row r="64">
          <cell r="B64" t="str">
            <v>Matuno</v>
          </cell>
          <cell r="C64">
            <v>45531</v>
          </cell>
          <cell r="D64" t="str">
            <v>Matuno River Development 
Corporation</v>
          </cell>
          <cell r="E64" t="str">
            <v>Bambang, Nueva 
Vizcaya</v>
          </cell>
          <cell r="F64" t="str">
            <v>Luzon</v>
          </cell>
          <cell r="G64">
            <v>8.6609999999999996</v>
          </cell>
          <cell r="H64">
            <v>6.0197925611250005</v>
          </cell>
        </row>
        <row r="65">
          <cell r="B65" t="str">
            <v>Labayat River-lower Cascade</v>
          </cell>
          <cell r="C65">
            <v>45419</v>
          </cell>
          <cell r="D65" t="str">
            <v>Repower Energy Devt</v>
          </cell>
          <cell r="E65" t="str">
            <v>Quezon</v>
          </cell>
          <cell r="F65" t="str">
            <v>Luzon</v>
          </cell>
          <cell r="G65">
            <v>1.4</v>
          </cell>
          <cell r="H65">
            <v>6.0197925611250005</v>
          </cell>
        </row>
        <row r="66">
          <cell r="B66" t="str">
            <v>Calibato HEP</v>
          </cell>
          <cell r="C66">
            <v>43836</v>
          </cell>
          <cell r="D66" t="str">
            <v>Philippine Power and Development Corporation</v>
          </cell>
          <cell r="E66" t="str">
            <v>San Pablo Laguna</v>
          </cell>
          <cell r="F66" t="str">
            <v>Luzon</v>
          </cell>
          <cell r="G66">
            <v>0.3</v>
          </cell>
          <cell r="H66">
            <v>5.8704999999999998</v>
          </cell>
        </row>
        <row r="67">
          <cell r="B67" t="str">
            <v>Labayat River (Upper Cascade)</v>
          </cell>
          <cell r="C67">
            <v>44440</v>
          </cell>
          <cell r="D67" t="str">
            <v>Repower Energy Corporation</v>
          </cell>
          <cell r="E67" t="str">
            <v>Real, Quezon</v>
          </cell>
          <cell r="F67" t="str">
            <v>Luzon</v>
          </cell>
          <cell r="G67">
            <v>3.456</v>
          </cell>
          <cell r="H67">
            <v>6.1109999999999998</v>
          </cell>
        </row>
        <row r="68">
          <cell r="B68" t="str">
            <v>Tibag</v>
          </cell>
          <cell r="C68">
            <v>45196</v>
          </cell>
          <cell r="D68" t="str">
            <v>Tibag Hydropower Corporation</v>
          </cell>
          <cell r="F68" t="str">
            <v>Luzon</v>
          </cell>
          <cell r="G68">
            <v>5.8079999999999998</v>
          </cell>
          <cell r="H68">
            <v>6.0500427750000005</v>
          </cell>
        </row>
        <row r="69">
          <cell r="F69"/>
          <cell r="H69"/>
        </row>
        <row r="70">
          <cell r="H70"/>
        </row>
        <row r="71">
          <cell r="B71" t="str">
            <v>Magat B Hydroelectric Power Project</v>
          </cell>
          <cell r="C71">
            <v>44105</v>
          </cell>
          <cell r="D71" t="str">
            <v>i-Magat Renewable Energy Corporation</v>
          </cell>
          <cell r="E71" t="str">
            <v>Ramon Isabela</v>
          </cell>
          <cell r="F71" t="str">
            <v>Luzon</v>
          </cell>
          <cell r="G71">
            <v>1.08</v>
          </cell>
          <cell r="H71">
            <v>6.1109999999999998</v>
          </cell>
        </row>
        <row r="72">
          <cell r="B72" t="str">
            <v>Butao Irrigation Drop</v>
          </cell>
          <cell r="C72">
            <v>44607</v>
          </cell>
          <cell r="D72" t="str">
            <v>Mindoro Grid Corporation</v>
          </cell>
          <cell r="E72" t="str">
            <v>Balbalan, Kalinga</v>
          </cell>
          <cell r="F72" t="str">
            <v>Luzon</v>
          </cell>
          <cell r="G72">
            <v>1.1970000000000001</v>
          </cell>
          <cell r="H72">
            <v>6.0804450000000001</v>
          </cell>
        </row>
        <row r="73">
          <cell r="B73" t="str">
            <v>Inarihan</v>
          </cell>
          <cell r="C73" t="str">
            <v>04/28/22</v>
          </cell>
          <cell r="D73" t="str">
            <v>Bicol Hydropower Corporation</v>
          </cell>
          <cell r="E73" t="str">
            <v>Bicol??</v>
          </cell>
          <cell r="F73" t="str">
            <v>Luzon</v>
          </cell>
          <cell r="G73">
            <v>1.6</v>
          </cell>
          <cell r="H73">
            <v>6.0804450000000001</v>
          </cell>
        </row>
        <row r="74">
          <cell r="B74" t="str">
            <v>Alamada</v>
          </cell>
          <cell r="C74">
            <v>45078</v>
          </cell>
          <cell r="D74" t="str">
            <v>Euro Hydro Power Holdings</v>
          </cell>
          <cell r="E74" t="str">
            <v>Alamada, North Cotabato</v>
          </cell>
          <cell r="F74" t="str">
            <v>Mindanao</v>
          </cell>
          <cell r="G74">
            <v>2.5870000000000002</v>
          </cell>
          <cell r="H74">
            <v>6.0500427750000005</v>
          </cell>
        </row>
        <row r="75">
          <cell r="B75" t="str">
            <v>Liangan</v>
          </cell>
          <cell r="C75">
            <v>45587</v>
          </cell>
          <cell r="D75" t="str">
            <v>Liangan Power Corporation</v>
          </cell>
          <cell r="F75" t="str">
            <v>Mindanao</v>
          </cell>
          <cell r="G75">
            <v>11.79</v>
          </cell>
          <cell r="H75">
            <v>6.0197925611250005</v>
          </cell>
        </row>
        <row r="76">
          <cell r="C76"/>
          <cell r="D76"/>
          <cell r="F76"/>
          <cell r="G76"/>
          <cell r="H76"/>
        </row>
        <row r="77">
          <cell r="H77"/>
        </row>
        <row r="78">
          <cell r="B78" t="str">
            <v>Colasi Mini Hydro Electric Power Plant</v>
          </cell>
          <cell r="C78">
            <v>45748</v>
          </cell>
          <cell r="D78" t="str">
            <v>Colasi Mini Hydro Electric Power Plant Corp.</v>
          </cell>
          <cell r="E78" t="str">
            <v>Mercedes, Camarines Norte</v>
          </cell>
          <cell r="F78" t="str">
            <v>Luzon</v>
          </cell>
          <cell r="G78">
            <v>4</v>
          </cell>
          <cell r="H78">
            <v>5.9896935983193753</v>
          </cell>
        </row>
        <row r="79">
          <cell r="B79" t="str">
            <v>Igbulo Bais Hydro Electric Power</v>
          </cell>
          <cell r="C79">
            <v>45809</v>
          </cell>
          <cell r="D79" t="str">
            <v>Century Energy Corporation</v>
          </cell>
          <cell r="F79" t="str">
            <v>Visayas</v>
          </cell>
          <cell r="G79">
            <v>8.1</v>
          </cell>
          <cell r="H79">
            <v>5.9896935983193753</v>
          </cell>
        </row>
        <row r="80">
          <cell r="B80" t="str">
            <v>Laguio (Laginbayan)</v>
          </cell>
          <cell r="C80">
            <v>45748</v>
          </cell>
          <cell r="D80" t="str">
            <v>Enervantag'e Supplier's Co., 
Inc</v>
          </cell>
          <cell r="E80" t="str">
            <v xml:space="preserve">Mauban, Quezon </v>
          </cell>
          <cell r="F80" t="str">
            <v>Luzon</v>
          </cell>
          <cell r="G80">
            <v>1.7</v>
          </cell>
          <cell r="H80">
            <v>5.9896935983193753</v>
          </cell>
        </row>
        <row r="81">
          <cell r="B81" t="str">
            <v>Likud 2</v>
          </cell>
          <cell r="C81">
            <v>45748</v>
          </cell>
          <cell r="D81" t="str">
            <v>First Ifugao Renewable Energy Corp</v>
          </cell>
          <cell r="E81" t="str">
            <v>Quezon</v>
          </cell>
          <cell r="F81" t="str">
            <v>Luzon</v>
          </cell>
          <cell r="G81">
            <v>0.52</v>
          </cell>
          <cell r="H81">
            <v>5.9896935983193753</v>
          </cell>
        </row>
        <row r="82">
          <cell r="B82" t="str">
            <v>Siguil</v>
          </cell>
          <cell r="C82">
            <v>45505</v>
          </cell>
          <cell r="D82" t="str">
            <v>Siguil Hydro Power Corporation</v>
          </cell>
          <cell r="E82" t="str">
            <v>Ifugao</v>
          </cell>
          <cell r="F82" t="str">
            <v>Mindanao</v>
          </cell>
          <cell r="G82">
            <v>15.3</v>
          </cell>
          <cell r="H82">
            <v>6.0197925611250005</v>
          </cell>
        </row>
        <row r="83">
          <cell r="D83"/>
          <cell r="E83"/>
          <cell r="F83"/>
          <cell r="G83"/>
          <cell r="H83"/>
        </row>
        <row r="84">
          <cell r="C84"/>
          <cell r="D84" t="str">
            <v>With COE from DOE List</v>
          </cell>
          <cell r="F84">
            <v>203.02900000000002</v>
          </cell>
          <cell r="H84"/>
        </row>
        <row r="85">
          <cell r="B85"/>
          <cell r="C85"/>
          <cell r="D85"/>
          <cell r="E85"/>
          <cell r="F85"/>
          <cell r="G85">
            <v>543.63</v>
          </cell>
          <cell r="H85"/>
        </row>
        <row r="86">
          <cell r="H86"/>
        </row>
        <row r="87">
          <cell r="B87" t="str">
            <v>San Carlos Solar PV Power Project-Phase A</v>
          </cell>
          <cell r="C87">
            <v>41774</v>
          </cell>
          <cell r="D87" t="str">
            <v>San Carlos Solar Energy Inc.</v>
          </cell>
          <cell r="E87" t="str">
            <v>San Carlos City, Negros Occidental</v>
          </cell>
          <cell r="F87" t="str">
            <v>Visayas</v>
          </cell>
          <cell r="G87">
            <v>22</v>
          </cell>
          <cell r="H87">
            <v>9.68</v>
          </cell>
        </row>
        <row r="88">
          <cell r="B88" t="str">
            <v>San Carlos Solar PV Power Project Phase B</v>
          </cell>
          <cell r="C88">
            <v>41867</v>
          </cell>
          <cell r="D88" t="str">
            <v>San Carlos Solar Energy Inc.</v>
          </cell>
          <cell r="E88" t="str">
            <v>San Carlos City, Negros Occidental</v>
          </cell>
          <cell r="F88" t="str">
            <v>Visayas</v>
          </cell>
          <cell r="G88"/>
          <cell r="H88">
            <v>9.68</v>
          </cell>
        </row>
        <row r="89">
          <cell r="B89" t="str">
            <v>Ormoc Solar Power Project (Leyte Solar Power Project)</v>
          </cell>
          <cell r="C89">
            <v>42098</v>
          </cell>
          <cell r="D89" t="str">
            <v>Phil. Solar Farm-Leyte, Inc.</v>
          </cell>
          <cell r="E89" t="str">
            <v>Ormoc City, Leyte</v>
          </cell>
          <cell r="F89" t="str">
            <v>Visayas</v>
          </cell>
          <cell r="G89">
            <v>30</v>
          </cell>
          <cell r="H89">
            <v>9.68</v>
          </cell>
        </row>
        <row r="90">
          <cell r="B90" t="str">
            <v>Pampanga Solar Power Project</v>
          </cell>
          <cell r="C90">
            <v>42040</v>
          </cell>
          <cell r="D90" t="str">
            <v>Raslag Corporation</v>
          </cell>
          <cell r="E90" t="str">
            <v>Brgy. Suclaban, Mexico Pampanga</v>
          </cell>
          <cell r="F90" t="str">
            <v>Luzon</v>
          </cell>
          <cell r="G90">
            <v>10</v>
          </cell>
          <cell r="H90">
            <v>9.68</v>
          </cell>
        </row>
        <row r="91">
          <cell r="B91" t="str">
            <v>Burgos Solar Power Project-Phase 1</v>
          </cell>
          <cell r="C91">
            <v>42068</v>
          </cell>
          <cell r="D91" t="str">
            <v>Energy  Development Corporation</v>
          </cell>
          <cell r="E91" t="str">
            <v>Bgy. Saoit, Burgos, Ilocos Norte</v>
          </cell>
          <cell r="F91" t="str">
            <v>Luzon</v>
          </cell>
          <cell r="G91">
            <v>4.0999999999999996</v>
          </cell>
          <cell r="H91">
            <v>9.68</v>
          </cell>
        </row>
        <row r="92">
          <cell r="B92" t="str">
            <v>SM North Edsa Solar Power Project</v>
          </cell>
          <cell r="C92">
            <v>42101</v>
          </cell>
          <cell r="D92" t="str">
            <v>Solar Philippines Commercial Roof top Proj. Inc.</v>
          </cell>
          <cell r="E92" t="str">
            <v>SM North EDSA, Quezon City</v>
          </cell>
          <cell r="F92" t="str">
            <v>Luzon</v>
          </cell>
          <cell r="G92">
            <v>1.5</v>
          </cell>
          <cell r="H92">
            <v>9.68</v>
          </cell>
        </row>
        <row r="93">
          <cell r="B93" t="str">
            <v>Pampanga Solar Power Project (Phase 2)</v>
          </cell>
          <cell r="C93">
            <v>42361</v>
          </cell>
          <cell r="D93" t="str">
            <v>Raslag Corporation</v>
          </cell>
          <cell r="E93" t="str">
            <v>Bgy. Suclaban, Mexico, Pampanga</v>
          </cell>
          <cell r="F93" t="str">
            <v>Luzon</v>
          </cell>
          <cell r="G93">
            <v>13.14</v>
          </cell>
          <cell r="H93">
            <v>8.69</v>
          </cell>
        </row>
        <row r="94">
          <cell r="B94" t="str">
            <v>Hermosa Solar Power Project</v>
          </cell>
          <cell r="C94">
            <v>42412</v>
          </cell>
          <cell r="D94" t="str">
            <v>YH GREEN Energy Incorporated</v>
          </cell>
          <cell r="E94" t="str">
            <v>Bgy. Bacong, Hermosa Bataan</v>
          </cell>
          <cell r="F94" t="str">
            <v>Luzon</v>
          </cell>
          <cell r="G94">
            <v>14.51</v>
          </cell>
          <cell r="H94">
            <v>8.69</v>
          </cell>
        </row>
        <row r="95">
          <cell r="B95" t="str">
            <v>Tarlac Solar Power Project</v>
          </cell>
          <cell r="C95">
            <v>42410</v>
          </cell>
          <cell r="D95" t="str">
            <v>PetroSolar Corporation</v>
          </cell>
          <cell r="E95" t="str">
            <v>Hacienda Luisita, Tarlac City, Tarlac</v>
          </cell>
          <cell r="F95" t="str">
            <v>Luzon</v>
          </cell>
          <cell r="G95">
            <v>50.07</v>
          </cell>
          <cell r="H95">
            <v>8.69</v>
          </cell>
        </row>
        <row r="96">
          <cell r="B96" t="str">
            <v>Cabanatuan Solar Power Project</v>
          </cell>
          <cell r="C96">
            <v>42440</v>
          </cell>
          <cell r="D96" t="str">
            <v>First Cabanatuan Renewable Ventures Inc.</v>
          </cell>
          <cell r="E96" t="str">
            <v>Bgy. Lourdes, Cabanatuan City, Nueva Ecija</v>
          </cell>
          <cell r="F96" t="str">
            <v>Luzon</v>
          </cell>
          <cell r="G96">
            <v>10.26</v>
          </cell>
          <cell r="H96">
            <v>8.69</v>
          </cell>
        </row>
        <row r="97">
          <cell r="B97" t="str">
            <v>Burgos Solar Power Project (Phase 2)</v>
          </cell>
          <cell r="C97">
            <v>42388</v>
          </cell>
          <cell r="D97" t="str">
            <v>Energy  Development Corporation</v>
          </cell>
          <cell r="E97" t="str">
            <v>Bgy. Saoit, Burgos, Ilocos Norte</v>
          </cell>
          <cell r="F97" t="str">
            <v>Luzon</v>
          </cell>
          <cell r="G97">
            <v>2.66</v>
          </cell>
          <cell r="H97">
            <v>8.69</v>
          </cell>
        </row>
        <row r="98">
          <cell r="B98" t="str">
            <v>Calatagan Solar Power Project</v>
          </cell>
          <cell r="C98">
            <v>42440</v>
          </cell>
          <cell r="D98" t="str">
            <v>Solar Philippines Calatagan Corporation</v>
          </cell>
          <cell r="E98" t="str">
            <v>Bgys., Biga &amp; Paraiso, Calatagan Batangas</v>
          </cell>
          <cell r="F98" t="str">
            <v>Luzon</v>
          </cell>
          <cell r="G98">
            <v>63.3</v>
          </cell>
          <cell r="H98">
            <v>8.69</v>
          </cell>
        </row>
        <row r="99">
          <cell r="B99" t="str">
            <v>Currimao Solar Power Project</v>
          </cell>
          <cell r="C99">
            <v>42429</v>
          </cell>
          <cell r="D99" t="str">
            <v>Mirae Asia Energy Corporation</v>
          </cell>
          <cell r="E99" t="str">
            <v>Currimao, Ilocos Norte</v>
          </cell>
          <cell r="F99" t="str">
            <v>Luzon</v>
          </cell>
          <cell r="G99">
            <v>20</v>
          </cell>
          <cell r="H99">
            <v>8.69</v>
          </cell>
        </row>
        <row r="100">
          <cell r="B100" t="str">
            <v>Valenzuela Solar Power Project</v>
          </cell>
          <cell r="C100">
            <v>42437</v>
          </cell>
          <cell r="D100" t="str">
            <v>Valenzuela Solar Energy Inc. (VALSOL)</v>
          </cell>
          <cell r="E100" t="str">
            <v>Bgy. Isla, Valenzuela City</v>
          </cell>
          <cell r="F100" t="str">
            <v>Luzon</v>
          </cell>
          <cell r="G100">
            <v>8.5</v>
          </cell>
          <cell r="H100">
            <v>8.69</v>
          </cell>
        </row>
        <row r="101">
          <cell r="B101" t="str">
            <v>Lian  Solar Power Project</v>
          </cell>
          <cell r="C101">
            <v>42437</v>
          </cell>
          <cell r="D101" t="str">
            <v>Absolut Distillers, Inc. (ADI)</v>
          </cell>
          <cell r="E101" t="str">
            <v>Bgy. Malaruhatan, Lian, Batangas</v>
          </cell>
          <cell r="F101" t="str">
            <v>Luzon</v>
          </cell>
          <cell r="G101">
            <v>2.04</v>
          </cell>
          <cell r="H101">
            <v>8.69</v>
          </cell>
        </row>
        <row r="102">
          <cell r="B102" t="str">
            <v>Clark Solar Power Poject</v>
          </cell>
          <cell r="C102">
            <v>42441</v>
          </cell>
          <cell r="D102" t="str">
            <v>Enfinity Philippines Renewable Resources, Inc.</v>
          </cell>
          <cell r="E102" t="str">
            <v xml:space="preserve">Prince Balagtas Extension, Clark Freeport Zone, Pampanga </v>
          </cell>
          <cell r="F102" t="str">
            <v>Luzon</v>
          </cell>
          <cell r="G102">
            <v>22.33</v>
          </cell>
          <cell r="H102">
            <v>8.69</v>
          </cell>
        </row>
        <row r="103">
          <cell r="B103" t="str">
            <v>Palauig Solar PP</v>
          </cell>
          <cell r="C103">
            <v>42442</v>
          </cell>
          <cell r="D103" t="str">
            <v>Solar Powered Agri-Rural Communities Corp. (SPARC)</v>
          </cell>
          <cell r="E103" t="str">
            <v>Bgy. Salaza, Palauig, Zambales</v>
          </cell>
          <cell r="F103" t="str">
            <v>Luzon</v>
          </cell>
          <cell r="G103">
            <v>5.0199999999999996</v>
          </cell>
          <cell r="H103">
            <v>8.69</v>
          </cell>
        </row>
        <row r="104">
          <cell r="B104" t="str">
            <v>Bulacan III Solar Power Project</v>
          </cell>
          <cell r="C104">
            <v>42443</v>
          </cell>
          <cell r="D104" t="str">
            <v>Bulacan Solar Energy Corp. (BSEC)</v>
          </cell>
          <cell r="E104" t="str">
            <v>Bgy. Pasong Bangkal, San Ildefonso, Bulacan</v>
          </cell>
          <cell r="F104" t="str">
            <v>Luzon</v>
          </cell>
          <cell r="G104">
            <v>15</v>
          </cell>
          <cell r="H104">
            <v>8.69</v>
          </cell>
        </row>
        <row r="105">
          <cell r="B105" t="str">
            <v>San Carlos Solar PV Power Project Phase I-C and I D</v>
          </cell>
          <cell r="C105">
            <v>42253</v>
          </cell>
          <cell r="D105" t="str">
            <v>San Carlos Solar Energy Inc.</v>
          </cell>
          <cell r="E105" t="str">
            <v>San Carlos City, Negros Occidental</v>
          </cell>
          <cell r="F105" t="str">
            <v>Visayas</v>
          </cell>
          <cell r="G105">
            <v>23</v>
          </cell>
          <cell r="H105">
            <v>8.69</v>
          </cell>
        </row>
        <row r="106">
          <cell r="B106" t="str">
            <v>Bais Solar Power Project</v>
          </cell>
          <cell r="C106">
            <v>42440</v>
          </cell>
          <cell r="D106" t="str">
            <v>Monte Solar Energy Inc. (Montesol)</v>
          </cell>
          <cell r="E106" t="str">
            <v>Bgy. Tamisu, Bais City, Negros Oriental</v>
          </cell>
          <cell r="F106" t="str">
            <v>Visayas</v>
          </cell>
          <cell r="G106">
            <v>18</v>
          </cell>
          <cell r="H106">
            <v>8.69</v>
          </cell>
        </row>
        <row r="107">
          <cell r="B107" t="str">
            <v>Cadiz Solar Power Project</v>
          </cell>
          <cell r="C107">
            <v>42443</v>
          </cell>
          <cell r="D107" t="str">
            <v>Helios Solar Energy Corporation</v>
          </cell>
          <cell r="E107" t="str">
            <v>Cadiz City, Negros Occidental</v>
          </cell>
          <cell r="F107" t="str">
            <v>Visayas</v>
          </cell>
          <cell r="G107">
            <v>132.5</v>
          </cell>
          <cell r="H107">
            <v>8.69</v>
          </cell>
        </row>
        <row r="108">
          <cell r="B108" t="str">
            <v>Centrala Solar Power Project</v>
          </cell>
          <cell r="C108">
            <v>42668</v>
          </cell>
          <cell r="D108" t="str">
            <v>NV Vogt Philippines Solar Energy One, Inc.</v>
          </cell>
          <cell r="E108" t="str">
            <v>Surallah, South Cotabato</v>
          </cell>
          <cell r="F108" t="str">
            <v>Mindanao</v>
          </cell>
          <cell r="G108">
            <v>6.23</v>
          </cell>
          <cell r="H108">
            <v>8.69</v>
          </cell>
        </row>
        <row r="109">
          <cell r="B109" t="str">
            <v>Kibawe Solar Power Project</v>
          </cell>
          <cell r="C109">
            <v>42442</v>
          </cell>
          <cell r="D109" t="str">
            <v>Asian Green Energy Corporation</v>
          </cell>
          <cell r="E109" t="str">
            <v>Bgy. Labuagon, Kibawe, Bukidnon</v>
          </cell>
          <cell r="F109" t="str">
            <v>MIndanao</v>
          </cell>
          <cell r="G109">
            <v>10.49</v>
          </cell>
          <cell r="H109">
            <v>8.69</v>
          </cell>
        </row>
        <row r="110">
          <cell r="B110" t="str">
            <v>58.98-MWP SACASUN Solar Power Project</v>
          </cell>
          <cell r="C110">
            <v>44800</v>
          </cell>
          <cell r="D110" t="str">
            <v>San Carlos Sun Power Inc. (SACASUN)</v>
          </cell>
          <cell r="E110" t="str">
            <v>Negros</v>
          </cell>
          <cell r="F110" t="str">
            <v>Visayas</v>
          </cell>
          <cell r="G110">
            <v>58.98</v>
          </cell>
          <cell r="H110">
            <v>8.69</v>
          </cell>
        </row>
        <row r="111">
          <cell r="H111"/>
        </row>
        <row r="112">
          <cell r="B112"/>
          <cell r="C112"/>
          <cell r="D112"/>
          <cell r="E112"/>
          <cell r="F112"/>
          <cell r="G112">
            <v>426.9</v>
          </cell>
          <cell r="H112"/>
        </row>
        <row r="113">
          <cell r="F113">
            <v>393.9</v>
          </cell>
          <cell r="G113"/>
          <cell r="H113"/>
        </row>
        <row r="114">
          <cell r="B114" t="str">
            <v>Bangui Bay Wind Power Project (Phase 3)</v>
          </cell>
          <cell r="C114">
            <v>41922</v>
          </cell>
          <cell r="D114" t="str">
            <v>Northwind Power Development Corporation</v>
          </cell>
          <cell r="E114" t="str">
            <v>Bangui, Ilocos Norte</v>
          </cell>
          <cell r="F114" t="str">
            <v>Luzon</v>
          </cell>
          <cell r="G114">
            <v>18.899999999999999</v>
          </cell>
          <cell r="H114">
            <v>8.5299999999999994</v>
          </cell>
        </row>
        <row r="115">
          <cell r="B115" t="str">
            <v>Burgos Wind Power Project (Phase 1 &amp; 2)</v>
          </cell>
          <cell r="C115">
            <v>41954</v>
          </cell>
          <cell r="D115" t="str">
            <v>EDC Burgos Wind Power Corporation</v>
          </cell>
          <cell r="E115" t="str">
            <v>Burgos, Ilocos Norte</v>
          </cell>
          <cell r="F115" t="str">
            <v>Luzon</v>
          </cell>
          <cell r="G115">
            <v>150</v>
          </cell>
          <cell r="H115">
            <v>8.5299999999999994</v>
          </cell>
        </row>
        <row r="116">
          <cell r="B116" t="str">
            <v>Caparispisan Wind Energy Project</v>
          </cell>
          <cell r="C116">
            <v>41954</v>
          </cell>
          <cell r="D116" t="str">
            <v>Northern Luzon Energy Renewable Energy Corporation</v>
          </cell>
          <cell r="E116" t="str">
            <v>Caparispisan, Pagudpud, Ilocos Norte</v>
          </cell>
          <cell r="F116" t="str">
            <v>Luzon</v>
          </cell>
          <cell r="G116">
            <v>81</v>
          </cell>
          <cell r="H116">
            <v>8.5299999999999994</v>
          </cell>
        </row>
        <row r="117">
          <cell r="B117" t="str">
            <v>San Lorenzo Wind Power Project</v>
          </cell>
          <cell r="C117">
            <v>42000</v>
          </cell>
          <cell r="D117" t="str">
            <v>Trans-Asia Renewable Energy Corporation</v>
          </cell>
          <cell r="E117" t="str">
            <v>San Lorenzo, Guimaras</v>
          </cell>
          <cell r="F117" t="str">
            <v>Visayas</v>
          </cell>
          <cell r="G117">
            <v>54</v>
          </cell>
          <cell r="H117">
            <v>7.4</v>
          </cell>
        </row>
        <row r="118">
          <cell r="B118" t="str">
            <v>Pillilla Wind Power Project</v>
          </cell>
          <cell r="C118">
            <v>42164</v>
          </cell>
          <cell r="D118" t="str">
            <v>Alternergy Wind One Corporation</v>
          </cell>
          <cell r="E118" t="str">
            <v>Bgy. Halayhayin, Pillilla, Rizal</v>
          </cell>
          <cell r="F118" t="str">
            <v>Luzon</v>
          </cell>
          <cell r="G118">
            <v>54</v>
          </cell>
          <cell r="H118">
            <v>7.4</v>
          </cell>
        </row>
        <row r="119">
          <cell r="B119" t="str">
            <v>Bangui Wind Power Project (Phase 1 &amp; 2)</v>
          </cell>
          <cell r="C119">
            <v>42175</v>
          </cell>
          <cell r="D119" t="str">
            <v>Northwind Power Development Corporation</v>
          </cell>
          <cell r="E119" t="str">
            <v>Bangui, Ilocos Norte</v>
          </cell>
          <cell r="F119" t="str">
            <v>Luzon</v>
          </cell>
          <cell r="G119">
            <v>33</v>
          </cell>
          <cell r="H119">
            <v>5.96</v>
          </cell>
        </row>
        <row r="120">
          <cell r="B120" t="str">
            <v>Nabas Wind Energy Project</v>
          </cell>
          <cell r="C120">
            <v>42165</v>
          </cell>
          <cell r="D120" t="str">
            <v>Petro Wind Energy, Inc.</v>
          </cell>
          <cell r="E120" t="str">
            <v>Nabas-Malay, Aklan</v>
          </cell>
          <cell r="F120" t="str">
            <v>Visayas</v>
          </cell>
          <cell r="G120">
            <v>36</v>
          </cell>
          <cell r="H120">
            <v>7.4</v>
          </cell>
        </row>
        <row r="125">
          <cell r="B125"/>
          <cell r="C125"/>
          <cell r="D125"/>
          <cell r="E125"/>
          <cell r="F125"/>
          <cell r="G125"/>
          <cell r="H125"/>
        </row>
        <row r="127">
          <cell r="D127"/>
          <cell r="E127"/>
          <cell r="F127"/>
          <cell r="G127"/>
          <cell r="H127"/>
        </row>
        <row r="129">
          <cell r="D129"/>
          <cell r="E129"/>
          <cell r="F129"/>
          <cell r="G129"/>
          <cell r="H129"/>
        </row>
        <row r="131">
          <cell r="D131"/>
          <cell r="E131"/>
          <cell r="F131"/>
          <cell r="G131"/>
          <cell r="H131"/>
        </row>
        <row r="133">
          <cell r="D133"/>
          <cell r="E133"/>
          <cell r="F133"/>
          <cell r="G133"/>
          <cell r="H133"/>
        </row>
        <row r="135">
          <cell r="D135"/>
          <cell r="E135"/>
          <cell r="F135"/>
          <cell r="G135"/>
          <cell r="H135"/>
        </row>
        <row r="137">
          <cell r="D137"/>
          <cell r="E137"/>
          <cell r="F137"/>
          <cell r="G137"/>
          <cell r="H137"/>
        </row>
        <row r="139">
          <cell r="D139"/>
          <cell r="E139"/>
          <cell r="F139"/>
          <cell r="G139"/>
          <cell r="H139"/>
        </row>
        <row r="141">
          <cell r="D141"/>
          <cell r="E141"/>
          <cell r="F141"/>
          <cell r="G141"/>
          <cell r="H141"/>
        </row>
        <row r="143">
          <cell r="D143"/>
          <cell r="E143"/>
          <cell r="F143"/>
          <cell r="G143"/>
          <cell r="H143"/>
        </row>
        <row r="145">
          <cell r="D145"/>
          <cell r="E145"/>
          <cell r="F145"/>
          <cell r="G145"/>
          <cell r="H145"/>
        </row>
      </sheetData>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FIT"/>
      <sheetName val="GEA"/>
    </sheetNames>
    <sheetDataSet>
      <sheetData sheetId="0"/>
      <sheetData sheetId="1"/>
      <sheetData sheetId="2">
        <row r="1">
          <cell r="B1"/>
          <cell r="C1"/>
          <cell r="K1"/>
          <cell r="M1"/>
        </row>
        <row r="2">
          <cell r="B2" t="str">
            <v>RE Developer</v>
          </cell>
          <cell r="C2" t="str">
            <v>RE Facility Name</v>
          </cell>
          <cell r="K2" t="str">
            <v>COC Number</v>
          </cell>
          <cell r="M2" t="str">
            <v>Capacity per COC / PAO (kW)</v>
          </cell>
        </row>
        <row r="3">
          <cell r="B3" t="str">
            <v>Cordillera Hydroelectric Power Corporation</v>
          </cell>
          <cell r="C3" t="str">
            <v>Kapangan Hydroelectric Power Project</v>
          </cell>
          <cell r="K3" t="str">
            <v>-</v>
          </cell>
          <cell r="M3" t="str">
            <v>-</v>
          </cell>
        </row>
        <row r="4">
          <cell r="B4" t="str">
            <v>Hedcor, Inc.</v>
          </cell>
          <cell r="C4" t="str">
            <v>Sablan 1 Hydroelectric Power Project</v>
          </cell>
          <cell r="K4" t="str">
            <v>-</v>
          </cell>
          <cell r="M4" t="str">
            <v>-</v>
          </cell>
        </row>
        <row r="5">
          <cell r="B5" t="str">
            <v>PAVI Green Renewable Energy Inc.</v>
          </cell>
          <cell r="C5" t="str">
            <v>PAVI Green Naga Solar Power Plant Project</v>
          </cell>
          <cell r="K5" t="str">
            <v>-</v>
          </cell>
          <cell r="M5" t="str">
            <v>-</v>
          </cell>
        </row>
        <row r="6">
          <cell r="B6" t="str">
            <v>Greenergy Solutions, Inc.</v>
          </cell>
          <cell r="C6" t="str">
            <v>Talugtug Solar Power Project</v>
          </cell>
          <cell r="K6" t="str">
            <v>-</v>
          </cell>
          <cell r="M6" t="str">
            <v>-</v>
          </cell>
        </row>
        <row r="7">
          <cell r="B7" t="str">
            <v>Solar Philippines Commercial Rooftop Projects, Inc.</v>
          </cell>
          <cell r="C7" t="str">
            <v>Concepcion 2 Solar Power Project</v>
          </cell>
          <cell r="K7" t="str">
            <v>-</v>
          </cell>
          <cell r="M7" t="str">
            <v>-</v>
          </cell>
        </row>
        <row r="8">
          <cell r="B8" t="str">
            <v>Solar Philippines Nueva Ecija Corporation</v>
          </cell>
          <cell r="C8" t="str">
            <v>Santa Rosa Nueva Ecija 2 Solar Power Project</v>
          </cell>
          <cell r="K8" t="str">
            <v>-</v>
          </cell>
          <cell r="M8" t="str">
            <v>-</v>
          </cell>
        </row>
        <row r="9">
          <cell r="B9" t="str">
            <v>Solar Philippines Commercial Rooftop Projects, Inc.</v>
          </cell>
          <cell r="C9" t="str">
            <v>Tayabas Solar Power Project</v>
          </cell>
          <cell r="K9" t="str">
            <v>-</v>
          </cell>
          <cell r="M9" t="str">
            <v>-</v>
          </cell>
        </row>
        <row r="10">
          <cell r="B10" t="str">
            <v>Amihan Renewable Energy Corp.</v>
          </cell>
          <cell r="C10" t="str">
            <v>Caparispisan II Wind Power Project</v>
          </cell>
          <cell r="K10" t="str">
            <v>25-07-30-M-PAO-N-0484L</v>
          </cell>
          <cell r="M10">
            <v>50000</v>
          </cell>
        </row>
        <row r="11">
          <cell r="B11" t="str">
            <v>Solar Philippines Calatagan Corporation</v>
          </cell>
          <cell r="C11" t="str">
            <v>Calatagan Wind Power Project</v>
          </cell>
          <cell r="K11" t="str">
            <v>-</v>
          </cell>
          <cell r="M11" t="str">
            <v>-</v>
          </cell>
        </row>
        <row r="12">
          <cell r="B12" t="str">
            <v>Bayog Wind Power Corp.</v>
          </cell>
          <cell r="C12" t="str">
            <v>Balaoi and Caunayan Wind Power Project</v>
          </cell>
          <cell r="K12" t="str">
            <v> 25-08-05-M-PAO-N-0487L</v>
          </cell>
          <cell r="M12">
            <v>25000</v>
          </cell>
        </row>
        <row r="13">
          <cell r="B13" t="str">
            <v>CleanTech Global Renewables Inc.</v>
          </cell>
          <cell r="C13" t="str">
            <v>Kalayaan 2 Wind Power Project</v>
          </cell>
          <cell r="K13" t="str">
            <v>-</v>
          </cell>
          <cell r="M13" t="str">
            <v>-</v>
          </cell>
        </row>
        <row r="14">
          <cell r="B14" t="str">
            <v>Solar Philippines Visayas Corporation</v>
          </cell>
          <cell r="C14" t="str">
            <v>Kananga-Ormoc Solar Power Project</v>
          </cell>
          <cell r="K14" t="str">
            <v>-</v>
          </cell>
          <cell r="M14" t="str">
            <v>-</v>
          </cell>
        </row>
        <row r="15">
          <cell r="B15" t="str">
            <v>Petrowind Energy, Inc.</v>
          </cell>
          <cell r="C15" t="str">
            <v>Nabas 2 Wind Power Project</v>
          </cell>
          <cell r="K15" t="str">
            <v>26-05-21-M-PAO-N-0581V</v>
          </cell>
          <cell r="M15">
            <v>13560</v>
          </cell>
        </row>
        <row r="16">
          <cell r="B16" t="str">
            <v>Philnewriver Power Corporation</v>
          </cell>
          <cell r="C16" t="str">
            <v>Malitbog Hydroelectric Power Project</v>
          </cell>
          <cell r="K16" t="str">
            <v>-</v>
          </cell>
          <cell r="M16" t="str">
            <v>-</v>
          </cell>
        </row>
        <row r="17">
          <cell r="B17" t="str">
            <v>Philnewriver Power Corporation</v>
          </cell>
          <cell r="C17" t="str">
            <v>Silo-O Hydroelectric Power Project</v>
          </cell>
          <cell r="K17" t="str">
            <v>-</v>
          </cell>
          <cell r="M17" t="str">
            <v>-</v>
          </cell>
        </row>
        <row r="18">
          <cell r="B18" t="str">
            <v>Philnew Hydro Power Corporation</v>
          </cell>
          <cell r="C18" t="str">
            <v>Mat-I Hydroelectric Power Project</v>
          </cell>
          <cell r="K18" t="str">
            <v>-</v>
          </cell>
          <cell r="M18" t="str">
            <v>-</v>
          </cell>
        </row>
        <row r="19">
          <cell r="B19" t="str">
            <v>Philnew Hydro Power Corporation</v>
          </cell>
          <cell r="C19" t="str">
            <v>Clarin Hydroelectric Power Project</v>
          </cell>
          <cell r="K19" t="str">
            <v>-</v>
          </cell>
          <cell r="M19" t="str">
            <v>-</v>
          </cell>
        </row>
        <row r="20">
          <cell r="B20" t="str">
            <v>Cotabato Sugar Central Company, Inc.</v>
          </cell>
          <cell r="C20" t="str">
            <v>10-MW Biomass Cogeneration Plant</v>
          </cell>
          <cell r="K20" t="str">
            <v>-</v>
          </cell>
          <cell r="M20" t="str">
            <v>-</v>
          </cell>
        </row>
        <row r="21">
          <cell r="B21" t="str">
            <v>Solar Philippines Commercial Rooftop Projects, Inc.</v>
          </cell>
          <cell r="C21" t="str">
            <v>General Santos Solar Power Project</v>
          </cell>
          <cell r="K21" t="str">
            <v>-</v>
          </cell>
          <cell r="M21" t="str">
            <v>-</v>
          </cell>
        </row>
        <row r="22">
          <cell r="B22" t="str">
            <v>Nuevasol Energy Corp.</v>
          </cell>
          <cell r="C22" t="str">
            <v>Bongabon Solar Power Project</v>
          </cell>
          <cell r="K22" t="str">
            <v>25-03-03-M-PAO-N-0409L</v>
          </cell>
          <cell r="M22">
            <v>42936</v>
          </cell>
        </row>
        <row r="23">
          <cell r="B23" t="str">
            <v>Megasol Energy I Inc.</v>
          </cell>
          <cell r="C23" t="str">
            <v>Gamu Solar Power Project</v>
          </cell>
          <cell r="K23" t="str">
            <v>25-03-M-00334L</v>
          </cell>
          <cell r="M23">
            <v>56578</v>
          </cell>
        </row>
        <row r="24">
          <cell r="B24" t="str">
            <v>Citicore Solar Tarlac 2, Inc.</v>
          </cell>
          <cell r="C24" t="str">
            <v>Dalayap Solar Power Project</v>
          </cell>
          <cell r="K24" t="str">
            <v>25-06-02-M-PAO-E-0459L</v>
          </cell>
          <cell r="M24">
            <v>7479</v>
          </cell>
        </row>
        <row r="25">
          <cell r="B25" t="str">
            <v>Citicore Solar Tarlac 1, Inc.</v>
          </cell>
          <cell r="C25" t="str">
            <v>Armenia Solar Power Project</v>
          </cell>
          <cell r="K25" t="str">
            <v>25-06-02-M-PAO-E-0461L</v>
          </cell>
          <cell r="M25">
            <v>8836</v>
          </cell>
        </row>
        <row r="26">
          <cell r="B26" t="str">
            <v>Greencore Power Solution 2, Inc.</v>
          </cell>
          <cell r="C26" t="str">
            <v>Tuy 4 Batangas Solar Power Project</v>
          </cell>
          <cell r="K26" t="str">
            <v>-</v>
          </cell>
          <cell r="M26" t="str">
            <v>-</v>
          </cell>
        </row>
        <row r="27">
          <cell r="B27" t="str">
            <v>Greencore Power Solution 1, Inc.</v>
          </cell>
          <cell r="C27" t="str">
            <v>Bolbok 2 Solar Power Project</v>
          </cell>
          <cell r="K27" t="str">
            <v>-</v>
          </cell>
          <cell r="M27" t="str">
            <v>-</v>
          </cell>
        </row>
        <row r="28">
          <cell r="B28" t="str">
            <v>Citicore Solar Pampanga 1, Inc.</v>
          </cell>
          <cell r="C28" t="str">
            <v>Arayat 3A Solar Power Project</v>
          </cell>
          <cell r="K28" t="str">
            <v>26-02-10-M-PAO-N-0559L</v>
          </cell>
          <cell r="M28">
            <v>42041</v>
          </cell>
        </row>
        <row r="29">
          <cell r="B29" t="str">
            <v>Citicore Solar Quezon, Inc.</v>
          </cell>
          <cell r="C29" t="str">
            <v>Pagbilao 1 Solar Power Project</v>
          </cell>
          <cell r="K29" t="str">
            <v>-</v>
          </cell>
          <cell r="M29" t="str">
            <v>-</v>
          </cell>
        </row>
        <row r="30">
          <cell r="B30" t="str">
            <v>Citicore Solar Quezon, Inc.</v>
          </cell>
          <cell r="C30" t="str">
            <v>Pagbilao 2 Solar Power Project</v>
          </cell>
          <cell r="K30" t="str">
            <v>-</v>
          </cell>
          <cell r="M30" t="str">
            <v>-</v>
          </cell>
        </row>
        <row r="31">
          <cell r="B31" t="str">
            <v>Citicore Solar Pangasinan, Inc.</v>
          </cell>
          <cell r="C31" t="str">
            <v>Sta. Barbara 1 Solar Power Project</v>
          </cell>
          <cell r="K31" t="str">
            <v>-</v>
          </cell>
          <cell r="M31" t="str">
            <v>-</v>
          </cell>
        </row>
        <row r="32">
          <cell r="B32" t="str">
            <v>Citicore Solar Pangasinan 2, Inc.</v>
          </cell>
          <cell r="C32" t="str">
            <v>San Manuel 1 Solar Power Project</v>
          </cell>
          <cell r="K32" t="str">
            <v>-</v>
          </cell>
          <cell r="M32" t="str">
            <v>-</v>
          </cell>
        </row>
        <row r="33">
          <cell r="B33" t="str">
            <v>Phinma Solar Energy Corporation</v>
          </cell>
          <cell r="C33" t="str">
            <v>Warehouse No. B4 Geomax Compound Solar PV System</v>
          </cell>
          <cell r="K33" t="str">
            <v>-</v>
          </cell>
          <cell r="M33" t="str">
            <v>-</v>
          </cell>
        </row>
        <row r="34">
          <cell r="B34" t="str">
            <v>Phinma Solar Energy Corporation</v>
          </cell>
          <cell r="C34" t="str">
            <v>Warehouse #3 C TEKNIK Compound Solar PV System</v>
          </cell>
          <cell r="K34" t="str">
            <v>-</v>
          </cell>
          <cell r="M34" t="str">
            <v>-</v>
          </cell>
        </row>
        <row r="35">
          <cell r="B35" t="str">
            <v>Phinma Solar Energy Corporation</v>
          </cell>
          <cell r="C35" t="str">
            <v>Warehouse #5 C TEKNIK Compound Solar PV System</v>
          </cell>
          <cell r="K35" t="str">
            <v>-</v>
          </cell>
          <cell r="M35" t="str">
            <v>-</v>
          </cell>
        </row>
        <row r="36">
          <cell r="B36" t="str">
            <v>Phinma Solar Energy Corporation</v>
          </cell>
          <cell r="C36" t="str">
            <v>Warehouse #4 C TEKNIK Compound Solar PV System</v>
          </cell>
          <cell r="K36" t="str">
            <v>-</v>
          </cell>
          <cell r="M36" t="str">
            <v>-</v>
          </cell>
        </row>
        <row r="37">
          <cell r="B37" t="str">
            <v>Phinma Solar Energy Corporation</v>
          </cell>
          <cell r="C37" t="str">
            <v>Warehouse #6 C TEKNIK Compound Solar PV System</v>
          </cell>
          <cell r="K37" t="str">
            <v>-</v>
          </cell>
          <cell r="M37" t="str">
            <v>-</v>
          </cell>
        </row>
        <row r="38">
          <cell r="B38" t="str">
            <v>Phinma Solar Energy Corporation</v>
          </cell>
          <cell r="C38" t="str">
            <v>Warehouse #1 C TEKNIK Compound Solar PV System</v>
          </cell>
          <cell r="K38" t="str">
            <v>-</v>
          </cell>
          <cell r="M38" t="str">
            <v>-</v>
          </cell>
        </row>
        <row r="39">
          <cell r="B39" t="str">
            <v>Phinma Solar Energy Corporation</v>
          </cell>
          <cell r="C39" t="str">
            <v>Warehouse #18 C TEKNIK Compound Solar PV System</v>
          </cell>
          <cell r="K39" t="str">
            <v>-</v>
          </cell>
          <cell r="M39" t="str">
            <v>-</v>
          </cell>
        </row>
        <row r="40">
          <cell r="B40" t="str">
            <v>Phinma Solar Energy Corporation</v>
          </cell>
          <cell r="C40" t="str">
            <v>Warehouse #19 C TEKNIK Compound Solar PV System</v>
          </cell>
          <cell r="K40" t="str">
            <v>-</v>
          </cell>
          <cell r="M40" t="str">
            <v>-</v>
          </cell>
        </row>
        <row r="41">
          <cell r="B41" t="str">
            <v>Phinma Solar Energy Corporation</v>
          </cell>
          <cell r="C41" t="str">
            <v>Warehouse #2 C TEKNIK Compound Solar PV System</v>
          </cell>
          <cell r="K41" t="str">
            <v>-</v>
          </cell>
          <cell r="M41" t="str">
            <v>-</v>
          </cell>
        </row>
        <row r="42">
          <cell r="B42" t="str">
            <v>Labrador Green Energy Corp.</v>
          </cell>
          <cell r="C42" t="str">
            <v>Labrador Solar Power Plant Project</v>
          </cell>
          <cell r="K42" t="str">
            <v>-</v>
          </cell>
          <cell r="M42" t="str">
            <v>-</v>
          </cell>
        </row>
        <row r="43">
          <cell r="B43" t="str">
            <v>Liberty Solar Energy Corp.</v>
          </cell>
          <cell r="C43" t="str">
            <v>Apulid Solar Project</v>
          </cell>
          <cell r="K43" t="str">
            <v>-</v>
          </cell>
          <cell r="M43" t="str">
            <v>-</v>
          </cell>
        </row>
        <row r="44">
          <cell r="B44" t="str">
            <v>Wyn Power Corporation</v>
          </cell>
          <cell r="C44" t="str">
            <v>Development of 50 MW Ground Mounted Solar Power Project</v>
          </cell>
          <cell r="K44" t="str">
            <v>-</v>
          </cell>
          <cell r="M44" t="str">
            <v>-</v>
          </cell>
        </row>
        <row r="45">
          <cell r="B45" t="str">
            <v>Solar Valley Energy Solutions Inc.</v>
          </cell>
          <cell r="C45" t="str">
            <v>San Pablo Solar Power Project Phase 1</v>
          </cell>
          <cell r="K45" t="str">
            <v>-</v>
          </cell>
          <cell r="M45" t="str">
            <v>-</v>
          </cell>
        </row>
        <row r="46">
          <cell r="B46" t="str">
            <v>Greenergy for Global, Inc. Doing Business Under G4G</v>
          </cell>
          <cell r="C46" t="str">
            <v>Cordon Solar Power Project</v>
          </cell>
          <cell r="K46" t="str">
            <v>26-03-27-M-PAO-N-0569L</v>
          </cell>
          <cell r="M46">
            <v>63961</v>
          </cell>
        </row>
        <row r="47">
          <cell r="B47" t="str">
            <v>Greentech Solar Energy Inc.</v>
          </cell>
          <cell r="C47" t="str">
            <v>Bongabon Solar Power Project</v>
          </cell>
          <cell r="K47" t="str">
            <v>25-10-M-00344L</v>
          </cell>
          <cell r="M47">
            <v>25537</v>
          </cell>
        </row>
        <row r="48">
          <cell r="B48" t="str">
            <v>San Pablo Renewable Energy Corporation</v>
          </cell>
          <cell r="C48" t="str">
            <v>San Pablo 1 Solar Power Project</v>
          </cell>
          <cell r="K48" t="str">
            <v>-</v>
          </cell>
          <cell r="M48" t="str">
            <v>-</v>
          </cell>
        </row>
        <row r="49">
          <cell r="B49" t="str">
            <v>BKS Green Energy Corp.</v>
          </cell>
          <cell r="C49" t="str">
            <v>Limbauan Solar Power Project</v>
          </cell>
          <cell r="K49" t="str">
            <v>26-06-M-00402L</v>
          </cell>
          <cell r="M49">
            <v>33831</v>
          </cell>
        </row>
        <row r="50">
          <cell r="B50" t="str">
            <v>PetroGreen Energy Corporation</v>
          </cell>
          <cell r="C50" t="str">
            <v>Bugallon Solar Power Project</v>
          </cell>
          <cell r="K50" t="str">
            <v>-</v>
          </cell>
          <cell r="M50" t="str">
            <v>-</v>
          </cell>
        </row>
        <row r="51">
          <cell r="B51" t="str">
            <v>Phinma Solar Energy Corporation</v>
          </cell>
          <cell r="C51" t="str">
            <v>Pampanga Rollforming Plant Solar PV System</v>
          </cell>
          <cell r="K51" t="str">
            <v>-</v>
          </cell>
          <cell r="M51" t="str">
            <v>-</v>
          </cell>
        </row>
        <row r="52">
          <cell r="B52" t="str">
            <v>Phinma Solar Energy Corporation</v>
          </cell>
          <cell r="C52" t="str">
            <v>Warehouse #20 C TEKNIK Compound Solar PV System</v>
          </cell>
          <cell r="K52" t="str">
            <v>-</v>
          </cell>
          <cell r="M52" t="str">
            <v>-</v>
          </cell>
        </row>
        <row r="53">
          <cell r="B53" t="str">
            <v>Phinma Solar Energy Corporation</v>
          </cell>
          <cell r="C53" t="str">
            <v>OMG Rice Mill #2 Solar PV System</v>
          </cell>
          <cell r="K53" t="str">
            <v>-</v>
          </cell>
          <cell r="M53" t="str">
            <v>-</v>
          </cell>
        </row>
        <row r="54">
          <cell r="B54" t="str">
            <v>Phinma Solar Energy Corporation</v>
          </cell>
          <cell r="C54" t="str">
            <v>Warehouse No. C6 Geomax Compound Solar PV System</v>
          </cell>
          <cell r="K54" t="str">
            <v>-</v>
          </cell>
          <cell r="M54" t="str">
            <v>-</v>
          </cell>
        </row>
        <row r="55">
          <cell r="B55" t="str">
            <v>Phinma Solar Energy Corporation</v>
          </cell>
          <cell r="C55" t="str">
            <v>Warehouse No. F2 Geomax Compound Solar PV System</v>
          </cell>
          <cell r="K55" t="str">
            <v>-</v>
          </cell>
          <cell r="M55" t="str">
            <v>-</v>
          </cell>
        </row>
        <row r="56">
          <cell r="B56" t="str">
            <v>Phinma Solar Energy Corporation</v>
          </cell>
          <cell r="C56" t="str">
            <v>Calamba Rollforming Plant Solar PV System</v>
          </cell>
          <cell r="K56" t="str">
            <v>-</v>
          </cell>
          <cell r="M56" t="str">
            <v>-</v>
          </cell>
        </row>
        <row r="57">
          <cell r="B57" t="str">
            <v>Phinma Solar Energy Corporation</v>
          </cell>
          <cell r="C57" t="str">
            <v>Warehouse No. C4 Geomax Compound Solar PV System</v>
          </cell>
          <cell r="K57" t="str">
            <v>-</v>
          </cell>
          <cell r="M57" t="str">
            <v>-</v>
          </cell>
        </row>
        <row r="58">
          <cell r="B58" t="str">
            <v>Phinma Solar Energy Corporation</v>
          </cell>
          <cell r="C58" t="str">
            <v>VCCR Global Enterprises Solar PV System</v>
          </cell>
          <cell r="K58" t="str">
            <v>-</v>
          </cell>
          <cell r="M58" t="str">
            <v>-</v>
          </cell>
        </row>
        <row r="59">
          <cell r="B59" t="str">
            <v>Phinma Solar Energy Corporation</v>
          </cell>
          <cell r="C59" t="str">
            <v>Warehouse No. F3 Geomax Compound Solar PV System</v>
          </cell>
          <cell r="K59" t="str">
            <v>-</v>
          </cell>
          <cell r="M59" t="str">
            <v>-</v>
          </cell>
        </row>
        <row r="60">
          <cell r="B60" t="str">
            <v>Phinma Solar Energy Corporation</v>
          </cell>
          <cell r="C60" t="str">
            <v>3 Angels and 2 Princess Rice Mill Solar PV System</v>
          </cell>
          <cell r="K60" t="str">
            <v>-</v>
          </cell>
          <cell r="M60" t="str">
            <v>-</v>
          </cell>
        </row>
        <row r="61">
          <cell r="B61" t="str">
            <v>Phinma Solar Energy Corporation</v>
          </cell>
          <cell r="C61" t="str">
            <v>Warehouse No. C7 Geomax Compound Solar PV System</v>
          </cell>
          <cell r="K61" t="str">
            <v>-</v>
          </cell>
          <cell r="M61" t="str">
            <v>-</v>
          </cell>
        </row>
        <row r="62">
          <cell r="B62" t="str">
            <v>Phinma Solar Energy Corporation</v>
          </cell>
          <cell r="C62" t="str">
            <v>Batangas Rollforming Plant Solar PV System</v>
          </cell>
          <cell r="K62" t="str">
            <v>-</v>
          </cell>
          <cell r="M62" t="str">
            <v>-</v>
          </cell>
        </row>
        <row r="63">
          <cell r="B63" t="str">
            <v>Phinma Solar Energy Corporation</v>
          </cell>
          <cell r="C63" t="str">
            <v>Warehouse No. C2 Geomax Compound Solar PV System</v>
          </cell>
          <cell r="K63" t="str">
            <v>-</v>
          </cell>
          <cell r="M63" t="str">
            <v>-</v>
          </cell>
        </row>
        <row r="64">
          <cell r="B64" t="str">
            <v>Phinma Solar Energy Corporation</v>
          </cell>
          <cell r="C64" t="str">
            <v>RKR Rice Mill #1 Solar PV System</v>
          </cell>
          <cell r="K64" t="str">
            <v>-</v>
          </cell>
          <cell r="M64" t="str">
            <v>-</v>
          </cell>
        </row>
        <row r="65">
          <cell r="B65" t="str">
            <v>Phinma Solar Energy Corporation</v>
          </cell>
          <cell r="C65" t="str">
            <v>Warehouse No. F4 Geomax Compound Solar PV System</v>
          </cell>
          <cell r="K65" t="str">
            <v>-</v>
          </cell>
          <cell r="M65" t="str">
            <v>-</v>
          </cell>
        </row>
        <row r="66">
          <cell r="B66" t="str">
            <v>Phinma Solar Energy Corporation</v>
          </cell>
          <cell r="C66" t="str">
            <v>Warehouse No. C8 Geomax Compound Solar PV System</v>
          </cell>
          <cell r="K66" t="str">
            <v>-</v>
          </cell>
          <cell r="M66" t="str">
            <v>-</v>
          </cell>
        </row>
        <row r="67">
          <cell r="B67" t="str">
            <v>Phinma Solar Energy Corporation</v>
          </cell>
          <cell r="C67" t="str">
            <v>RKR Rice Mill #2 Solar PV System</v>
          </cell>
          <cell r="K67" t="str">
            <v>-</v>
          </cell>
          <cell r="M67" t="str">
            <v>-</v>
          </cell>
        </row>
        <row r="68">
          <cell r="B68" t="str">
            <v>Phinma Solar Energy Corporation</v>
          </cell>
          <cell r="C68" t="str">
            <v>RKR Rice Mill #3 Solar PV System</v>
          </cell>
          <cell r="K68" t="str">
            <v>-</v>
          </cell>
          <cell r="M68" t="str">
            <v>-</v>
          </cell>
        </row>
        <row r="69">
          <cell r="B69" t="str">
            <v>Phinma Solar Energy Corporation</v>
          </cell>
          <cell r="C69" t="str">
            <v>Warehouse No. C3 Geomax Compound Solar PV System</v>
          </cell>
          <cell r="K69" t="str">
            <v>-</v>
          </cell>
          <cell r="M69" t="str">
            <v>-</v>
          </cell>
        </row>
        <row r="70">
          <cell r="B70" t="str">
            <v>Phinma Solar Energy Corporation</v>
          </cell>
          <cell r="C70" t="str">
            <v>Sunmade Agri 1 Solar PV System</v>
          </cell>
          <cell r="K70" t="str">
            <v>-</v>
          </cell>
          <cell r="M70" t="str">
            <v>-</v>
          </cell>
        </row>
        <row r="71">
          <cell r="B71" t="str">
            <v>Phinma Solar Energy Corporation</v>
          </cell>
          <cell r="C71" t="str">
            <v>Warehouse No. E2 Geomax Compound Solar PV System</v>
          </cell>
          <cell r="K71" t="str">
            <v>-</v>
          </cell>
          <cell r="M71" t="str">
            <v>-</v>
          </cell>
        </row>
        <row r="72">
          <cell r="B72" t="str">
            <v>Phinma Solar Energy Corporation</v>
          </cell>
          <cell r="C72" t="str">
            <v>Warehouse No. C5 Geomax Compound Solar PV System</v>
          </cell>
          <cell r="K72" t="str">
            <v>-</v>
          </cell>
          <cell r="M72" t="str">
            <v>-</v>
          </cell>
        </row>
        <row r="73">
          <cell r="B73" t="str">
            <v>Phinma Solar Energy Corporation</v>
          </cell>
          <cell r="C73" t="str">
            <v>OMG Rice Mill # 3 Solar PV System</v>
          </cell>
          <cell r="K73" t="str">
            <v>-</v>
          </cell>
          <cell r="M73" t="str">
            <v>-</v>
          </cell>
        </row>
        <row r="74">
          <cell r="B74" t="str">
            <v>Phinma Solar Energy Corporation</v>
          </cell>
          <cell r="C74" t="str">
            <v>Warehouse No. 2 Geomax Compound Solar PV System</v>
          </cell>
          <cell r="K74" t="str">
            <v>-</v>
          </cell>
          <cell r="M74" t="str">
            <v>-</v>
          </cell>
        </row>
        <row r="75">
          <cell r="B75" t="str">
            <v>Phinma Solar Energy Corporation</v>
          </cell>
          <cell r="C75" t="str">
            <v>OMG Rice Mill # 1 Solar PV System</v>
          </cell>
          <cell r="K75" t="str">
            <v>-</v>
          </cell>
          <cell r="M75" t="str">
            <v>-</v>
          </cell>
        </row>
        <row r="76">
          <cell r="B76" t="str">
            <v>Phinma Solar Energy Corporation</v>
          </cell>
          <cell r="C76" t="str">
            <v>Warehouse No. E3 Geomax OMG Rice Mill # 3 Solar PV System</v>
          </cell>
          <cell r="K76" t="str">
            <v>-</v>
          </cell>
          <cell r="M76" t="str">
            <v>-</v>
          </cell>
        </row>
        <row r="77">
          <cell r="B77" t="str">
            <v>Phinma Solar Energy Corporation</v>
          </cell>
          <cell r="C77" t="str">
            <v>La Union Rollforming Plant Solar PV System</v>
          </cell>
          <cell r="K77" t="str">
            <v>-</v>
          </cell>
          <cell r="M77" t="str">
            <v>-</v>
          </cell>
        </row>
        <row r="78">
          <cell r="B78" t="str">
            <v>Phinma Solar Energy Corporation</v>
          </cell>
          <cell r="C78" t="str">
            <v>Warehouse No, E4 Geomax Compound Solar PV System</v>
          </cell>
          <cell r="K78" t="str">
            <v>-</v>
          </cell>
          <cell r="M78" t="str">
            <v>-</v>
          </cell>
        </row>
        <row r="79">
          <cell r="B79" t="str">
            <v>Phinma Solar Energy Corporation</v>
          </cell>
          <cell r="C79" t="str">
            <v>Sunmade Agri 5 Solar PV System</v>
          </cell>
          <cell r="K79" t="str">
            <v>-</v>
          </cell>
          <cell r="M79" t="str">
            <v>-</v>
          </cell>
        </row>
        <row r="80">
          <cell r="B80" t="str">
            <v>Phinma Solar Energy Corporation</v>
          </cell>
          <cell r="C80" t="str">
            <v>Warehouse No. 3 Geomax Compound Solar PV System</v>
          </cell>
          <cell r="K80" t="str">
            <v>-</v>
          </cell>
          <cell r="M80" t="str">
            <v>-</v>
          </cell>
        </row>
        <row r="81">
          <cell r="B81" t="str">
            <v>Phinma Solar Energy Corporation</v>
          </cell>
          <cell r="C81" t="str">
            <v>Wharehouse No. E5 Geomax Compound Solar PV System</v>
          </cell>
          <cell r="K81" t="str">
            <v>-</v>
          </cell>
          <cell r="M81" t="str">
            <v>-</v>
          </cell>
        </row>
        <row r="82">
          <cell r="B82" t="str">
            <v>Phinma Solar Energy Corporation</v>
          </cell>
          <cell r="C82" t="str">
            <v>Sunmade Agri 4 Solar PV System</v>
          </cell>
          <cell r="K82" t="str">
            <v>-</v>
          </cell>
          <cell r="M82" t="str">
            <v>-</v>
          </cell>
        </row>
        <row r="83">
          <cell r="B83" t="str">
            <v>Phinma Solar Energy Corporation</v>
          </cell>
          <cell r="C83" t="str">
            <v>Warehouse No. F1 Geomax Compound Solar PV System</v>
          </cell>
          <cell r="K83" t="str">
            <v>-</v>
          </cell>
          <cell r="M83" t="str">
            <v>-</v>
          </cell>
        </row>
        <row r="84">
          <cell r="B84" t="str">
            <v>Phinma Solar Energy Corporation</v>
          </cell>
          <cell r="C84" t="str">
            <v>Sunmade Agri 2 Solar PV System</v>
          </cell>
          <cell r="K84" t="str">
            <v>-</v>
          </cell>
          <cell r="M84" t="str">
            <v>-</v>
          </cell>
        </row>
        <row r="85">
          <cell r="B85" t="str">
            <v>Phinma Solar Energy Corporation</v>
          </cell>
          <cell r="C85" t="str">
            <v>Sunmade Agri 3 Solar PV System</v>
          </cell>
          <cell r="K85" t="str">
            <v>-</v>
          </cell>
          <cell r="M85" t="str">
            <v>-</v>
          </cell>
        </row>
        <row r="86">
          <cell r="B86" t="str">
            <v>Phinma Solar Energy Corporation</v>
          </cell>
          <cell r="C86" t="str">
            <v>Warehouse No. 4 Geomax Compound Solar PV System</v>
          </cell>
          <cell r="K86" t="str">
            <v>-</v>
          </cell>
          <cell r="M86" t="str">
            <v>-</v>
          </cell>
        </row>
        <row r="87">
          <cell r="B87" t="str">
            <v>Phinma Solar Energy Corporation</v>
          </cell>
          <cell r="C87" t="str">
            <v>Warehouse No. B7 Geomax Compound Solar PV System</v>
          </cell>
          <cell r="K87" t="str">
            <v>-</v>
          </cell>
          <cell r="M87" t="str">
            <v>-</v>
          </cell>
        </row>
        <row r="88">
          <cell r="B88" t="str">
            <v>Phinma Solar Energy Corporation</v>
          </cell>
          <cell r="C88" t="str">
            <v>Warehouse No. 1 Geomax Compound Solar PV System</v>
          </cell>
          <cell r="K88" t="str">
            <v>-</v>
          </cell>
          <cell r="M88" t="str">
            <v>-</v>
          </cell>
        </row>
        <row r="89">
          <cell r="B89" t="str">
            <v>Phinma Solar Energy Corporation</v>
          </cell>
          <cell r="C89" t="str">
            <v>Warehouse No. B8 Geomax Compound Solar PV System</v>
          </cell>
          <cell r="K89" t="str">
            <v>-</v>
          </cell>
          <cell r="M89" t="str">
            <v>-</v>
          </cell>
        </row>
        <row r="90">
          <cell r="B90" t="str">
            <v>Phinma Solar Energy Corporation</v>
          </cell>
          <cell r="C90" t="str">
            <v>Warehouse No. #23 C Teknik Compound Solar PV System</v>
          </cell>
          <cell r="K90" t="str">
            <v>-</v>
          </cell>
          <cell r="M90" t="str">
            <v>-</v>
          </cell>
        </row>
        <row r="91">
          <cell r="B91" t="str">
            <v>Phinma Solar Energy Corporation</v>
          </cell>
          <cell r="C91" t="str">
            <v>Warehouse No. #22 C Teknik Compound Solar PV System</v>
          </cell>
          <cell r="K91" t="str">
            <v>-</v>
          </cell>
          <cell r="M91" t="str">
            <v>-</v>
          </cell>
        </row>
        <row r="92">
          <cell r="B92" t="str">
            <v>Phinma Solar Energy Corporation</v>
          </cell>
          <cell r="C92" t="str">
            <v>Warehouse No. #27 C Teknik Compound Solar PV System</v>
          </cell>
          <cell r="K92" t="str">
            <v>-</v>
          </cell>
          <cell r="M92" t="str">
            <v>-</v>
          </cell>
        </row>
        <row r="93">
          <cell r="B93" t="str">
            <v>Phinma Solar Energy Corporation</v>
          </cell>
          <cell r="C93" t="str">
            <v>Warehouse No. #26 C Teknik Compound Solar PV System</v>
          </cell>
          <cell r="K93" t="str">
            <v>-</v>
          </cell>
          <cell r="M93" t="str">
            <v>-</v>
          </cell>
        </row>
        <row r="94">
          <cell r="B94" t="str">
            <v>Phinma Solar Energy Corporation</v>
          </cell>
          <cell r="C94" t="str">
            <v>Warehouse No. #25 C Teknik Compound Solar PV System</v>
          </cell>
          <cell r="K94" t="str">
            <v>-</v>
          </cell>
          <cell r="M94" t="str">
            <v>-</v>
          </cell>
        </row>
        <row r="95">
          <cell r="B95" t="str">
            <v>Phinma Solar Energy Corporation</v>
          </cell>
          <cell r="C95" t="str">
            <v>Warehouse No. #24 C Teknik Compound Solar PV System</v>
          </cell>
          <cell r="K95" t="str">
            <v>-</v>
          </cell>
          <cell r="M95" t="str">
            <v>-</v>
          </cell>
        </row>
        <row r="96">
          <cell r="B96" t="str">
            <v>Alternergy Tanay Wind Corporation</v>
          </cell>
          <cell r="C96" t="str">
            <v>Alabat Wind Power Project</v>
          </cell>
          <cell r="K96" t="str">
            <v>-</v>
          </cell>
          <cell r="M96" t="str">
            <v>-</v>
          </cell>
        </row>
        <row r="97">
          <cell r="B97" t="str">
            <v>Alternergy Tanay Wind Corporation</v>
          </cell>
          <cell r="C97" t="str">
            <v>Tanay Wind Power Project</v>
          </cell>
          <cell r="K97" t="str">
            <v>-</v>
          </cell>
          <cell r="M97" t="str">
            <v>-</v>
          </cell>
        </row>
        <row r="98">
          <cell r="B98" t="str">
            <v>Rizal Wind Energy Corp.</v>
          </cell>
          <cell r="C98" t="str">
            <v>Rizal Wind Power Project</v>
          </cell>
          <cell r="K98" t="str">
            <v>-</v>
          </cell>
          <cell r="M98" t="str">
            <v>-</v>
          </cell>
        </row>
        <row r="99">
          <cell r="B99" t="str">
            <v>Phinma Solar Energy Corporation</v>
          </cell>
          <cell r="C99" t="str">
            <v>Bacolod Rollforming Plant Solar PV System</v>
          </cell>
          <cell r="K99" t="str">
            <v>-</v>
          </cell>
          <cell r="M99" t="str">
            <v>-</v>
          </cell>
        </row>
        <row r="100">
          <cell r="B100" t="str">
            <v>Phinma Solar Energy Corporation</v>
          </cell>
          <cell r="C100" t="str">
            <v>Cebu Rollforming Plant Solar PV System</v>
          </cell>
          <cell r="K100" t="str">
            <v>-</v>
          </cell>
          <cell r="M100" t="str">
            <v>-</v>
          </cell>
        </row>
        <row r="101">
          <cell r="B101" t="str">
            <v>Enfinity Philippine Renewable Resources Third, Inc.</v>
          </cell>
          <cell r="C101" t="str">
            <v>Butuan City 1 Solar Power Project</v>
          </cell>
          <cell r="K101" t="str">
            <v>-</v>
          </cell>
          <cell r="M101" t="str">
            <v>-</v>
          </cell>
        </row>
        <row r="102">
          <cell r="B102" t="str">
            <v>Phinma Solar Energy Corporation</v>
          </cell>
          <cell r="C102" t="str">
            <v>Cagayan de Oro Rollforming Plant Solar PV System</v>
          </cell>
          <cell r="K102" t="str">
            <v>-</v>
          </cell>
          <cell r="M102" t="str">
            <v>-</v>
          </cell>
        </row>
        <row r="103">
          <cell r="B103" t="str">
            <v>Phinma Solar Energy Corporation</v>
          </cell>
          <cell r="C103" t="str">
            <v>Butuan Rollforming Plant Solar PV System</v>
          </cell>
          <cell r="K103" t="str">
            <v>-</v>
          </cell>
          <cell r="M103" t="str">
            <v>-</v>
          </cell>
        </row>
        <row r="104">
          <cell r="B104" t="str">
            <v>Opus Solar Energy Corp.</v>
          </cell>
          <cell r="C104" t="str">
            <v>Opus Solar Power Project</v>
          </cell>
          <cell r="K104" t="str">
            <v>-</v>
          </cell>
          <cell r="M104" t="str">
            <v>-</v>
          </cell>
        </row>
        <row r="105">
          <cell r="B105" t="str">
            <v>Ixus Solar Energy Corp.</v>
          </cell>
          <cell r="C105" t="str">
            <v>Ixus Bugallon Solar Power Project</v>
          </cell>
          <cell r="K105" t="str">
            <v>-</v>
          </cell>
          <cell r="M105" t="str">
            <v>-</v>
          </cell>
        </row>
        <row r="106">
          <cell r="B106" t="str">
            <v>Solar Valley Energy Solutions Inc.</v>
          </cell>
          <cell r="C106" t="str">
            <v>San Pablo Solar Power Project Phase 2</v>
          </cell>
          <cell r="K106" t="str">
            <v>-</v>
          </cell>
          <cell r="M106" t="str">
            <v>-</v>
          </cell>
        </row>
        <row r="107">
          <cell r="B107" t="str">
            <v>Solar Philippines Commercial Rooftop Projects, Inc.</v>
          </cell>
          <cell r="C107" t="str">
            <v>Santa Rosa Nueva Ecija 3 Solar Power Project</v>
          </cell>
          <cell r="K107" t="str">
            <v>-</v>
          </cell>
          <cell r="M107" t="str">
            <v>-</v>
          </cell>
        </row>
        <row r="108">
          <cell r="B108" t="str">
            <v>Energy Logics Philippines Inc.</v>
          </cell>
          <cell r="C108" t="str">
            <v>Pasuquin-Burgos 100MW Solar Power Plant</v>
          </cell>
          <cell r="K108" t="str">
            <v>26-1-26-M-PAO-N-0552L</v>
          </cell>
          <cell r="M108">
            <v>100099</v>
          </cell>
        </row>
        <row r="109">
          <cell r="B109" t="str">
            <v>Xyris Energy Corporation</v>
          </cell>
          <cell r="C109" t="str">
            <v>Linglingay Solar Power Project</v>
          </cell>
          <cell r="K109" t="str">
            <v>-</v>
          </cell>
          <cell r="M109" t="str">
            <v>-</v>
          </cell>
        </row>
        <row r="110">
          <cell r="B110" t="str">
            <v>NKS Solar One Inc.</v>
          </cell>
          <cell r="C110" t="str">
            <v>NKS One Floating Solar Power Project</v>
          </cell>
          <cell r="K110" t="str">
            <v>-</v>
          </cell>
          <cell r="M110" t="str">
            <v>-</v>
          </cell>
        </row>
        <row r="111">
          <cell r="B111" t="str">
            <v>Quezon Wind Energy Corp.</v>
          </cell>
          <cell r="C111" t="str">
            <v>Quezon Wind Power Project</v>
          </cell>
          <cell r="K111" t="str">
            <v>-</v>
          </cell>
          <cell r="M111" t="str">
            <v>-</v>
          </cell>
        </row>
        <row r="112">
          <cell r="B112" t="str">
            <v>Cornerstone Energy Development, Inc.</v>
          </cell>
          <cell r="C112" t="str">
            <v>Camarines Sur Wind Power Project</v>
          </cell>
          <cell r="K112" t="str">
            <v>-</v>
          </cell>
          <cell r="M112" t="str">
            <v>-</v>
          </cell>
        </row>
        <row r="113">
          <cell r="B113" t="str">
            <v>Citicore Wind Energy Corporation</v>
          </cell>
          <cell r="C113" t="str">
            <v>Pangasinan CW 2 Wind Power Project</v>
          </cell>
          <cell r="K113" t="str">
            <v>-</v>
          </cell>
          <cell r="M113" t="str">
            <v>-</v>
          </cell>
        </row>
        <row r="114">
          <cell r="B114" t="str">
            <v>Citicore Wind Energy Corporation</v>
          </cell>
          <cell r="C114" t="str">
            <v>Bataan-Zambales CW Wind Power Project</v>
          </cell>
          <cell r="K114" t="str">
            <v>-</v>
          </cell>
          <cell r="M114" t="str">
            <v>-</v>
          </cell>
        </row>
        <row r="115">
          <cell r="B115" t="str">
            <v>Giga Ace 6, Inc.</v>
          </cell>
          <cell r="C115" t="str">
            <v>Isla Wind Power Project</v>
          </cell>
          <cell r="K115" t="str">
            <v>-</v>
          </cell>
          <cell r="M115" t="str">
            <v>-</v>
          </cell>
        </row>
        <row r="116">
          <cell r="B116" t="str">
            <v>Citicore Wind Energy Corporation</v>
          </cell>
          <cell r="C116" t="str">
            <v>Camarines Sur CW Wind Power Project</v>
          </cell>
          <cell r="K116" t="str">
            <v>-</v>
          </cell>
          <cell r="M116" t="str">
            <v>-</v>
          </cell>
        </row>
        <row r="117">
          <cell r="B117" t="str">
            <v>Joy-Nostalg Solaris Incorporated</v>
          </cell>
          <cell r="C117" t="str">
            <v>Ajuy 1 Solar Power Project</v>
          </cell>
          <cell r="K117" t="str">
            <v>-</v>
          </cell>
          <cell r="M117" t="str">
            <v>-</v>
          </cell>
        </row>
        <row r="118">
          <cell r="B118" t="str">
            <v>Apolaki Eight Inc.</v>
          </cell>
          <cell r="C118" t="str">
            <v>Luca Solar Power Project</v>
          </cell>
          <cell r="K118" t="str">
            <v>-</v>
          </cell>
          <cell r="M118" t="str">
            <v>-</v>
          </cell>
        </row>
        <row r="119">
          <cell r="B119" t="str">
            <v>Citicore Solar Negros Occidental 2, Inc.</v>
          </cell>
          <cell r="C119" t="str">
            <v>Silay 2b Solar Power Project</v>
          </cell>
          <cell r="K119" t="str">
            <v>-</v>
          </cell>
          <cell r="M119" t="str">
            <v>-</v>
          </cell>
        </row>
        <row r="120">
          <cell r="B120" t="str">
            <v>Citicore Solar Cebu, Inc.</v>
          </cell>
          <cell r="C120" t="str">
            <v>Toledo Solar Power Project</v>
          </cell>
          <cell r="K120" t="str">
            <v>25-07-01-M-PAO-E-0118V</v>
          </cell>
          <cell r="M120">
            <v>59966</v>
          </cell>
        </row>
        <row r="121">
          <cell r="B121" t="str">
            <v>Citicore Solar Negros Occidental 2, Inc.</v>
          </cell>
          <cell r="C121" t="str">
            <v>Silay 2a Solar Power Project</v>
          </cell>
          <cell r="K121" t="str">
            <v>-</v>
          </cell>
          <cell r="M121" t="str">
            <v>-</v>
          </cell>
        </row>
        <row r="122">
          <cell r="B122" t="str">
            <v>Citicore Solar Negros Occidental, Inc.</v>
          </cell>
          <cell r="C122" t="str">
            <v>Silay Solar Power Project</v>
          </cell>
          <cell r="K122" t="str">
            <v>25-07-07-M-PAO-E-0044V (1)</v>
          </cell>
          <cell r="M122">
            <v>25026</v>
          </cell>
        </row>
        <row r="123">
          <cell r="B123" t="str">
            <v>Citicore Wind Energy Corporation</v>
          </cell>
          <cell r="C123" t="str">
            <v>Iloilo CW 1 Wind Power Project</v>
          </cell>
          <cell r="K123" t="str">
            <v>-</v>
          </cell>
          <cell r="M123" t="str">
            <v>-</v>
          </cell>
        </row>
        <row r="124">
          <cell r="B124" t="str">
            <v>Gemini Wind Energy Corp.</v>
          </cell>
          <cell r="C124" t="str">
            <v>Gemini Wind Power Project</v>
          </cell>
          <cell r="K124" t="str">
            <v>-</v>
          </cell>
          <cell r="M124" t="str">
            <v>-</v>
          </cell>
        </row>
        <row r="125">
          <cell r="B125" t="str">
            <v>FirstMaxpower International Corporation</v>
          </cell>
          <cell r="C125" t="str">
            <v>Bago City Wind Power Project</v>
          </cell>
          <cell r="K125" t="str">
            <v>-</v>
          </cell>
          <cell r="M125" t="str">
            <v>-</v>
          </cell>
        </row>
        <row r="126">
          <cell r="B126" t="str">
            <v>Apolaki Seven, Inc.</v>
          </cell>
          <cell r="C126" t="str">
            <v>Tantangan Solar Power Project</v>
          </cell>
          <cell r="K126" t="str">
            <v>-</v>
          </cell>
          <cell r="M126" t="str">
            <v>-</v>
          </cell>
        </row>
        <row r="127">
          <cell r="B127" t="str">
            <v>Pan Pacific Renewable Power Phils. Corp.</v>
          </cell>
          <cell r="C127" t="str">
            <v>Gened 1 Hydroelectric Power Project</v>
          </cell>
          <cell r="K127" t="str">
            <v>-</v>
          </cell>
          <cell r="M127" t="str">
            <v>-</v>
          </cell>
        </row>
        <row r="128">
          <cell r="B128" t="str">
            <v>Pan Pacific Renewable Power Phils. Corp.</v>
          </cell>
          <cell r="C128" t="str">
            <v>Gened 2 Hydroelectric Power Project</v>
          </cell>
          <cell r="K128" t="str">
            <v>-</v>
          </cell>
          <cell r="M128" t="str">
            <v>-</v>
          </cell>
        </row>
        <row r="129">
          <cell r="B129" t="str">
            <v>Coheco Badeo Corporation</v>
          </cell>
          <cell r="C129" t="str">
            <v>Kibungan Pumped Storage Hydroelectric Power Project</v>
          </cell>
          <cell r="K129" t="str">
            <v>-</v>
          </cell>
          <cell r="M129" t="str">
            <v>-</v>
          </cell>
        </row>
        <row r="130">
          <cell r="B130" t="str">
            <v>Olympia Violago Water and Power, Inc.</v>
          </cell>
          <cell r="C130" t="str">
            <v>Wawa Pumped Storage 1 Hydroelectric Power Project</v>
          </cell>
          <cell r="K130" t="str">
            <v>-</v>
          </cell>
          <cell r="M130" t="str">
            <v>-</v>
          </cell>
        </row>
        <row r="131">
          <cell r="B131" t="str">
            <v>Ahunan Power, Inc.</v>
          </cell>
          <cell r="C131" t="str">
            <v>Pakil Pumped Storage Hydroelectric Power Project</v>
          </cell>
          <cell r="K131" t="str">
            <v>-</v>
          </cell>
          <cell r="M131" t="str">
            <v>-</v>
          </cell>
        </row>
        <row r="132">
          <cell r="B132" t="str">
            <v>San Roque Hydropower Inc.</v>
          </cell>
          <cell r="C132" t="str">
            <v>San Roque Lower East Pumped Storage Hydroelectric Power Project</v>
          </cell>
          <cell r="K132" t="str">
            <v>-</v>
          </cell>
          <cell r="M132" t="str">
            <v>-</v>
          </cell>
        </row>
        <row r="133">
          <cell r="B133" t="str">
            <v>San Roque Hydropower Inc.</v>
          </cell>
          <cell r="C133" t="str">
            <v>San Roque West Pumped Storage Hydroelectric Power Project</v>
          </cell>
          <cell r="K133" t="str">
            <v>-</v>
          </cell>
          <cell r="M133" t="str">
            <v>-</v>
          </cell>
        </row>
        <row r="134">
          <cell r="B134" t="str">
            <v>Pan Pacific Renewable Power Phils. Corp.</v>
          </cell>
          <cell r="C134" t="str">
            <v>Maton Pumped Storage Hydroelectric Power Project</v>
          </cell>
          <cell r="K134" t="str">
            <v>-</v>
          </cell>
          <cell r="M134" t="str">
            <v>-</v>
          </cell>
        </row>
        <row r="135">
          <cell r="B135" t="str">
            <v>San Roque Hydropower Inc.</v>
          </cell>
          <cell r="C135" t="str">
            <v>San Roque Upper East Pumped Storage Hydroelectric Power Project</v>
          </cell>
          <cell r="K135" t="str">
            <v>-</v>
          </cell>
          <cell r="M135" t="str">
            <v>-</v>
          </cell>
        </row>
        <row r="136">
          <cell r="B136" t="str">
            <v>Bac-Man Geothermal Inc.</v>
          </cell>
          <cell r="C136" t="str">
            <v>Tanawon Geothermal Power Plant - Unit 1</v>
          </cell>
          <cell r="K136" t="str">
            <v>25-08-18-M-PAO-N-0494L</v>
          </cell>
          <cell r="M136">
            <v>21573</v>
          </cell>
        </row>
        <row r="137">
          <cell r="B137" t="str">
            <v>Pulangi Hydro Power Corporation</v>
          </cell>
          <cell r="C137" t="str">
            <v>South Pulangi Hydroelectric Power Project</v>
          </cell>
          <cell r="K137" t="str">
            <v>-</v>
          </cell>
          <cell r="M137" t="str">
            <v>-</v>
          </cell>
        </row>
        <row r="138">
          <cell r="B138" t="str">
            <v>Energy Development Corporation</v>
          </cell>
          <cell r="C138" t="str">
            <v>Mindanao 3 Binary Geothermal Power Plant Expansion Project Phase 3 - Unit 1</v>
          </cell>
          <cell r="K138" t="str">
            <v>-</v>
          </cell>
          <cell r="M138" t="str">
            <v>-</v>
          </cell>
        </row>
        <row r="139">
          <cell r="B139" t="str">
            <v>San Roque Hydropower Inc.</v>
          </cell>
          <cell r="C139" t="str">
            <v>Aklan Pumped Storage Hydroelectric Power Project</v>
          </cell>
          <cell r="K139" t="str">
            <v>-</v>
          </cell>
          <cell r="M139" t="str">
            <v>-</v>
          </cell>
        </row>
        <row r="140">
          <cell r="B140" t="str">
            <v>Energy Development Corporation</v>
          </cell>
          <cell r="C140" t="str">
            <v>Bago Binary Geothermal Power Plant - Unit 1</v>
          </cell>
          <cell r="K140" t="str">
            <v>-</v>
          </cell>
          <cell r="M140" t="str">
            <v>-</v>
          </cell>
        </row>
        <row r="141">
          <cell r="B141" t="str">
            <v>Amatera Renewable Energy Corporation</v>
          </cell>
          <cell r="C141" t="str">
            <v>Vista Alegre Solar Power Project</v>
          </cell>
          <cell r="K141" t="str">
            <v>-</v>
          </cell>
          <cell r="M141" t="str">
            <v>-</v>
          </cell>
        </row>
        <row r="142">
          <cell r="B142" t="str">
            <v>Ecopark Energy of Valenzuela Corp.</v>
          </cell>
          <cell r="C142" t="str">
            <v>Ecopark Isla Solar Power Plant</v>
          </cell>
          <cell r="K142" t="str">
            <v>25-12-17-M-PAO-E-0390L (1)</v>
          </cell>
          <cell r="M142">
            <v>4693</v>
          </cell>
        </row>
        <row r="143">
          <cell r="B143" t="str">
            <v>Ecopark Energy of Valenzuela Corp.</v>
          </cell>
          <cell r="C143" t="str">
            <v>Ecopark Tagalag Solar Power Plant</v>
          </cell>
          <cell r="K143" t="str">
            <v>25-09-12-M-PAO-E-0233L(1)</v>
          </cell>
          <cell r="M143">
            <v>16002</v>
          </cell>
        </row>
        <row r="144">
          <cell r="B144" t="str">
            <v>Jin-Navitas Solaris Inc.</v>
          </cell>
          <cell r="C144" t="str">
            <v>Naic Solar Rooftop Power Project</v>
          </cell>
          <cell r="K144" t="str">
            <v>26-02-M-00364L</v>
          </cell>
          <cell r="M144">
            <v>6554</v>
          </cell>
        </row>
        <row r="145">
          <cell r="B145" t="str">
            <v>Tuy Solar Power Corporation</v>
          </cell>
          <cell r="C145" t="str">
            <v>Magahis Solar Power Plant Project Phase 1</v>
          </cell>
          <cell r="K145" t="str">
            <v>-</v>
          </cell>
          <cell r="M145" t="str">
            <v>-</v>
          </cell>
        </row>
        <row r="146">
          <cell r="B146" t="str">
            <v>Renovable Earth Corp.</v>
          </cell>
          <cell r="C146" t="str">
            <v>Sual Power Plant</v>
          </cell>
          <cell r="K146" t="str">
            <v>-</v>
          </cell>
          <cell r="M146" t="str">
            <v>-</v>
          </cell>
        </row>
        <row r="147">
          <cell r="B147" t="str">
            <v>Citicore Renewable Energy Corporation</v>
          </cell>
          <cell r="C147" t="str">
            <v>Bolbok 3 Solar Power Project Phase 1</v>
          </cell>
          <cell r="K147" t="str">
            <v>-</v>
          </cell>
          <cell r="M147" t="str">
            <v>-</v>
          </cell>
        </row>
        <row r="148">
          <cell r="B148" t="str">
            <v>Citicore Renewable Energy Corporation</v>
          </cell>
          <cell r="C148" t="str">
            <v>Silay 2d Solar Power Project Phase 1</v>
          </cell>
          <cell r="K148" t="str">
            <v>-</v>
          </cell>
          <cell r="M148" t="str">
            <v>-</v>
          </cell>
        </row>
        <row r="149">
          <cell r="B149" t="str">
            <v>Apolaki Seven, Inc.</v>
          </cell>
          <cell r="C149" t="str">
            <v>Tantangan Solar Power Project Phase 2</v>
          </cell>
          <cell r="K149" t="str">
            <v>-</v>
          </cell>
          <cell r="M149" t="str">
            <v>-</v>
          </cell>
        </row>
        <row r="150">
          <cell r="B150" t="str">
            <v>Citicore Renewable Energy Corporation</v>
          </cell>
          <cell r="C150" t="str">
            <v>Pagbiliao 3 Solar Power Project Phase 1</v>
          </cell>
          <cell r="K150" t="str">
            <v>-</v>
          </cell>
          <cell r="M150" t="str">
            <v>-</v>
          </cell>
        </row>
        <row r="151">
          <cell r="B151" t="str">
            <v>Citicore Renewable Energy Corporation</v>
          </cell>
          <cell r="C151" t="str">
            <v>Pagbiliao 3 Solar Power Project Phase 2</v>
          </cell>
          <cell r="K151" t="str">
            <v>-</v>
          </cell>
          <cell r="M151" t="str">
            <v>-</v>
          </cell>
        </row>
        <row r="152">
          <cell r="B152" t="str">
            <v>Pacific Impact Energy Corp.</v>
          </cell>
          <cell r="C152" t="str">
            <v>Capantolan Solar Power Project</v>
          </cell>
          <cell r="K152" t="str">
            <v>-</v>
          </cell>
          <cell r="M152" t="str">
            <v>-</v>
          </cell>
        </row>
        <row r="153">
          <cell r="B153" t="str">
            <v>Citicore Renewable Energy Corporation</v>
          </cell>
          <cell r="C153" t="str">
            <v>Bolbok 4 Solar Power Project Phase 1</v>
          </cell>
          <cell r="K153" t="str">
            <v>-</v>
          </cell>
          <cell r="M153" t="str">
            <v>-</v>
          </cell>
        </row>
        <row r="154">
          <cell r="B154" t="str">
            <v>Citicore Solar Batangas 1, Inc.</v>
          </cell>
          <cell r="C154" t="str">
            <v>Luntal Solar Power Project</v>
          </cell>
          <cell r="K154" t="str">
            <v>-</v>
          </cell>
          <cell r="M154" t="str">
            <v>-</v>
          </cell>
        </row>
        <row r="155">
          <cell r="B155" t="str">
            <v>Citicore Renewable Energy Corporation</v>
          </cell>
          <cell r="C155" t="str">
            <v>Bolbok 5 Solar Power Project Phase 2</v>
          </cell>
          <cell r="K155" t="str">
            <v>-</v>
          </cell>
          <cell r="M155" t="str">
            <v>-</v>
          </cell>
        </row>
        <row r="156">
          <cell r="B156" t="str">
            <v>Citicore Solar Batangas 1, Inc.</v>
          </cell>
          <cell r="C156" t="str">
            <v>Lumbangan Solar Power Project</v>
          </cell>
          <cell r="K156" t="str">
            <v>-</v>
          </cell>
          <cell r="M156" t="str">
            <v>-</v>
          </cell>
        </row>
        <row r="157">
          <cell r="B157" t="str">
            <v>Citicore Renewable Energy Corporation</v>
          </cell>
          <cell r="C157" t="str">
            <v>Bolbok 5 Solar Power Project Phase 1</v>
          </cell>
          <cell r="K157" t="str">
            <v>-</v>
          </cell>
          <cell r="M157" t="str">
            <v>-</v>
          </cell>
        </row>
        <row r="158">
          <cell r="B158" t="str">
            <v>Citicore Renewable Energy Corporation</v>
          </cell>
          <cell r="C158" t="str">
            <v>Bolbok 5 Solar Power Project Phase 3</v>
          </cell>
          <cell r="K158" t="str">
            <v>-</v>
          </cell>
          <cell r="M158" t="str">
            <v>-</v>
          </cell>
        </row>
        <row r="159">
          <cell r="B159" t="str">
            <v>Citicore Renewable Energy Corporation</v>
          </cell>
          <cell r="C159" t="str">
            <v>Bolbok 4 Solar Power Project Phase 2</v>
          </cell>
          <cell r="K159" t="str">
            <v>-</v>
          </cell>
          <cell r="M159" t="str">
            <v>-</v>
          </cell>
        </row>
        <row r="160">
          <cell r="B160" t="str">
            <v>Citicore Renewable Energy Corporation</v>
          </cell>
          <cell r="C160" t="str">
            <v>Bolbok 4 Solar Power Project Phase 3</v>
          </cell>
          <cell r="K160" t="str">
            <v>-</v>
          </cell>
          <cell r="M160" t="str">
            <v>-</v>
          </cell>
        </row>
        <row r="161">
          <cell r="B161" t="str">
            <v>Sapang Balen Solar Sustainable Energy Corp.</v>
          </cell>
          <cell r="C161" t="str">
            <v>Sapang Balen 2 Solar Power Project</v>
          </cell>
          <cell r="K161" t="str">
            <v>-</v>
          </cell>
          <cell r="M161" t="str">
            <v>-</v>
          </cell>
        </row>
        <row r="162">
          <cell r="B162" t="str">
            <v>Equator Energy Corporation</v>
          </cell>
          <cell r="C162" t="str">
            <v>Castilla Solar Power Plant</v>
          </cell>
          <cell r="K162" t="str">
            <v>-</v>
          </cell>
          <cell r="M162" t="str">
            <v>-</v>
          </cell>
        </row>
        <row r="163">
          <cell r="B163" t="str">
            <v>Bohol Solar Energy Inc.</v>
          </cell>
          <cell r="C163" t="str">
            <v>Sikatuna Solar Power Project</v>
          </cell>
          <cell r="K163" t="str">
            <v>-</v>
          </cell>
          <cell r="M163" t="str">
            <v>-</v>
          </cell>
        </row>
        <row r="164">
          <cell r="B164" t="str">
            <v>Pagayawan Renewable Energy Corp.</v>
          </cell>
          <cell r="C164" t="str">
            <v>Pagayawan Solar Power Plant Project</v>
          </cell>
          <cell r="K164" t="str">
            <v>-</v>
          </cell>
          <cell r="M164" t="str">
            <v>-</v>
          </cell>
        </row>
        <row r="165">
          <cell r="B165" t="str">
            <v>SMC Global Light and Power Corp.</v>
          </cell>
          <cell r="C165" t="str">
            <v>Malita Solar Power Project Phase 1</v>
          </cell>
          <cell r="K165" t="str">
            <v>-</v>
          </cell>
          <cell r="M165" t="str">
            <v>-</v>
          </cell>
        </row>
        <row r="166">
          <cell r="B166" t="str">
            <v>Jin-Navitas Solaris Inc.</v>
          </cell>
          <cell r="C166" t="str">
            <v>Ning*Ning Muson-Labac Rooftop Solar Power Project</v>
          </cell>
          <cell r="K166" t="str">
            <v>-</v>
          </cell>
          <cell r="M166" t="str">
            <v>-</v>
          </cell>
        </row>
        <row r="167">
          <cell r="B167" t="str">
            <v>East Cornerstone Development Corp.</v>
          </cell>
          <cell r="C167" t="str">
            <v>San Lorenzo Ruiz Solar Power Plant</v>
          </cell>
          <cell r="K167" t="str">
            <v>-</v>
          </cell>
          <cell r="M167" t="str">
            <v>-</v>
          </cell>
        </row>
        <row r="168">
          <cell r="B168" t="str">
            <v>Tai Yang 1 Power Inc.</v>
          </cell>
          <cell r="C168" t="str">
            <v>Bataan Solar Power Project</v>
          </cell>
          <cell r="K168" t="str">
            <v>-</v>
          </cell>
          <cell r="M168" t="str">
            <v>-</v>
          </cell>
        </row>
        <row r="169">
          <cell r="B169" t="str">
            <v>San Ignacio Energy Resources Development Corporation</v>
          </cell>
          <cell r="C169" t="str">
            <v>Isabela Ground Mounted Solar PV Project Phase 1</v>
          </cell>
          <cell r="K169" t="str">
            <v>-</v>
          </cell>
          <cell r="M169" t="str">
            <v>-</v>
          </cell>
        </row>
        <row r="170">
          <cell r="B170" t="str">
            <v>Freya Renewables Inc.</v>
          </cell>
          <cell r="C170" t="str">
            <v>Daanbantayan Solar Power Project</v>
          </cell>
          <cell r="K170" t="str">
            <v>-</v>
          </cell>
          <cell r="M170" t="str">
            <v>-</v>
          </cell>
        </row>
        <row r="171">
          <cell r="B171" t="str">
            <v>Basic Energy Corporation</v>
          </cell>
          <cell r="C171" t="str">
            <v>Cadiz 1 Solar Power Project</v>
          </cell>
          <cell r="K171" t="str">
            <v>-</v>
          </cell>
          <cell r="M171" t="str">
            <v>-</v>
          </cell>
        </row>
        <row r="172">
          <cell r="B172" t="str">
            <v>Giga Ace 6, Inc.</v>
          </cell>
          <cell r="C172" t="str">
            <v>Quezon North Wind Power Project Phase 2</v>
          </cell>
          <cell r="K172" t="str">
            <v>-</v>
          </cell>
          <cell r="M172" t="str">
            <v>-</v>
          </cell>
        </row>
        <row r="173">
          <cell r="B173" t="str">
            <v>Laguna Wind Energy Corp.</v>
          </cell>
          <cell r="C173" t="str">
            <v>Kalayaan 2 Wind Power Project</v>
          </cell>
          <cell r="K173" t="str">
            <v>-</v>
          </cell>
          <cell r="M173" t="str">
            <v>-</v>
          </cell>
        </row>
        <row r="174">
          <cell r="B174" t="str">
            <v>Econergy Renewable Power Philippines Inc.</v>
          </cell>
          <cell r="C174" t="str">
            <v>South Eastern Wind Power Project</v>
          </cell>
          <cell r="K174" t="str">
            <v>-</v>
          </cell>
          <cell r="M174" t="str">
            <v>-</v>
          </cell>
        </row>
        <row r="175">
          <cell r="B175" t="str">
            <v>SMC Global Light and Power Corp.</v>
          </cell>
          <cell r="C175" t="str">
            <v>Cauayan Solar Power Project Phase 1</v>
          </cell>
          <cell r="K175" t="str">
            <v>-</v>
          </cell>
          <cell r="M175" t="str">
            <v>-</v>
          </cell>
        </row>
        <row r="176">
          <cell r="B176" t="str">
            <v>SMC Global Light and Power Corp.</v>
          </cell>
          <cell r="C176" t="str">
            <v>Malita Solar Power Project Phase 2</v>
          </cell>
          <cell r="K176" t="str">
            <v>-</v>
          </cell>
          <cell r="M176" t="str">
            <v>-</v>
          </cell>
        </row>
        <row r="177">
          <cell r="B177" t="str">
            <v>Alabel Solar Energy Corporation</v>
          </cell>
          <cell r="C177" t="str">
            <v>SPPC Solar Power Project (Phase 1)</v>
          </cell>
          <cell r="K177" t="str">
            <v>-</v>
          </cell>
          <cell r="M177" t="str">
            <v>-</v>
          </cell>
        </row>
        <row r="178">
          <cell r="B178" t="str">
            <v>Quezon Wind Energy Corp.</v>
          </cell>
          <cell r="C178" t="str">
            <v>Quezon Wind Power Project (Phase 2)</v>
          </cell>
          <cell r="K178" t="str">
            <v>-</v>
          </cell>
          <cell r="M178" t="str">
            <v>-</v>
          </cell>
        </row>
        <row r="179">
          <cell r="B179" t="str">
            <v>Verde Radiant Power Corporation</v>
          </cell>
          <cell r="C179" t="str">
            <v>Villaverde Ground-Mounted Solar Photoboltaic Project</v>
          </cell>
          <cell r="K179" t="str">
            <v>-</v>
          </cell>
          <cell r="M179" t="str">
            <v>-</v>
          </cell>
        </row>
        <row r="180">
          <cell r="B180" t="str">
            <v>Zamboanguita Solar Power Corporation</v>
          </cell>
          <cell r="C180" t="str">
            <v>Zamboanguita Solar Power Project</v>
          </cell>
          <cell r="K180" t="str">
            <v>-</v>
          </cell>
          <cell r="M180" t="str">
            <v>-</v>
          </cell>
        </row>
        <row r="181">
          <cell r="B181" t="str">
            <v>Wind Renewable Energy Corporation</v>
          </cell>
          <cell r="C181" t="str">
            <v>Presentacion 2 Wind Power Project</v>
          </cell>
          <cell r="K181" t="str">
            <v>-</v>
          </cell>
          <cell r="M181" t="str">
            <v>-</v>
          </cell>
        </row>
        <row r="182">
          <cell r="B182" t="str">
            <v>Citicore Renewable Energy Corporation</v>
          </cell>
          <cell r="C182" t="str">
            <v>Bolbok 3 Solar Power Project Phase 2</v>
          </cell>
          <cell r="K182" t="str">
            <v>-</v>
          </cell>
          <cell r="M182" t="str">
            <v>-</v>
          </cell>
        </row>
        <row r="183">
          <cell r="B183" t="str">
            <v>Magallanes Solar Energy Corp.</v>
          </cell>
          <cell r="C183" t="str">
            <v>Barotac Viejo Solar Power Project</v>
          </cell>
          <cell r="K183" t="str">
            <v>-</v>
          </cell>
          <cell r="M183" t="str">
            <v>-</v>
          </cell>
        </row>
        <row r="184">
          <cell r="B184" t="str">
            <v>Citicore Renewable Energy Corporation</v>
          </cell>
          <cell r="C184" t="str">
            <v>Silay 2C Solar Power Project Phase 1</v>
          </cell>
          <cell r="K184" t="str">
            <v>-</v>
          </cell>
          <cell r="M184" t="str">
            <v>-</v>
          </cell>
        </row>
        <row r="185">
          <cell r="B185" t="str">
            <v>Envision Energy Philippines Corporation</v>
          </cell>
          <cell r="C185" t="str">
            <v>Cauayan Wind Power Project</v>
          </cell>
          <cell r="K185" t="str">
            <v>-</v>
          </cell>
          <cell r="M185" t="str">
            <v>-</v>
          </cell>
        </row>
        <row r="186">
          <cell r="B186" t="str">
            <v>Bolo Renewable Energy Corp.</v>
          </cell>
          <cell r="C186" t="str">
            <v>Atimonan Solar Power Project</v>
          </cell>
          <cell r="K186" t="str">
            <v>-</v>
          </cell>
          <cell r="M186" t="str">
            <v>-</v>
          </cell>
        </row>
        <row r="187">
          <cell r="B187" t="str">
            <v>Bolo Renewable Energy Corp.</v>
          </cell>
          <cell r="C187" t="str">
            <v>Ultra Solar Power Plant Project</v>
          </cell>
          <cell r="K187" t="str">
            <v>-</v>
          </cell>
          <cell r="M187" t="str">
            <v>-</v>
          </cell>
        </row>
        <row r="188">
          <cell r="B188" t="str">
            <v>Jin-Navitas Solaris Inc.</v>
          </cell>
          <cell r="C188" t="str">
            <v>Earthlight Concepcion Solar Power Project Phase 1</v>
          </cell>
          <cell r="K188" t="str">
            <v>-</v>
          </cell>
          <cell r="M188" t="str">
            <v>-</v>
          </cell>
        </row>
        <row r="189">
          <cell r="B189" t="str">
            <v>Sunpalo Solar Energy Inc</v>
          </cell>
          <cell r="C189" t="str">
            <v>San Miguel Solar Power Project</v>
          </cell>
          <cell r="K189" t="str">
            <v>-</v>
          </cell>
          <cell r="M189" t="str">
            <v>-</v>
          </cell>
        </row>
        <row r="190">
          <cell r="B190" t="str">
            <v>Jin-Navitas Solaris Inc.</v>
          </cell>
          <cell r="C190" t="str">
            <v>Ning*Ning Catmon Sta. Maria Solar Power Project</v>
          </cell>
          <cell r="K190" t="str">
            <v>-</v>
          </cell>
          <cell r="M190" t="str">
            <v>-</v>
          </cell>
        </row>
        <row r="191">
          <cell r="B191" t="str">
            <v>Jin-Navitas Solaris Inc.</v>
          </cell>
          <cell r="C191" t="str">
            <v>Ning*Ning Dolores MagalangSolar Power Project</v>
          </cell>
          <cell r="K191" t="str">
            <v>-</v>
          </cell>
          <cell r="M191" t="str">
            <v>-</v>
          </cell>
        </row>
        <row r="192">
          <cell r="B192" t="str">
            <v>Apolaki Four Inc.</v>
          </cell>
          <cell r="C192" t="str">
            <v>Titan V Solar Power Project Phase 1</v>
          </cell>
          <cell r="K192" t="str">
            <v>-</v>
          </cell>
          <cell r="M192" t="str">
            <v>-</v>
          </cell>
        </row>
        <row r="193">
          <cell r="B193" t="str">
            <v>Citadel Energy Corporation</v>
          </cell>
          <cell r="C193" t="str">
            <v>San Vicente Soalr Power Project</v>
          </cell>
          <cell r="K193" t="str">
            <v>-</v>
          </cell>
          <cell r="M193" t="str">
            <v>-</v>
          </cell>
        </row>
        <row r="194">
          <cell r="B194" t="str">
            <v>Green PV Energy Corporation</v>
          </cell>
          <cell r="C194" t="str">
            <v>Libmanan Solar Power Project</v>
          </cell>
          <cell r="K194" t="str">
            <v>-</v>
          </cell>
          <cell r="M194" t="str">
            <v>-</v>
          </cell>
        </row>
        <row r="195">
          <cell r="B195" t="str">
            <v>Sta. Ignacia Tarlac Solar Power Corporation</v>
          </cell>
          <cell r="C195" t="str">
            <v>Sta. Ignacia Tarlac Solar Power Plant Project Phase 1</v>
          </cell>
          <cell r="K195" t="str">
            <v>-</v>
          </cell>
          <cell r="M195" t="str">
            <v>-</v>
          </cell>
        </row>
        <row r="196">
          <cell r="B196" t="str">
            <v>SN Aboitiz Power - Magat, Inc.</v>
          </cell>
          <cell r="C196" t="str">
            <v>Magat Floating Solar Power Project</v>
          </cell>
          <cell r="K196" t="str">
            <v>-</v>
          </cell>
          <cell r="M196" t="str">
            <v>-</v>
          </cell>
        </row>
        <row r="197">
          <cell r="B197" t="str">
            <v>Nortesol Incorporated</v>
          </cell>
          <cell r="C197" t="str">
            <v>Cabuyao 2 Floating PV Power Plant</v>
          </cell>
          <cell r="K197" t="str">
            <v>-</v>
          </cell>
          <cell r="M197" t="str">
            <v>-</v>
          </cell>
        </row>
        <row r="198">
          <cell r="B198" t="str">
            <v>Nortesol II Inc.</v>
          </cell>
          <cell r="C198" t="str">
            <v>Cabuyao 1 Floating PV Power Plant</v>
          </cell>
          <cell r="K198" t="str">
            <v>-</v>
          </cell>
          <cell r="M198" t="str">
            <v>-</v>
          </cell>
        </row>
        <row r="199">
          <cell r="B199" t="str">
            <v>Nortesol Incorporated</v>
          </cell>
          <cell r="C199" t="str">
            <v>Calamba Floating PV Solar Power Project</v>
          </cell>
          <cell r="K199" t="str">
            <v>-</v>
          </cell>
          <cell r="M199" t="str">
            <v>-</v>
          </cell>
        </row>
        <row r="200">
          <cell r="B200" t="str">
            <v>Nortesol IV Inc.</v>
          </cell>
          <cell r="C200" t="str">
            <v>Cabuyao 3 Floating PV Power Plant</v>
          </cell>
          <cell r="K200" t="str">
            <v>-</v>
          </cell>
          <cell r="M200" t="str">
            <v>-</v>
          </cell>
        </row>
        <row r="201">
          <cell r="B201" t="str">
            <v>Nortesol IV Inc.</v>
          </cell>
          <cell r="C201" t="str">
            <v>Victoria 1 Floating PV Power Plant</v>
          </cell>
          <cell r="K201" t="str">
            <v>-</v>
          </cell>
          <cell r="M201" t="str">
            <v>-</v>
          </cell>
        </row>
        <row r="202">
          <cell r="B202" t="str">
            <v>Nortesol IV Inc.</v>
          </cell>
          <cell r="C202" t="str">
            <v>Bay 2 Floating PV Power Plant</v>
          </cell>
          <cell r="K202" t="str">
            <v>-</v>
          </cell>
          <cell r="M202" t="str">
            <v>-</v>
          </cell>
        </row>
        <row r="203">
          <cell r="B203" t="str">
            <v>Newasia Power Energy II Corp.</v>
          </cell>
          <cell r="C203" t="str">
            <v>Cabuyao 5 Floating PV Power Plant</v>
          </cell>
          <cell r="K203" t="str">
            <v>-</v>
          </cell>
          <cell r="M203" t="str">
            <v>-</v>
          </cell>
        </row>
        <row r="204">
          <cell r="B204" t="str">
            <v>Newasia Power Energy Corp.</v>
          </cell>
          <cell r="C204" t="str">
            <v>Cabuyao 4 Floating Solar PV Power Plant</v>
          </cell>
          <cell r="K204" t="str">
            <v>-</v>
          </cell>
          <cell r="M204" t="str">
            <v>-</v>
          </cell>
        </row>
        <row r="205">
          <cell r="B205" t="str">
            <v>Newasia Power Energy Corp.</v>
          </cell>
          <cell r="C205" t="str">
            <v>Bay 1 Floating PV Power Plant</v>
          </cell>
          <cell r="K205" t="str">
            <v>-</v>
          </cell>
          <cell r="M205" t="str">
            <v>-</v>
          </cell>
        </row>
        <row r="206">
          <cell r="B206" t="str">
            <v>Newasia Power Energy II Corp.</v>
          </cell>
          <cell r="C206" t="str">
            <v>Sta. Rosa Floating PV Power Plant</v>
          </cell>
          <cell r="K206" t="str">
            <v>-</v>
          </cell>
          <cell r="M206" t="str">
            <v>-</v>
          </cell>
        </row>
        <row r="207">
          <cell r="B207" t="str">
            <v>Newasia Power Energy III Corp.</v>
          </cell>
          <cell r="C207" t="str">
            <v>Macabebe Floating PV Power Plant</v>
          </cell>
          <cell r="K207" t="str">
            <v>-</v>
          </cell>
          <cell r="M207" t="str">
            <v>-</v>
          </cell>
        </row>
        <row r="208">
          <cell r="B208" t="str">
            <v>LakeSun Energy Inc.</v>
          </cell>
          <cell r="C208" t="str">
            <v>Sagay Solar on Water PV Power Plant</v>
          </cell>
          <cell r="K208" t="str">
            <v>-</v>
          </cell>
          <cell r="M208" t="str">
            <v>-</v>
          </cell>
        </row>
        <row r="209">
          <cell r="B209" t="str">
            <v>Econergy Renewable Power Philippines Inc.</v>
          </cell>
          <cell r="C209" t="str">
            <v>Sorsogon 2 Wind Power Project</v>
          </cell>
          <cell r="K209" t="str">
            <v>-</v>
          </cell>
          <cell r="M209" t="str">
            <v>-</v>
          </cell>
        </row>
        <row r="210">
          <cell r="B210" t="str">
            <v>Blue Haven Windkraft Corporation</v>
          </cell>
          <cell r="C210" t="str">
            <v>Bohol 2 Anda Win Power Project Phase 1</v>
          </cell>
          <cell r="K210" t="str">
            <v>-</v>
          </cell>
          <cell r="M210" t="str">
            <v>-</v>
          </cell>
        </row>
        <row r="211">
          <cell r="B211" t="str">
            <v>Econergy Renewable Power Philippines Inc.</v>
          </cell>
          <cell r="C211" t="str">
            <v>Northern Wind Power Project</v>
          </cell>
          <cell r="K211" t="str">
            <v>-</v>
          </cell>
          <cell r="M211" t="str">
            <v>-</v>
          </cell>
        </row>
        <row r="212">
          <cell r="B212" t="str">
            <v>Citicore Renewable Energy Corporation</v>
          </cell>
          <cell r="C212" t="str">
            <v>Silay 2C Solar Power Project Phase 2</v>
          </cell>
          <cell r="K212" t="str">
            <v>-</v>
          </cell>
          <cell r="M212" t="str">
            <v>-</v>
          </cell>
        </row>
        <row r="213">
          <cell r="B213" t="str">
            <v>SMC Global Light and Power Corp.</v>
          </cell>
          <cell r="C213" t="str">
            <v>Cauayan Solar Power Project Phase 2</v>
          </cell>
          <cell r="K213" t="str">
            <v>-</v>
          </cell>
          <cell r="M213" t="str">
            <v>-</v>
          </cell>
        </row>
        <row r="214">
          <cell r="B214" t="str">
            <v>SMC Global Light and Power Corp.</v>
          </cell>
          <cell r="C214" t="str">
            <v>Malita Solar Power Project Phase 3</v>
          </cell>
          <cell r="K214" t="str">
            <v>-</v>
          </cell>
          <cell r="M214" t="str">
            <v>-</v>
          </cell>
        </row>
        <row r="215">
          <cell r="B215" t="str">
            <v>SMC Global Light and Power Corp.</v>
          </cell>
          <cell r="C215" t="str">
            <v>Angat Solar Power Project Phase 1</v>
          </cell>
          <cell r="K215" t="str">
            <v>-</v>
          </cell>
          <cell r="M215" t="str">
            <v>-</v>
          </cell>
        </row>
        <row r="216">
          <cell r="B216" t="str">
            <v>North Luzon Green Power, Inc.</v>
          </cell>
          <cell r="C216" t="str">
            <v>Talingaan-Laoag Soalr Power Project</v>
          </cell>
          <cell r="K216" t="str">
            <v>-</v>
          </cell>
          <cell r="M216" t="str">
            <v>-</v>
          </cell>
        </row>
        <row r="217">
          <cell r="B217" t="str">
            <v>South Cleanergy Inc.</v>
          </cell>
          <cell r="C217" t="str">
            <v>Luna Solar Power Project</v>
          </cell>
          <cell r="K217" t="str">
            <v>-</v>
          </cell>
          <cell r="M217" t="str">
            <v>-</v>
          </cell>
        </row>
        <row r="218">
          <cell r="B218" t="str">
            <v>JICA Power and Development Corporation</v>
          </cell>
          <cell r="C218" t="str">
            <v>Viejo Iloilo Solar Power Project</v>
          </cell>
          <cell r="K218" t="str">
            <v>-</v>
          </cell>
          <cell r="M218" t="str">
            <v>-</v>
          </cell>
        </row>
        <row r="219">
          <cell r="B219" t="str">
            <v>Northern Sun Radiance Inc.</v>
          </cell>
          <cell r="C219" t="str">
            <v>San Marcelino Floating Solar Power Project</v>
          </cell>
          <cell r="K219" t="str">
            <v>-</v>
          </cell>
          <cell r="M219" t="str">
            <v>-</v>
          </cell>
        </row>
        <row r="220">
          <cell r="B220" t="str">
            <v>Citicore Renewable Energy Corporation</v>
          </cell>
          <cell r="C220" t="str">
            <v>Isabela Solar Power Project Phase 1 - 3</v>
          </cell>
          <cell r="K220" t="str">
            <v>-</v>
          </cell>
          <cell r="M220" t="str">
            <v>-</v>
          </cell>
        </row>
        <row r="221">
          <cell r="B221" t="str">
            <v>Citicore Renewable Energy Corporation</v>
          </cell>
          <cell r="C221" t="str">
            <v>Isabela Solar Power Prject Phase 1 - 2</v>
          </cell>
          <cell r="K221" t="str">
            <v>-</v>
          </cell>
          <cell r="M221" t="str">
            <v>-</v>
          </cell>
        </row>
        <row r="222">
          <cell r="B222" t="str">
            <v>Envision Energy Philippines Corporation</v>
          </cell>
          <cell r="C222" t="str">
            <v>Pagsanjan Wind Project</v>
          </cell>
          <cell r="K222" t="str">
            <v>-</v>
          </cell>
          <cell r="M222" t="str">
            <v>-</v>
          </cell>
        </row>
        <row r="223">
          <cell r="B223" t="str">
            <v>Envision Energy Philippines Corporation</v>
          </cell>
          <cell r="C223" t="str">
            <v>Lavezares Wind Project</v>
          </cell>
          <cell r="K223" t="str">
            <v>-</v>
          </cell>
          <cell r="M223" t="str">
            <v>-</v>
          </cell>
        </row>
        <row r="224">
          <cell r="B224" t="str">
            <v>Envision Energy Philippines Corporation</v>
          </cell>
          <cell r="C224" t="str">
            <v>Leyte Wind Project</v>
          </cell>
          <cell r="K224" t="str">
            <v>-</v>
          </cell>
          <cell r="M224" t="str">
            <v>-</v>
          </cell>
        </row>
        <row r="225">
          <cell r="B225" t="str">
            <v>Victorias Green Energy Corp.</v>
          </cell>
          <cell r="C225" t="str">
            <v>Victorias Solar Power Plant</v>
          </cell>
          <cell r="K225" t="str">
            <v>-</v>
          </cell>
          <cell r="M225" t="str">
            <v>-</v>
          </cell>
        </row>
        <row r="226">
          <cell r="B226" t="str">
            <v>Jin-Navitas Solaris Inc.</v>
          </cell>
          <cell r="C226" t="str">
            <v>Earthlight San Fernando Barotac Viejo Soalr Power Project Phase 1</v>
          </cell>
          <cell r="K226" t="str">
            <v>-</v>
          </cell>
          <cell r="M226" t="str">
            <v>-</v>
          </cell>
        </row>
        <row r="227">
          <cell r="B227" t="str">
            <v>Jin-Navitas Solaris Inc.</v>
          </cell>
          <cell r="C227" t="str">
            <v>Ajuy 1 Solar Power Project Phase 2</v>
          </cell>
          <cell r="K227" t="str">
            <v>-</v>
          </cell>
          <cell r="M227" t="str">
            <v>-</v>
          </cell>
        </row>
        <row r="228">
          <cell r="B228" t="str">
            <v>Olympia Solar Power Corporation</v>
          </cell>
          <cell r="C228" t="str">
            <v>Kalandagan Solar Power Project</v>
          </cell>
          <cell r="K228" t="str">
            <v>-</v>
          </cell>
          <cell r="M228" t="str">
            <v>-</v>
          </cell>
        </row>
        <row r="229">
          <cell r="B229" t="str">
            <v>Apolaki Four Inc.</v>
          </cell>
          <cell r="C229" t="str">
            <v>Titan V Solar Power Project Phase 2</v>
          </cell>
          <cell r="K229" t="str">
            <v>-</v>
          </cell>
          <cell r="M229" t="str">
            <v>-</v>
          </cell>
        </row>
        <row r="230">
          <cell r="B230" t="str">
            <v>Western Visayas Solar Energy Corp.</v>
          </cell>
          <cell r="C230" t="str">
            <v>Ilog Solar Power Project</v>
          </cell>
          <cell r="K230" t="str">
            <v>-</v>
          </cell>
          <cell r="M230" t="str">
            <v>-</v>
          </cell>
        </row>
        <row r="231">
          <cell r="B231" t="str">
            <v>Bohol Renewable Power Corp. (Isla Este Renewables Corporation)</v>
          </cell>
          <cell r="C231" t="str">
            <v>Bohol Solar Power Project</v>
          </cell>
          <cell r="K231" t="str">
            <v>-</v>
          </cell>
          <cell r="M231" t="str">
            <v>-</v>
          </cell>
        </row>
        <row r="232">
          <cell r="B232" t="str">
            <v>Liberty Solar Energy Corp.</v>
          </cell>
          <cell r="C232" t="str">
            <v>Liberty Solar Power Project Phase B</v>
          </cell>
          <cell r="K232" t="str">
            <v>-</v>
          </cell>
          <cell r="M232" t="str">
            <v>-</v>
          </cell>
        </row>
        <row r="233">
          <cell r="B233" t="str">
            <v>Liberty Solar Energy Corp.</v>
          </cell>
          <cell r="C233" t="str">
            <v>Liberty Solar Power Project Phase A</v>
          </cell>
          <cell r="K233" t="str">
            <v>-</v>
          </cell>
          <cell r="M233" t="str">
            <v>-</v>
          </cell>
        </row>
        <row r="234">
          <cell r="B234" t="str">
            <v>NKS Solar One Inc.</v>
          </cell>
          <cell r="C234" t="str">
            <v>NKS One Floating Solar Power Project Phase 2</v>
          </cell>
          <cell r="K234" t="str">
            <v>-</v>
          </cell>
          <cell r="M234" t="str">
            <v>-</v>
          </cell>
        </row>
        <row r="235">
          <cell r="B235" t="str">
            <v>Limnelios Inc.</v>
          </cell>
          <cell r="C235" t="str">
            <v>Silay Solar on Water PV Power Plant</v>
          </cell>
          <cell r="K235" t="str">
            <v>-</v>
          </cell>
          <cell r="M235" t="str">
            <v>-</v>
          </cell>
        </row>
        <row r="236">
          <cell r="B236" t="str">
            <v>CleanTech Global Renewables Inc.</v>
          </cell>
          <cell r="C236" t="str">
            <v>Tayabas North Wind Energy Project Phase 1</v>
          </cell>
          <cell r="K236" t="str">
            <v>-</v>
          </cell>
          <cell r="M236" t="str">
            <v>-</v>
          </cell>
        </row>
        <row r="237">
          <cell r="B237" t="str">
            <v>San Nicolas Wind Corp.</v>
          </cell>
          <cell r="C237" t="str">
            <v>San Nicolas Wind Power Project</v>
          </cell>
          <cell r="K237" t="str">
            <v>-</v>
          </cell>
          <cell r="M237" t="str">
            <v>-</v>
          </cell>
        </row>
        <row r="238">
          <cell r="B238" t="str">
            <v>MC Project Solutions Inc.</v>
          </cell>
          <cell r="C238" t="str">
            <v>Alegria Wind Power Project</v>
          </cell>
          <cell r="K238" t="str">
            <v>-</v>
          </cell>
          <cell r="M238" t="str">
            <v>-</v>
          </cell>
        </row>
        <row r="239">
          <cell r="B239" t="str">
            <v>EcoSolar Energy Corporation</v>
          </cell>
          <cell r="C239" t="str">
            <v>Panitan Solar Power Project</v>
          </cell>
          <cell r="K239" t="str">
            <v>-</v>
          </cell>
          <cell r="M239" t="str">
            <v>-</v>
          </cell>
        </row>
        <row r="240">
          <cell r="B240" t="str">
            <v>SMC Global Light and Power Corp.</v>
          </cell>
          <cell r="C240" t="str">
            <v>Malita Solar Power Project Phase 4</v>
          </cell>
          <cell r="K240" t="str">
            <v>-</v>
          </cell>
          <cell r="M240" t="str">
            <v>-</v>
          </cell>
        </row>
        <row r="241">
          <cell r="B241" t="str">
            <v>SMC Global Light and Power Corp.</v>
          </cell>
          <cell r="C241" t="str">
            <v>Angat Solar Power Project Phase 2</v>
          </cell>
          <cell r="K241" t="str">
            <v>-</v>
          </cell>
          <cell r="M241" t="str">
            <v>-</v>
          </cell>
        </row>
        <row r="242">
          <cell r="B242" t="str">
            <v>Urban Energy Development Corp.</v>
          </cell>
          <cell r="C242" t="str">
            <v>Isabel Solar Power Plant</v>
          </cell>
          <cell r="K242" t="str">
            <v>-</v>
          </cell>
          <cell r="M242" t="str">
            <v>-</v>
          </cell>
        </row>
        <row r="243">
          <cell r="B243" t="str">
            <v>Dagohoy Green Energy Corporation</v>
          </cell>
          <cell r="C243" t="str">
            <v>Dagohoy Solar Power Project</v>
          </cell>
          <cell r="K243" t="str">
            <v>-</v>
          </cell>
          <cell r="M243" t="str">
            <v>-</v>
          </cell>
        </row>
        <row r="244">
          <cell r="B244" t="str">
            <v>Northern Sun Power, Inc.</v>
          </cell>
          <cell r="C244" t="str">
            <v>Currimao Solar Power Project</v>
          </cell>
          <cell r="K244" t="str">
            <v>-</v>
          </cell>
          <cell r="M244" t="str">
            <v>-</v>
          </cell>
        </row>
        <row r="245">
          <cell r="B245" t="str">
            <v>Atimonan Windkraft Corporation</v>
          </cell>
          <cell r="C245" t="str">
            <v>Quezon Wind Power Project (Phase 1)</v>
          </cell>
          <cell r="K245" t="str">
            <v>-</v>
          </cell>
          <cell r="M245" t="str">
            <v>-</v>
          </cell>
        </row>
        <row r="246">
          <cell r="B246" t="str">
            <v>Citicore Renewable Energy Corporation</v>
          </cell>
          <cell r="C246" t="str">
            <v>Pagbilao 4 Solar Power Project Phase 2</v>
          </cell>
          <cell r="K246" t="str">
            <v>-</v>
          </cell>
          <cell r="M246" t="str">
            <v>-</v>
          </cell>
        </row>
        <row r="247">
          <cell r="B247" t="str">
            <v>Citicore Renewable Energy Corporation</v>
          </cell>
          <cell r="C247" t="str">
            <v>Pagbilao 4 Solar Power Project Phase 1</v>
          </cell>
          <cell r="K247" t="str">
            <v>-</v>
          </cell>
          <cell r="M247" t="str">
            <v>-</v>
          </cell>
        </row>
        <row r="248">
          <cell r="B248" t="str">
            <v>Sapang Balen Solar Sustainable Energy Corp.</v>
          </cell>
          <cell r="C248" t="str">
            <v>Sapang Balen Solar 1 - North Power Project</v>
          </cell>
          <cell r="K248" t="str">
            <v>-</v>
          </cell>
          <cell r="M248" t="str">
            <v>-</v>
          </cell>
        </row>
        <row r="249">
          <cell r="B249" t="str">
            <v>Citicore Renewable Energy Corporation</v>
          </cell>
          <cell r="C249" t="str">
            <v>Isabela Solar Power Project Phase 1-3</v>
          </cell>
          <cell r="K249" t="str">
            <v>-</v>
          </cell>
          <cell r="M249" t="str">
            <v>-</v>
          </cell>
        </row>
        <row r="250">
          <cell r="B250" t="str">
            <v>Citicore Renewable Energy Corporation</v>
          </cell>
          <cell r="C250" t="str">
            <v>Isabela Solar Power Project Phase 2-3</v>
          </cell>
          <cell r="K250" t="str">
            <v>-</v>
          </cell>
          <cell r="M250" t="str">
            <v>-</v>
          </cell>
        </row>
        <row r="251">
          <cell r="B251" t="str">
            <v>Citicore Renewable Energy Corporation</v>
          </cell>
          <cell r="C251" t="str">
            <v>Isabela Solar Power Project Phase 2-2</v>
          </cell>
          <cell r="K251" t="str">
            <v>-</v>
          </cell>
          <cell r="M251" t="str">
            <v>-</v>
          </cell>
        </row>
        <row r="252">
          <cell r="B252" t="str">
            <v>Citicore Renewable Energy Corporation</v>
          </cell>
          <cell r="C252" t="str">
            <v>Isabela Solar Power Project Phase 3-1</v>
          </cell>
          <cell r="K252" t="str">
            <v>-</v>
          </cell>
          <cell r="M252" t="str">
            <v>-</v>
          </cell>
        </row>
        <row r="253">
          <cell r="B253" t="str">
            <v>Citicore Renewable Energy Corporation</v>
          </cell>
          <cell r="C253" t="str">
            <v>Isabela Solar Power Project Phase 2-1</v>
          </cell>
          <cell r="K253" t="str">
            <v>-</v>
          </cell>
          <cell r="M253" t="str">
            <v>-</v>
          </cell>
        </row>
        <row r="254">
          <cell r="B254" t="str">
            <v>Citicore Renewable Energy Corporation</v>
          </cell>
          <cell r="C254" t="str">
            <v>Bolbok 3 Solar Power Project Phase 3</v>
          </cell>
          <cell r="K254" t="str">
            <v>-</v>
          </cell>
          <cell r="M254" t="str">
            <v>-</v>
          </cell>
        </row>
        <row r="255">
          <cell r="B255" t="str">
            <v>Sapang Balen Solar Sustainable Energy Corp.</v>
          </cell>
          <cell r="C255" t="str">
            <v>Sapang Balen Solar 2 - North Power Project</v>
          </cell>
          <cell r="K255" t="str">
            <v>-</v>
          </cell>
          <cell r="M255" t="str">
            <v>-</v>
          </cell>
        </row>
        <row r="256">
          <cell r="B256" t="str">
            <v>Envision Energy Philippines Corporation</v>
          </cell>
          <cell r="C256" t="str">
            <v>Bais Wind Project</v>
          </cell>
          <cell r="K256" t="str">
            <v>-</v>
          </cell>
          <cell r="M256" t="str">
            <v>-</v>
          </cell>
        </row>
        <row r="257">
          <cell r="B257" t="str">
            <v>Jin-Navitas Solaris Inc.</v>
          </cell>
          <cell r="C257" t="str">
            <v>Earthlight San Fernando Barotac Viejo Solar Power Project Phase 2</v>
          </cell>
          <cell r="K257" t="str">
            <v>-</v>
          </cell>
          <cell r="M257" t="str">
            <v>-</v>
          </cell>
        </row>
        <row r="258">
          <cell r="B258" t="str">
            <v>Iligansolar, Inc.</v>
          </cell>
          <cell r="C258" t="str">
            <v>Botolan Solar PV Power Plant</v>
          </cell>
          <cell r="K258" t="str">
            <v>-</v>
          </cell>
          <cell r="M258" t="str">
            <v>-</v>
          </cell>
        </row>
        <row r="259">
          <cell r="B259" t="str">
            <v>Apolaki Eight , Inc.</v>
          </cell>
          <cell r="C259" t="str">
            <v>Luca Solar Power Project Phase 2</v>
          </cell>
          <cell r="K259" t="str">
            <v>-</v>
          </cell>
          <cell r="M259" t="str">
            <v>-</v>
          </cell>
        </row>
        <row r="260">
          <cell r="B260" t="str">
            <v>Envision Energy Philippines Corporation</v>
          </cell>
          <cell r="C260" t="str">
            <v>Calabanga Wind Project</v>
          </cell>
          <cell r="K260" t="str">
            <v>-</v>
          </cell>
          <cell r="M260" t="str">
            <v>-</v>
          </cell>
        </row>
        <row r="261">
          <cell r="B261" t="str">
            <v>Ilosong Wind Corp.</v>
          </cell>
          <cell r="C261" t="str">
            <v>Ilosong Wind Power Project Phase 1</v>
          </cell>
          <cell r="K261" t="str">
            <v>-</v>
          </cell>
          <cell r="M261" t="str">
            <v>-</v>
          </cell>
        </row>
        <row r="262">
          <cell r="B262" t="str">
            <v>Caraga Wind Energy Corporation</v>
          </cell>
          <cell r="C262" t="str">
            <v>Caraga Wind Power Project Phase 1</v>
          </cell>
          <cell r="K262" t="str">
            <v>-</v>
          </cell>
          <cell r="M262" t="str">
            <v>-</v>
          </cell>
        </row>
        <row r="263">
          <cell r="B263" t="str">
            <v>Caraga Wind Energy Corporation</v>
          </cell>
          <cell r="C263" t="str">
            <v>Caraga Wind Power Project Phase 2</v>
          </cell>
          <cell r="K263" t="str">
            <v>-</v>
          </cell>
          <cell r="M263" t="str">
            <v>-</v>
          </cell>
        </row>
      </sheetData>
    </sheetDataSet>
  </externalBook>
</externalLink>
</file>

<file path=xl/persons/person.xml><?xml version="1.0" encoding="utf-8"?>
<personList xmlns="http://schemas.microsoft.com/office/spreadsheetml/2018/threadedcomments" xmlns:x="http://schemas.openxmlformats.org/spreadsheetml/2006/main">
  <person displayName="Leizel Ramos" id="{6B92E408-93D4-4862-B1C9-579DFC84CF9D}" userId="123266c75649137c"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216.753169560187" createdVersion="8" refreshedVersion="8" minRefreshableVersion="3" recordCount="259" xr:uid="{E270C3BD-9B8B-4253-A3A7-EB0E436017C1}">
  <cacheSource type="worksheet">
    <worksheetSource name="Table3"/>
  </cacheSource>
  <cacheFields count="34">
    <cacheField name="Grid" numFmtId="0">
      <sharedItems count="3">
        <s v="Mindanao"/>
        <s v="Luzon"/>
        <s v="Visayas"/>
      </sharedItems>
    </cacheField>
    <cacheField name="Technology" numFmtId="0">
      <sharedItems count="14">
        <s v="Biomass"/>
        <s v="Hydro"/>
        <s v="Solar"/>
        <s v="Wind"/>
        <s v="Ground Mounted Solar"/>
        <s v="Roof Mounted Solar"/>
        <s v="Onshore Wind"/>
        <s v="Floating Solar"/>
        <s v="Geothermal"/>
        <s v="Impounding Hydro"/>
        <s v="Pumped Storage Hydro"/>
        <s v="IRESS"/>
        <s v="GROUND-MOUNTED SOLAR" u="1"/>
        <s v="ROOF-MOUNTED SOLAR" u="1"/>
      </sharedItems>
    </cacheField>
    <cacheField name="GEA" numFmtId="0">
      <sharedItems count="4">
        <s v="GEA1"/>
        <s v="GEA2"/>
        <s v="GEA3"/>
        <s v="GEA4"/>
      </sharedItems>
    </cacheField>
    <cacheField name="No. " numFmtId="0">
      <sharedItems containsSemiMixedTypes="0" containsString="0" containsNumber="1" containsInteger="1" minValue="1" maxValue="259"/>
    </cacheField>
    <cacheField name="RE Developer" numFmtId="0">
      <sharedItems/>
    </cacheField>
    <cacheField name="Project Name " numFmtId="0">
      <sharedItems/>
    </cacheField>
    <cacheField name="Address" numFmtId="0">
      <sharedItems containsBlank="1"/>
    </cacheField>
    <cacheField name="Location" numFmtId="0">
      <sharedItems/>
    </cacheField>
    <cacheField name="Nameplate Capacity (kWp)" numFmtId="43">
      <sharedItems containsString="0" containsBlank="1" containsNumber="1" containsInteger="1" minValue="7000" maxValue="100099"/>
    </cacheField>
    <cacheField name="Capacity _x000a_(MW)" numFmtId="43">
      <sharedItems containsSemiMixedTypes="0" containsString="0" containsNumber="1" minValue="4.2000000000000003E-2" maxValue="2000"/>
    </cacheField>
    <cacheField name="GEAR Price" numFmtId="165">
      <sharedItems containsMixedTypes="1" containsNumber="1" minValue="2.5787" maxValue="8.1173000000000002"/>
    </cacheField>
    <cacheField name="Bid Price _x000a_(PhP/kWh)" numFmtId="165">
      <sharedItems containsSemiMixedTypes="0" containsString="0" containsNumber="1" minValue="2.5787" maxValue="7.6440999999999999" count="121">
        <n v="5.07"/>
        <n v="5.3875999999999999"/>
        <n v="5.4714"/>
        <n v="5.49"/>
        <n v="3.4"/>
        <n v="3.41"/>
        <n v="3.67"/>
        <n v="3.6779000000000002"/>
        <n v="3.8582999999999998"/>
        <n v="4.1997999999999998"/>
        <n v="4.4386000000000001"/>
        <n v="4.6368"/>
        <n v="5.7554999999999996"/>
        <n v="4.3998999999999997"/>
        <n v="4.4043000000000001"/>
        <n v="4.8738000000000001"/>
        <n v="3.5950000000000002"/>
        <n v="3.8788"/>
        <n v="4.0999999999999996"/>
        <n v="4.2346000000000004"/>
        <n v="4.2380000000000004"/>
        <n v="4.3898000000000001"/>
        <n v="5.2888000000000002"/>
        <n v="5.3087999999999997"/>
        <n v="5.8051000000000004"/>
        <n v="3.9853000000000001"/>
        <n v="4.0984999999999996"/>
        <n v="4.2999000000000001"/>
        <n v="4.4000000000000004"/>
        <n v="5.0987999999999998"/>
        <n v="5.2512999999999996"/>
        <n v="5.4387999999999996"/>
        <n v="5.5587999999999997"/>
        <n v="5.6588000000000003"/>
        <n v="5.7885999999999997"/>
        <n v="5.8480999999999996"/>
        <n v="4.4032999999999998"/>
        <n v="4.3543000000000003"/>
        <n v="4.3552999999999997"/>
        <n v="5.6887999999999996"/>
        <n v="5.7530999999999999"/>
        <n v="5.8479999999999999"/>
        <n v="7.6440999999999999"/>
        <n v="5.1092000000000004"/>
        <n v="4.5"/>
        <n v="4.75"/>
        <n v="2.5787"/>
        <n v="5.3560999999999996"/>
        <n v="5.4596999999999998"/>
        <n v="3.25"/>
        <n v="3.35"/>
        <n v="3.5"/>
        <n v="3.7319"/>
        <n v="4.43"/>
        <n v="3.98"/>
        <n v="5.68"/>
        <n v="4.1982999999999997"/>
        <n v="4.25"/>
        <n v="5.4028"/>
        <n v="4.1727999999999996"/>
        <n v="4.2"/>
        <n v="4.3"/>
        <n v="3.76"/>
        <n v="3.87"/>
        <n v="3.9001999999999999"/>
        <n v="4.3498000000000001"/>
        <n v="4.45"/>
        <n v="4.3855000000000004"/>
        <n v="5.95"/>
        <n v="5.99"/>
        <n v="6.0559000000000003"/>
        <n v="3.7507999999999999"/>
        <n v="3.9533"/>
        <n v="4.2843"/>
        <n v="5.4999000000000002"/>
        <n v="4.0979999999999999"/>
        <n v="4.3499999999999996"/>
        <n v="5.3887999999999998"/>
        <n v="4.9999000000000002"/>
        <n v="4.3194999999999997"/>
        <n v="6.0758999999999999"/>
        <n v="3.577"/>
        <n v="3.9988999999999999"/>
        <n v="4.37"/>
        <n v="3.8839999999999999"/>
        <n v="4.2000999999999999"/>
        <n v="5.9469000000000003"/>
        <n v="6.5258000000000003"/>
        <n v="5.1798000000000002"/>
        <n v="6.0585000000000004"/>
        <n v="6.0678999999999998"/>
        <n v="3.7012999999999998"/>
        <n v="3.8201000000000001"/>
        <n v="5.2511000000000001"/>
        <n v="4.6387999999999998"/>
        <n v="4.0599999999999996"/>
        <n v="4"/>
        <n v="4.8776999999999999"/>
        <n v="5.5777999999999999"/>
        <n v="6.0259"/>
        <n v="5.1886000000000001"/>
        <n v="5.3758999999999997"/>
        <n v="4.0823999999999998"/>
        <n v="4.1089000000000002"/>
        <n v="6.3886000000000003"/>
        <n v="6.4"/>
        <n v="6.5251999999999999"/>
        <n v="5.3886000000000003"/>
        <n v="5.4001000000000001"/>
        <n v="4.4832000000000001"/>
        <n v="3.9514999999999998"/>
        <n v="5.5549999999999997"/>
        <n v="4.3487999999999998"/>
        <n v="4.2888000000000002"/>
        <n v="5.1485000000000003"/>
        <n v="4.9000000000000004"/>
        <n v="5.15"/>
        <n v="6.0778999999999996"/>
        <n v="5.1087999999999996"/>
        <n v="5.3928000000000003"/>
        <n v="6.0858999999999996"/>
      </sharedItems>
    </cacheField>
    <cacheField name="Expected COD" numFmtId="0">
      <sharedItems containsNonDate="0" containsDate="1" containsString="0" containsBlank="1" minDate="2023-11-26T00:00:00" maxDate="2035-04-01T00:00:00"/>
    </cacheField>
    <cacheField name="Delivery Commencement Date (DCD)" numFmtId="169">
      <sharedItems containsNonDate="0" containsDate="1" containsString="0" containsBlank="1" minDate="2024-12-26T00:00:00" maxDate="2030-01-01T00:00:00"/>
    </cacheField>
    <cacheField name="Commitment Delivery Period" numFmtId="0">
      <sharedItems containsNonDate="0" containsDate="1" containsString="0" containsBlank="1" minDate="2024-12-31T00:00:00" maxDate="2026-02-27T00:00:00"/>
    </cacheField>
    <cacheField name="Certificate of Award date" numFmtId="0">
      <sharedItems containsNonDate="0" containsString="0" containsBlank="1"/>
    </cacheField>
    <cacheField name="Actual COD/COC" numFmtId="0">
      <sharedItems containsNonDate="0" containsDate="1" containsString="0" containsBlank="1" minDate="2016-02-19T00:00:00" maxDate="2025-11-04T00:00:00"/>
    </cacheField>
    <cacheField name="Remarks" numFmtId="0">
      <sharedItems containsBlank="1"/>
    </cacheField>
    <cacheField name="COE-GET no." numFmtId="0">
      <sharedItems containsBlank="1"/>
    </cacheField>
    <cacheField name="COE-GET_x000a_(Date Signed)" numFmtId="166">
      <sharedItems containsNonDate="0" containsDate="1" containsString="0" containsBlank="1" minDate="2025-03-14T00:00:00" maxDate="2025-04-04T00:00:00"/>
    </cacheField>
    <cacheField name="Status" numFmtId="169">
      <sharedItems containsBlank="1"/>
    </cacheField>
    <cacheField name="COC no." numFmtId="169">
      <sharedItems/>
    </cacheField>
    <cacheField name="Date Approved" numFmtId="169">
      <sharedItems containsNonDate="0" containsDate="1" containsString="0" containsBlank="1" minDate="2026-01-26T00:00:00" maxDate="2026-04-14T00:00:00"/>
    </cacheField>
    <cacheField name="Date issued" numFmtId="169">
      <sharedItems containsNonDate="0" containsDate="1" containsString="0" containsBlank="1" minDate="2025-03-03T00:00:00" maxDate="2026-06-09T00:00:00"/>
    </cacheField>
    <cacheField name="Valid from" numFmtId="0">
      <sharedItems containsNonDate="0" containsDate="1" containsString="0" containsBlank="1" minDate="2025-03-03T00:00:00" maxDate="2026-06-09T00:00:00"/>
    </cacheField>
    <cacheField name="Valid to" numFmtId="0">
      <sharedItems containsSemiMixedTypes="0" containsNonDate="0" containsDate="1" containsString="0" minDate="1900-12-29T00:00:00" maxDate="2027-06-08T00:00:00"/>
    </cacheField>
    <cacheField name="Capacity per COC / PAO (kW)" numFmtId="43">
      <sharedItems containsMixedTypes="1" containsNumber="1" containsInteger="1" minValue="4693" maxValue="100099"/>
    </cacheField>
    <cacheField name="ERC/ DOE Status" numFmtId="0">
      <sharedItems containsBlank="1"/>
    </cacheField>
    <cacheField name="REPA-GEAP No." numFmtId="0">
      <sharedItems containsBlank="1" containsMixedTypes="1" containsNumber="1" containsInteger="1" minValue="1002" maxValue="1010"/>
    </cacheField>
    <cacheField name="REPA-GEAP Status" numFmtId="166">
      <sharedItems containsBlank="1"/>
    </cacheField>
    <cacheField name="Start of GET eligibility" numFmtId="166">
      <sharedItems containsNonDate="0" containsDate="1" containsString="0" containsBlank="1" minDate="2024-12-26T00:00:00" maxDate="2025-11-04T00:00:00"/>
    </cacheField>
    <cacheField name="release date" numFmtId="166">
      <sharedItems containsNonDate="0" containsDate="1" containsString="0" containsBlank="1" minDate="2025-07-05T00:00:00" maxDate="2025-07-19T00:00:00"/>
    </cacheField>
    <cacheField name="REPA effectivity date" numFmtId="166">
      <sharedItems containsBlank="1"/>
    </cacheField>
    <cacheField name="Column1" numFmtId="166">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216.753172106481" createdVersion="8" refreshedVersion="8" minRefreshableVersion="3" recordCount="134" xr:uid="{CC3FB91A-3499-47D2-9667-5F721BD517A4}">
  <cacheSource type="worksheet">
    <worksheetSource ref="A2:U136" sheet="FIT Plants"/>
  </cacheSource>
  <cacheFields count="21">
    <cacheField name="Island" numFmtId="0">
      <sharedItems containsBlank="1"/>
    </cacheField>
    <cacheField name="RE Resources" numFmtId="0">
      <sharedItems containsBlank="1" count="5">
        <s v="SOLAR"/>
        <m/>
        <s v="WIND"/>
        <s v="BIOMASS"/>
        <s v="HYDRO"/>
      </sharedItems>
    </cacheField>
    <cacheField name="FIT" numFmtId="0">
      <sharedItems containsBlank="1" count="8">
        <s v="FIT I"/>
        <m/>
        <s v="FIT II"/>
        <s v="Special FIT"/>
        <s v="Degressed"/>
        <s v="FIT III"/>
        <s v="FIT III - degressed"/>
        <s v="FIT IV"/>
      </sharedItems>
    </cacheField>
    <cacheField name="Count" numFmtId="0">
      <sharedItems containsString="0" containsBlank="1" containsNumber="1" containsInteger="1" minValue="1" maxValue="179"/>
    </cacheField>
    <cacheField name="RE Developer" numFmtId="0">
      <sharedItems containsBlank="1"/>
    </cacheField>
    <cacheField name="RE Plant" numFmtId="0">
      <sharedItems containsBlank="1"/>
    </cacheField>
    <cacheField name="Location" numFmtId="0">
      <sharedItems containsBlank="1"/>
    </cacheField>
    <cacheField name="Installed Capacity as per COC (MW) " numFmtId="0">
      <sharedItems containsString="0" containsBlank="1" containsNumber="1" minValue="0.3" maxValue="212909.78700000001"/>
    </cacheField>
    <cacheField name="Installed Capacity as per COE (MW) " numFmtId="0">
      <sharedItems containsString="0" containsBlank="1" containsNumber="1" minValue="0.3" maxValue="212934.63200000004"/>
    </cacheField>
    <cacheField name="Subscribed FIT Capacity as per COE (MW)" numFmtId="0">
      <sharedItems containsString="0" containsBlank="1" containsNumber="1" minValue="0.3" maxValue="212921.40199999997"/>
    </cacheField>
    <cacheField name="0" numFmtId="0">
      <sharedItems containsNonDate="0" containsDate="1" containsString="0" containsBlank="1" minDate="2014-06-04T00:00:00" maxDate="2019-01-20T00:00:00"/>
    </cacheField>
    <cacheField name="COD per COE" numFmtId="0">
      <sharedItems containsNonDate="0" containsDate="1" containsString="0" containsBlank="1" minDate="2008-09-26T00:00:00" maxDate="2026-04-03T00:00:00"/>
    </cacheField>
    <cacheField name="Start of FIT Elibility per COC" numFmtId="0">
      <sharedItems containsNonDate="0" containsDate="1" containsString="0" containsBlank="1" minDate="2012-04-30T00:00:00" maxDate="2026-04-03T00:00:00"/>
    </cacheField>
    <cacheField name="FIT End Term per COC" numFmtId="0">
      <sharedItems containsDate="1" containsString="0" containsBlank="1" containsMixedTypes="1" minDate="2025-06-04T00:00:00" maxDate="2046-04-02T00:00:00"/>
    </cacheField>
    <cacheField name="FIT Term_x000a_(Years)" numFmtId="0">
      <sharedItems containsString="0" containsBlank="1" containsNumber="1" containsInteger="1" minValue="10" maxValue="21"/>
    </cacheField>
    <cacheField name="FIT Eligibility Period per COC" numFmtId="0">
      <sharedItems containsBlank="1"/>
    </cacheField>
    <cacheField name="COC Date Approved" numFmtId="0">
      <sharedItems containsDate="1" containsBlank="1" containsMixedTypes="1" minDate="2015-02-09T00:00:00" maxDate="2026-05-19T00:00:00"/>
    </cacheField>
    <cacheField name="First FIT Adjustment " numFmtId="0">
      <sharedItems containsNonDate="0" containsDate="1" containsString="0" containsBlank="1" minDate="2016-01-01T00:00:00" maxDate="2018-11-21T00:00:00"/>
    </cacheField>
    <cacheField name="Original FIT Rate" numFmtId="0">
      <sharedItems containsString="0" containsBlank="1" containsNumber="1" minValue="5.6715" maxValue="9.68"/>
    </cacheField>
    <cacheField name="Remarks" numFmtId="0">
      <sharedItems containsBlank="1" longText="1"/>
    </cacheField>
    <cacheField name="Status" numFmtId="0">
      <sharedItems containsBlank="1" count="10">
        <s v="Active"/>
        <s v="Expired PAO; Ongoing renewal of PAO application"/>
        <m/>
        <s v="Converted to Non-FIT"/>
        <s v="Shutdown"/>
        <s v="Expired PAO"/>
        <s v="Expired COC-FIT"/>
        <s v="No issuance of COC / PAO Yet"/>
        <s v="Active with conditions"/>
        <s v="with COE only"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216.753172685188" createdVersion="8" refreshedVersion="8" minRefreshableVersion="3" recordCount="141" xr:uid="{015D0036-F7FD-425A-908C-B9117525E0F8}">
  <cacheSource type="worksheet">
    <worksheetSource ref="A2:U143" sheet="FIT Plants"/>
  </cacheSource>
  <cacheFields count="21">
    <cacheField name="Island" numFmtId="0">
      <sharedItems containsBlank="1"/>
    </cacheField>
    <cacheField name="RE Resources" numFmtId="0">
      <sharedItems containsBlank="1" count="5">
        <s v="SOLAR"/>
        <m/>
        <s v="WIND"/>
        <s v="BIOMASS"/>
        <s v="HYDRO"/>
      </sharedItems>
    </cacheField>
    <cacheField name="FIT" numFmtId="0">
      <sharedItems containsBlank="1" count="8">
        <s v="FIT I"/>
        <m/>
        <s v="FIT II"/>
        <s v="Special FIT"/>
        <s v="Degressed"/>
        <s v="FIT III"/>
        <s v="FIT III - degressed"/>
        <s v="FIT IV"/>
      </sharedItems>
    </cacheField>
    <cacheField name="Count" numFmtId="0">
      <sharedItems containsString="0" containsBlank="1" containsNumber="1" containsInteger="1" minValue="1" maxValue="179"/>
    </cacheField>
    <cacheField name="RE Developer" numFmtId="0">
      <sharedItems containsBlank="1"/>
    </cacheField>
    <cacheField name="RE Plant" numFmtId="0">
      <sharedItems containsBlank="1"/>
    </cacheField>
    <cacheField name="Location" numFmtId="0">
      <sharedItems containsBlank="1"/>
    </cacheField>
    <cacheField name="Installed Capacity as per COC (MW) " numFmtId="0">
      <sharedItems containsString="0" containsBlank="1" containsNumber="1" minValue="0.3" maxValue="212909.78700000001"/>
    </cacheField>
    <cacheField name="Installed Capacity as per COE (MW) " numFmtId="0">
      <sharedItems containsString="0" containsBlank="1" containsNumber="1" minValue="0.3" maxValue="212934.63200000004"/>
    </cacheField>
    <cacheField name="Subscribed FIT Capacity as per COE (MW)" numFmtId="0">
      <sharedItems containsString="0" containsBlank="1" containsNumber="1" minValue="0.3" maxValue="258039.538"/>
    </cacheField>
    <cacheField name="0" numFmtId="0">
      <sharedItems containsNonDate="0" containsDate="1" containsString="0" containsBlank="1" minDate="2014-06-04T00:00:00" maxDate="2019-01-20T00:00:00"/>
    </cacheField>
    <cacheField name="COD per COE" numFmtId="0">
      <sharedItems containsDate="1" containsString="0" containsBlank="1" containsMixedTypes="1" minDate="2008-09-26T00:00:00" maxDate="1900-01-08T00:43:04"/>
    </cacheField>
    <cacheField name="Start of FIT Elibility per COC" numFmtId="0">
      <sharedItems containsNonDate="0" containsDate="1" containsString="0" containsBlank="1" minDate="2012-04-30T00:00:00" maxDate="2026-04-03T00:00:00"/>
    </cacheField>
    <cacheField name="FIT End Term per COC" numFmtId="0">
      <sharedItems containsDate="1" containsString="0" containsBlank="1" containsMixedTypes="1" minDate="2025-06-04T00:00:00" maxDate="2046-04-02T00:00:00"/>
    </cacheField>
    <cacheField name="FIT Term_x000a_(Years)" numFmtId="0">
      <sharedItems containsString="0" containsBlank="1" containsNumber="1" containsInteger="1" minValue="10" maxValue="21"/>
    </cacheField>
    <cacheField name="FIT Eligibility Period per COC" numFmtId="0">
      <sharedItems containsBlank="1"/>
    </cacheField>
    <cacheField name="COC Date Approved" numFmtId="0">
      <sharedItems containsDate="1" containsBlank="1" containsMixedTypes="1" minDate="2015-02-09T00:00:00" maxDate="2026-05-19T00:00:00"/>
    </cacheField>
    <cacheField name="First FIT Adjustment " numFmtId="0">
      <sharedItems containsNonDate="0" containsDate="1" containsString="0" containsBlank="1" minDate="2016-01-01T00:00:00" maxDate="2018-11-21T00:00:00"/>
    </cacheField>
    <cacheField name="Original FIT Rate" numFmtId="0">
      <sharedItems containsString="0" containsBlank="1" containsNumber="1" minValue="5.6715" maxValue="9.68" count="18">
        <n v="9.68"/>
        <m/>
        <n v="8.69"/>
        <n v="8.5299999999999994"/>
        <n v="7.4"/>
        <n v="5.96"/>
        <n v="6.63"/>
        <n v="6.5968999999999998"/>
        <n v="6.19"/>
        <n v="5.9"/>
        <n v="5.8704999999999998"/>
        <n v="5.6715"/>
        <n v="6.1109999999999998"/>
        <n v="6.0804450000000001"/>
        <n v="6.05"/>
        <n v="6.0198"/>
        <n v="5.9897"/>
        <n v="6.9282000000000004"/>
      </sharedItems>
    </cacheField>
    <cacheField name="Remarks" numFmtId="0">
      <sharedItems containsBlank="1" longText="1"/>
    </cacheField>
    <cacheField name="Status" numFmtId="0">
      <sharedItems containsBlank="1" count="11">
        <s v="Active"/>
        <s v="Expired PAO; Ongoing renewal of PAO application"/>
        <m/>
        <s v="Converted to Non-FIT"/>
        <s v="Shutdown"/>
        <s v="Expired PAO"/>
        <s v="Expired COC-FIT"/>
        <s v="No issuance of COC / PAO Yet"/>
        <s v="Active with conditions"/>
        <s v="with COE only" u="1"/>
        <s v="Expired PAO-FIT"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216.753173495374" createdVersion="8" refreshedVersion="8" minRefreshableVersion="3" recordCount="135" xr:uid="{E8AFADB9-3951-48E1-BC2A-D26995616F5D}">
  <cacheSource type="worksheet">
    <worksheetSource name="Table1"/>
  </cacheSource>
  <cacheFields count="25">
    <cacheField name="Island" numFmtId="0">
      <sharedItems containsBlank="1" count="4">
        <s v="Luzon"/>
        <s v="Visayas"/>
        <m/>
        <s v="Mindanao"/>
      </sharedItems>
    </cacheField>
    <cacheField name="RE Resources" numFmtId="0">
      <sharedItems containsBlank="1" count="5">
        <s v="SOLAR"/>
        <m/>
        <s v="WIND"/>
        <s v="BIOMASS"/>
        <s v="HYDRO"/>
      </sharedItems>
    </cacheField>
    <cacheField name="FIT" numFmtId="0">
      <sharedItems containsBlank="1" count="8">
        <s v="FIT I"/>
        <m/>
        <s v="FIT II"/>
        <s v="Special FIT"/>
        <s v="Degressed"/>
        <s v="FIT III"/>
        <s v="FIT III - degressed"/>
        <s v="FIT IV"/>
      </sharedItems>
    </cacheField>
    <cacheField name="Count" numFmtId="0">
      <sharedItems containsString="0" containsBlank="1" containsNumber="1" containsInteger="1" minValue="1" maxValue="179"/>
    </cacheField>
    <cacheField name="RE Developer" numFmtId="0">
      <sharedItems containsBlank="1"/>
    </cacheField>
    <cacheField name="RE Plant" numFmtId="0">
      <sharedItems containsBlank="1"/>
    </cacheField>
    <cacheField name="Location" numFmtId="0">
      <sharedItems containsBlank="1"/>
    </cacheField>
    <cacheField name="Installed Capacity as per COC (MW) " numFmtId="0">
      <sharedItems containsString="0" containsBlank="1" containsNumber="1" minValue="0.3" maxValue="212909.78700000001"/>
    </cacheField>
    <cacheField name="Installed Capacity as per COE (MW) " numFmtId="0">
      <sharedItems containsString="0" containsBlank="1" containsNumber="1" minValue="0.3" maxValue="212934.63200000004"/>
    </cacheField>
    <cacheField name="Subscribed FIT Capacity as per COE (MW)" numFmtId="0">
      <sharedItems containsString="0" containsBlank="1" containsNumber="1" minValue="0.3" maxValue="212921.40199999997"/>
    </cacheField>
    <cacheField name="0" numFmtId="0">
      <sharedItems containsNonDate="0" containsDate="1" containsString="0" containsBlank="1" minDate="2014-06-04T00:00:00" maxDate="2019-01-20T00:00:00"/>
    </cacheField>
    <cacheField name="COD per COE" numFmtId="0">
      <sharedItems containsNonDate="0" containsDate="1" containsString="0" containsBlank="1" minDate="2008-09-26T00:00:00" maxDate="2026-04-03T00:00:00"/>
    </cacheField>
    <cacheField name="Start of FIT Elibility per COC" numFmtId="0">
      <sharedItems containsNonDate="0" containsDate="1" containsString="0" containsBlank="1" minDate="2012-04-30T00:00:00" maxDate="2026-04-03T00:00:00"/>
    </cacheField>
    <cacheField name="FIT End Term per COC" numFmtId="0">
      <sharedItems containsDate="1" containsString="0" containsBlank="1" containsMixedTypes="1" minDate="2025-06-04T00:00:00" maxDate="2046-04-02T00:00:00"/>
    </cacheField>
    <cacheField name="FIT Term_x000a_(Years)" numFmtId="0">
      <sharedItems containsString="0" containsBlank="1" containsNumber="1" containsInteger="1" minValue="10" maxValue="21"/>
    </cacheField>
    <cacheField name="FIT Eligibility Period per COC" numFmtId="0">
      <sharedItems containsBlank="1"/>
    </cacheField>
    <cacheField name="COC Date Approved" numFmtId="0">
      <sharedItems containsDate="1" containsBlank="1" containsMixedTypes="1" minDate="2015-02-09T00:00:00" maxDate="2026-05-19T00:00:00"/>
    </cacheField>
    <cacheField name="First FIT Adjustment " numFmtId="0">
      <sharedItems containsNonDate="0" containsDate="1" containsString="0" containsBlank="1" minDate="2016-01-01T00:00:00" maxDate="2018-11-21T00:00:00"/>
    </cacheField>
    <cacheField name="Original FIT Rate" numFmtId="0">
      <sharedItems containsString="0" containsBlank="1" containsNumber="1" minValue="5.6715" maxValue="9.68"/>
    </cacheField>
    <cacheField name="Remarks" numFmtId="0">
      <sharedItems containsBlank="1" longText="1"/>
    </cacheField>
    <cacheField name="Status" numFmtId="0">
      <sharedItems containsBlank="1" count="15">
        <s v="Active"/>
        <s v="Expired PAO; Ongoing renewal of PAO application"/>
        <m/>
        <s v="Converted to Non-FIT"/>
        <s v="Shutdown"/>
        <s v="Expired PAO"/>
        <s v="Expired COC-FIT"/>
        <s v="No issuance of COC / PAO Yet"/>
        <s v="Active with conditions"/>
        <s v="with COE only" u="1"/>
        <s v="Expired PAO-FIT" u="1"/>
        <s v="Not Operational/Shutdown" u="1"/>
        <s v="Expired COC; Ongoing PAO application" u="1"/>
        <s v="No Report (Shutdown)/ No COC Renewal Application" u="1"/>
        <s v="Not Operational" u="1"/>
      </sharedItems>
    </cacheField>
    <cacheField name="TransCo Plant Name" numFmtId="0">
      <sharedItems containsBlank="1"/>
    </cacheField>
    <cacheField name="Column2" numFmtId="14">
      <sharedItems containsDate="1" containsBlank="1" containsMixedTypes="1" minDate="1899-12-30T00:00:00" maxDate="2024-10-23T00:00:00"/>
    </cacheField>
    <cacheField name="Column3" numFmtId="43">
      <sharedItems containsBlank="1" containsMixedTypes="1" containsNumber="1" containsInteger="1" minValue="-43812" maxValue="4562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9">
  <r>
    <x v="0"/>
    <x v="0"/>
    <x v="0"/>
    <n v="1"/>
    <s v="Cotabato Sugar Central Company, Inc."/>
    <s v="10-MW Biomass Cogeneration Plant"/>
    <s v="North Cotabato "/>
    <s v="Cotabato"/>
    <m/>
    <n v="3.4"/>
    <n v="5.0796999999999999"/>
    <x v="0"/>
    <d v="2023-11-26T00:00:00"/>
    <m/>
    <m/>
    <m/>
    <d v="2024-02-20T00:00:00"/>
    <m/>
    <m/>
    <m/>
    <m/>
    <s v="-"/>
    <m/>
    <m/>
    <m/>
    <d v="1900-12-29T00:00:00"/>
    <s v="-"/>
    <s v=" For issuance of COE-GET under GEA-1"/>
    <m/>
    <m/>
    <m/>
    <m/>
    <m/>
    <m/>
  </r>
  <r>
    <x v="1"/>
    <x v="1"/>
    <x v="0"/>
    <n v="2"/>
    <s v="Cordillera Hydroelectric Power Corporation"/>
    <s v="Kapangan Hydroelectric Power Project"/>
    <s v="Kapangan and Kibungan, Benguet "/>
    <s v="Benguet"/>
    <m/>
    <n v="60"/>
    <n v="5.4912999999999998"/>
    <x v="1"/>
    <d v="2025-12-25T00:00:00"/>
    <m/>
    <m/>
    <m/>
    <m/>
    <m/>
    <m/>
    <m/>
    <m/>
    <s v="-"/>
    <m/>
    <m/>
    <m/>
    <d v="1900-12-29T00:00:00"/>
    <s v="-"/>
    <m/>
    <m/>
    <m/>
    <m/>
    <m/>
    <m/>
    <m/>
  </r>
  <r>
    <x v="1"/>
    <x v="1"/>
    <x v="0"/>
    <n v="3"/>
    <s v="Hedcor, Inc."/>
    <s v="Sablan 1 Hydroelectric Power Project"/>
    <s v="Sablan and La Trinidad, Benguet "/>
    <s v="Benguet"/>
    <m/>
    <n v="20"/>
    <n v="5.4912999999999998"/>
    <x v="2"/>
    <d v="2025-11-26T00:00:00"/>
    <m/>
    <m/>
    <m/>
    <m/>
    <m/>
    <m/>
    <m/>
    <m/>
    <s v="-"/>
    <m/>
    <m/>
    <m/>
    <d v="1900-12-29T00:00:00"/>
    <s v="-"/>
    <m/>
    <m/>
    <m/>
    <m/>
    <m/>
    <m/>
    <m/>
  </r>
  <r>
    <x v="0"/>
    <x v="1"/>
    <x v="0"/>
    <n v="4"/>
    <s v="Philnewriver Power Corporation"/>
    <s v="Malitbog Hydroelectric Power Project"/>
    <s v="Malitbog, Bukidnon"/>
    <s v="Bukidnon"/>
    <m/>
    <n v="3.7"/>
    <n v="5.4912999999999998"/>
    <x v="3"/>
    <d v="2025-11-30T00:00:00"/>
    <m/>
    <m/>
    <m/>
    <m/>
    <m/>
    <m/>
    <m/>
    <m/>
    <s v="-"/>
    <m/>
    <m/>
    <m/>
    <d v="1900-12-29T00:00:00"/>
    <s v="-"/>
    <m/>
    <m/>
    <m/>
    <m/>
    <m/>
    <m/>
    <m/>
  </r>
  <r>
    <x v="0"/>
    <x v="1"/>
    <x v="0"/>
    <n v="5"/>
    <s v="Philnewriver Power Corporation"/>
    <s v="Silo-O Hydroelectric Power Project"/>
    <s v="Malitbog, Bukidnon "/>
    <s v="Bukidnon"/>
    <m/>
    <n v="3.7"/>
    <n v="5.4912999999999998"/>
    <x v="3"/>
    <d v="2025-11-30T00:00:00"/>
    <m/>
    <m/>
    <m/>
    <m/>
    <m/>
    <m/>
    <m/>
    <m/>
    <s v="-"/>
    <m/>
    <m/>
    <m/>
    <d v="1900-12-29T00:00:00"/>
    <s v="-"/>
    <m/>
    <m/>
    <m/>
    <m/>
    <m/>
    <m/>
    <m/>
  </r>
  <r>
    <x v="0"/>
    <x v="1"/>
    <x v="0"/>
    <n v="6"/>
    <s v="Philnew Hydro Power Corporation"/>
    <s v="Mat-I 1 Hydroelectric Power Project"/>
    <s v="Claveria, Cagayan de Oro "/>
    <s v="Surigao del Norte"/>
    <m/>
    <n v="4.8499999999999996"/>
    <n v="5.4912999999999998"/>
    <x v="3"/>
    <d v="2025-11-30T00:00:00"/>
    <m/>
    <m/>
    <m/>
    <m/>
    <m/>
    <m/>
    <m/>
    <m/>
    <s v="-"/>
    <m/>
    <m/>
    <m/>
    <d v="1900-12-29T00:00:00"/>
    <s v="-"/>
    <m/>
    <m/>
    <m/>
    <m/>
    <m/>
    <m/>
    <m/>
  </r>
  <r>
    <x v="0"/>
    <x v="1"/>
    <x v="0"/>
    <n v="7"/>
    <s v="Philnew Hydro Power Corporation"/>
    <s v="Clarin Hydroelectric Power Project"/>
    <s v="Clarin, Misamis Occidental "/>
    <s v="Misamis Occidental"/>
    <m/>
    <n v="6.9"/>
    <n v="5.4912999999999998"/>
    <x v="3"/>
    <d v="2025-11-30T00:00:00"/>
    <m/>
    <m/>
    <m/>
    <m/>
    <m/>
    <m/>
    <m/>
    <m/>
    <s v="-"/>
    <m/>
    <m/>
    <m/>
    <d v="1900-12-29T00:00:00"/>
    <s v="-"/>
    <m/>
    <m/>
    <m/>
    <m/>
    <m/>
    <m/>
    <m/>
  </r>
  <r>
    <x v="1"/>
    <x v="2"/>
    <x v="0"/>
    <n v="8"/>
    <s v="PAVI Green Renewable Energy, Inc."/>
    <s v="PAVI Green Naga Solar Power Plant Project"/>
    <s v="Naga City, Camarines Sur "/>
    <s v="Camarines Sur"/>
    <m/>
    <n v="40.4"/>
    <n v="3.6779000000000002"/>
    <x v="4"/>
    <d v="2024-12-26T00:00:00"/>
    <m/>
    <m/>
    <m/>
    <m/>
    <m/>
    <m/>
    <m/>
    <m/>
    <s v=""/>
    <m/>
    <m/>
    <m/>
    <d v="1900-12-29T00:00:00"/>
    <s v=""/>
    <m/>
    <m/>
    <m/>
    <m/>
    <m/>
    <m/>
    <m/>
  </r>
  <r>
    <x v="1"/>
    <x v="2"/>
    <x v="0"/>
    <n v="9"/>
    <s v="Greenergy Solutions Inc."/>
    <s v="Talugtug Solar Power Project"/>
    <s v="Talugtug, Nueva Ecija "/>
    <s v="Nueva Ecija"/>
    <m/>
    <n v="99.98"/>
    <n v="3.6779000000000002"/>
    <x v="5"/>
    <d v="2025-03-01T00:00:00"/>
    <m/>
    <m/>
    <m/>
    <m/>
    <m/>
    <m/>
    <m/>
    <m/>
    <s v=""/>
    <m/>
    <m/>
    <m/>
    <d v="1900-12-29T00:00:00"/>
    <s v=""/>
    <m/>
    <m/>
    <m/>
    <m/>
    <m/>
    <m/>
    <m/>
  </r>
  <r>
    <x v="1"/>
    <x v="2"/>
    <x v="0"/>
    <n v="10"/>
    <s v="Solar Philippines Commercial Rooftop Projects, Inc."/>
    <s v="Concepcion Tarlac 2 Solar Power Project"/>
    <s v="Concepcion and Tarlac City, Tarlac "/>
    <s v="Tarlac"/>
    <m/>
    <n v="200"/>
    <n v="3.6779000000000002"/>
    <x v="6"/>
    <d v="2025-12-25T00:00:00"/>
    <m/>
    <m/>
    <m/>
    <m/>
    <m/>
    <m/>
    <m/>
    <m/>
    <s v="-"/>
    <m/>
    <m/>
    <m/>
    <d v="1900-12-29T00:00:00"/>
    <s v="-"/>
    <m/>
    <m/>
    <m/>
    <m/>
    <m/>
    <m/>
    <m/>
  </r>
  <r>
    <x v="1"/>
    <x v="2"/>
    <x v="0"/>
    <n v="11"/>
    <s v="Solar Philippines Nueva Ecija Corporation"/>
    <s v="Santa Rosa Nueva Ecija 2 Solar Power Project"/>
    <s v="Penaranda, Nueva Ecija "/>
    <s v="Nueva Ecija"/>
    <m/>
    <n v="280"/>
    <n v="3.6779000000000002"/>
    <x v="6"/>
    <d v="2025-12-25T00:00:00"/>
    <m/>
    <m/>
    <m/>
    <m/>
    <m/>
    <m/>
    <m/>
    <m/>
    <s v="-"/>
    <m/>
    <m/>
    <m/>
    <d v="1900-12-29T00:00:00"/>
    <s v="-"/>
    <m/>
    <m/>
    <m/>
    <m/>
    <m/>
    <m/>
    <m/>
  </r>
  <r>
    <x v="1"/>
    <x v="2"/>
    <x v="0"/>
    <n v="12"/>
    <s v="Solar Philippines Commercial Rooftop Projects, Inc."/>
    <s v="Tayabas Solar Power Project"/>
    <s v="Tayabas, Pagbilao "/>
    <s v="Quezon"/>
    <m/>
    <n v="450"/>
    <n v="3.6779000000000002"/>
    <x v="6"/>
    <d v="2025-12-25T00:00:00"/>
    <m/>
    <m/>
    <m/>
    <m/>
    <m/>
    <m/>
    <m/>
    <m/>
    <s v="-"/>
    <m/>
    <m/>
    <m/>
    <d v="1900-12-29T00:00:00"/>
    <s v="-"/>
    <m/>
    <m/>
    <m/>
    <m/>
    <m/>
    <m/>
    <m/>
  </r>
  <r>
    <x v="0"/>
    <x v="2"/>
    <x v="0"/>
    <n v="13"/>
    <s v="Solar Philippines Commercial Rooftop Projects, Inc."/>
    <s v="General Santos Solar Power Project"/>
    <s v="General Santos City, South Cotabato "/>
    <s v="South Cotabato"/>
    <m/>
    <n v="120"/>
    <n v="3.6779000000000002"/>
    <x v="7"/>
    <d v="2025-12-25T00:00:00"/>
    <m/>
    <m/>
    <m/>
    <m/>
    <m/>
    <m/>
    <m/>
    <m/>
    <s v="-"/>
    <m/>
    <m/>
    <m/>
    <d v="1900-12-29T00:00:00"/>
    <s v="-"/>
    <m/>
    <m/>
    <m/>
    <m/>
    <m/>
    <m/>
    <m/>
  </r>
  <r>
    <x v="2"/>
    <x v="2"/>
    <x v="0"/>
    <n v="14"/>
    <s v="Solar Philippines Visayas Corporation"/>
    <s v="Kananga-Ormoc Solar Power Project"/>
    <s v="Kananga and Ormoc City, Leyte "/>
    <s v="Leyte"/>
    <m/>
    <n v="300"/>
    <n v="3.6779000000000002"/>
    <x v="7"/>
    <d v="2025-12-25T00:00:00"/>
    <m/>
    <m/>
    <m/>
    <m/>
    <m/>
    <m/>
    <m/>
    <m/>
    <s v="-"/>
    <m/>
    <m/>
    <m/>
    <d v="1900-12-29T00:00:00"/>
    <s v="-"/>
    <m/>
    <m/>
    <m/>
    <m/>
    <m/>
    <m/>
    <m/>
  </r>
  <r>
    <x v="1"/>
    <x v="3"/>
    <x v="0"/>
    <n v="15"/>
    <s v="Amihan Renewable Energy Corp."/>
    <s v="Caparispisan II Wind Power Project"/>
    <s v="Pagudpud, Ilocos Norte "/>
    <s v=" Ilocos Norte"/>
    <m/>
    <n v="70"/>
    <n v="6.0583999999999998"/>
    <x v="8"/>
    <d v="2025-12-24T00:00:00"/>
    <m/>
    <m/>
    <m/>
    <m/>
    <m/>
    <m/>
    <m/>
    <s v="PAO"/>
    <s v="25-07-30-M-PAO-N-0484L"/>
    <m/>
    <d v="2025-07-30T00:00:00"/>
    <d v="2025-07-30T00:00:00"/>
    <d v="2026-07-29T00:00:00"/>
    <n v="50000"/>
    <m/>
    <m/>
    <m/>
    <m/>
    <m/>
    <m/>
    <m/>
  </r>
  <r>
    <x v="1"/>
    <x v="3"/>
    <x v="0"/>
    <n v="16"/>
    <s v="Solar Philippines Calatagan Corporation"/>
    <s v="Calatagan Wind Power Project"/>
    <s v="Calatagan, Lian, Batangas "/>
    <s v="Batangas"/>
    <m/>
    <n v="30"/>
    <n v="6.0583999999999998"/>
    <x v="9"/>
    <d v="2025-12-25T00:00:00"/>
    <m/>
    <m/>
    <m/>
    <m/>
    <m/>
    <m/>
    <m/>
    <m/>
    <s v="-"/>
    <m/>
    <m/>
    <m/>
    <d v="1900-12-29T00:00:00"/>
    <s v="-"/>
    <m/>
    <m/>
    <m/>
    <m/>
    <m/>
    <m/>
    <m/>
  </r>
  <r>
    <x v="1"/>
    <x v="3"/>
    <x v="0"/>
    <n v="17"/>
    <s v="Bayog Wind Power Corp."/>
    <s v="Balaoi and Caunayan Wind Power Project"/>
    <s v="Pagudpud, Ilocos Norte "/>
    <s v=" Ilocos Norte"/>
    <m/>
    <n v="160"/>
    <n v="6.0583999999999998"/>
    <x v="10"/>
    <d v="2025-12-24T00:00:00"/>
    <m/>
    <m/>
    <m/>
    <m/>
    <m/>
    <m/>
    <m/>
    <s v="PAO"/>
    <s v=" 25-08-05-M-PAO-N-0487L"/>
    <m/>
    <d v="2025-08-05T00:00:00"/>
    <d v="2025-08-05T00:00:00"/>
    <d v="2026-08-04T00:00:00"/>
    <n v="25000"/>
    <s v="With approved PAO on 05 August 2025, valid until 04 August 2026"/>
    <m/>
    <m/>
    <m/>
    <m/>
    <m/>
    <m/>
  </r>
  <r>
    <x v="1"/>
    <x v="3"/>
    <x v="0"/>
    <n v="18"/>
    <s v="CleanTech Global Renewables, Inc."/>
    <s v="Kalayaan 2 Wind Power Project"/>
    <s v="Paete, Kalayaan, Pakil, Mauban, Laguna and Quezon"/>
    <s v="Laguna"/>
    <m/>
    <n v="100.8"/>
    <n v="6.0583999999999998"/>
    <x v="11"/>
    <d v="2025-09-01T00:00:00"/>
    <m/>
    <m/>
    <m/>
    <m/>
    <s v="Disqualified bid"/>
    <m/>
    <m/>
    <m/>
    <s v=""/>
    <m/>
    <m/>
    <m/>
    <d v="1900-12-29T00:00:00"/>
    <s v=""/>
    <m/>
    <m/>
    <m/>
    <m/>
    <m/>
    <m/>
    <m/>
  </r>
  <r>
    <x v="2"/>
    <x v="3"/>
    <x v="0"/>
    <n v="19"/>
    <s v="PetroWind Energy, Inc."/>
    <s v="Nabas 2 Wind Power Project"/>
    <s v="Nabas, Malay, Aklan "/>
    <s v="Aklan"/>
    <m/>
    <n v="13.2"/>
    <n v="6.0583999999999998"/>
    <x v="12"/>
    <d v="2025-05-25T00:00:00"/>
    <m/>
    <m/>
    <m/>
    <m/>
    <m/>
    <m/>
    <m/>
    <s v="PAO"/>
    <s v="26-05-21-M-PAO-N-0581V"/>
    <m/>
    <d v="2026-05-21T00:00:00"/>
    <d v="2026-05-21T00:00:00"/>
    <d v="2027-05-20T00:00:00"/>
    <n v="13560"/>
    <m/>
    <m/>
    <m/>
    <m/>
    <m/>
    <m/>
    <m/>
  </r>
  <r>
    <x v="1"/>
    <x v="4"/>
    <x v="1"/>
    <n v="20"/>
    <s v="Nuevasol Energy Corp."/>
    <s v="Bongabon Solar Power Project"/>
    <m/>
    <s v="Nueva Ecija"/>
    <n v="42936"/>
    <n v="30.933"/>
    <n v="4.4043000000000001"/>
    <x v="13"/>
    <d v="2024-12-31T00:00:00"/>
    <d v="2024-12-31T00:00:00"/>
    <d v="2024-12-31T00:00:00"/>
    <m/>
    <d v="2025-03-03T00:00:00"/>
    <m/>
    <s v="S-2025-02-001"/>
    <d v="2025-03-14T00:00:00"/>
    <s v="PAO"/>
    <s v="25-03-03-M-PAO-N-0409L"/>
    <m/>
    <d v="2025-03-03T00:00:00"/>
    <d v="2025-03-03T00:00:00"/>
    <d v="2026-03-02T00:00:00"/>
    <n v="42936"/>
    <m/>
    <s v="1001"/>
    <s v="Effective"/>
    <d v="2025-03-03T00:00:00"/>
    <d v="2025-07-05T00:00:00"/>
    <s v="5/16/2025"/>
    <m/>
  </r>
  <r>
    <x v="1"/>
    <x v="4"/>
    <x v="1"/>
    <n v="21"/>
    <s v="Megasol Energy I Inc."/>
    <s v="Gamu Solar Power Project"/>
    <m/>
    <s v="Isabela"/>
    <n v="56578"/>
    <n v="41.244"/>
    <n v="4.4043000000000001"/>
    <x v="13"/>
    <d v="2024-12-31T00:00:00"/>
    <d v="2025-02-01T00:00:00"/>
    <m/>
    <m/>
    <d v="2025-11-03T00:00:00"/>
    <m/>
    <s v="S-2025-02-002"/>
    <d v="2025-04-03T00:00:00"/>
    <s v="COC"/>
    <s v="25-03-M-00334L"/>
    <m/>
    <d v="2025-03-11T00:00:00"/>
    <d v="2026-03-11T00:00:00"/>
    <d v="2027-03-10T00:00:00"/>
    <n v="56578"/>
    <m/>
    <n v="1002"/>
    <s v="Effective"/>
    <d v="2025-11-03T00:00:00"/>
    <d v="2025-07-05T00:00:00"/>
    <s v="5/16/2025"/>
    <m/>
  </r>
  <r>
    <x v="1"/>
    <x v="4"/>
    <x v="1"/>
    <n v="22"/>
    <s v="Citicore Solar Tarlac 2, Inc."/>
    <s v="Dalayap Solar Power Project"/>
    <m/>
    <s v="Tarlac"/>
    <n v="7000"/>
    <n v="5.88"/>
    <n v="4.4043000000000001"/>
    <x v="14"/>
    <d v="2024-12-26T00:00:00"/>
    <d v="2024-12-26T00:00:00"/>
    <m/>
    <m/>
    <d v="2016-02-19T00:00:00"/>
    <m/>
    <s v="S-2025-05-003"/>
    <m/>
    <s v="PAO"/>
    <s v="25-06-02-M-PAO-E-0459L"/>
    <m/>
    <d v="2025-06-02T00:00:00"/>
    <d v="2025-06-02T00:00:00"/>
    <d v="2026-06-01T00:00:00"/>
    <n v="7479"/>
    <s v="Existing Facility"/>
    <s v="1003"/>
    <s v="Effective"/>
    <d v="2024-12-26T00:00:00"/>
    <d v="2025-07-18T00:00:00"/>
    <s v="8/20/2025"/>
    <m/>
  </r>
  <r>
    <x v="1"/>
    <x v="4"/>
    <x v="1"/>
    <n v="23"/>
    <s v="Citicore Solar Tarlac 1, Inc."/>
    <s v="Armenia Solar Power Project"/>
    <m/>
    <s v="Tarlac"/>
    <n v="8840"/>
    <n v="7.1"/>
    <n v="4.4043000000000001"/>
    <x v="14"/>
    <d v="2024-12-26T00:00:00"/>
    <d v="2024-12-26T00:00:00"/>
    <m/>
    <m/>
    <d v="2016-02-19T00:00:00"/>
    <m/>
    <s v="S-2025-05-004"/>
    <m/>
    <s v="PAO"/>
    <s v="25-06-02-M-PAO-E-0461L"/>
    <m/>
    <d v="2025-06-02T00:00:00"/>
    <d v="2025-06-02T00:00:00"/>
    <d v="2026-06-01T00:00:00"/>
    <n v="8836"/>
    <s v="Existing Facility"/>
    <s v="1004"/>
    <s v="Effective"/>
    <d v="2024-12-26T00:00:00"/>
    <d v="2025-07-18T00:00:00"/>
    <s v="8/20/2025"/>
    <m/>
  </r>
  <r>
    <x v="1"/>
    <x v="4"/>
    <x v="1"/>
    <n v="24"/>
    <s v="Greencore Power Solution 2, Inc."/>
    <s v="Tuy 4 Batangas Solar Power Project"/>
    <m/>
    <s v="Batangas"/>
    <m/>
    <n v="50"/>
    <n v="4.4043000000000001"/>
    <x v="14"/>
    <d v="2024-12-26T00:00:00"/>
    <m/>
    <m/>
    <m/>
    <m/>
    <m/>
    <m/>
    <m/>
    <m/>
    <s v="-"/>
    <m/>
    <m/>
    <m/>
    <d v="1900-12-29T00:00:00"/>
    <s v="-"/>
    <m/>
    <m/>
    <m/>
    <m/>
    <m/>
    <m/>
    <m/>
  </r>
  <r>
    <x v="1"/>
    <x v="4"/>
    <x v="1"/>
    <n v="25"/>
    <s v="Greencore Power Solution 2,"/>
    <s v="Bolbok 2 Solar Power Project "/>
    <m/>
    <s v="Pampanga"/>
    <m/>
    <n v="75"/>
    <n v="4.4043000000000001"/>
    <x v="14"/>
    <d v="2024-12-26T00:00:00"/>
    <m/>
    <m/>
    <m/>
    <m/>
    <m/>
    <m/>
    <m/>
    <m/>
    <s v=""/>
    <m/>
    <m/>
    <m/>
    <d v="1900-12-29T00:00:00"/>
    <s v=""/>
    <m/>
    <m/>
    <m/>
    <m/>
    <m/>
    <m/>
    <m/>
  </r>
  <r>
    <x v="1"/>
    <x v="4"/>
    <x v="1"/>
    <n v="26"/>
    <s v="Citicore Solar Pampanga 1, Inc."/>
    <s v="Arayat 3A Solar Power Project"/>
    <m/>
    <s v="Pampanga"/>
    <n v="42041"/>
    <n v="30"/>
    <n v="4.4043000000000001"/>
    <x v="14"/>
    <d v="2024-12-26T00:00:00"/>
    <d v="2026-05-31T00:00:00"/>
    <m/>
    <m/>
    <m/>
    <s v="ongoing issuance of COE-GET 4/30"/>
    <m/>
    <m/>
    <s v="PAO"/>
    <s v="26-02-10-M-PAO-N-0559L"/>
    <d v="2026-04-13T00:00:00"/>
    <d v="2026-04-16T00:00:00"/>
    <d v="2026-04-13T00:00:00"/>
    <d v="2027-04-09T00:00:00"/>
    <n v="42041"/>
    <m/>
    <s v="1011"/>
    <s v="not yet effective"/>
    <m/>
    <m/>
    <m/>
    <s v="not yet billing"/>
  </r>
  <r>
    <x v="1"/>
    <x v="4"/>
    <x v="1"/>
    <n v="27"/>
    <s v="Citicore Solar Quezon, Inc."/>
    <s v="Pagbilao 1 Solar Power Project"/>
    <m/>
    <s v="Pagbilao"/>
    <m/>
    <n v="70.5"/>
    <n v="4.4043000000000001"/>
    <x v="14"/>
    <d v="2024-12-26T00:00:00"/>
    <m/>
    <m/>
    <m/>
    <m/>
    <m/>
    <m/>
    <m/>
    <m/>
    <s v="-"/>
    <m/>
    <m/>
    <m/>
    <d v="1900-12-29T00:00:00"/>
    <s v="-"/>
    <m/>
    <m/>
    <m/>
    <m/>
    <m/>
    <m/>
    <m/>
  </r>
  <r>
    <x v="1"/>
    <x v="4"/>
    <x v="1"/>
    <n v="28"/>
    <s v="Citicore Solar Quezon. Inc."/>
    <s v="Pagbilao 2 Solar Power Project"/>
    <m/>
    <s v="Pagbilao"/>
    <m/>
    <n v="27"/>
    <n v="4.4043000000000001"/>
    <x v="14"/>
    <d v="2024-12-26T00:00:00"/>
    <m/>
    <m/>
    <m/>
    <m/>
    <m/>
    <m/>
    <m/>
    <m/>
    <s v=""/>
    <m/>
    <m/>
    <m/>
    <d v="1900-12-29T00:00:00"/>
    <s v=""/>
    <m/>
    <m/>
    <m/>
    <m/>
    <m/>
    <m/>
    <m/>
  </r>
  <r>
    <x v="1"/>
    <x v="4"/>
    <x v="1"/>
    <n v="29"/>
    <s v="Citicore Solar Pangasinan, Inc."/>
    <s v="Sta. Barbara 1 Solar Power Project"/>
    <m/>
    <s v="Pangasinan"/>
    <m/>
    <n v="90"/>
    <n v="4.4043000000000001"/>
    <x v="14"/>
    <d v="2024-12-26T00:00:00"/>
    <m/>
    <m/>
    <m/>
    <m/>
    <m/>
    <m/>
    <m/>
    <m/>
    <s v="-"/>
    <m/>
    <m/>
    <m/>
    <d v="1900-12-29T00:00:00"/>
    <s v="-"/>
    <m/>
    <m/>
    <m/>
    <m/>
    <m/>
    <m/>
    <m/>
  </r>
  <r>
    <x v="1"/>
    <x v="4"/>
    <x v="1"/>
    <n v="30"/>
    <s v="Citicore Solar Pangasinan 2, Inc."/>
    <s v="San Manuel 1 Solar Power Project"/>
    <m/>
    <s v="Pangasinan"/>
    <m/>
    <n v="80.099999999999994"/>
    <n v="4.4043000000000001"/>
    <x v="14"/>
    <d v="2024-12-26T00:00:00"/>
    <m/>
    <m/>
    <m/>
    <m/>
    <m/>
    <m/>
    <m/>
    <m/>
    <s v="-"/>
    <m/>
    <m/>
    <m/>
    <d v="1900-12-29T00:00:00"/>
    <s v="-"/>
    <m/>
    <m/>
    <m/>
    <m/>
    <m/>
    <m/>
    <m/>
  </r>
  <r>
    <x v="1"/>
    <x v="5"/>
    <x v="1"/>
    <n v="31"/>
    <s v="Phinma Solar Energy Corporation"/>
    <s v="Warehouse No. B4 Geomax Compound Solar PV System"/>
    <m/>
    <s v="Metro Manila"/>
    <m/>
    <n v="0.18"/>
    <n v="4.8738000000000001"/>
    <x v="15"/>
    <d v="2024-12-13T00:00:00"/>
    <m/>
    <m/>
    <m/>
    <m/>
    <m/>
    <m/>
    <m/>
    <m/>
    <s v="-"/>
    <m/>
    <m/>
    <m/>
    <d v="1900-12-29T00:00:00"/>
    <s v="-"/>
    <m/>
    <m/>
    <m/>
    <m/>
    <m/>
    <m/>
    <m/>
  </r>
  <r>
    <x v="1"/>
    <x v="5"/>
    <x v="1"/>
    <n v="32"/>
    <s v="Phinma Solar Energy Corporation"/>
    <s v="Warehouse #3 C TEKNIK Compound Solar PV System"/>
    <m/>
    <s v="Metro Manila"/>
    <m/>
    <n v="0.13"/>
    <n v="4.8738000000000001"/>
    <x v="15"/>
    <d v="2024-12-14T00:00:00"/>
    <m/>
    <m/>
    <m/>
    <m/>
    <m/>
    <m/>
    <m/>
    <m/>
    <s v="-"/>
    <m/>
    <m/>
    <m/>
    <d v="1900-12-29T00:00:00"/>
    <s v="-"/>
    <m/>
    <m/>
    <m/>
    <m/>
    <m/>
    <m/>
    <m/>
  </r>
  <r>
    <x v="1"/>
    <x v="5"/>
    <x v="1"/>
    <n v="33"/>
    <s v="Phinma Solar Energy Corporation"/>
    <s v="Warehouse #5 C Teknik Compound Solar PV System"/>
    <m/>
    <s v="Metro Manila"/>
    <m/>
    <n v="0.13"/>
    <n v="4.8738000000000001"/>
    <x v="15"/>
    <d v="2024-12-14T00:00:00"/>
    <m/>
    <m/>
    <m/>
    <m/>
    <m/>
    <m/>
    <m/>
    <m/>
    <s v="-"/>
    <m/>
    <m/>
    <m/>
    <d v="1900-12-29T00:00:00"/>
    <s v="-"/>
    <m/>
    <m/>
    <m/>
    <m/>
    <m/>
    <m/>
    <m/>
  </r>
  <r>
    <x v="1"/>
    <x v="5"/>
    <x v="1"/>
    <n v="34"/>
    <s v="Phinma Solar Energy Corporation"/>
    <s v="Warehouse #4 C Teknik Compound Solar PV System"/>
    <m/>
    <s v="Metro Manila"/>
    <m/>
    <n v="0.13"/>
    <n v="4.8738000000000001"/>
    <x v="15"/>
    <d v="2024-12-14T00:00:00"/>
    <m/>
    <m/>
    <m/>
    <m/>
    <m/>
    <m/>
    <m/>
    <m/>
    <s v="-"/>
    <m/>
    <m/>
    <m/>
    <d v="1900-12-29T00:00:00"/>
    <s v="-"/>
    <m/>
    <m/>
    <m/>
    <m/>
    <m/>
    <m/>
    <m/>
  </r>
  <r>
    <x v="1"/>
    <x v="5"/>
    <x v="1"/>
    <n v="35"/>
    <s v="Phinma Solar Energy Corporation"/>
    <s v="Warehouse #6 C Teknik Compound Solar PV System"/>
    <m/>
    <s v="Metro Manila"/>
    <m/>
    <n v="0.13"/>
    <n v="4.8738000000000001"/>
    <x v="15"/>
    <d v="2024-12-14T00:00:00"/>
    <m/>
    <m/>
    <m/>
    <m/>
    <m/>
    <m/>
    <m/>
    <m/>
    <s v="-"/>
    <m/>
    <m/>
    <m/>
    <d v="1900-12-29T00:00:00"/>
    <s v="-"/>
    <m/>
    <m/>
    <m/>
    <m/>
    <m/>
    <m/>
    <m/>
  </r>
  <r>
    <x v="1"/>
    <x v="5"/>
    <x v="1"/>
    <n v="36"/>
    <s v="Phinma Solar Energy Corporation"/>
    <s v="Warehouse 81 C Teknik Compound Solar PV System"/>
    <m/>
    <s v="Metro Manila"/>
    <m/>
    <n v="0.06"/>
    <n v="4.8738000000000001"/>
    <x v="15"/>
    <d v="2024-12-14T00:00:00"/>
    <m/>
    <m/>
    <m/>
    <m/>
    <m/>
    <m/>
    <m/>
    <m/>
    <s v="-"/>
    <m/>
    <m/>
    <m/>
    <d v="1900-12-29T00:00:00"/>
    <s v="-"/>
    <m/>
    <m/>
    <m/>
    <m/>
    <m/>
    <m/>
    <m/>
  </r>
  <r>
    <x v="1"/>
    <x v="5"/>
    <x v="1"/>
    <n v="37"/>
    <s v="Phinma Solar Energy Corporation"/>
    <s v="Warehouse #18 C Teknik Compound Solar PV System"/>
    <m/>
    <s v="Metro Manila"/>
    <m/>
    <n v="0.15"/>
    <n v="4.8738000000000001"/>
    <x v="15"/>
    <d v="2024-12-14T00:00:00"/>
    <m/>
    <m/>
    <m/>
    <m/>
    <m/>
    <m/>
    <m/>
    <m/>
    <s v="-"/>
    <m/>
    <m/>
    <m/>
    <d v="1900-12-29T00:00:00"/>
    <s v="-"/>
    <m/>
    <m/>
    <m/>
    <m/>
    <m/>
    <m/>
    <m/>
  </r>
  <r>
    <x v="1"/>
    <x v="5"/>
    <x v="1"/>
    <n v="38"/>
    <s v="Phinma Solar Energy Corporation"/>
    <s v="Warehouse #19 C Teknik Compound Solar  PV System"/>
    <m/>
    <s v="Metro Manila"/>
    <m/>
    <n v="0.15"/>
    <n v="4.8738000000000001"/>
    <x v="15"/>
    <d v="2024-12-14T00:00:00"/>
    <m/>
    <m/>
    <m/>
    <m/>
    <m/>
    <m/>
    <m/>
    <m/>
    <s v="-"/>
    <m/>
    <m/>
    <m/>
    <d v="1900-12-29T00:00:00"/>
    <s v="-"/>
    <m/>
    <m/>
    <m/>
    <m/>
    <m/>
    <m/>
    <m/>
  </r>
  <r>
    <x v="1"/>
    <x v="5"/>
    <x v="1"/>
    <n v="39"/>
    <s v="Phinma Solar Energy Corporation"/>
    <s v="Warehouse #2 C Teknik Compound Solar PV System"/>
    <m/>
    <s v="Metro Manila"/>
    <m/>
    <n v="0.09"/>
    <n v="4.8738000000000001"/>
    <x v="15"/>
    <d v="2024-12-14T00:00:00"/>
    <m/>
    <m/>
    <m/>
    <m/>
    <m/>
    <m/>
    <m/>
    <m/>
    <s v="-"/>
    <m/>
    <m/>
    <m/>
    <d v="1900-12-29T00:00:00"/>
    <s v="-"/>
    <m/>
    <m/>
    <m/>
    <m/>
    <m/>
    <m/>
    <m/>
  </r>
  <r>
    <x v="1"/>
    <x v="4"/>
    <x v="1"/>
    <n v="40"/>
    <s v="Labrador Green Energy Corp."/>
    <s v="Labrador Solar Power Plant Project"/>
    <m/>
    <s v="Pangasinan"/>
    <m/>
    <n v="200"/>
    <n v="4.4043000000000001"/>
    <x v="16"/>
    <d v="2025-10-18T00:00:00"/>
    <m/>
    <m/>
    <m/>
    <m/>
    <m/>
    <m/>
    <m/>
    <m/>
    <s v="-"/>
    <m/>
    <m/>
    <m/>
    <d v="1900-12-29T00:00:00"/>
    <s v="-"/>
    <m/>
    <m/>
    <m/>
    <m/>
    <m/>
    <m/>
    <m/>
  </r>
  <r>
    <x v="1"/>
    <x v="4"/>
    <x v="1"/>
    <n v="41"/>
    <s v="Liberty Solar Energy Corporation"/>
    <s v="Apulid Solar Project"/>
    <m/>
    <s v="Tarlac"/>
    <m/>
    <n v="49.9"/>
    <n v="4.4043000000000001"/>
    <x v="17"/>
    <d v="2025-12-23T00:00:00"/>
    <m/>
    <m/>
    <m/>
    <m/>
    <m/>
    <m/>
    <m/>
    <m/>
    <s v=""/>
    <m/>
    <m/>
    <m/>
    <d v="1900-12-29T00:00:00"/>
    <s v=""/>
    <m/>
    <m/>
    <m/>
    <m/>
    <m/>
    <m/>
    <m/>
  </r>
  <r>
    <x v="1"/>
    <x v="4"/>
    <x v="1"/>
    <n v="42"/>
    <s v="Wyn Power Corporation"/>
    <s v="Development of 50 MW Ground Mounted Solar Power Plant"/>
    <m/>
    <s v="Batangas"/>
    <m/>
    <n v="50"/>
    <n v="4.4043000000000001"/>
    <x v="18"/>
    <d v="2025-12-14T00:00:00"/>
    <m/>
    <m/>
    <m/>
    <m/>
    <m/>
    <m/>
    <m/>
    <m/>
    <s v="-"/>
    <m/>
    <m/>
    <m/>
    <d v="1900-12-29T00:00:00"/>
    <s v="-"/>
    <m/>
    <m/>
    <m/>
    <m/>
    <m/>
    <m/>
    <m/>
  </r>
  <r>
    <x v="1"/>
    <x v="4"/>
    <x v="1"/>
    <n v="43"/>
    <s v="Solar Valley Energy  Solutions Inc"/>
    <s v="San Pablo Solar Power Project Phase 1"/>
    <m/>
    <s v="Laguna"/>
    <m/>
    <n v="49.4"/>
    <n v="4.4043000000000001"/>
    <x v="9"/>
    <d v="2025-12-01T00:00:00"/>
    <m/>
    <m/>
    <m/>
    <m/>
    <m/>
    <m/>
    <m/>
    <m/>
    <s v=""/>
    <m/>
    <m/>
    <m/>
    <d v="1900-12-29T00:00:00"/>
    <s v=""/>
    <m/>
    <m/>
    <m/>
    <m/>
    <m/>
    <m/>
    <m/>
  </r>
  <r>
    <x v="1"/>
    <x v="4"/>
    <x v="1"/>
    <n v="44"/>
    <s v="Greenergy For Global, Inc. Doing Business Under G4G"/>
    <s v="Cordon Solar Power Project"/>
    <m/>
    <s v="Isabela"/>
    <n v="63961"/>
    <n v="49"/>
    <n v="4.4043000000000001"/>
    <x v="19"/>
    <d v="2025-07-01T00:00:00"/>
    <d v="2025-07-01T00:00:00"/>
    <m/>
    <m/>
    <m/>
    <s v="with FCATC"/>
    <s v="S-2025-08-006"/>
    <m/>
    <s v="PAO"/>
    <s v="26-03-27-M-PAO-N-0569L"/>
    <d v="2026-03-27T00:00:00"/>
    <d v="2026-04-07T00:00:00"/>
    <d v="2026-03-27T00:00:00"/>
    <d v="2027-03-26T00:00:00"/>
    <n v="63961"/>
    <m/>
    <s v="1007"/>
    <s v="Effective"/>
    <m/>
    <m/>
    <m/>
    <m/>
  </r>
  <r>
    <x v="1"/>
    <x v="4"/>
    <x v="1"/>
    <n v="45"/>
    <s v="Greentech Solar Energy Inc."/>
    <s v="Bongabon Solar Power Project"/>
    <m/>
    <s v="Nueva Ecija"/>
    <m/>
    <n v="18.75"/>
    <n v="4.4043000000000001"/>
    <x v="20"/>
    <d v="2025-07-01T00:00:00"/>
    <d v="2025-07-01T00:00:00"/>
    <m/>
    <m/>
    <m/>
    <s v="with FCATC"/>
    <s v="S-2025-08-005"/>
    <m/>
    <s v="COC"/>
    <s v="25-10-M-00344L"/>
    <m/>
    <d v="2025-10-07T00:00:00"/>
    <d v="2025-10-07T00:00:00"/>
    <d v="2026-10-06T00:00:00"/>
    <n v="25537"/>
    <m/>
    <s v="1005"/>
    <s v="Effective"/>
    <m/>
    <m/>
    <m/>
    <m/>
  </r>
  <r>
    <x v="1"/>
    <x v="4"/>
    <x v="1"/>
    <n v="46"/>
    <s v="San Pablo Renewable Energy Corporation"/>
    <s v="San Pablo Solar 1"/>
    <m/>
    <s v="Laguna"/>
    <m/>
    <n v="43.75"/>
    <n v="4.4043000000000001"/>
    <x v="21"/>
    <d v="2025-12-15T00:00:00"/>
    <m/>
    <m/>
    <m/>
    <m/>
    <m/>
    <m/>
    <m/>
    <m/>
    <s v="-"/>
    <m/>
    <m/>
    <m/>
    <d v="1900-12-29T00:00:00"/>
    <s v="-"/>
    <m/>
    <m/>
    <m/>
    <m/>
    <m/>
    <m/>
    <m/>
  </r>
  <r>
    <x v="1"/>
    <x v="4"/>
    <x v="1"/>
    <n v="47"/>
    <s v="BKS Green Energy Corp."/>
    <s v="Limbauan  Solar Power Project"/>
    <m/>
    <s v="Isabela"/>
    <m/>
    <n v="28"/>
    <n v="4.4043000000000001"/>
    <x v="14"/>
    <d v="2025-12-01T00:00:00"/>
    <m/>
    <m/>
    <m/>
    <m/>
    <m/>
    <m/>
    <m/>
    <s v="COC"/>
    <s v="26-06-M-00402L"/>
    <m/>
    <d v="2026-06-08T00:00:00"/>
    <d v="2026-06-08T00:00:00"/>
    <d v="2027-06-07T00:00:00"/>
    <n v="33831"/>
    <m/>
    <m/>
    <m/>
    <m/>
    <m/>
    <m/>
    <m/>
  </r>
  <r>
    <x v="1"/>
    <x v="4"/>
    <x v="1"/>
    <n v="48"/>
    <s v="PetroGreen Energy Corporation"/>
    <s v="Bugallon Solar Power Project"/>
    <m/>
    <s v="Pangasinan"/>
    <m/>
    <n v="18.559999999999999"/>
    <n v="4.4043000000000001"/>
    <x v="14"/>
    <d v="2025-12-01T00:00:00"/>
    <m/>
    <m/>
    <m/>
    <m/>
    <m/>
    <m/>
    <m/>
    <m/>
    <s v="-"/>
    <m/>
    <m/>
    <m/>
    <d v="1900-12-29T00:00:00"/>
    <s v="-"/>
    <m/>
    <m/>
    <m/>
    <m/>
    <m/>
    <m/>
    <m/>
  </r>
  <r>
    <x v="1"/>
    <x v="5"/>
    <x v="1"/>
    <n v="49"/>
    <s v="Phinma Solar Energy Corporation"/>
    <s v="Pampanga Rollforming Plant Solar PV System"/>
    <m/>
    <s v="Pampanga"/>
    <m/>
    <n v="0.18"/>
    <n v="4.8738000000000001"/>
    <x v="15"/>
    <d v="2025-12-12T00:00:00"/>
    <m/>
    <m/>
    <m/>
    <m/>
    <m/>
    <m/>
    <m/>
    <m/>
    <s v="-"/>
    <m/>
    <m/>
    <m/>
    <d v="1900-12-29T00:00:00"/>
    <s v="-"/>
    <m/>
    <m/>
    <m/>
    <m/>
    <m/>
    <m/>
    <m/>
  </r>
  <r>
    <x v="1"/>
    <x v="5"/>
    <x v="1"/>
    <n v="50"/>
    <s v="Phinma Solar Energy Corporation"/>
    <s v=" warehouse #20C Teknik Compound Solar PV System"/>
    <m/>
    <s v="Metro Manila"/>
    <m/>
    <n v="0.13"/>
    <n v="4.8738000000000001"/>
    <x v="15"/>
    <d v="2025-12-12T00:00:00"/>
    <m/>
    <m/>
    <m/>
    <m/>
    <m/>
    <m/>
    <m/>
    <m/>
    <s v="-"/>
    <m/>
    <m/>
    <m/>
    <d v="1900-12-29T00:00:00"/>
    <s v="-"/>
    <m/>
    <m/>
    <m/>
    <m/>
    <m/>
    <m/>
    <m/>
  </r>
  <r>
    <x v="1"/>
    <x v="5"/>
    <x v="1"/>
    <n v="51"/>
    <s v="Phinma Solar Energy Corporation"/>
    <s v="OMG Rice Mill g2 Solar PV System"/>
    <m/>
    <s v="Laguna"/>
    <m/>
    <n v="0.15"/>
    <n v="4.8738000000000001"/>
    <x v="15"/>
    <d v="2025-12-12T00:00:00"/>
    <m/>
    <m/>
    <m/>
    <m/>
    <m/>
    <m/>
    <m/>
    <m/>
    <s v="-"/>
    <m/>
    <m/>
    <m/>
    <d v="1900-12-29T00:00:00"/>
    <s v="-"/>
    <m/>
    <m/>
    <m/>
    <m/>
    <m/>
    <m/>
    <m/>
  </r>
  <r>
    <x v="1"/>
    <x v="5"/>
    <x v="1"/>
    <n v="52"/>
    <s v="Phinma Solar Energy_x000a_Corporation"/>
    <s v="Warehouse No. C6 Geomax Compound_x000a_Solar PV System"/>
    <m/>
    <s v="Metro Manila"/>
    <m/>
    <n v="0.2"/>
    <n v="4.8738000000000001"/>
    <x v="15"/>
    <d v="2025-12-12T00:00:00"/>
    <m/>
    <m/>
    <m/>
    <m/>
    <m/>
    <m/>
    <m/>
    <m/>
    <s v=""/>
    <m/>
    <m/>
    <m/>
    <d v="1900-12-29T00:00:00"/>
    <s v=""/>
    <m/>
    <m/>
    <m/>
    <m/>
    <m/>
    <m/>
    <m/>
  </r>
  <r>
    <x v="1"/>
    <x v="5"/>
    <x v="1"/>
    <n v="53"/>
    <s v="Phinma Solar Energy Corporation"/>
    <s v="Warehouse No. F2 Geomax Compound Solar PV System"/>
    <m/>
    <s v="Metro Manila"/>
    <m/>
    <n v="0.14000000000000001"/>
    <n v="4.8738000000000001"/>
    <x v="15"/>
    <d v="2025-12-12T00:00:00"/>
    <m/>
    <m/>
    <m/>
    <m/>
    <m/>
    <m/>
    <m/>
    <m/>
    <s v="-"/>
    <m/>
    <m/>
    <m/>
    <d v="1900-12-29T00:00:00"/>
    <s v="-"/>
    <m/>
    <m/>
    <m/>
    <m/>
    <m/>
    <m/>
    <m/>
  </r>
  <r>
    <x v="1"/>
    <x v="5"/>
    <x v="1"/>
    <n v="54"/>
    <s v="Phinma Solar Energy Corporation"/>
    <s v="Calamba Rollforming Plant Solar PV System"/>
    <m/>
    <s v="Laguna"/>
    <m/>
    <n v="0.45"/>
    <n v="4.8738000000000001"/>
    <x v="15"/>
    <d v="2025-12-12T00:00:00"/>
    <m/>
    <m/>
    <m/>
    <m/>
    <m/>
    <m/>
    <m/>
    <m/>
    <s v="-"/>
    <m/>
    <m/>
    <m/>
    <d v="1900-12-29T00:00:00"/>
    <s v="-"/>
    <m/>
    <m/>
    <m/>
    <m/>
    <m/>
    <m/>
    <m/>
  </r>
  <r>
    <x v="1"/>
    <x v="5"/>
    <x v="1"/>
    <n v="55"/>
    <s v="Phinma Solar Energy Corporation"/>
    <s v="Warehouse No. C4 Geomax Compound Solar PV System"/>
    <m/>
    <s v="Metro Manila"/>
    <m/>
    <n v="0.09"/>
    <n v="4.8738000000000001"/>
    <x v="15"/>
    <d v="2025-12-12T00:00:00"/>
    <m/>
    <m/>
    <m/>
    <m/>
    <m/>
    <m/>
    <m/>
    <m/>
    <s v="-"/>
    <m/>
    <m/>
    <m/>
    <d v="1900-12-29T00:00:00"/>
    <s v="-"/>
    <m/>
    <m/>
    <m/>
    <m/>
    <m/>
    <m/>
    <m/>
  </r>
  <r>
    <x v="1"/>
    <x v="5"/>
    <x v="1"/>
    <n v="56"/>
    <s v="Phinma Solar Energy Corporation"/>
    <s v="VCCR Global Enterprises Solar PV System"/>
    <m/>
    <s v="Metro Manila"/>
    <m/>
    <n v="0.9"/>
    <n v="4.8738000000000001"/>
    <x v="15"/>
    <d v="2025-12-12T00:00:00"/>
    <m/>
    <m/>
    <m/>
    <m/>
    <m/>
    <m/>
    <m/>
    <m/>
    <s v="-"/>
    <m/>
    <m/>
    <m/>
    <d v="1900-12-29T00:00:00"/>
    <s v="-"/>
    <m/>
    <m/>
    <m/>
    <m/>
    <m/>
    <m/>
    <m/>
  </r>
  <r>
    <x v="1"/>
    <x v="5"/>
    <x v="1"/>
    <n v="57"/>
    <s v="Phinma Solar Energy Corporation"/>
    <s v="Warehouse No. F3 Geomax Compound Solar PV System"/>
    <m/>
    <s v="Metro Manila"/>
    <m/>
    <n v="0.15"/>
    <n v="4.8738000000000001"/>
    <x v="15"/>
    <d v="2025-12-12T00:00:00"/>
    <m/>
    <m/>
    <m/>
    <m/>
    <m/>
    <m/>
    <m/>
    <m/>
    <s v="-"/>
    <m/>
    <m/>
    <m/>
    <d v="1900-12-29T00:00:00"/>
    <s v="-"/>
    <m/>
    <m/>
    <m/>
    <m/>
    <m/>
    <m/>
    <m/>
  </r>
  <r>
    <x v="1"/>
    <x v="5"/>
    <x v="1"/>
    <n v="58"/>
    <s v="Phinma Solar Energy Corporation"/>
    <s v="3 Angels And 2 Princess Rice Mill Solar PV System"/>
    <m/>
    <s v="Metro Manila"/>
    <m/>
    <n v="0.28000000000000003"/>
    <n v="4.8738000000000001"/>
    <x v="15"/>
    <d v="2025-12-12T00:00:00"/>
    <m/>
    <m/>
    <m/>
    <m/>
    <m/>
    <m/>
    <m/>
    <m/>
    <s v="-"/>
    <m/>
    <m/>
    <m/>
    <d v="1900-12-29T00:00:00"/>
    <s v="-"/>
    <m/>
    <m/>
    <m/>
    <m/>
    <m/>
    <m/>
    <m/>
  </r>
  <r>
    <x v="1"/>
    <x v="5"/>
    <x v="1"/>
    <n v="59"/>
    <s v="Phinma Solar Energy Corporation"/>
    <s v="Warehouse No. C7 Geomax Compound Solar PV System"/>
    <m/>
    <s v="Metro Manila"/>
    <m/>
    <n v="0.2"/>
    <n v="4.8738000000000001"/>
    <x v="15"/>
    <d v="2025-12-12T00:00:00"/>
    <m/>
    <m/>
    <m/>
    <m/>
    <m/>
    <m/>
    <m/>
    <m/>
    <s v="-"/>
    <m/>
    <m/>
    <m/>
    <d v="1900-12-29T00:00:00"/>
    <s v="-"/>
    <m/>
    <m/>
    <m/>
    <m/>
    <m/>
    <m/>
    <m/>
  </r>
  <r>
    <x v="1"/>
    <x v="5"/>
    <x v="1"/>
    <n v="60"/>
    <s v="Phinma Solar Energy Corporation"/>
    <s v="Batangas Rollforming Plant Solar PV System"/>
    <m/>
    <s v="Batangas"/>
    <m/>
    <n v="0.09"/>
    <n v="4.8738000000000001"/>
    <x v="15"/>
    <d v="2025-12-12T00:00:00"/>
    <m/>
    <m/>
    <m/>
    <m/>
    <m/>
    <m/>
    <m/>
    <m/>
    <s v="-"/>
    <m/>
    <m/>
    <m/>
    <d v="1900-12-29T00:00:00"/>
    <s v="-"/>
    <m/>
    <m/>
    <m/>
    <m/>
    <m/>
    <m/>
    <m/>
  </r>
  <r>
    <x v="1"/>
    <x v="5"/>
    <x v="1"/>
    <n v="61"/>
    <s v="Phinma Solar Energy Corporation"/>
    <s v="Warehouse No. C2 Geomax Compound Solar PV System"/>
    <m/>
    <s v="Metro Manila"/>
    <m/>
    <n v="0.18"/>
    <n v="4.8738000000000001"/>
    <x v="15"/>
    <d v="2025-12-12T00:00:00"/>
    <m/>
    <m/>
    <m/>
    <m/>
    <m/>
    <m/>
    <m/>
    <m/>
    <s v="-"/>
    <m/>
    <m/>
    <m/>
    <d v="1900-12-29T00:00:00"/>
    <s v="-"/>
    <m/>
    <m/>
    <m/>
    <m/>
    <m/>
    <m/>
    <m/>
  </r>
  <r>
    <x v="1"/>
    <x v="5"/>
    <x v="1"/>
    <n v="62"/>
    <s v="Phinma Solar Energy Corporation"/>
    <s v="RKR Rice Mill #1 Solar PV System"/>
    <m/>
    <s v="Metro Manila"/>
    <m/>
    <n v="0.09"/>
    <n v="4.8738000000000001"/>
    <x v="15"/>
    <d v="2025-12-12T00:00:00"/>
    <m/>
    <m/>
    <m/>
    <m/>
    <m/>
    <m/>
    <m/>
    <m/>
    <s v="-"/>
    <m/>
    <m/>
    <m/>
    <d v="1900-12-29T00:00:00"/>
    <s v="-"/>
    <m/>
    <m/>
    <m/>
    <m/>
    <m/>
    <m/>
    <m/>
  </r>
  <r>
    <x v="1"/>
    <x v="5"/>
    <x v="1"/>
    <n v="63"/>
    <s v="Phinma Solar Energy Corporation"/>
    <s v="Warehouse No. F4 Geomax Compound Solar PV System"/>
    <m/>
    <s v="Metro Manila"/>
    <m/>
    <n v="0.13"/>
    <n v="4.8738000000000001"/>
    <x v="15"/>
    <d v="2025-12-12T00:00:00"/>
    <m/>
    <m/>
    <m/>
    <m/>
    <m/>
    <m/>
    <m/>
    <m/>
    <s v="-"/>
    <m/>
    <m/>
    <m/>
    <d v="1900-12-29T00:00:00"/>
    <s v="-"/>
    <m/>
    <m/>
    <m/>
    <m/>
    <m/>
    <m/>
    <m/>
  </r>
  <r>
    <x v="1"/>
    <x v="5"/>
    <x v="1"/>
    <n v="64"/>
    <s v="Phinma Solar Energy Corporation"/>
    <s v="Warehouse No. C8 Geomax Compound Solar PV System"/>
    <m/>
    <s v="Metro Manila"/>
    <m/>
    <n v="0.18"/>
    <n v="4.8738000000000001"/>
    <x v="15"/>
    <d v="2025-12-12T00:00:00"/>
    <m/>
    <m/>
    <m/>
    <m/>
    <m/>
    <m/>
    <m/>
    <m/>
    <s v="-"/>
    <m/>
    <m/>
    <m/>
    <d v="1900-12-29T00:00:00"/>
    <s v="-"/>
    <m/>
    <m/>
    <m/>
    <m/>
    <m/>
    <m/>
    <m/>
  </r>
  <r>
    <x v="1"/>
    <x v="5"/>
    <x v="1"/>
    <n v="65"/>
    <s v="Phinma Solar Energy Corporation"/>
    <s v="RKR Rice Mill P2 Solar PV System"/>
    <m/>
    <s v="Bulacan"/>
    <m/>
    <n v="0.09"/>
    <n v="4.8738000000000001"/>
    <x v="15"/>
    <d v="2025-12-12T00:00:00"/>
    <m/>
    <m/>
    <m/>
    <m/>
    <m/>
    <m/>
    <m/>
    <m/>
    <s v="-"/>
    <m/>
    <m/>
    <m/>
    <d v="1900-12-29T00:00:00"/>
    <s v="-"/>
    <m/>
    <m/>
    <m/>
    <m/>
    <m/>
    <m/>
    <m/>
  </r>
  <r>
    <x v="1"/>
    <x v="5"/>
    <x v="1"/>
    <n v="66"/>
    <s v="Phinma Solar Energy Corporation"/>
    <s v="RKR Rice Mill #3 Solar PV System"/>
    <m/>
    <s v="Pampanga"/>
    <m/>
    <n v="0.1"/>
    <n v="4.8738000000000001"/>
    <x v="15"/>
    <d v="2025-12-12T00:00:00"/>
    <m/>
    <m/>
    <m/>
    <m/>
    <m/>
    <m/>
    <m/>
    <m/>
    <s v="-"/>
    <m/>
    <m/>
    <m/>
    <d v="1900-12-29T00:00:00"/>
    <s v="-"/>
    <m/>
    <m/>
    <m/>
    <m/>
    <m/>
    <m/>
    <m/>
  </r>
  <r>
    <x v="1"/>
    <x v="5"/>
    <x v="1"/>
    <n v="67"/>
    <s v="Phinma Solar Energy Corporation"/>
    <s v="Warehouse No. C3 Geomax Compound Solar PV System"/>
    <m/>
    <s v="Metro Manila"/>
    <m/>
    <n v="0.1"/>
    <n v="4.8738000000000001"/>
    <x v="15"/>
    <d v="2025-12-12T00:00:00"/>
    <m/>
    <m/>
    <m/>
    <m/>
    <m/>
    <m/>
    <m/>
    <m/>
    <s v="-"/>
    <m/>
    <m/>
    <m/>
    <d v="1900-12-29T00:00:00"/>
    <s v="-"/>
    <m/>
    <m/>
    <m/>
    <m/>
    <m/>
    <m/>
    <m/>
  </r>
  <r>
    <x v="1"/>
    <x v="5"/>
    <x v="1"/>
    <n v="68"/>
    <s v="Phinma Solar Energy Corporation"/>
    <s v="Sunmade Agri 1 Solar PV System"/>
    <m/>
    <s v="Metro Manila"/>
    <m/>
    <n v="0.28000000000000003"/>
    <n v="4.8738000000000001"/>
    <x v="15"/>
    <d v="2025-12-12T00:00:00"/>
    <m/>
    <m/>
    <m/>
    <m/>
    <m/>
    <m/>
    <m/>
    <m/>
    <s v="-"/>
    <m/>
    <m/>
    <m/>
    <d v="1900-12-29T00:00:00"/>
    <s v="-"/>
    <m/>
    <m/>
    <m/>
    <m/>
    <m/>
    <m/>
    <m/>
  </r>
  <r>
    <x v="1"/>
    <x v="5"/>
    <x v="1"/>
    <n v="69"/>
    <s v="Phinma Solar Energy Corporation"/>
    <s v="Warehouse No. E2 Geomax Compound Solar PV System"/>
    <m/>
    <s v="Metro Manila"/>
    <m/>
    <n v="0.23"/>
    <n v="4.8738000000000001"/>
    <x v="15"/>
    <d v="2025-12-12T00:00:00"/>
    <m/>
    <m/>
    <m/>
    <m/>
    <m/>
    <m/>
    <m/>
    <m/>
    <s v="-"/>
    <m/>
    <m/>
    <m/>
    <d v="1900-12-29T00:00:00"/>
    <s v="-"/>
    <m/>
    <m/>
    <m/>
    <m/>
    <m/>
    <m/>
    <m/>
  </r>
  <r>
    <x v="1"/>
    <x v="5"/>
    <x v="1"/>
    <n v="70"/>
    <s v="Phinma Solar Energy Corporation"/>
    <s v="Warehouse No. C5 Geomax Compound Solar PV System"/>
    <m/>
    <s v="Metro Manila"/>
    <m/>
    <n v="0.2"/>
    <n v="4.8738000000000001"/>
    <x v="15"/>
    <d v="2025-12-12T00:00:00"/>
    <m/>
    <m/>
    <m/>
    <m/>
    <m/>
    <m/>
    <m/>
    <m/>
    <s v="-"/>
    <m/>
    <m/>
    <m/>
    <d v="1900-12-29T00:00:00"/>
    <s v="-"/>
    <m/>
    <m/>
    <m/>
    <m/>
    <m/>
    <m/>
    <m/>
  </r>
  <r>
    <x v="1"/>
    <x v="5"/>
    <x v="1"/>
    <n v="71"/>
    <s v="Phinma Solar Energy Corporation"/>
    <s v="OMG Rice Mill #3 Sotar PV System"/>
    <m/>
    <s v="Metro Manila"/>
    <m/>
    <n v="0.14000000000000001"/>
    <n v="4.8738000000000001"/>
    <x v="15"/>
    <d v="2025-12-12T00:00:00"/>
    <m/>
    <m/>
    <m/>
    <m/>
    <m/>
    <m/>
    <m/>
    <m/>
    <s v="-"/>
    <m/>
    <m/>
    <m/>
    <d v="1900-12-29T00:00:00"/>
    <s v="-"/>
    <m/>
    <m/>
    <m/>
    <m/>
    <m/>
    <m/>
    <m/>
  </r>
  <r>
    <x v="1"/>
    <x v="5"/>
    <x v="1"/>
    <n v="72"/>
    <s v="Phinma Solar Energy Corporation"/>
    <s v="Warehouse No. 2 Geomax Compound Solar PV System"/>
    <m/>
    <s v="Metro Manila"/>
    <m/>
    <n v="0.18"/>
    <n v="4.8738000000000001"/>
    <x v="15"/>
    <d v="2025-12-12T00:00:00"/>
    <m/>
    <m/>
    <m/>
    <m/>
    <m/>
    <m/>
    <m/>
    <m/>
    <s v="-"/>
    <m/>
    <m/>
    <m/>
    <d v="1900-12-29T00:00:00"/>
    <s v="-"/>
    <m/>
    <m/>
    <m/>
    <m/>
    <m/>
    <m/>
    <m/>
  </r>
  <r>
    <x v="1"/>
    <x v="5"/>
    <x v="1"/>
    <n v="73"/>
    <s v="Phinma Solar Energy Corporation"/>
    <s v="OMG Rice Mill 01 Solar PV System"/>
    <m/>
    <s v="Laguna"/>
    <m/>
    <n v="0.06"/>
    <n v="4.8738000000000001"/>
    <x v="15"/>
    <d v="2025-12-12T00:00:00"/>
    <m/>
    <m/>
    <m/>
    <m/>
    <m/>
    <m/>
    <m/>
    <m/>
    <s v="-"/>
    <m/>
    <m/>
    <m/>
    <d v="1900-12-29T00:00:00"/>
    <s v="-"/>
    <m/>
    <m/>
    <m/>
    <m/>
    <m/>
    <m/>
    <m/>
  </r>
  <r>
    <x v="1"/>
    <x v="5"/>
    <x v="1"/>
    <n v="74"/>
    <s v="Phinma Solar Energy Corporation"/>
    <s v="Warehouse No. E3 Geomax Compound Solar PV System"/>
    <m/>
    <s v="Metro Manila"/>
    <m/>
    <n v="0.2"/>
    <n v="4.8738000000000001"/>
    <x v="15"/>
    <d v="2025-12-12T00:00:00"/>
    <m/>
    <m/>
    <m/>
    <m/>
    <m/>
    <m/>
    <m/>
    <m/>
    <s v="-"/>
    <m/>
    <m/>
    <m/>
    <d v="1900-12-29T00:00:00"/>
    <s v="-"/>
    <m/>
    <m/>
    <m/>
    <m/>
    <m/>
    <m/>
    <m/>
  </r>
  <r>
    <x v="1"/>
    <x v="5"/>
    <x v="1"/>
    <n v="75"/>
    <s v="Phinma Solar Energy Corporation"/>
    <s v="La Union Rollforming Plant Solar PV System"/>
    <m/>
    <s v="Ilocos Region"/>
    <m/>
    <n v="0.2"/>
    <n v="4.8738000000000001"/>
    <x v="15"/>
    <d v="2025-12-12T00:00:00"/>
    <m/>
    <m/>
    <m/>
    <m/>
    <m/>
    <m/>
    <m/>
    <m/>
    <s v="-"/>
    <m/>
    <m/>
    <m/>
    <d v="1900-12-29T00:00:00"/>
    <s v="-"/>
    <m/>
    <m/>
    <m/>
    <m/>
    <m/>
    <m/>
    <m/>
  </r>
  <r>
    <x v="1"/>
    <x v="5"/>
    <x v="1"/>
    <n v="76"/>
    <s v="Phinma Solar Energy Corporation"/>
    <s v="Warehouse No. E4 Geomax Compound Solar PV System"/>
    <m/>
    <s v="Metro Manila"/>
    <m/>
    <n v="0.23"/>
    <n v="4.8738000000000001"/>
    <x v="15"/>
    <d v="2025-12-12T00:00:00"/>
    <m/>
    <m/>
    <m/>
    <m/>
    <m/>
    <m/>
    <m/>
    <m/>
    <s v="-"/>
    <m/>
    <m/>
    <m/>
    <d v="1900-12-29T00:00:00"/>
    <s v="-"/>
    <m/>
    <m/>
    <m/>
    <m/>
    <m/>
    <m/>
    <m/>
  </r>
  <r>
    <x v="1"/>
    <x v="5"/>
    <x v="1"/>
    <n v="77"/>
    <s v="Phinma Solar Energy Corporation"/>
    <s v="Sunmade Agri S Solar PV System"/>
    <m/>
    <s v="Metro Manila"/>
    <m/>
    <n v="0.15"/>
    <n v="4.8738000000000001"/>
    <x v="15"/>
    <d v="2025-12-12T00:00:00"/>
    <m/>
    <m/>
    <m/>
    <m/>
    <m/>
    <m/>
    <m/>
    <m/>
    <s v="-"/>
    <m/>
    <m/>
    <m/>
    <d v="1900-12-29T00:00:00"/>
    <s v="-"/>
    <m/>
    <m/>
    <m/>
    <m/>
    <m/>
    <m/>
    <m/>
  </r>
  <r>
    <x v="1"/>
    <x v="5"/>
    <x v="1"/>
    <n v="78"/>
    <s v="Phinma Solar Energy Corporation"/>
    <s v="Warehouse No. 3 Geomax Compound Solar PV System"/>
    <m/>
    <s v="Metro Manila"/>
    <m/>
    <n v="0.18"/>
    <n v="4.8738000000000001"/>
    <x v="15"/>
    <d v="2025-12-12T00:00:00"/>
    <m/>
    <m/>
    <m/>
    <m/>
    <m/>
    <m/>
    <m/>
    <m/>
    <s v="-"/>
    <m/>
    <m/>
    <m/>
    <d v="1900-12-29T00:00:00"/>
    <s v="-"/>
    <m/>
    <m/>
    <m/>
    <m/>
    <m/>
    <m/>
    <m/>
  </r>
  <r>
    <x v="1"/>
    <x v="5"/>
    <x v="1"/>
    <n v="79"/>
    <s v="Phinma Solar Energy Corporation"/>
    <s v="Warehouse No. ES Geomax Compound Solar PV System"/>
    <m/>
    <s v="Metro Manila"/>
    <m/>
    <n v="0.24"/>
    <n v="4.8738000000000001"/>
    <x v="15"/>
    <d v="2025-12-12T00:00:00"/>
    <m/>
    <m/>
    <m/>
    <m/>
    <m/>
    <m/>
    <m/>
    <m/>
    <s v="-"/>
    <m/>
    <m/>
    <m/>
    <d v="1900-12-29T00:00:00"/>
    <s v="-"/>
    <m/>
    <m/>
    <m/>
    <m/>
    <m/>
    <m/>
    <m/>
  </r>
  <r>
    <x v="1"/>
    <x v="5"/>
    <x v="1"/>
    <n v="80"/>
    <s v="Phinma Solar Energy Corporation"/>
    <s v="Sunmade Agri 4 Solar PV System"/>
    <m/>
    <s v="Metro Manila"/>
    <m/>
    <n v="0.08"/>
    <n v="4.8738000000000001"/>
    <x v="15"/>
    <d v="2025-12-12T00:00:00"/>
    <m/>
    <m/>
    <m/>
    <m/>
    <m/>
    <m/>
    <m/>
    <m/>
    <s v="-"/>
    <m/>
    <m/>
    <m/>
    <d v="1900-12-29T00:00:00"/>
    <s v="-"/>
    <m/>
    <m/>
    <m/>
    <m/>
    <m/>
    <m/>
    <m/>
  </r>
  <r>
    <x v="1"/>
    <x v="5"/>
    <x v="1"/>
    <n v="81"/>
    <s v="Phinma Solar Energy Corporation"/>
    <s v="Warehouse No. F1 Geomax Compound Solar PV System"/>
    <m/>
    <s v="Metro Manila"/>
    <m/>
    <n v="0.13"/>
    <n v="4.8738000000000001"/>
    <x v="15"/>
    <d v="2025-12-12T00:00:00"/>
    <m/>
    <m/>
    <m/>
    <m/>
    <m/>
    <m/>
    <m/>
    <m/>
    <s v="-"/>
    <m/>
    <m/>
    <m/>
    <d v="1900-12-29T00:00:00"/>
    <s v="-"/>
    <m/>
    <m/>
    <m/>
    <m/>
    <m/>
    <m/>
    <m/>
  </r>
  <r>
    <x v="1"/>
    <x v="5"/>
    <x v="1"/>
    <n v="82"/>
    <s v="Phinma Solar Energy Corporation"/>
    <s v="Sunmade Agri 2 Solar PV System"/>
    <m/>
    <s v="Metro Manila"/>
    <m/>
    <n v="0.16800000000000001"/>
    <n v="4.8738000000000001"/>
    <x v="15"/>
    <d v="2025-12-12T00:00:00"/>
    <m/>
    <m/>
    <m/>
    <m/>
    <m/>
    <m/>
    <m/>
    <m/>
    <s v="-"/>
    <m/>
    <m/>
    <m/>
    <d v="1900-12-29T00:00:00"/>
    <s v="-"/>
    <m/>
    <m/>
    <m/>
    <m/>
    <m/>
    <m/>
    <m/>
  </r>
  <r>
    <x v="1"/>
    <x v="5"/>
    <x v="1"/>
    <n v="83"/>
    <s v="Phinma Solar Energy Corporation"/>
    <s v="Sunmade Agri 3 Solar PV System"/>
    <m/>
    <s v="Metro Manila"/>
    <m/>
    <n v="4.2000000000000003E-2"/>
    <n v="4.8738000000000001"/>
    <x v="15"/>
    <d v="2025-12-12T00:00:00"/>
    <m/>
    <m/>
    <m/>
    <m/>
    <m/>
    <m/>
    <m/>
    <m/>
    <s v="-"/>
    <m/>
    <m/>
    <m/>
    <d v="1900-12-29T00:00:00"/>
    <s v="-"/>
    <m/>
    <m/>
    <m/>
    <m/>
    <m/>
    <m/>
    <m/>
  </r>
  <r>
    <x v="1"/>
    <x v="5"/>
    <x v="1"/>
    <n v="84"/>
    <s v="Phinma Solar Energy Corporation"/>
    <s v="Warehouse No. 4 Geomax Compound Solar PV System"/>
    <m/>
    <s v="Metro Manila"/>
    <m/>
    <n v="0.1"/>
    <n v="4.8738000000000001"/>
    <x v="15"/>
    <d v="2025-12-12T00:00:00"/>
    <m/>
    <m/>
    <m/>
    <m/>
    <m/>
    <m/>
    <m/>
    <m/>
    <s v="-"/>
    <m/>
    <m/>
    <m/>
    <d v="1900-12-29T00:00:00"/>
    <s v="-"/>
    <m/>
    <m/>
    <m/>
    <m/>
    <m/>
    <m/>
    <m/>
  </r>
  <r>
    <x v="1"/>
    <x v="5"/>
    <x v="1"/>
    <n v="85"/>
    <s v="Phinma Solar Energy Corporation"/>
    <s v="Warehouse No. B7 Geomax Compound Solar PV System"/>
    <m/>
    <s v="Metro Manila"/>
    <m/>
    <n v="0.1"/>
    <n v="4.8738000000000001"/>
    <x v="15"/>
    <d v="2025-12-12T00:00:00"/>
    <m/>
    <m/>
    <m/>
    <m/>
    <m/>
    <m/>
    <m/>
    <m/>
    <s v="-"/>
    <m/>
    <m/>
    <m/>
    <d v="1900-12-29T00:00:00"/>
    <s v="-"/>
    <m/>
    <m/>
    <m/>
    <m/>
    <m/>
    <m/>
    <m/>
  </r>
  <r>
    <x v="1"/>
    <x v="5"/>
    <x v="1"/>
    <n v="86"/>
    <s v="Phinma Solar Energy Corporat‹on"/>
    <s v="Warehouse No. 1 Geomax Compound Solar PV System"/>
    <m/>
    <s v="Metro Manila"/>
    <m/>
    <n v="0.14000000000000001"/>
    <n v="4.8738000000000001"/>
    <x v="15"/>
    <d v="2025-12-12T00:00:00"/>
    <m/>
    <m/>
    <m/>
    <m/>
    <m/>
    <m/>
    <m/>
    <m/>
    <s v=""/>
    <m/>
    <m/>
    <m/>
    <d v="1900-12-29T00:00:00"/>
    <s v=""/>
    <m/>
    <m/>
    <m/>
    <m/>
    <m/>
    <m/>
    <m/>
  </r>
  <r>
    <x v="1"/>
    <x v="5"/>
    <x v="1"/>
    <n v="87"/>
    <s v="Phinma Solar Energy Corporation"/>
    <s v="Warehouse No. B8 Geomax  Compound Solar PV System"/>
    <m/>
    <s v="Metro Manila"/>
    <m/>
    <n v="0.05"/>
    <n v="4.8738000000000001"/>
    <x v="15"/>
    <d v="2025-12-12T00:00:00"/>
    <m/>
    <m/>
    <m/>
    <m/>
    <m/>
    <m/>
    <m/>
    <m/>
    <s v="-"/>
    <m/>
    <m/>
    <m/>
    <d v="1900-12-29T00:00:00"/>
    <s v="-"/>
    <m/>
    <m/>
    <m/>
    <m/>
    <m/>
    <m/>
    <m/>
  </r>
  <r>
    <x v="1"/>
    <x v="5"/>
    <x v="1"/>
    <n v="88"/>
    <s v="Phinma Solar Energy Corporation"/>
    <s v="Warehouse #23 C Teknik Compound Solar PV System"/>
    <m/>
    <s v="Metro Manila"/>
    <m/>
    <n v="0.13"/>
    <n v="4.8738000000000001"/>
    <x v="15"/>
    <d v="2025-12-12T00:00:00"/>
    <m/>
    <m/>
    <m/>
    <m/>
    <m/>
    <m/>
    <m/>
    <m/>
    <s v="-"/>
    <m/>
    <m/>
    <m/>
    <d v="1900-12-29T00:00:00"/>
    <s v="-"/>
    <m/>
    <m/>
    <m/>
    <m/>
    <m/>
    <m/>
    <m/>
  </r>
  <r>
    <x v="1"/>
    <x v="5"/>
    <x v="1"/>
    <n v="89"/>
    <s v="Phinma Solar Energy Corporation"/>
    <s v="Warehouse #22 C Teknik Compound  Solar  PV System"/>
    <m/>
    <s v="Metro Manila"/>
    <m/>
    <n v="0.12"/>
    <n v="4.8738000000000001"/>
    <x v="15"/>
    <d v="2025-12-12T00:00:00"/>
    <m/>
    <m/>
    <m/>
    <m/>
    <m/>
    <m/>
    <m/>
    <m/>
    <s v="-"/>
    <m/>
    <m/>
    <m/>
    <d v="1900-12-29T00:00:00"/>
    <s v="-"/>
    <m/>
    <m/>
    <m/>
    <m/>
    <m/>
    <m/>
    <m/>
  </r>
  <r>
    <x v="1"/>
    <x v="5"/>
    <x v="1"/>
    <n v="90"/>
    <s v="Phinma Solar Energy Corporation"/>
    <s v="Warehouse #27 C Teknik Compound SOIaF PV System"/>
    <m/>
    <s v="Metro Manila"/>
    <m/>
    <n v="0.23"/>
    <n v="4.8738000000000001"/>
    <x v="15"/>
    <d v="2025-12-12T00:00:00"/>
    <m/>
    <m/>
    <m/>
    <m/>
    <m/>
    <m/>
    <m/>
    <m/>
    <s v="-"/>
    <m/>
    <m/>
    <m/>
    <d v="1900-12-29T00:00:00"/>
    <s v="-"/>
    <m/>
    <m/>
    <m/>
    <m/>
    <m/>
    <m/>
    <m/>
  </r>
  <r>
    <x v="1"/>
    <x v="5"/>
    <x v="1"/>
    <n v="91"/>
    <s v="Phinma Solar Energy Corporation"/>
    <s v="Warehouse #26 C Teknik Compound Solar py"/>
    <m/>
    <s v="Metro Manila"/>
    <m/>
    <n v="0.14000000000000001"/>
    <n v="4.8738000000000001"/>
    <x v="15"/>
    <d v="2025-12-12T00:00:00"/>
    <m/>
    <m/>
    <m/>
    <m/>
    <m/>
    <m/>
    <m/>
    <m/>
    <s v="-"/>
    <m/>
    <m/>
    <m/>
    <d v="1900-12-29T00:00:00"/>
    <s v="-"/>
    <m/>
    <m/>
    <m/>
    <m/>
    <m/>
    <m/>
    <m/>
  </r>
  <r>
    <x v="1"/>
    <x v="5"/>
    <x v="1"/>
    <n v="92"/>
    <s v="Phinma Solar Energy Corporation"/>
    <s v="Warehouse #25 C Teknik Compound Solar PV System"/>
    <m/>
    <s v="Metro Manila"/>
    <m/>
    <n v="0.12"/>
    <n v="4.8738000000000001"/>
    <x v="15"/>
    <d v="2025-12-12T00:00:00"/>
    <m/>
    <m/>
    <m/>
    <m/>
    <m/>
    <m/>
    <m/>
    <m/>
    <s v="-"/>
    <m/>
    <m/>
    <m/>
    <d v="1900-12-29T00:00:00"/>
    <s v="-"/>
    <m/>
    <m/>
    <m/>
    <m/>
    <m/>
    <m/>
    <m/>
  </r>
  <r>
    <x v="1"/>
    <x v="5"/>
    <x v="1"/>
    <n v="93"/>
    <s v="Phinma Solar Energy Corporation"/>
    <s v="Warehouse #24 C Teknik Compound Solar PV System"/>
    <m/>
    <s v="Metro Manila"/>
    <m/>
    <n v="0.14000000000000001"/>
    <n v="4.8738000000000001"/>
    <x v="15"/>
    <d v="2025-12-12T00:00:00"/>
    <m/>
    <m/>
    <m/>
    <m/>
    <m/>
    <m/>
    <m/>
    <m/>
    <s v="-"/>
    <m/>
    <m/>
    <m/>
    <d v="1900-12-29T00:00:00"/>
    <s v="-"/>
    <m/>
    <m/>
    <m/>
    <m/>
    <m/>
    <m/>
    <m/>
  </r>
  <r>
    <x v="1"/>
    <x v="6"/>
    <x v="1"/>
    <n v="94"/>
    <s v="Alternergy  Tanay Wind_x000a_Corporaton"/>
    <s v="Alabat Wind Power Project"/>
    <m/>
    <s v="Quezon"/>
    <m/>
    <n v="54.6"/>
    <n v="5.8480999999999996"/>
    <x v="22"/>
    <d v="2025-11-28T00:00:00"/>
    <m/>
    <m/>
    <m/>
    <m/>
    <m/>
    <m/>
    <m/>
    <m/>
    <s v=""/>
    <m/>
    <m/>
    <m/>
    <d v="1900-12-29T00:00:00"/>
    <s v=""/>
    <m/>
    <m/>
    <m/>
    <m/>
    <m/>
    <m/>
    <m/>
  </r>
  <r>
    <x v="1"/>
    <x v="6"/>
    <x v="1"/>
    <n v="95"/>
    <s v="Alternergy  Tanay Wind_x000a_Corporaton"/>
    <s v="Tanay Wind Power Project"/>
    <m/>
    <s v="Rizal"/>
    <m/>
    <n v="85.8"/>
    <n v="5.8480999999999996"/>
    <x v="23"/>
    <d v="2025-11-27T00:00:00"/>
    <m/>
    <m/>
    <m/>
    <m/>
    <m/>
    <m/>
    <m/>
    <m/>
    <s v=""/>
    <m/>
    <m/>
    <m/>
    <d v="1900-12-29T00:00:00"/>
    <s v=""/>
    <m/>
    <m/>
    <m/>
    <m/>
    <m/>
    <m/>
    <m/>
  </r>
  <r>
    <x v="1"/>
    <x v="6"/>
    <x v="1"/>
    <n v="96"/>
    <s v="Rizal Wind Energy Corp."/>
    <s v="Rizal Wind Power Project"/>
    <m/>
    <s v="Rizal"/>
    <m/>
    <n v="90"/>
    <n v="5.8480999999999996"/>
    <x v="24"/>
    <d v="2025-12-15T00:00:00"/>
    <m/>
    <m/>
    <m/>
    <m/>
    <m/>
    <m/>
    <m/>
    <m/>
    <s v="-"/>
    <m/>
    <m/>
    <m/>
    <d v="1900-12-29T00:00:00"/>
    <s v="-"/>
    <m/>
    <m/>
    <m/>
    <m/>
    <m/>
    <m/>
    <m/>
  </r>
  <r>
    <x v="1"/>
    <x v="4"/>
    <x v="1"/>
    <n v="97"/>
    <s v="Opus Solar Energy Corp."/>
    <s v="Opus Solar Power Project"/>
    <m/>
    <s v="Ilocos Norte"/>
    <m/>
    <n v="149.94999999999999"/>
    <n v="4.4043000000000001"/>
    <x v="25"/>
    <d v="2026-12-15T00:00:00"/>
    <m/>
    <m/>
    <m/>
    <m/>
    <m/>
    <m/>
    <m/>
    <m/>
    <s v="-"/>
    <m/>
    <m/>
    <m/>
    <d v="1900-12-29T00:00:00"/>
    <s v="-"/>
    <m/>
    <m/>
    <m/>
    <m/>
    <m/>
    <m/>
    <m/>
  </r>
  <r>
    <x v="1"/>
    <x v="4"/>
    <x v="1"/>
    <n v="98"/>
    <s v="lxus Solar Energy Corp"/>
    <s v="lxus Bugallon Solar Power Project"/>
    <m/>
    <s v="Pangasinan"/>
    <m/>
    <n v="274.73500000000001"/>
    <n v="4.4043000000000001"/>
    <x v="26"/>
    <d v="2026-12-15T00:00:00"/>
    <m/>
    <m/>
    <m/>
    <m/>
    <m/>
    <m/>
    <m/>
    <m/>
    <s v=""/>
    <m/>
    <m/>
    <m/>
    <d v="1900-12-29T00:00:00"/>
    <s v=""/>
    <m/>
    <m/>
    <m/>
    <m/>
    <m/>
    <m/>
    <m/>
  </r>
  <r>
    <x v="1"/>
    <x v="4"/>
    <x v="1"/>
    <n v="99"/>
    <s v="Solar Valley Energy  Solutions Inc"/>
    <s v="San Pablo Solar Power Project Phase 2"/>
    <m/>
    <s v="Laguna"/>
    <m/>
    <n v="79.040000000000006"/>
    <n v="4.4043000000000001"/>
    <x v="9"/>
    <d v="2026-12-01T00:00:00"/>
    <m/>
    <m/>
    <m/>
    <m/>
    <m/>
    <m/>
    <m/>
    <m/>
    <s v=""/>
    <m/>
    <m/>
    <m/>
    <d v="1900-12-29T00:00:00"/>
    <s v=""/>
    <m/>
    <m/>
    <m/>
    <m/>
    <m/>
    <m/>
    <m/>
  </r>
  <r>
    <x v="1"/>
    <x v="4"/>
    <x v="1"/>
    <n v="100"/>
    <s v="Solar Philippines  Commercial Rooftop Projects, Inc."/>
    <s v="Santa Rosa Nueva Ecija 3 Solar Power Project"/>
    <m/>
    <s v="Laguna"/>
    <m/>
    <n v="20"/>
    <n v="4.4043000000000001"/>
    <x v="27"/>
    <d v="2026-12-25T00:00:00"/>
    <m/>
    <m/>
    <m/>
    <m/>
    <m/>
    <m/>
    <m/>
    <m/>
    <s v=""/>
    <m/>
    <m/>
    <m/>
    <d v="1900-12-29T00:00:00"/>
    <s v=""/>
    <m/>
    <m/>
    <m/>
    <m/>
    <m/>
    <m/>
    <m/>
  </r>
  <r>
    <x v="1"/>
    <x v="4"/>
    <x v="1"/>
    <n v="101"/>
    <s v="Energy Logics Philippines Inc."/>
    <s v="Pasuquin-Burgos 100MW Solar Power Plant"/>
    <m/>
    <s v="Ilocos Norte"/>
    <n v="100099"/>
    <n v="49"/>
    <n v="4.4043000000000001"/>
    <x v="28"/>
    <d v="2026-06-30T00:00:00"/>
    <m/>
    <m/>
    <m/>
    <m/>
    <m/>
    <m/>
    <m/>
    <s v="PAO"/>
    <s v="26-1-26-M-PAO-N-0552L"/>
    <d v="2026-01-26T00:00:00"/>
    <d v="2026-01-30T00:00:00"/>
    <d v="2026-01-26T00:00:00"/>
    <d v="2027-01-25T00:00:00"/>
    <n v="100099"/>
    <m/>
    <m/>
    <m/>
    <m/>
    <m/>
    <m/>
    <m/>
  </r>
  <r>
    <x v="1"/>
    <x v="4"/>
    <x v="1"/>
    <n v="102"/>
    <s v="Xyris Energy Corporation"/>
    <s v="Linglingay Solar Power Project"/>
    <m/>
    <s v="Isabela"/>
    <m/>
    <n v="70.14"/>
    <n v="4.4043000000000001"/>
    <x v="14"/>
    <d v="2026-12-31T00:00:00"/>
    <m/>
    <m/>
    <m/>
    <m/>
    <m/>
    <m/>
    <m/>
    <m/>
    <s v="-"/>
    <m/>
    <m/>
    <m/>
    <d v="1900-12-29T00:00:00"/>
    <s v="-"/>
    <m/>
    <m/>
    <m/>
    <m/>
    <m/>
    <m/>
    <m/>
  </r>
  <r>
    <x v="1"/>
    <x v="7"/>
    <x v="1"/>
    <n v="103"/>
    <s v="NKS Solar One Inc."/>
    <s v="NKS One Floating Solar Power Project"/>
    <m/>
    <s v="Laguna"/>
    <m/>
    <n v="90"/>
    <n v="5.3948"/>
    <x v="29"/>
    <d v="2026-12-15T00:00:00"/>
    <m/>
    <m/>
    <m/>
    <m/>
    <m/>
    <m/>
    <m/>
    <m/>
    <s v="-"/>
    <m/>
    <m/>
    <m/>
    <d v="1900-12-29T00:00:00"/>
    <s v="-"/>
    <m/>
    <m/>
    <m/>
    <m/>
    <m/>
    <m/>
    <m/>
  </r>
  <r>
    <x v="1"/>
    <x v="6"/>
    <x v="1"/>
    <n v="104"/>
    <s v="Quezon Wind Energy Corp."/>
    <s v="Quezon Wind Power Project"/>
    <m/>
    <s v="Quezon"/>
    <m/>
    <n v="239.98500000000001"/>
    <n v="5.8480999999999996"/>
    <x v="30"/>
    <d v="2026-12-15T00:00:00"/>
    <m/>
    <m/>
    <m/>
    <m/>
    <m/>
    <m/>
    <m/>
    <m/>
    <s v="-"/>
    <m/>
    <m/>
    <m/>
    <d v="1900-12-29T00:00:00"/>
    <s v="-"/>
    <m/>
    <m/>
    <m/>
    <m/>
    <m/>
    <m/>
    <m/>
  </r>
  <r>
    <x v="1"/>
    <x v="6"/>
    <x v="1"/>
    <n v="105"/>
    <s v="Cornerstone Energy Development,  Inc."/>
    <s v="Camarines  Sur Wind Power Project"/>
    <m/>
    <s v="Camarines Sur"/>
    <m/>
    <n v="49.999000000000002"/>
    <n v="5.8480999999999996"/>
    <x v="31"/>
    <d v="2026-12-23T00:00:00"/>
    <m/>
    <m/>
    <m/>
    <m/>
    <m/>
    <m/>
    <m/>
    <m/>
    <s v=""/>
    <m/>
    <m/>
    <m/>
    <d v="1900-12-29T00:00:00"/>
    <s v=""/>
    <m/>
    <m/>
    <m/>
    <m/>
    <m/>
    <m/>
    <m/>
  </r>
  <r>
    <x v="1"/>
    <x v="6"/>
    <x v="1"/>
    <n v="106"/>
    <s v="Citicore Wind Energy Corporation"/>
    <s v="Pangasinan CW 2 Wind Power Project"/>
    <m/>
    <s v="Pangasinan"/>
    <m/>
    <n v="80"/>
    <n v="5.8480999999999996"/>
    <x v="32"/>
    <d v="2026-12-26T00:00:00"/>
    <m/>
    <m/>
    <m/>
    <m/>
    <m/>
    <m/>
    <m/>
    <m/>
    <s v="-"/>
    <m/>
    <m/>
    <m/>
    <d v="1900-12-29T00:00:00"/>
    <s v="-"/>
    <m/>
    <m/>
    <m/>
    <m/>
    <m/>
    <m/>
    <m/>
  </r>
  <r>
    <x v="1"/>
    <x v="6"/>
    <x v="1"/>
    <n v="107"/>
    <s v="Citicore Wind Energy Corporation"/>
    <s v="Bataan-Zambales CW Wind Power Project"/>
    <m/>
    <s v="Zambales"/>
    <m/>
    <n v="100"/>
    <n v="5.8480999999999996"/>
    <x v="33"/>
    <d v="2026-12-26T00:00:00"/>
    <m/>
    <m/>
    <m/>
    <m/>
    <m/>
    <m/>
    <m/>
    <m/>
    <s v="-"/>
    <m/>
    <m/>
    <m/>
    <d v="1900-12-29T00:00:00"/>
    <s v="-"/>
    <m/>
    <m/>
    <m/>
    <m/>
    <m/>
    <m/>
    <m/>
  </r>
  <r>
    <x v="1"/>
    <x v="6"/>
    <x v="1"/>
    <n v="108"/>
    <s v="Giga Ace 6, Inc."/>
    <s v="Isla Wind Power Project"/>
    <m/>
    <s v="Laguna"/>
    <m/>
    <n v="230"/>
    <n v="5.8480999999999996"/>
    <x v="34"/>
    <d v="2026-12-24T00:00:00"/>
    <m/>
    <m/>
    <m/>
    <m/>
    <m/>
    <m/>
    <m/>
    <m/>
    <s v="-"/>
    <m/>
    <m/>
    <m/>
    <d v="1900-12-29T00:00:00"/>
    <s v="-"/>
    <m/>
    <m/>
    <m/>
    <m/>
    <m/>
    <m/>
    <m/>
  </r>
  <r>
    <x v="1"/>
    <x v="6"/>
    <x v="1"/>
    <n v="109"/>
    <s v="Citicore Wind Energy Corporation"/>
    <s v="Camarines Sur CW Wind Power Project"/>
    <m/>
    <s v="Camarines Sur"/>
    <m/>
    <n v="30"/>
    <n v="5.8480999999999996"/>
    <x v="35"/>
    <d v="2026-12-26T00:00:00"/>
    <m/>
    <m/>
    <m/>
    <m/>
    <m/>
    <m/>
    <m/>
    <m/>
    <s v="-"/>
    <m/>
    <m/>
    <m/>
    <d v="1900-12-29T00:00:00"/>
    <s v="-"/>
    <m/>
    <m/>
    <m/>
    <m/>
    <m/>
    <m/>
    <m/>
  </r>
  <r>
    <x v="0"/>
    <x v="4"/>
    <x v="1"/>
    <n v="110"/>
    <s v="Enfinity Philippine Renewable Resources Third Inc."/>
    <s v="Butuan City 1 Solar Power Project"/>
    <m/>
    <s v="Agusan del Norte"/>
    <m/>
    <n v="8"/>
    <n v="4.4043000000000001"/>
    <x v="28"/>
    <d v="2025-12-31T00:00:00"/>
    <m/>
    <m/>
    <m/>
    <m/>
    <m/>
    <m/>
    <m/>
    <m/>
    <s v=""/>
    <m/>
    <m/>
    <m/>
    <d v="1900-12-29T00:00:00"/>
    <s v=""/>
    <m/>
    <m/>
    <m/>
    <m/>
    <m/>
    <m/>
    <m/>
  </r>
  <r>
    <x v="0"/>
    <x v="5"/>
    <x v="1"/>
    <n v="111"/>
    <s v="Phinma Solar Energy Corporation"/>
    <s v="Cagayan De Oro Rollforming Plant Solar PV System"/>
    <m/>
    <s v="Misamis Oriental "/>
    <m/>
    <n v="0.11"/>
    <n v="4.8738000000000001"/>
    <x v="15"/>
    <d v="2025-12-12T00:00:00"/>
    <m/>
    <m/>
    <m/>
    <m/>
    <m/>
    <m/>
    <m/>
    <m/>
    <s v="-"/>
    <m/>
    <m/>
    <m/>
    <d v="1900-12-29T00:00:00"/>
    <s v="-"/>
    <m/>
    <m/>
    <m/>
    <m/>
    <m/>
    <m/>
    <m/>
  </r>
  <r>
    <x v="0"/>
    <x v="5"/>
    <x v="1"/>
    <n v="112"/>
    <s v="Phinma Solar Energy Corporation"/>
    <s v="Butuan Rollforming Plant Solar PV System"/>
    <m/>
    <s v="Agusan del Norte"/>
    <m/>
    <n v="7.0000000000000007E-2"/>
    <n v="4.8738000000000001"/>
    <x v="15"/>
    <d v="2025-12-12T00:00:00"/>
    <m/>
    <m/>
    <m/>
    <m/>
    <m/>
    <m/>
    <m/>
    <m/>
    <s v="-"/>
    <m/>
    <m/>
    <m/>
    <d v="1900-12-29T00:00:00"/>
    <s v="-"/>
    <m/>
    <m/>
    <m/>
    <m/>
    <m/>
    <m/>
    <m/>
  </r>
  <r>
    <x v="0"/>
    <x v="4"/>
    <x v="1"/>
    <n v="113"/>
    <s v="Apolaki Seven Inc."/>
    <s v="Tantangan Solar Power Project"/>
    <m/>
    <s v="South Cotabato"/>
    <m/>
    <n v="40"/>
    <n v="4.4043000000000001"/>
    <x v="36"/>
    <d v="2026-12-31T00:00:00"/>
    <m/>
    <m/>
    <m/>
    <m/>
    <m/>
    <m/>
    <m/>
    <m/>
    <s v=""/>
    <m/>
    <m/>
    <m/>
    <d v="1900-12-29T00:00:00"/>
    <s v=""/>
    <m/>
    <m/>
    <m/>
    <m/>
    <m/>
    <m/>
    <m/>
  </r>
  <r>
    <x v="2"/>
    <x v="5"/>
    <x v="1"/>
    <n v="114"/>
    <s v="Phinma Solar Energy Corporation"/>
    <s v="Bacolod Rollforming Plant Solar PV System"/>
    <m/>
    <s v="Negros Occidental"/>
    <m/>
    <n v="0.12"/>
    <n v="4.8738000000000001"/>
    <x v="15"/>
    <d v="2025-12-12T00:00:00"/>
    <m/>
    <m/>
    <m/>
    <m/>
    <m/>
    <m/>
    <m/>
    <m/>
    <s v="-"/>
    <m/>
    <m/>
    <m/>
    <d v="1900-12-29T00:00:00"/>
    <s v="-"/>
    <m/>
    <m/>
    <m/>
    <m/>
    <m/>
    <m/>
    <m/>
  </r>
  <r>
    <x v="2"/>
    <x v="5"/>
    <x v="1"/>
    <n v="115"/>
    <s v="Phinma Solar Energy Corporation"/>
    <s v="Cebu Rollforming Plant Solar PV System"/>
    <m/>
    <s v="Cebu"/>
    <m/>
    <n v="0.13"/>
    <n v="4.8738000000000001"/>
    <x v="15"/>
    <d v="2025-12-12T00:00:00"/>
    <m/>
    <m/>
    <m/>
    <m/>
    <m/>
    <m/>
    <m/>
    <m/>
    <s v="-"/>
    <m/>
    <m/>
    <m/>
    <d v="1900-12-29T00:00:00"/>
    <s v="-"/>
    <m/>
    <m/>
    <m/>
    <m/>
    <m/>
    <m/>
    <m/>
  </r>
  <r>
    <x v="2"/>
    <x v="4"/>
    <x v="1"/>
    <n v="116"/>
    <s v="Joy-NostaIg Solaris Incorporated"/>
    <s v="Ajuy 1 Solar Power Plant Project"/>
    <m/>
    <s v="Iloilo"/>
    <m/>
    <n v="14"/>
    <n v="4.4043000000000001"/>
    <x v="37"/>
    <d v="2026-11-26T00:00:00"/>
    <m/>
    <m/>
    <m/>
    <m/>
    <m/>
    <m/>
    <m/>
    <m/>
    <s v=""/>
    <m/>
    <m/>
    <m/>
    <d v="1900-12-29T00:00:00"/>
    <s v=""/>
    <m/>
    <m/>
    <m/>
    <m/>
    <m/>
    <m/>
    <m/>
  </r>
  <r>
    <x v="2"/>
    <x v="4"/>
    <x v="1"/>
    <n v="117"/>
    <s v="Apolaki Eight Inc."/>
    <s v="Luca Solar Power Project"/>
    <m/>
    <s v="Iloilo"/>
    <m/>
    <n v="40"/>
    <n v="4.4043000000000001"/>
    <x v="38"/>
    <d v="2026-12-31T00:00:00"/>
    <m/>
    <m/>
    <m/>
    <m/>
    <m/>
    <m/>
    <m/>
    <m/>
    <s v="-"/>
    <m/>
    <m/>
    <m/>
    <d v="1900-12-29T00:00:00"/>
    <s v="-"/>
    <m/>
    <m/>
    <m/>
    <m/>
    <m/>
    <m/>
    <m/>
  </r>
  <r>
    <x v="2"/>
    <x v="4"/>
    <x v="1"/>
    <n v="118"/>
    <s v="Citicore Solar Negros Occidental 2. Inc."/>
    <s v="Silay 2b Solar Power Project"/>
    <m/>
    <s v="Negros Occidental"/>
    <m/>
    <n v="20"/>
    <n v="4.4043000000000001"/>
    <x v="14"/>
    <d v="2026-12-26T00:00:00"/>
    <m/>
    <m/>
    <m/>
    <m/>
    <m/>
    <m/>
    <m/>
    <m/>
    <s v=""/>
    <m/>
    <m/>
    <m/>
    <d v="1900-12-29T00:00:00"/>
    <s v=""/>
    <m/>
    <m/>
    <m/>
    <m/>
    <m/>
    <m/>
    <m/>
  </r>
  <r>
    <x v="2"/>
    <x v="4"/>
    <x v="1"/>
    <n v="119"/>
    <s v="Citicore Solar Cebu, Inc."/>
    <s v="Toledo Solar Power Project"/>
    <m/>
    <s v="Cebu"/>
    <m/>
    <n v="49"/>
    <n v="4.4043000000000001"/>
    <x v="14"/>
    <d v="2026-12-26T00:00:00"/>
    <m/>
    <m/>
    <m/>
    <m/>
    <m/>
    <m/>
    <m/>
    <s v="PAO"/>
    <s v="25-07-01-M-PAO-E-0118V"/>
    <m/>
    <d v="2025-07-01T00:00:00"/>
    <d v="2025-07-01T00:00:00"/>
    <d v="2026-06-30T00:00:00"/>
    <n v="59966"/>
    <m/>
    <m/>
    <m/>
    <m/>
    <m/>
    <m/>
    <m/>
  </r>
  <r>
    <x v="2"/>
    <x v="4"/>
    <x v="1"/>
    <n v="120"/>
    <s v="Citicore Solar Negros Occidental 2, Inc."/>
    <s v="Silay 2a Solar Power Project"/>
    <m/>
    <s v="Negros Occidental"/>
    <m/>
    <n v="30"/>
    <n v="4.4043000000000001"/>
    <x v="14"/>
    <d v="2026-12-26T00:00:00"/>
    <m/>
    <m/>
    <m/>
    <m/>
    <m/>
    <m/>
    <m/>
    <m/>
    <s v="-"/>
    <m/>
    <m/>
    <m/>
    <d v="1900-12-29T00:00:00"/>
    <s v="-"/>
    <m/>
    <m/>
    <m/>
    <m/>
    <m/>
    <m/>
    <m/>
  </r>
  <r>
    <x v="2"/>
    <x v="4"/>
    <x v="1"/>
    <n v="121"/>
    <s v="Citicore Solar Negros Occidental, Inc."/>
    <s v="Silay Solar Power Project"/>
    <m/>
    <s v="Negros Occidental"/>
    <m/>
    <n v="50"/>
    <n v="4.4043000000000001"/>
    <x v="14"/>
    <d v="2026-12-26T00:00:00"/>
    <m/>
    <m/>
    <m/>
    <m/>
    <m/>
    <m/>
    <m/>
    <s v="PAO"/>
    <s v="25-07-07-M-PAO-E-0044V (1)"/>
    <m/>
    <d v="2025-07-07T00:00:00"/>
    <d v="2025-07-07T00:00:00"/>
    <d v="2026-07-06T00:00:00"/>
    <n v="25026"/>
    <m/>
    <m/>
    <m/>
    <m/>
    <m/>
    <m/>
    <m/>
  </r>
  <r>
    <x v="2"/>
    <x v="6"/>
    <x v="1"/>
    <n v="122"/>
    <s v="Citicore Wind Energy Corporation"/>
    <s v="lloilo CW 1 Wind Power Project"/>
    <m/>
    <s v="Iloilo"/>
    <m/>
    <n v="152"/>
    <n v="5.8480999999999996"/>
    <x v="39"/>
    <d v="2026-12-26T00:00:00"/>
    <m/>
    <m/>
    <m/>
    <m/>
    <m/>
    <m/>
    <m/>
    <m/>
    <s v="-"/>
    <m/>
    <m/>
    <m/>
    <d v="1900-12-29T00:00:00"/>
    <s v="-"/>
    <m/>
    <m/>
    <m/>
    <m/>
    <m/>
    <m/>
    <m/>
  </r>
  <r>
    <x v="2"/>
    <x v="6"/>
    <x v="1"/>
    <n v="123"/>
    <s v="Gemini Wind Energy Corp."/>
    <s v="Gemini Wind Power Project"/>
    <m/>
    <s v="Samar"/>
    <m/>
    <n v="200"/>
    <n v="5.8480999999999996"/>
    <x v="40"/>
    <d v="2026-12-15T00:00:00"/>
    <m/>
    <m/>
    <m/>
    <m/>
    <m/>
    <m/>
    <m/>
    <m/>
    <s v="-"/>
    <m/>
    <m/>
    <m/>
    <d v="1900-12-29T00:00:00"/>
    <s v="-"/>
    <m/>
    <m/>
    <m/>
    <m/>
    <m/>
    <m/>
    <m/>
  </r>
  <r>
    <x v="2"/>
    <x v="6"/>
    <x v="1"/>
    <n v="124"/>
    <s v="FirstMaxpower  international Corporation"/>
    <s v="Bago City Wind Power Project"/>
    <m/>
    <s v="Negros Occidental"/>
    <m/>
    <n v="150"/>
    <n v="5.8480999999999996"/>
    <x v="41"/>
    <d v="2026-12-26T00:00:00"/>
    <m/>
    <m/>
    <m/>
    <m/>
    <m/>
    <m/>
    <m/>
    <m/>
    <s v=""/>
    <m/>
    <m/>
    <m/>
    <d v="1900-12-29T00:00:00"/>
    <s v=""/>
    <m/>
    <m/>
    <m/>
    <m/>
    <m/>
    <m/>
    <m/>
  </r>
  <r>
    <x v="1"/>
    <x v="8"/>
    <x v="2"/>
    <n v="125"/>
    <s v="Bac-Man Geothermal Inc."/>
    <s v="Tanawon Geothermal Power Plant - Unit 1"/>
    <m/>
    <s v="Sorsogon"/>
    <m/>
    <n v="21.573"/>
    <n v="7.7725999999999997"/>
    <x v="42"/>
    <d v="2026-03-31T00:00:00"/>
    <m/>
    <m/>
    <m/>
    <d v="2025-08-18T00:00:00"/>
    <m/>
    <m/>
    <m/>
    <s v="PAO"/>
    <s v="25-08-18-M-PAO-N-0494L"/>
    <m/>
    <d v="2025-08-18T00:00:00"/>
    <d v="2025-08-18T00:00:00"/>
    <d v="2026-08-17T00:00:00"/>
    <n v="21573"/>
    <m/>
    <m/>
    <m/>
    <m/>
    <m/>
    <m/>
    <m/>
  </r>
  <r>
    <x v="0"/>
    <x v="8"/>
    <x v="2"/>
    <n v="126"/>
    <s v="Energy Development Corporation"/>
    <s v="Mindanao 3 Binary Geothermal Power Plant Expansion Project Phase 3 - Unit 1"/>
    <m/>
    <s v="North Cotabato"/>
    <m/>
    <n v="3.669"/>
    <n v="5.1163999999999996"/>
    <x v="43"/>
    <d v="2025-12-01T00:00:00"/>
    <m/>
    <m/>
    <m/>
    <m/>
    <m/>
    <m/>
    <m/>
    <m/>
    <s v="-"/>
    <m/>
    <m/>
    <m/>
    <d v="1900-12-29T00:00:00"/>
    <s v="-"/>
    <m/>
    <m/>
    <m/>
    <m/>
    <m/>
    <m/>
    <m/>
  </r>
  <r>
    <x v="2"/>
    <x v="8"/>
    <x v="2"/>
    <n v="127"/>
    <s v="Energy Development Corporation"/>
    <s v="Bago Binary Geothermal Power Plant - Unit 1"/>
    <m/>
    <s v="Negros Occidental"/>
    <m/>
    <n v="5.6449999999999996"/>
    <n v="8.1173000000000002"/>
    <x v="42"/>
    <d v="2026-12-31T00:00:00"/>
    <m/>
    <m/>
    <m/>
    <m/>
    <m/>
    <m/>
    <m/>
    <m/>
    <s v="-"/>
    <m/>
    <m/>
    <m/>
    <d v="1900-12-29T00:00:00"/>
    <s v="-"/>
    <m/>
    <m/>
    <m/>
    <m/>
    <m/>
    <m/>
    <m/>
  </r>
  <r>
    <x v="1"/>
    <x v="9"/>
    <x v="2"/>
    <n v="128"/>
    <s v="Pan Pacific Renewable Power Phils. Corp."/>
    <s v="Gened 1 Hydroelectric Power Project"/>
    <m/>
    <s v="Nueva Vizcaya"/>
    <m/>
    <n v="150"/>
    <n v="4.5042"/>
    <x v="44"/>
    <d v="2030-12-30T00:00:00"/>
    <m/>
    <m/>
    <m/>
    <m/>
    <m/>
    <m/>
    <m/>
    <m/>
    <s v="-"/>
    <m/>
    <m/>
    <m/>
    <d v="1900-12-29T00:00:00"/>
    <s v="-"/>
    <m/>
    <m/>
    <m/>
    <m/>
    <m/>
    <m/>
    <m/>
  </r>
  <r>
    <x v="1"/>
    <x v="9"/>
    <x v="2"/>
    <n v="129"/>
    <s v="Pan Pacific Renewable Power Phils. Corp."/>
    <s v="Gened 2 Hydroelectric Power Project"/>
    <m/>
    <s v="Nueva Vizcaya"/>
    <m/>
    <n v="150"/>
    <n v="4.7546999999999997"/>
    <x v="45"/>
    <d v="2030-12-30T00:00:00"/>
    <m/>
    <m/>
    <m/>
    <m/>
    <m/>
    <m/>
    <m/>
    <m/>
    <s v="-"/>
    <m/>
    <m/>
    <m/>
    <d v="1900-12-29T00:00:00"/>
    <s v="-"/>
    <m/>
    <m/>
    <m/>
    <m/>
    <m/>
    <m/>
    <m/>
  </r>
  <r>
    <x v="1"/>
    <x v="10"/>
    <x v="2"/>
    <n v="130"/>
    <s v="Coheco Badeo Corporation"/>
    <s v="Kibungan Pumped Storage Hydroelectric Power Project"/>
    <m/>
    <s v="Benguet"/>
    <m/>
    <n v="500"/>
    <n v="2.5787"/>
    <x v="46"/>
    <d v="2030-12-31T00:00:00"/>
    <m/>
    <m/>
    <m/>
    <m/>
    <m/>
    <m/>
    <m/>
    <m/>
    <s v="-"/>
    <m/>
    <m/>
    <m/>
    <d v="1900-12-29T00:00:00"/>
    <s v="-"/>
    <m/>
    <m/>
    <m/>
    <m/>
    <m/>
    <m/>
    <m/>
  </r>
  <r>
    <x v="1"/>
    <x v="10"/>
    <x v="2"/>
    <n v="131"/>
    <s v="Olympia Violago Water and Power, Inc."/>
    <s v="Wawa Pumped Storage 1 Hydroelectric Power Project"/>
    <m/>
    <s v="Wawa"/>
    <m/>
    <n v="600"/>
    <n v="5.3560999999999996"/>
    <x v="47"/>
    <d v="2030-12-31T00:00:00"/>
    <m/>
    <m/>
    <m/>
    <m/>
    <m/>
    <m/>
    <m/>
    <m/>
    <s v="-"/>
    <m/>
    <m/>
    <m/>
    <d v="1900-12-29T00:00:00"/>
    <s v="-"/>
    <m/>
    <m/>
    <m/>
    <m/>
    <m/>
    <m/>
    <m/>
  </r>
  <r>
    <x v="1"/>
    <x v="10"/>
    <x v="2"/>
    <n v="132"/>
    <s v="Ahunan Power, Inc."/>
    <s v="Pakil Pumped Storage Hydroelectric Power Project"/>
    <m/>
    <s v="Laguna"/>
    <m/>
    <n v="1400"/>
    <n v="5.4596999999999998"/>
    <x v="48"/>
    <d v="2030-12-31T00:00:00"/>
    <m/>
    <m/>
    <m/>
    <m/>
    <m/>
    <m/>
    <m/>
    <m/>
    <s v="-"/>
    <m/>
    <m/>
    <m/>
    <d v="1900-12-29T00:00:00"/>
    <s v="-"/>
    <m/>
    <m/>
    <m/>
    <m/>
    <m/>
    <m/>
    <m/>
  </r>
  <r>
    <x v="1"/>
    <x v="10"/>
    <x v="2"/>
    <n v="133"/>
    <s v="San Roque Hydropower Inc."/>
    <s v="San Roque Lower East Pumped Storage Hydroelectric Power Project"/>
    <m/>
    <s v="Benguet"/>
    <m/>
    <n v="800"/>
    <n v="3.2581000000000002"/>
    <x v="49"/>
    <d v="2032-10-01T00:00:00"/>
    <m/>
    <m/>
    <m/>
    <m/>
    <m/>
    <m/>
    <m/>
    <m/>
    <s v="-"/>
    <m/>
    <m/>
    <m/>
    <d v="1900-12-29T00:00:00"/>
    <s v="-"/>
    <m/>
    <m/>
    <m/>
    <m/>
    <m/>
    <m/>
    <m/>
  </r>
  <r>
    <x v="1"/>
    <x v="10"/>
    <x v="2"/>
    <n v="134"/>
    <s v="San Roque Hydropower Inc."/>
    <s v="San Roque West Pumped Storage Hydroelectric Power Project"/>
    <m/>
    <s v="Benguet"/>
    <m/>
    <n v="800"/>
    <n v="3.3544999999999998"/>
    <x v="50"/>
    <d v="2032-10-01T00:00:00"/>
    <m/>
    <m/>
    <m/>
    <m/>
    <m/>
    <m/>
    <m/>
    <m/>
    <s v="-"/>
    <m/>
    <m/>
    <m/>
    <d v="1900-12-29T00:00:00"/>
    <s v="-"/>
    <m/>
    <m/>
    <m/>
    <m/>
    <m/>
    <m/>
    <m/>
  </r>
  <r>
    <x v="1"/>
    <x v="10"/>
    <x v="2"/>
    <n v="135"/>
    <s v="Pan Pacific Renewable Power Phils. Corp."/>
    <s v="Maton Pumped Storage Hydroelectric Power Project"/>
    <m/>
    <s v="Apayao"/>
    <m/>
    <n v="2000"/>
    <n v="3.5038999999999998"/>
    <x v="51"/>
    <d v="2031-12-30T00:00:00"/>
    <m/>
    <m/>
    <m/>
    <m/>
    <m/>
    <m/>
    <m/>
    <m/>
    <s v="-"/>
    <m/>
    <m/>
    <m/>
    <d v="1900-12-29T00:00:00"/>
    <s v="-"/>
    <m/>
    <m/>
    <m/>
    <m/>
    <m/>
    <m/>
    <m/>
  </r>
  <r>
    <x v="2"/>
    <x v="10"/>
    <x v="2"/>
    <n v="136"/>
    <s v="San Roque Hydropower Inc."/>
    <s v="Aklan Pumped Storage Hydroelectric Power Project"/>
    <m/>
    <s v="Aklan"/>
    <m/>
    <n v="250"/>
    <n v="3.7319"/>
    <x v="52"/>
    <d v="2035-03-31T00:00:00"/>
    <m/>
    <m/>
    <m/>
    <m/>
    <m/>
    <m/>
    <m/>
    <m/>
    <s v="-"/>
    <m/>
    <m/>
    <m/>
    <d v="1900-12-29T00:00:00"/>
    <s v="-"/>
    <m/>
    <m/>
    <m/>
    <m/>
    <m/>
    <m/>
    <m/>
  </r>
  <r>
    <x v="2"/>
    <x v="4"/>
    <x v="3"/>
    <n v="137"/>
    <s v="Amatera Renewable Energy_x000a_Corporation"/>
    <s v="Vista Alegre Solar Power Project"/>
    <s v="Bacolod City, Negros Occidental"/>
    <s v="Negros Occidental"/>
    <m/>
    <n v="50.1"/>
    <s v="4.4832​"/>
    <x v="53"/>
    <m/>
    <d v="2026-01-15T00:00:00"/>
    <d v="2026-01-15T00:00:00"/>
    <m/>
    <m/>
    <s v="awaiting COC"/>
    <s v="S2026-03-008"/>
    <m/>
    <m/>
    <s v=""/>
    <m/>
    <m/>
    <m/>
    <d v="1900-12-29T00:00:00"/>
    <s v=""/>
    <m/>
    <n v="1010"/>
    <s v="not yet effective"/>
    <m/>
    <m/>
    <m/>
    <s v="not yet billing"/>
  </r>
  <r>
    <x v="1"/>
    <x v="4"/>
    <x v="3"/>
    <n v="138"/>
    <s v="Ecopark Energy of Valenzuela Corp."/>
    <s v="Ecopark Isla Solar Power Plant"/>
    <s v="Valenzuela City, Metro Manila"/>
    <s v="Metro Manila"/>
    <m/>
    <n v="4.0350000000000001"/>
    <s v="4.4832​"/>
    <x v="54"/>
    <m/>
    <d v="2026-01-25T00:00:00"/>
    <d v="2026-01-25T00:00:00"/>
    <m/>
    <m/>
    <s v="awaiting approval of COE-GET"/>
    <m/>
    <m/>
    <s v="PAO"/>
    <s v="25-12-17-M-PAO-E-0390L (1)"/>
    <m/>
    <d v="2025-12-17T00:00:00"/>
    <d v="2025-12-17T00:00:00"/>
    <d v="2026-12-16T00:00:00"/>
    <n v="4693"/>
    <m/>
    <n v="1008"/>
    <s v="Effective"/>
    <m/>
    <m/>
    <m/>
    <m/>
  </r>
  <r>
    <x v="1"/>
    <x v="4"/>
    <x v="3"/>
    <n v="139"/>
    <s v="Ecopark Energy of Valenzuela Corp."/>
    <s v="Ecopark Tagalag Solar Power Plant"/>
    <s v="Valenzuela City, Metro Manila"/>
    <s v="Metro Manila"/>
    <m/>
    <n v="14.7"/>
    <s v="4.4832​"/>
    <x v="54"/>
    <m/>
    <d v="2026-01-25T00:00:00"/>
    <d v="2026-01-25T00:00:00"/>
    <m/>
    <m/>
    <s v="awaiting approval of COE-GET"/>
    <m/>
    <m/>
    <s v="PAO"/>
    <s v="25-09-12-M-PAO-E-0233L(1)"/>
    <m/>
    <d v="2025-09-12T00:00:00"/>
    <d v="2025-09-12T00:00:00"/>
    <d v="2026-09-11T00:00:00"/>
    <n v="16002"/>
    <m/>
    <n v="1009"/>
    <s v="Effective"/>
    <m/>
    <m/>
    <m/>
    <m/>
  </r>
  <r>
    <x v="1"/>
    <x v="5"/>
    <x v="3"/>
    <n v="140"/>
    <s v="Jin-Navitas Solaris Inc."/>
    <s v="Naic Solar Rooftop Power Project"/>
    <s v="Naic, Cavite"/>
    <s v="Cavite"/>
    <m/>
    <n v="4.95"/>
    <s v="5.6800​"/>
    <x v="55"/>
    <m/>
    <d v="2026-02-26T00:00:00"/>
    <d v="2026-02-26T00:00:00"/>
    <m/>
    <m/>
    <m/>
    <s v="S2026-02-007"/>
    <m/>
    <s v="COC"/>
    <s v="26-02-M-00364L"/>
    <m/>
    <d v="2026-02-16T00:00:00"/>
    <d v="2026-02-16T00:00:00"/>
    <d v="2027-02-15T00:00:00"/>
    <n v="6554"/>
    <m/>
    <s v="1006"/>
    <s v="Effective"/>
    <m/>
    <m/>
    <m/>
    <m/>
  </r>
  <r>
    <x v="1"/>
    <x v="4"/>
    <x v="3"/>
    <n v="141"/>
    <s v="Tuy Solar Power Corporation"/>
    <s v="Magahis Solar Power Plant Project; Phase I"/>
    <s v="Tuy, Batangas"/>
    <s v="Batangas"/>
    <m/>
    <n v="170"/>
    <s v="4.4832​"/>
    <x v="56"/>
    <m/>
    <d v="2026-12-12T00:00:00"/>
    <m/>
    <m/>
    <m/>
    <m/>
    <m/>
    <m/>
    <m/>
    <s v="-"/>
    <m/>
    <m/>
    <m/>
    <d v="1900-12-29T00:00:00"/>
    <s v="-"/>
    <m/>
    <m/>
    <m/>
    <m/>
    <m/>
    <m/>
    <m/>
  </r>
  <r>
    <x v="1"/>
    <x v="4"/>
    <x v="3"/>
    <n v="142"/>
    <s v="Renovable Earth Corp."/>
    <s v="Sual Solar Power Plant"/>
    <s v="Sual, Pangasinan"/>
    <s v="Pangasinan"/>
    <m/>
    <n v="33"/>
    <s v="4.4832​"/>
    <x v="57"/>
    <m/>
    <d v="2026-12-24T00:00:00"/>
    <m/>
    <m/>
    <m/>
    <m/>
    <m/>
    <m/>
    <m/>
    <s v="-"/>
    <m/>
    <m/>
    <m/>
    <d v="1900-12-29T00:00:00"/>
    <s v="-"/>
    <m/>
    <m/>
    <m/>
    <m/>
    <m/>
    <m/>
    <m/>
  </r>
  <r>
    <x v="1"/>
    <x v="11"/>
    <x v="3"/>
    <n v="143"/>
    <s v="Citicore Renewable Energy Corporation"/>
    <s v="Bolbok 3 Solar Power Project; Phase 1"/>
    <s v="Tuy, Batangas"/>
    <s v="Batangas"/>
    <m/>
    <n v="50"/>
    <s v="5.4028​"/>
    <x v="58"/>
    <m/>
    <d v="2026-12-26T00:00:00"/>
    <m/>
    <m/>
    <m/>
    <m/>
    <m/>
    <m/>
    <m/>
    <s v="-"/>
    <m/>
    <m/>
    <m/>
    <d v="1900-12-29T00:00:00"/>
    <s v="-"/>
    <m/>
    <m/>
    <m/>
    <m/>
    <m/>
    <m/>
    <m/>
  </r>
  <r>
    <x v="2"/>
    <x v="11"/>
    <x v="3"/>
    <n v="144"/>
    <s v="Citicore Renewable Energy Corporation"/>
    <s v="Silay 2D Solar Power Project; Phase 1"/>
    <s v="Silay City, Negros Occidental"/>
    <s v="Negros Occidental"/>
    <m/>
    <n v="35.71"/>
    <s v="5.4028​"/>
    <x v="58"/>
    <m/>
    <d v="2026-12-26T00:00:00"/>
    <m/>
    <m/>
    <m/>
    <m/>
    <m/>
    <m/>
    <m/>
    <s v="-"/>
    <m/>
    <m/>
    <m/>
    <d v="1900-12-29T00:00:00"/>
    <s v="-"/>
    <m/>
    <m/>
    <m/>
    <m/>
    <m/>
    <m/>
    <m/>
  </r>
  <r>
    <x v="0"/>
    <x v="11"/>
    <x v="3"/>
    <n v="145"/>
    <s v="Apolaki Seven Inc."/>
    <s v="Tantangan Solar Power Project; Phase 2"/>
    <s v="Tantangan, South Cotabato"/>
    <s v="South Cotabato"/>
    <m/>
    <n v="13.38"/>
    <s v="5.4028​"/>
    <x v="58"/>
    <m/>
    <d v="2026-12-26T00:00:00"/>
    <m/>
    <m/>
    <m/>
    <m/>
    <m/>
    <m/>
    <m/>
    <s v=""/>
    <m/>
    <m/>
    <m/>
    <d v="1900-12-29T00:00:00"/>
    <s v=""/>
    <m/>
    <m/>
    <m/>
    <m/>
    <m/>
    <m/>
    <m/>
  </r>
  <r>
    <x v="1"/>
    <x v="4"/>
    <x v="3"/>
    <n v="146"/>
    <s v="Citicore Renewable Energy Corporation"/>
    <s v="Pagbilao 3 Solar Power Project; Phase 1"/>
    <s v="Pagbilao, Quezon"/>
    <s v="Quezon"/>
    <m/>
    <n v="50"/>
    <s v="4.4832​"/>
    <x v="18"/>
    <m/>
    <d v="2026-12-26T00:00:00"/>
    <m/>
    <m/>
    <m/>
    <m/>
    <m/>
    <m/>
    <m/>
    <s v="-"/>
    <m/>
    <m/>
    <m/>
    <d v="1900-12-29T00:00:00"/>
    <s v="-"/>
    <m/>
    <m/>
    <m/>
    <m/>
    <m/>
    <m/>
    <m/>
  </r>
  <r>
    <x v="1"/>
    <x v="4"/>
    <x v="3"/>
    <n v="147"/>
    <s v="Citicore Renewable Energy Corporation"/>
    <s v="Pagbilao 3 Solar Power Project; Phase 2"/>
    <s v="Pagbilao, Quezon"/>
    <s v="Quezon"/>
    <m/>
    <n v="50"/>
    <s v="4.4832​"/>
    <x v="18"/>
    <m/>
    <d v="2026-12-26T00:00:00"/>
    <m/>
    <m/>
    <m/>
    <m/>
    <m/>
    <m/>
    <m/>
    <s v="-"/>
    <m/>
    <m/>
    <m/>
    <d v="1900-12-29T00:00:00"/>
    <s v="-"/>
    <m/>
    <m/>
    <m/>
    <m/>
    <m/>
    <m/>
    <m/>
  </r>
  <r>
    <x v="1"/>
    <x v="4"/>
    <x v="3"/>
    <n v="148"/>
    <s v="Pacific Impact Energy Corp."/>
    <s v="Capantolan Solar Power Project"/>
    <s v="Sual, Pangasinan"/>
    <s v="Pangasinan"/>
    <m/>
    <n v="42"/>
    <s v="4.4832​"/>
    <x v="59"/>
    <m/>
    <d v="2026-12-26T00:00:00"/>
    <m/>
    <m/>
    <m/>
    <m/>
    <m/>
    <m/>
    <m/>
    <s v="-"/>
    <m/>
    <m/>
    <m/>
    <d v="1900-12-29T00:00:00"/>
    <s v="-"/>
    <m/>
    <m/>
    <m/>
    <m/>
    <m/>
    <m/>
    <m/>
  </r>
  <r>
    <x v="1"/>
    <x v="4"/>
    <x v="3"/>
    <n v="149"/>
    <s v="Citicore Renewable Energy Corporation"/>
    <s v="Bolbok 4 Solar Power Project; Phase 1"/>
    <s v="Tuy, Batangas"/>
    <s v="Batangas"/>
    <m/>
    <n v="50"/>
    <s v="4.4832​"/>
    <x v="60"/>
    <m/>
    <d v="2026-12-26T00:00:00"/>
    <m/>
    <m/>
    <m/>
    <m/>
    <m/>
    <m/>
    <m/>
    <s v="-"/>
    <m/>
    <m/>
    <m/>
    <d v="1900-12-29T00:00:00"/>
    <s v="-"/>
    <m/>
    <m/>
    <m/>
    <m/>
    <m/>
    <m/>
    <m/>
  </r>
  <r>
    <x v="1"/>
    <x v="4"/>
    <x v="3"/>
    <n v="150"/>
    <s v="Citicore Solar Batangas 1, Inc."/>
    <s v="Luntal Solar Power Project"/>
    <s v="Tuy, Batangas"/>
    <s v="Batangas"/>
    <m/>
    <n v="50"/>
    <s v="4.4832​"/>
    <x v="60"/>
    <m/>
    <d v="2026-12-26T00:00:00"/>
    <m/>
    <m/>
    <m/>
    <m/>
    <m/>
    <m/>
    <m/>
    <s v="-"/>
    <m/>
    <m/>
    <m/>
    <d v="1900-12-29T00:00:00"/>
    <s v="-"/>
    <m/>
    <m/>
    <m/>
    <m/>
    <m/>
    <m/>
    <m/>
  </r>
  <r>
    <x v="1"/>
    <x v="4"/>
    <x v="3"/>
    <n v="151"/>
    <s v="Citicore Renewable Energy Corporation"/>
    <s v="Bolbok 5 Solar Power Project; Phase 2"/>
    <s v="Tuy, Batangas"/>
    <s v="Batangas"/>
    <m/>
    <n v="50"/>
    <s v="4.4832​"/>
    <x v="60"/>
    <m/>
    <d v="2026-12-26T00:00:00"/>
    <m/>
    <m/>
    <m/>
    <m/>
    <m/>
    <m/>
    <m/>
    <s v="-"/>
    <m/>
    <m/>
    <m/>
    <d v="1900-12-29T00:00:00"/>
    <s v="-"/>
    <m/>
    <m/>
    <m/>
    <m/>
    <m/>
    <m/>
    <m/>
  </r>
  <r>
    <x v="1"/>
    <x v="4"/>
    <x v="3"/>
    <n v="152"/>
    <s v="Citicore Solar Batangas 1, Inc."/>
    <s v="Lumbangan Solar Power Project"/>
    <s v="Tuy, Batangas"/>
    <s v="Batangas"/>
    <m/>
    <n v="90"/>
    <s v="4.4832​"/>
    <x v="60"/>
    <m/>
    <d v="2026-12-26T00:00:00"/>
    <m/>
    <m/>
    <m/>
    <m/>
    <m/>
    <m/>
    <m/>
    <s v="-"/>
    <m/>
    <m/>
    <m/>
    <d v="1900-12-29T00:00:00"/>
    <s v="-"/>
    <m/>
    <m/>
    <m/>
    <m/>
    <m/>
    <m/>
    <m/>
  </r>
  <r>
    <x v="1"/>
    <x v="4"/>
    <x v="3"/>
    <n v="153"/>
    <s v="Citicore Renewable Energy Corporation"/>
    <s v="Bolbok 5 Solar Power Project; Phase1"/>
    <s v="Tuy, Batangas"/>
    <s v="Batangas"/>
    <m/>
    <n v="50"/>
    <s v="4.4832​"/>
    <x v="60"/>
    <m/>
    <d v="2026-12-26T00:00:00"/>
    <m/>
    <m/>
    <m/>
    <m/>
    <m/>
    <m/>
    <m/>
    <s v="-"/>
    <m/>
    <m/>
    <m/>
    <d v="1900-12-29T00:00:00"/>
    <s v="-"/>
    <m/>
    <m/>
    <m/>
    <m/>
    <m/>
    <m/>
    <m/>
  </r>
  <r>
    <x v="1"/>
    <x v="4"/>
    <x v="3"/>
    <n v="154"/>
    <s v="Citicore Renewable Energy Corporation"/>
    <s v="Bolbok 5 Solar Power Project; Phase 3"/>
    <s v="Tuy, Batangas"/>
    <s v="Batangas"/>
    <m/>
    <n v="50"/>
    <s v="4.4832​"/>
    <x v="60"/>
    <m/>
    <d v="2026-12-26T00:00:00"/>
    <m/>
    <m/>
    <m/>
    <m/>
    <m/>
    <m/>
    <m/>
    <s v="-"/>
    <m/>
    <m/>
    <m/>
    <d v="1900-12-29T00:00:00"/>
    <s v="-"/>
    <m/>
    <m/>
    <m/>
    <m/>
    <m/>
    <m/>
    <m/>
  </r>
  <r>
    <x v="1"/>
    <x v="4"/>
    <x v="3"/>
    <n v="155"/>
    <s v="Citicore Renewable Energy Corporation"/>
    <s v="Bolbok 4 Solar Power Project; Phase 2"/>
    <s v="Tuy, Batangas"/>
    <s v="Batangas"/>
    <m/>
    <n v="50"/>
    <s v="4.4832​"/>
    <x v="60"/>
    <m/>
    <d v="2026-12-26T00:00:00"/>
    <m/>
    <m/>
    <m/>
    <m/>
    <m/>
    <m/>
    <m/>
    <s v="-"/>
    <m/>
    <m/>
    <m/>
    <d v="1900-12-29T00:00:00"/>
    <s v="-"/>
    <m/>
    <m/>
    <m/>
    <m/>
    <m/>
    <m/>
    <m/>
  </r>
  <r>
    <x v="1"/>
    <x v="4"/>
    <x v="3"/>
    <n v="156"/>
    <s v="Citicore Renewable Energy Corporation"/>
    <s v="Bolbok 4 Solar Power Project Phase 3"/>
    <s v="Tuy, Batangas"/>
    <s v="Batangas"/>
    <m/>
    <n v="50"/>
    <s v="4.4832​"/>
    <x v="60"/>
    <m/>
    <d v="2026-12-26T00:00:00"/>
    <m/>
    <m/>
    <m/>
    <m/>
    <m/>
    <m/>
    <m/>
    <s v="-"/>
    <m/>
    <m/>
    <m/>
    <d v="1900-12-29T00:00:00"/>
    <s v="-"/>
    <m/>
    <m/>
    <m/>
    <m/>
    <m/>
    <m/>
    <m/>
  </r>
  <r>
    <x v="1"/>
    <x v="4"/>
    <x v="3"/>
    <n v="157"/>
    <s v="Sapang Balen Solar Sustainable Energy_x000a_Corp."/>
    <s v="Sapang Balen Solar 2 Power Project"/>
    <s v="Mabalacat City and Magalang, Pampanga and_x000a_Concepcion, Tarlac"/>
    <s v="Tarlac"/>
    <m/>
    <n v="90"/>
    <s v="4.4832​"/>
    <x v="61"/>
    <m/>
    <d v="2026-12-26T00:00:00"/>
    <m/>
    <m/>
    <m/>
    <m/>
    <m/>
    <m/>
    <m/>
    <s v=""/>
    <m/>
    <m/>
    <m/>
    <d v="1900-12-29T00:00:00"/>
    <s v=""/>
    <m/>
    <m/>
    <m/>
    <m/>
    <m/>
    <m/>
    <m/>
  </r>
  <r>
    <x v="1"/>
    <x v="4"/>
    <x v="3"/>
    <n v="158"/>
    <s v="Equator Energy Corporation"/>
    <s v="Castilla Solar Power Plant"/>
    <s v="Castilla, Sorsogon"/>
    <s v="Sorsogon"/>
    <m/>
    <n v="39.984000000000002"/>
    <s v="4.4832​"/>
    <x v="62"/>
    <m/>
    <d v="2026-12-30T00:00:00"/>
    <m/>
    <m/>
    <m/>
    <m/>
    <m/>
    <m/>
    <m/>
    <s v="-"/>
    <m/>
    <m/>
    <m/>
    <d v="1900-12-29T00:00:00"/>
    <s v="-"/>
    <m/>
    <m/>
    <m/>
    <m/>
    <m/>
    <m/>
    <m/>
  </r>
  <r>
    <x v="2"/>
    <x v="4"/>
    <x v="3"/>
    <n v="159"/>
    <s v="Bohol Solar Energy Inc."/>
    <s v="Sikatuna Solar Power Project"/>
    <s v="Sikatuna and Balilihan, Bohol"/>
    <s v="Bohol"/>
    <m/>
    <n v="37.884"/>
    <s v="4.4832​"/>
    <x v="54"/>
    <m/>
    <d v="2026-12-30T00:00:00"/>
    <m/>
    <m/>
    <m/>
    <m/>
    <m/>
    <m/>
    <m/>
    <s v="-"/>
    <m/>
    <m/>
    <m/>
    <d v="1900-12-29T00:00:00"/>
    <s v="-"/>
    <m/>
    <m/>
    <m/>
    <m/>
    <m/>
    <m/>
    <m/>
  </r>
  <r>
    <x v="0"/>
    <x v="4"/>
    <x v="3"/>
    <n v="160"/>
    <s v="Pagayawan Renewable Energy Corp."/>
    <s v="Pagayawan Solar Power Plant Project"/>
    <s v="Bacolod, Lanao del Norte"/>
    <s v="Lanao del Norte"/>
    <m/>
    <n v="20"/>
    <s v="4.4832​"/>
    <x v="63"/>
    <m/>
    <d v="2026-12-30T00:00:00"/>
    <m/>
    <m/>
    <m/>
    <m/>
    <m/>
    <m/>
    <m/>
    <s v="-"/>
    <m/>
    <m/>
    <m/>
    <d v="1900-12-29T00:00:00"/>
    <s v="-"/>
    <m/>
    <m/>
    <m/>
    <m/>
    <m/>
    <m/>
    <m/>
  </r>
  <r>
    <x v="0"/>
    <x v="4"/>
    <x v="3"/>
    <n v="161"/>
    <s v="SMC Global Light and Power Corp."/>
    <s v="Malita Solar Power Project; Phase 1"/>
    <s v="Malita, Davao Occidental"/>
    <s v="Davao Occidental"/>
    <m/>
    <n v="108"/>
    <s v="4.4832​"/>
    <x v="64"/>
    <m/>
    <d v="2026-12-30T00:00:00"/>
    <m/>
    <m/>
    <m/>
    <m/>
    <m/>
    <m/>
    <m/>
    <s v="-"/>
    <m/>
    <m/>
    <m/>
    <d v="1900-12-29T00:00:00"/>
    <s v="-"/>
    <m/>
    <m/>
    <m/>
    <m/>
    <m/>
    <m/>
    <m/>
  </r>
  <r>
    <x v="1"/>
    <x v="5"/>
    <x v="3"/>
    <n v="162"/>
    <s v="Joy-Nostalg Solaris Incorporated"/>
    <s v="Ning*Ning Muzon-Labac Rooftop Solar Power_x000a_Project"/>
    <s v="Naic, Ternate, and Maragondon Cavite"/>
    <s v="Cavite"/>
    <m/>
    <n v="10.497"/>
    <s v="5.6800​"/>
    <x v="55"/>
    <m/>
    <d v="2026-12-30T00:00:00"/>
    <m/>
    <m/>
    <m/>
    <m/>
    <m/>
    <m/>
    <m/>
    <s v="-"/>
    <m/>
    <m/>
    <m/>
    <d v="1900-12-29T00:00:00"/>
    <s v="-"/>
    <m/>
    <m/>
    <m/>
    <m/>
    <m/>
    <m/>
    <m/>
  </r>
  <r>
    <x v="1"/>
    <x v="4"/>
    <x v="3"/>
    <n v="163"/>
    <s v="East Cornerstone Development Corp."/>
    <s v="San Lorenzo Ruiz Solar Power Plant"/>
    <s v="San Lorenzo Ruiz, Camarines Norte"/>
    <s v="Camarines Norte"/>
    <m/>
    <n v="5"/>
    <s v="4.4832​"/>
    <x v="18"/>
    <m/>
    <d v="2026-12-31T00:00:00"/>
    <m/>
    <m/>
    <m/>
    <m/>
    <m/>
    <m/>
    <m/>
    <s v="-"/>
    <m/>
    <m/>
    <m/>
    <d v="1900-12-29T00:00:00"/>
    <s v="-"/>
    <m/>
    <m/>
    <m/>
    <m/>
    <m/>
    <m/>
    <m/>
  </r>
  <r>
    <x v="1"/>
    <x v="4"/>
    <x v="3"/>
    <n v="164"/>
    <s v="Tai Yang 1 Power Inc."/>
    <s v="Bataan Solar Power Project"/>
    <s v="Mariveles, Bataan"/>
    <s v="Bataan"/>
    <m/>
    <n v="16.5"/>
    <s v="4.4832​"/>
    <x v="60"/>
    <m/>
    <d v="2026-12-31T00:00:00"/>
    <m/>
    <m/>
    <m/>
    <m/>
    <m/>
    <m/>
    <m/>
    <s v="-"/>
    <m/>
    <m/>
    <m/>
    <d v="1900-12-29T00:00:00"/>
    <s v="-"/>
    <m/>
    <m/>
    <m/>
    <m/>
    <m/>
    <m/>
    <m/>
  </r>
  <r>
    <x v="1"/>
    <x v="4"/>
    <x v="3"/>
    <n v="165"/>
    <s v="San Ignacio Energy Resources_x000a_Development Corporation"/>
    <s v="Isabela Ground Mounted Solar PV Project;_x000a_Phase 1"/>
    <s v="Ilagan City, Isabela"/>
    <s v="Isabela"/>
    <m/>
    <n v="96.472999999999999"/>
    <s v="4.4832​"/>
    <x v="65"/>
    <m/>
    <d v="2026-12-31T00:00:00"/>
    <m/>
    <m/>
    <m/>
    <m/>
    <m/>
    <m/>
    <m/>
    <s v=""/>
    <m/>
    <m/>
    <m/>
    <d v="1900-12-29T00:00:00"/>
    <s v=""/>
    <m/>
    <m/>
    <m/>
    <m/>
    <m/>
    <m/>
    <m/>
  </r>
  <r>
    <x v="2"/>
    <x v="4"/>
    <x v="3"/>
    <n v="166"/>
    <s v="Freya Renewables Inc."/>
    <s v="Daanbantayan Solar Power Project"/>
    <s v="Daanbantayan, Cebu"/>
    <s v="Cebu"/>
    <m/>
    <n v="150"/>
    <s v="4.4832​"/>
    <x v="66"/>
    <m/>
    <d v="2026-12-31T00:00:00"/>
    <m/>
    <m/>
    <m/>
    <m/>
    <m/>
    <m/>
    <m/>
    <s v="-"/>
    <m/>
    <m/>
    <m/>
    <d v="1900-12-29T00:00:00"/>
    <s v="-"/>
    <m/>
    <m/>
    <m/>
    <m/>
    <m/>
    <m/>
    <m/>
  </r>
  <r>
    <x v="2"/>
    <x v="4"/>
    <x v="3"/>
    <n v="167"/>
    <s v="Basic Energy Corporation"/>
    <s v="Cadiz 1 Solar Power Plant"/>
    <s v="Cadiz City, Negros Occidental"/>
    <s v="Negros Occidental"/>
    <m/>
    <n v="43.41"/>
    <s v="4.4832​"/>
    <x v="67"/>
    <m/>
    <d v="2026-12-31T00:00:00"/>
    <m/>
    <m/>
    <m/>
    <m/>
    <m/>
    <m/>
    <m/>
    <s v="-"/>
    <m/>
    <m/>
    <m/>
    <d v="1900-12-29T00:00:00"/>
    <s v="-"/>
    <m/>
    <m/>
    <m/>
    <m/>
    <m/>
    <m/>
    <m/>
  </r>
  <r>
    <x v="1"/>
    <x v="6"/>
    <x v="3"/>
    <n v="168"/>
    <s v="GIGA ACE 6, Inc."/>
    <s v="Quezon North Wind Power Project (Phase 3)"/>
    <s v="Brgys. Ermita, Quinale, Ilaya del Sur, Ilaya del Norte and_x000a_Bangkusay, Paete, Laguna &amp; Brgy. San Antonio, Kalayaan,_x000a_Laguna"/>
    <s v="Laguna"/>
    <m/>
    <n v="230"/>
    <s v="6.0859​"/>
    <x v="68"/>
    <m/>
    <d v="2026-12-31T00:00:00"/>
    <m/>
    <m/>
    <m/>
    <m/>
    <m/>
    <m/>
    <m/>
    <s v="-"/>
    <m/>
    <m/>
    <m/>
    <d v="1900-12-29T00:00:00"/>
    <s v="-"/>
    <m/>
    <m/>
    <m/>
    <m/>
    <m/>
    <m/>
    <m/>
  </r>
  <r>
    <x v="1"/>
    <x v="6"/>
    <x v="3"/>
    <n v="169"/>
    <s v="Laguna Wind Energy Corp."/>
    <s v="Kalayaan 2 Wind Power Project"/>
    <s v="Municipality of Kalayaan and Paete, Province of Laguna"/>
    <s v="Laguna"/>
    <m/>
    <n v="100.8"/>
    <s v="6.0859​"/>
    <x v="69"/>
    <m/>
    <d v="2026-12-31T00:00:00"/>
    <m/>
    <m/>
    <m/>
    <m/>
    <m/>
    <m/>
    <m/>
    <s v="-"/>
    <m/>
    <m/>
    <m/>
    <d v="1900-12-29T00:00:00"/>
    <s v="-"/>
    <m/>
    <m/>
    <m/>
    <m/>
    <m/>
    <m/>
    <m/>
  </r>
  <r>
    <x v="1"/>
    <x v="6"/>
    <x v="3"/>
    <n v="170"/>
    <s v="Econergy Renewable Power Philippines_x000a_Inc."/>
    <s v="South Eastern Wind Power Project"/>
    <s v="Municipalities of Casiguran, Barcelona, Gubat and_x000a_Province: Sorsogon"/>
    <s v="Sorsogon"/>
    <m/>
    <n v="49.99"/>
    <s v="6.0859​"/>
    <x v="70"/>
    <m/>
    <d v="2026-12-31T00:00:00"/>
    <m/>
    <m/>
    <m/>
    <m/>
    <m/>
    <m/>
    <m/>
    <s v=""/>
    <m/>
    <m/>
    <m/>
    <d v="1900-12-29T00:00:00"/>
    <s v=""/>
    <m/>
    <m/>
    <m/>
    <m/>
    <m/>
    <m/>
    <m/>
  </r>
  <r>
    <x v="1"/>
    <x v="4"/>
    <x v="3"/>
    <n v="171"/>
    <s v="SMC Global Light and Power Corp."/>
    <s v="Cauayan Solar Power Project; Phase 1"/>
    <s v="City of Cauayan and Naguilian, Isabela"/>
    <s v="Isabela"/>
    <m/>
    <n v="270"/>
    <s v="4.4832​"/>
    <x v="71"/>
    <m/>
    <d v="2027-01-01T00:00:00"/>
    <m/>
    <m/>
    <m/>
    <m/>
    <m/>
    <m/>
    <m/>
    <s v="-"/>
    <m/>
    <m/>
    <m/>
    <d v="1900-12-29T00:00:00"/>
    <s v="-"/>
    <m/>
    <m/>
    <m/>
    <m/>
    <m/>
    <m/>
    <m/>
  </r>
  <r>
    <x v="0"/>
    <x v="4"/>
    <x v="3"/>
    <n v="172"/>
    <s v="SMC Global Light and Power Corp."/>
    <s v="Malita Solar Power Project; Phase 2"/>
    <s v="Malita, Davao Occidental"/>
    <s v="Davao Occidental"/>
    <m/>
    <n v="27"/>
    <s v="4.4832​"/>
    <x v="72"/>
    <m/>
    <d v="2027-01-01T00:00:00"/>
    <m/>
    <m/>
    <m/>
    <m/>
    <m/>
    <m/>
    <m/>
    <s v="-"/>
    <m/>
    <m/>
    <m/>
    <d v="1900-12-29T00:00:00"/>
    <s v="-"/>
    <m/>
    <m/>
    <m/>
    <m/>
    <m/>
    <m/>
    <m/>
  </r>
  <r>
    <x v="0"/>
    <x v="4"/>
    <x v="3"/>
    <n v="173"/>
    <s v="Alabel Solar Energy Corporation"/>
    <s v="SPPC Solar Power Project (Phase 1)"/>
    <s v="Alabel, Sarangani"/>
    <s v="Sarangani"/>
    <m/>
    <n v="30"/>
    <s v="4.4832​"/>
    <x v="73"/>
    <m/>
    <d v="2027-09-30T00:00:00"/>
    <m/>
    <m/>
    <m/>
    <m/>
    <m/>
    <m/>
    <m/>
    <s v="-"/>
    <m/>
    <m/>
    <m/>
    <d v="1900-12-29T00:00:00"/>
    <s v="-"/>
    <m/>
    <m/>
    <m/>
    <m/>
    <m/>
    <m/>
    <m/>
  </r>
  <r>
    <x v="1"/>
    <x v="6"/>
    <x v="3"/>
    <n v="174"/>
    <s v="Quezon Wind Energy Corp"/>
    <s v="Quezon Wind Power Project (Phase 2)"/>
    <s v="Municipalities of Infanta, General Nakar, and Real,_x000a_Province of Quezon; Municipality of Tanay, Province of_x000a_Rizal; and Municipalities of Santa Maria, Siniloan, and_x000a_Famy, Province of Laguna"/>
    <s v="Laguna"/>
    <m/>
    <n v="208"/>
    <s v="6.0859​"/>
    <x v="74"/>
    <m/>
    <d v="2027-12-01T00:00:00"/>
    <m/>
    <m/>
    <m/>
    <m/>
    <m/>
    <m/>
    <m/>
    <s v=""/>
    <m/>
    <m/>
    <m/>
    <d v="1900-12-29T00:00:00"/>
    <s v=""/>
    <m/>
    <m/>
    <m/>
    <m/>
    <m/>
    <m/>
    <m/>
  </r>
  <r>
    <x v="1"/>
    <x v="4"/>
    <x v="3"/>
    <n v="175"/>
    <s v="Verde Radiant Power Corporation"/>
    <s v="Villaverde Ground-Mounted Solar-Photovoltaic_x000a_Project"/>
    <s v="Villaverde, Nueva Viscaya"/>
    <s v="Nueva Vizcaya"/>
    <m/>
    <n v="11.84"/>
    <s v="4.4832​"/>
    <x v="75"/>
    <m/>
    <d v="2027-12-05T00:00:00"/>
    <m/>
    <m/>
    <m/>
    <m/>
    <m/>
    <m/>
    <m/>
    <s v="-"/>
    <m/>
    <m/>
    <m/>
    <d v="1900-12-29T00:00:00"/>
    <s v="-"/>
    <m/>
    <m/>
    <m/>
    <m/>
    <m/>
    <m/>
    <m/>
  </r>
  <r>
    <x v="2"/>
    <x v="4"/>
    <x v="3"/>
    <n v="176"/>
    <s v="Zamboanguita Solar Power Corporation"/>
    <s v="Zamboanguita Solar Power Project"/>
    <s v="Zamboanguita and Siaton, Negros Oriental"/>
    <s v="Negros Oriental"/>
    <m/>
    <n v="50"/>
    <s v="4.4832​"/>
    <x v="76"/>
    <m/>
    <d v="2027-12-12T00:00:00"/>
    <m/>
    <m/>
    <m/>
    <m/>
    <m/>
    <m/>
    <m/>
    <s v="-"/>
    <m/>
    <m/>
    <m/>
    <d v="1900-12-29T00:00:00"/>
    <s v="-"/>
    <m/>
    <m/>
    <m/>
    <m/>
    <m/>
    <m/>
    <m/>
  </r>
  <r>
    <x v="1"/>
    <x v="6"/>
    <x v="3"/>
    <n v="177"/>
    <s v="Wind Renewable Energy Corporation"/>
    <s v="Presentacion 2 Wind Power Project"/>
    <s v="Municipality of Presentacion, Province of Camarines Sur"/>
    <s v="Camarines Sur"/>
    <m/>
    <n v="49.5"/>
    <s v="6.0859​"/>
    <x v="77"/>
    <m/>
    <d v="2027-12-25T00:00:00"/>
    <m/>
    <m/>
    <m/>
    <m/>
    <m/>
    <m/>
    <m/>
    <s v="-"/>
    <m/>
    <m/>
    <m/>
    <d v="1900-12-29T00:00:00"/>
    <s v="-"/>
    <m/>
    <m/>
    <m/>
    <m/>
    <m/>
    <m/>
    <m/>
  </r>
  <r>
    <x v="1"/>
    <x v="11"/>
    <x v="3"/>
    <n v="178"/>
    <s v="Citicore Renewable Energy Corporation"/>
    <s v="Bolbok 3 Solar Power Project Phase 2"/>
    <s v="Tuy, Batangas"/>
    <s v="Batangas"/>
    <m/>
    <n v="50"/>
    <s v="5.4028​"/>
    <x v="78"/>
    <m/>
    <d v="2027-12-26T00:00:00"/>
    <m/>
    <m/>
    <m/>
    <m/>
    <m/>
    <m/>
    <m/>
    <s v="-"/>
    <m/>
    <m/>
    <m/>
    <d v="1900-12-29T00:00:00"/>
    <s v="-"/>
    <m/>
    <m/>
    <m/>
    <m/>
    <m/>
    <m/>
    <m/>
  </r>
  <r>
    <x v="2"/>
    <x v="11"/>
    <x v="3"/>
    <n v="179"/>
    <s v="Magallanes Solar Energy Corp."/>
    <s v="Barotac Viejo Solar Power Project"/>
    <s v="Barotac Viejo, Iloilo"/>
    <s v="Iloilo"/>
    <m/>
    <n v="67"/>
    <s v="5.4028​"/>
    <x v="79"/>
    <m/>
    <d v="2027-12-26T00:00:00"/>
    <m/>
    <m/>
    <m/>
    <m/>
    <m/>
    <m/>
    <m/>
    <s v="-"/>
    <m/>
    <m/>
    <m/>
    <d v="1900-12-29T00:00:00"/>
    <s v="-"/>
    <m/>
    <m/>
    <m/>
    <m/>
    <m/>
    <m/>
    <m/>
  </r>
  <r>
    <x v="2"/>
    <x v="11"/>
    <x v="3"/>
    <n v="180"/>
    <s v="Citicore Renewable Energy Corporation"/>
    <s v="Silay 2C Solar Power Project; Phase 1"/>
    <s v="Silay City, Negros Occidental"/>
    <s v="Negros Occidental"/>
    <m/>
    <n v="38"/>
    <s v="5.4028​"/>
    <x v="78"/>
    <m/>
    <d v="2027-12-26T00:00:00"/>
    <m/>
    <m/>
    <m/>
    <m/>
    <m/>
    <m/>
    <m/>
    <s v="-"/>
    <m/>
    <m/>
    <m/>
    <d v="1900-12-29T00:00:00"/>
    <s v="-"/>
    <m/>
    <m/>
    <m/>
    <m/>
    <m/>
    <m/>
    <m/>
  </r>
  <r>
    <x v="2"/>
    <x v="6"/>
    <x v="3"/>
    <n v="181"/>
    <s v="Envision Energy Philippines Corporation"/>
    <s v="Cauayan Wind Project"/>
    <s v="Cauayan, Negros Occidental"/>
    <s v="Negros Occidental"/>
    <m/>
    <n v="50"/>
    <s v="6.0859​"/>
    <x v="80"/>
    <m/>
    <d v="2027-12-26T00:00:00"/>
    <m/>
    <m/>
    <m/>
    <m/>
    <m/>
    <m/>
    <m/>
    <s v="-"/>
    <m/>
    <m/>
    <m/>
    <d v="1900-12-29T00:00:00"/>
    <s v="-"/>
    <m/>
    <m/>
    <m/>
    <m/>
    <m/>
    <m/>
    <m/>
  </r>
  <r>
    <x v="1"/>
    <x v="4"/>
    <x v="3"/>
    <n v="182"/>
    <s v="Bolo Renewable Energy Corp."/>
    <s v="Atimonan Solar Power Project"/>
    <s v="Atimonan, Quezon"/>
    <s v="Quezon"/>
    <m/>
    <n v="50"/>
    <s v="4.4832​"/>
    <x v="81"/>
    <m/>
    <d v="2027-12-30T00:00:00"/>
    <m/>
    <m/>
    <m/>
    <m/>
    <m/>
    <m/>
    <m/>
    <s v="-"/>
    <m/>
    <m/>
    <m/>
    <d v="1900-12-29T00:00:00"/>
    <s v="-"/>
    <m/>
    <m/>
    <m/>
    <m/>
    <m/>
    <m/>
    <m/>
  </r>
  <r>
    <x v="1"/>
    <x v="4"/>
    <x v="3"/>
    <n v="183"/>
    <s v="Bolo Renewable Energy Corp."/>
    <s v="Ultra Solar Power Plant Project"/>
    <s v="Padre Burgos and Atimonan, Quezon"/>
    <s v="Quezon"/>
    <m/>
    <n v="68"/>
    <s v="4.4832​"/>
    <x v="81"/>
    <m/>
    <d v="2027-12-30T00:00:00"/>
    <m/>
    <m/>
    <m/>
    <m/>
    <m/>
    <m/>
    <m/>
    <s v="-"/>
    <m/>
    <m/>
    <m/>
    <d v="1900-12-29T00:00:00"/>
    <s v="-"/>
    <m/>
    <m/>
    <m/>
    <m/>
    <m/>
    <m/>
    <m/>
  </r>
  <r>
    <x v="2"/>
    <x v="4"/>
    <x v="3"/>
    <n v="184"/>
    <s v="Joy-Nostalg Solaris Incorporated"/>
    <s v="Earthlight Concepcion Solar Power Project;_x000a_Phase 1"/>
    <s v="Concepcion, Iloilo"/>
    <s v="Iloilo"/>
    <m/>
    <n v="30.4"/>
    <s v="4.4832​"/>
    <x v="82"/>
    <m/>
    <d v="2027-12-30T00:00:00"/>
    <m/>
    <m/>
    <m/>
    <m/>
    <m/>
    <m/>
    <m/>
    <s v="-"/>
    <m/>
    <m/>
    <m/>
    <d v="1900-12-29T00:00:00"/>
    <s v="-"/>
    <m/>
    <m/>
    <m/>
    <m/>
    <m/>
    <m/>
    <m/>
  </r>
  <r>
    <x v="2"/>
    <x v="4"/>
    <x v="3"/>
    <n v="185"/>
    <s v="Sunpalo Solar Energy, lnc."/>
    <s v="San Miguel Solar Power Project"/>
    <s v="San Miguel, Leyte"/>
    <s v="Leyte"/>
    <m/>
    <n v="150"/>
    <s v="4.4832​"/>
    <x v="83"/>
    <m/>
    <d v="2027-12-30T00:00:00"/>
    <m/>
    <m/>
    <m/>
    <m/>
    <m/>
    <m/>
    <m/>
    <s v=""/>
    <m/>
    <m/>
    <m/>
    <d v="1900-12-29T00:00:00"/>
    <s v=""/>
    <m/>
    <m/>
    <m/>
    <m/>
    <m/>
    <m/>
    <m/>
  </r>
  <r>
    <x v="1"/>
    <x v="5"/>
    <x v="3"/>
    <n v="186"/>
    <s v="Joy-Nostalg Solaris Incorporated"/>
    <s v="Ning*Ning Catmon Sta. Maria Rooftop Solar_x000a_Power Project"/>
    <s v="Santa Maria, Bulacan"/>
    <s v="Bulacan"/>
    <m/>
    <n v="4.0190000000000001"/>
    <s v="5.6800​"/>
    <x v="55"/>
    <m/>
    <d v="2027-12-30T00:00:00"/>
    <m/>
    <m/>
    <m/>
    <m/>
    <m/>
    <m/>
    <m/>
    <s v="-"/>
    <m/>
    <m/>
    <m/>
    <d v="1900-12-29T00:00:00"/>
    <s v="-"/>
    <m/>
    <m/>
    <m/>
    <m/>
    <m/>
    <m/>
    <m/>
  </r>
  <r>
    <x v="1"/>
    <x v="5"/>
    <x v="3"/>
    <n v="187"/>
    <s v="Joy-Nostalg Solaris Incorporated"/>
    <s v="Ning*Ning Dolores Magalang Rooftop Solar_x000a_Power Project"/>
    <s v="Magalang, Pampanga"/>
    <s v="Pampanga"/>
    <m/>
    <n v="5.3529999999999998"/>
    <s v="5.6800​"/>
    <x v="55"/>
    <m/>
    <d v="2027-12-30T00:00:00"/>
    <m/>
    <m/>
    <m/>
    <m/>
    <m/>
    <m/>
    <m/>
    <s v="-"/>
    <m/>
    <m/>
    <m/>
    <d v="1900-12-29T00:00:00"/>
    <s v="-"/>
    <m/>
    <m/>
    <m/>
    <m/>
    <m/>
    <m/>
    <m/>
  </r>
  <r>
    <x v="0"/>
    <x v="11"/>
    <x v="3"/>
    <n v="188"/>
    <s v="Apolaki Four Inc."/>
    <s v="Titan V Solar Power Project; Phase 1"/>
    <s v="Barobo and Tagbina, Surigao del Sur"/>
    <s v="Surigao del Sur"/>
    <m/>
    <n v="49.7"/>
    <s v="5.4028​"/>
    <x v="58"/>
    <m/>
    <d v="2027-12-31T00:00:00"/>
    <m/>
    <m/>
    <m/>
    <m/>
    <m/>
    <m/>
    <m/>
    <s v="-"/>
    <m/>
    <m/>
    <m/>
    <d v="1900-12-29T00:00:00"/>
    <s v="-"/>
    <m/>
    <m/>
    <m/>
    <m/>
    <m/>
    <m/>
    <m/>
  </r>
  <r>
    <x v="1"/>
    <x v="4"/>
    <x v="3"/>
    <n v="189"/>
    <s v="Citadel Energy Corporation"/>
    <s v="San Vicente Solar Power Project"/>
    <s v="Mabalacat, Pampanga"/>
    <s v="Pampanga"/>
    <m/>
    <n v="140"/>
    <s v="4.4832​"/>
    <x v="84"/>
    <m/>
    <d v="2027-12-31T00:00:00"/>
    <m/>
    <m/>
    <m/>
    <m/>
    <m/>
    <m/>
    <m/>
    <s v="-"/>
    <m/>
    <m/>
    <m/>
    <d v="1900-12-29T00:00:00"/>
    <s v="-"/>
    <m/>
    <m/>
    <m/>
    <m/>
    <m/>
    <m/>
    <m/>
  </r>
  <r>
    <x v="1"/>
    <x v="4"/>
    <x v="3"/>
    <n v="190"/>
    <s v="Green PV Energy Corporation"/>
    <s v="Libmanan Solar Power Project"/>
    <s v="Libmanan, Camarines Norte"/>
    <s v="Camarines Norte"/>
    <m/>
    <n v="49.9"/>
    <s v="4.4832​"/>
    <x v="18"/>
    <m/>
    <d v="2027-12-31T00:00:00"/>
    <m/>
    <m/>
    <m/>
    <m/>
    <m/>
    <m/>
    <m/>
    <s v="-"/>
    <m/>
    <m/>
    <m/>
    <d v="1900-12-29T00:00:00"/>
    <s v="-"/>
    <m/>
    <m/>
    <m/>
    <m/>
    <m/>
    <m/>
    <m/>
  </r>
  <r>
    <x v="1"/>
    <x v="4"/>
    <x v="3"/>
    <n v="191"/>
    <s v="Sta. Ignacia Tarlac Solar Power_x000a_Corporation"/>
    <s v="Sta. Ignacia Tarlac Solar Power Plant Project_x000a_Phase 1"/>
    <s v="Sta. Ignacia, Tarlac"/>
    <s v="Tarlac"/>
    <m/>
    <n v="18"/>
    <s v="4.4832​"/>
    <x v="85"/>
    <m/>
    <d v="2027-12-31T00:00:00"/>
    <m/>
    <m/>
    <m/>
    <m/>
    <m/>
    <m/>
    <m/>
    <s v=""/>
    <m/>
    <m/>
    <m/>
    <d v="1900-12-29T00:00:00"/>
    <s v=""/>
    <m/>
    <m/>
    <m/>
    <m/>
    <m/>
    <m/>
    <m/>
  </r>
  <r>
    <x v="1"/>
    <x v="7"/>
    <x v="3"/>
    <n v="192"/>
    <s v="Sn Aboitiz Power – Magat, Inc"/>
    <s v="Magat Floating Solar Power Project"/>
    <s v="Municipalities of Aguinaldo and Alfonso Lista, Ifugao; and_x000a_Municipality of Ramon and City of Santiago, Isabela"/>
    <s v="Isabela"/>
    <m/>
    <n v="50"/>
    <s v="6.5258​"/>
    <x v="86"/>
    <m/>
    <d v="2027-12-31T00:00:00"/>
    <m/>
    <m/>
    <m/>
    <m/>
    <m/>
    <m/>
    <m/>
    <s v=""/>
    <m/>
    <m/>
    <m/>
    <d v="1900-12-29T00:00:00"/>
    <s v=""/>
    <m/>
    <m/>
    <m/>
    <m/>
    <m/>
    <m/>
    <m/>
  </r>
  <r>
    <x v="1"/>
    <x v="7"/>
    <x v="3"/>
    <n v="193"/>
    <s v="Nortesol Incorporated"/>
    <s v="Cabuyao 2 Floating PV Power Plant"/>
    <s v="Laguna de Bay"/>
    <s v="Laguna"/>
    <m/>
    <n v="72"/>
    <s v="6.5258​"/>
    <x v="87"/>
    <m/>
    <d v="2027-12-31T00:00:00"/>
    <m/>
    <m/>
    <m/>
    <m/>
    <m/>
    <m/>
    <m/>
    <s v="-"/>
    <m/>
    <m/>
    <m/>
    <d v="1900-12-29T00:00:00"/>
    <s v="-"/>
    <m/>
    <m/>
    <m/>
    <m/>
    <m/>
    <m/>
    <m/>
  </r>
  <r>
    <x v="1"/>
    <x v="7"/>
    <x v="3"/>
    <n v="194"/>
    <s v="Nortesol II Inc."/>
    <s v="Cabuyao 1 Floating PV Power Plant"/>
    <s v="Laguna de Bay"/>
    <s v="Laguna"/>
    <m/>
    <n v="72"/>
    <s v="6.5258​"/>
    <x v="87"/>
    <m/>
    <d v="2027-12-31T00:00:00"/>
    <m/>
    <m/>
    <m/>
    <m/>
    <m/>
    <m/>
    <m/>
    <s v="-"/>
    <m/>
    <m/>
    <m/>
    <d v="1900-12-29T00:00:00"/>
    <s v="-"/>
    <m/>
    <m/>
    <m/>
    <m/>
    <m/>
    <m/>
    <m/>
  </r>
  <r>
    <x v="1"/>
    <x v="7"/>
    <x v="3"/>
    <n v="195"/>
    <s v="Nortesol Incorporated"/>
    <s v="Calamba Floating PV Solar Power Project"/>
    <s v="Laguna de Bay"/>
    <s v="Laguna"/>
    <m/>
    <n v="72"/>
    <s v="6.5258​"/>
    <x v="87"/>
    <m/>
    <d v="2027-12-31T00:00:00"/>
    <m/>
    <m/>
    <m/>
    <m/>
    <m/>
    <m/>
    <m/>
    <s v="-"/>
    <m/>
    <m/>
    <m/>
    <d v="1900-12-29T00:00:00"/>
    <s v="-"/>
    <m/>
    <m/>
    <m/>
    <m/>
    <m/>
    <m/>
    <m/>
  </r>
  <r>
    <x v="1"/>
    <x v="7"/>
    <x v="3"/>
    <n v="196"/>
    <s v="NortesolIV, Inc."/>
    <s v="Cabuyao 3 Floating PV Power Plant"/>
    <s v="Laguna de Bay"/>
    <s v="Laguna"/>
    <m/>
    <n v="72"/>
    <s v="6.5258​"/>
    <x v="87"/>
    <m/>
    <d v="2027-12-31T00:00:00"/>
    <m/>
    <m/>
    <m/>
    <m/>
    <m/>
    <m/>
    <m/>
    <s v=""/>
    <m/>
    <m/>
    <m/>
    <d v="1900-12-29T00:00:00"/>
    <s v=""/>
    <m/>
    <m/>
    <m/>
    <m/>
    <m/>
    <m/>
    <m/>
  </r>
  <r>
    <x v="1"/>
    <x v="7"/>
    <x v="3"/>
    <n v="197"/>
    <s v="NortesolIV, Inc."/>
    <s v="Victoria 1 Floating PV Power Plant,"/>
    <s v="Laguna de Bay"/>
    <s v="Laguna"/>
    <m/>
    <n v="72"/>
    <s v="6.5258​"/>
    <x v="87"/>
    <m/>
    <d v="2027-12-31T00:00:00"/>
    <m/>
    <m/>
    <m/>
    <m/>
    <m/>
    <m/>
    <m/>
    <s v=""/>
    <m/>
    <m/>
    <m/>
    <d v="1900-12-29T00:00:00"/>
    <s v=""/>
    <m/>
    <m/>
    <m/>
    <m/>
    <m/>
    <m/>
    <m/>
  </r>
  <r>
    <x v="1"/>
    <x v="7"/>
    <x v="3"/>
    <n v="198"/>
    <s v="NortesolIV, Inc."/>
    <s v="Bay 2 Floating PV Power Plant"/>
    <s v="Laguna de Bay"/>
    <s v="Laguna"/>
    <m/>
    <n v="72"/>
    <s v="6.5258​"/>
    <x v="87"/>
    <m/>
    <d v="2027-12-31T00:00:00"/>
    <m/>
    <m/>
    <m/>
    <m/>
    <m/>
    <m/>
    <m/>
    <s v=""/>
    <m/>
    <m/>
    <m/>
    <d v="1900-12-29T00:00:00"/>
    <s v=""/>
    <m/>
    <m/>
    <m/>
    <m/>
    <m/>
    <m/>
    <m/>
  </r>
  <r>
    <x v="1"/>
    <x v="7"/>
    <x v="3"/>
    <n v="199"/>
    <s v="NEWASIA POWER ENERGY II CORP."/>
    <s v="Cabuyao 5 Floating PV Power Plant"/>
    <s v="Laguna de Bay"/>
    <s v="Laguna"/>
    <m/>
    <n v="72"/>
    <s v="6.5258​"/>
    <x v="87"/>
    <m/>
    <d v="2027-12-31T00:00:00"/>
    <m/>
    <m/>
    <m/>
    <m/>
    <m/>
    <m/>
    <m/>
    <s v="-"/>
    <m/>
    <m/>
    <m/>
    <d v="1900-12-29T00:00:00"/>
    <s v="-"/>
    <m/>
    <m/>
    <m/>
    <m/>
    <m/>
    <m/>
    <m/>
  </r>
  <r>
    <x v="1"/>
    <x v="7"/>
    <x v="3"/>
    <n v="200"/>
    <s v="NEWASIA POWER ENERGY CORP."/>
    <s v="Cabuyao 4 Floating Solar PV Power Plant"/>
    <s v="Laguna de Bay"/>
    <s v="Laguna"/>
    <m/>
    <n v="72"/>
    <s v="6.5258​"/>
    <x v="87"/>
    <m/>
    <d v="2027-12-31T00:00:00"/>
    <m/>
    <m/>
    <m/>
    <m/>
    <m/>
    <m/>
    <m/>
    <s v="-"/>
    <m/>
    <m/>
    <m/>
    <d v="1900-12-29T00:00:00"/>
    <s v="-"/>
    <m/>
    <m/>
    <m/>
    <m/>
    <m/>
    <m/>
    <m/>
  </r>
  <r>
    <x v="1"/>
    <x v="7"/>
    <x v="3"/>
    <n v="201"/>
    <s v="Newasia Power Energy Corp."/>
    <s v="Bay 1 Floating PV Power Plant"/>
    <s v="Laguna de Bay"/>
    <s v="Laguna"/>
    <m/>
    <n v="72"/>
    <s v="6.5258​"/>
    <x v="87"/>
    <m/>
    <d v="2027-12-31T00:00:00"/>
    <m/>
    <m/>
    <m/>
    <m/>
    <m/>
    <m/>
    <m/>
    <s v="-"/>
    <m/>
    <m/>
    <m/>
    <d v="1900-12-29T00:00:00"/>
    <s v="-"/>
    <m/>
    <m/>
    <m/>
    <m/>
    <m/>
    <m/>
    <m/>
  </r>
  <r>
    <x v="1"/>
    <x v="7"/>
    <x v="3"/>
    <n v="202"/>
    <s v="Newasia Power Energy II Corp."/>
    <s v="Sta. Rosa Floating PV Power Plant"/>
    <s v="Laguna de Bay"/>
    <s v="Laguna"/>
    <m/>
    <n v="72"/>
    <s v="6.5258​"/>
    <x v="87"/>
    <m/>
    <d v="2027-12-31T00:00:00"/>
    <m/>
    <m/>
    <m/>
    <m/>
    <m/>
    <m/>
    <m/>
    <s v="-"/>
    <m/>
    <m/>
    <m/>
    <d v="1900-12-29T00:00:00"/>
    <s v="-"/>
    <m/>
    <m/>
    <m/>
    <m/>
    <m/>
    <m/>
    <m/>
  </r>
  <r>
    <x v="1"/>
    <x v="7"/>
    <x v="3"/>
    <n v="203"/>
    <s v="NEWASIA POWER ENERGY III CORP."/>
    <s v="Macabebe Floating PV Power Plant"/>
    <s v="Macabebe, Pampanga"/>
    <s v="Pampanga"/>
    <m/>
    <n v="95"/>
    <s v="6.5258​"/>
    <x v="87"/>
    <m/>
    <d v="2027-12-31T00:00:00"/>
    <m/>
    <m/>
    <m/>
    <m/>
    <m/>
    <m/>
    <m/>
    <s v="-"/>
    <m/>
    <m/>
    <m/>
    <d v="1900-12-29T00:00:00"/>
    <s v="-"/>
    <m/>
    <m/>
    <m/>
    <m/>
    <m/>
    <m/>
    <m/>
  </r>
  <r>
    <x v="2"/>
    <x v="7"/>
    <x v="3"/>
    <n v="204"/>
    <s v="LakeSun Energy Inc."/>
    <s v="Sagay Solar on Water PV Power Plant"/>
    <s v="Sagay City, Negros Occidental"/>
    <s v="Negros Occidental"/>
    <m/>
    <n v="70"/>
    <s v="6.5258​"/>
    <x v="87"/>
    <m/>
    <d v="2027-12-31T00:00:00"/>
    <m/>
    <m/>
    <m/>
    <m/>
    <m/>
    <m/>
    <m/>
    <s v="-"/>
    <m/>
    <m/>
    <m/>
    <d v="1900-12-29T00:00:00"/>
    <s v="-"/>
    <m/>
    <m/>
    <m/>
    <m/>
    <m/>
    <m/>
    <m/>
  </r>
  <r>
    <x v="1"/>
    <x v="6"/>
    <x v="3"/>
    <n v="205"/>
    <s v="Econergy Renewable Power Philippines_x000a_Inc."/>
    <s v="Sorsogon 2 Wind Power Project"/>
    <s v="Municipality of Juban and Magallanes, Province: Sorsogon"/>
    <s v="Sorsogon"/>
    <m/>
    <n v="200"/>
    <s v="6.0859​"/>
    <x v="88"/>
    <m/>
    <d v="2027-12-31T00:00:00"/>
    <m/>
    <m/>
    <m/>
    <m/>
    <m/>
    <m/>
    <m/>
    <s v=""/>
    <m/>
    <m/>
    <m/>
    <d v="1900-12-29T00:00:00"/>
    <s v=""/>
    <m/>
    <m/>
    <m/>
    <m/>
    <m/>
    <m/>
    <m/>
  </r>
  <r>
    <x v="2"/>
    <x v="6"/>
    <x v="3"/>
    <n v="206"/>
    <s v="Blue Haven Windkraft Corporation"/>
    <s v="Bohol 2 Anda Wind Power Project (Phase 1)"/>
    <s v="Anda, Candijay, and Guindulman, Bohol"/>
    <s v="Bohol"/>
    <m/>
    <n v="50"/>
    <s v="6.0859​"/>
    <x v="89"/>
    <m/>
    <d v="2027-12-31T00:00:00"/>
    <m/>
    <m/>
    <m/>
    <m/>
    <m/>
    <m/>
    <m/>
    <s v="-"/>
    <m/>
    <m/>
    <m/>
    <d v="1900-12-29T00:00:00"/>
    <s v="-"/>
    <m/>
    <m/>
    <m/>
    <m/>
    <m/>
    <m/>
    <m/>
  </r>
  <r>
    <x v="2"/>
    <x v="6"/>
    <x v="3"/>
    <n v="207"/>
    <s v="Econergy Renewable Power Philippines_x000a_Inc."/>
    <s v="Northern Wind Power Project"/>
    <s v="Municipalities of Allen, Victoria, San Isidro, and Lavezares,_x000a_Northern Samar"/>
    <s v="Northern Samar"/>
    <m/>
    <n v="100"/>
    <s v="6.0859​"/>
    <x v="90"/>
    <m/>
    <d v="2027-12-31T00:00:00"/>
    <m/>
    <m/>
    <m/>
    <m/>
    <m/>
    <m/>
    <m/>
    <s v=""/>
    <m/>
    <m/>
    <m/>
    <d v="1900-12-29T00:00:00"/>
    <s v=""/>
    <m/>
    <m/>
    <m/>
    <m/>
    <m/>
    <m/>
    <m/>
  </r>
  <r>
    <x v="2"/>
    <x v="11"/>
    <x v="3"/>
    <n v="208"/>
    <s v="Citicore Renewable Energy Corporation"/>
    <s v="Silay 2C Solar Power Project; Phase 2"/>
    <s v="Silay City, Negros Occidental"/>
    <s v="Negros Occidental"/>
    <m/>
    <n v="33.42"/>
    <s v="5.4028​"/>
    <x v="78"/>
    <m/>
    <d v="2028-01-01T00:00:00"/>
    <m/>
    <m/>
    <m/>
    <m/>
    <m/>
    <m/>
    <m/>
    <s v="-"/>
    <m/>
    <m/>
    <m/>
    <d v="1900-12-29T00:00:00"/>
    <s v="-"/>
    <m/>
    <m/>
    <m/>
    <m/>
    <m/>
    <m/>
    <m/>
  </r>
  <r>
    <x v="1"/>
    <x v="4"/>
    <x v="3"/>
    <n v="209"/>
    <s v="SMC Global Light and Power Corp."/>
    <s v="Cauayan Solar Power Project; Phase 2"/>
    <s v="City of Cauayan and Naguilian, Isabela"/>
    <s v="Isabela"/>
    <m/>
    <n v="630"/>
    <s v="4.4832​"/>
    <x v="91"/>
    <m/>
    <d v="2028-01-01T00:00:00"/>
    <m/>
    <m/>
    <m/>
    <m/>
    <m/>
    <m/>
    <m/>
    <s v="-"/>
    <m/>
    <m/>
    <m/>
    <d v="1900-12-29T00:00:00"/>
    <s v="-"/>
    <m/>
    <m/>
    <m/>
    <m/>
    <m/>
    <m/>
    <m/>
  </r>
  <r>
    <x v="0"/>
    <x v="4"/>
    <x v="3"/>
    <n v="210"/>
    <s v="SMC Global Light and Power Corp."/>
    <s v="Malita Solar Power Project; Phase 3"/>
    <s v="Malita, Davao Occidental"/>
    <s v="Davao Occidental"/>
    <m/>
    <n v="30"/>
    <s v="4.4832​"/>
    <x v="92"/>
    <m/>
    <d v="2028-01-01T00:00:00"/>
    <m/>
    <m/>
    <m/>
    <m/>
    <m/>
    <m/>
    <m/>
    <s v="-"/>
    <m/>
    <m/>
    <m/>
    <d v="1900-12-29T00:00:00"/>
    <s v="-"/>
    <m/>
    <m/>
    <m/>
    <m/>
    <m/>
    <m/>
    <m/>
  </r>
  <r>
    <x v="1"/>
    <x v="7"/>
    <x v="3"/>
    <n v="211"/>
    <s v="SMC Global Light and Power Corp."/>
    <s v="Angat Solar Power Project; Phase 1"/>
    <s v="Doña Remedios and Norzagaray, Bulacan"/>
    <s v="Bulacan"/>
    <m/>
    <n v="540"/>
    <s v="6.5258​"/>
    <x v="93"/>
    <m/>
    <d v="2028-01-01T00:00:00"/>
    <m/>
    <m/>
    <m/>
    <m/>
    <m/>
    <m/>
    <m/>
    <s v="-"/>
    <m/>
    <m/>
    <m/>
    <d v="1900-12-29T00:00:00"/>
    <s v="-"/>
    <m/>
    <m/>
    <m/>
    <m/>
    <m/>
    <m/>
    <m/>
  </r>
  <r>
    <x v="1"/>
    <x v="11"/>
    <x v="3"/>
    <n v="212"/>
    <s v="North Luzon Green Power, Inc."/>
    <s v="Talingaan-Laoag Solar Power Project"/>
    <s v="Laoag City, Ilocos Norte"/>
    <s v="Ilocos Norte"/>
    <m/>
    <n v="100"/>
    <s v="5.4028​"/>
    <x v="94"/>
    <m/>
    <d v="2028-10-25T00:00:00"/>
    <m/>
    <m/>
    <m/>
    <m/>
    <m/>
    <m/>
    <m/>
    <s v="-"/>
    <m/>
    <m/>
    <m/>
    <d v="1900-12-29T00:00:00"/>
    <s v="-"/>
    <m/>
    <m/>
    <m/>
    <m/>
    <m/>
    <m/>
    <m/>
  </r>
  <r>
    <x v="2"/>
    <x v="11"/>
    <x v="3"/>
    <n v="213"/>
    <s v="South Cleanergy Inc."/>
    <s v="Luna Solar Power Project"/>
    <s v="Cadiz City, Negros Occidental"/>
    <s v="Negros Occidental"/>
    <m/>
    <n v="120"/>
    <s v="5.4028​"/>
    <x v="22"/>
    <m/>
    <d v="2028-10-25T00:00:00"/>
    <m/>
    <m/>
    <m/>
    <m/>
    <m/>
    <m/>
    <m/>
    <s v="-"/>
    <m/>
    <m/>
    <m/>
    <d v="1900-12-29T00:00:00"/>
    <s v="-"/>
    <m/>
    <m/>
    <m/>
    <m/>
    <m/>
    <m/>
    <m/>
  </r>
  <r>
    <x v="2"/>
    <x v="4"/>
    <x v="3"/>
    <n v="214"/>
    <s v="JICA Power and Development_x000a_Corporation"/>
    <s v="Viejo Iloilo Solar Power Project"/>
    <s v="Barotac Viejo, Iloilo"/>
    <s v="Iloilo"/>
    <m/>
    <n v="158.4"/>
    <s v="4.4832​"/>
    <x v="95"/>
    <m/>
    <d v="2028-12-12T00:00:00"/>
    <m/>
    <m/>
    <m/>
    <m/>
    <m/>
    <m/>
    <m/>
    <s v=""/>
    <m/>
    <m/>
    <m/>
    <d v="1900-12-29T00:00:00"/>
    <s v=""/>
    <m/>
    <m/>
    <m/>
    <m/>
    <m/>
    <m/>
    <m/>
  </r>
  <r>
    <x v="1"/>
    <x v="7"/>
    <x v="3"/>
    <n v="215"/>
    <s v="Northern Sun Radiance Inc."/>
    <s v="San Marcelino Floating Solar Power Project"/>
    <s v="San Marcelino, Zambales"/>
    <s v="Zambales"/>
    <m/>
    <n v="130"/>
    <s v="6.5258​"/>
    <x v="77"/>
    <m/>
    <d v="2028-12-25T00:00:00"/>
    <m/>
    <m/>
    <m/>
    <m/>
    <m/>
    <m/>
    <m/>
    <s v="-"/>
    <m/>
    <m/>
    <m/>
    <d v="1900-12-29T00:00:00"/>
    <s v="-"/>
    <m/>
    <m/>
    <m/>
    <m/>
    <m/>
    <m/>
    <m/>
  </r>
  <r>
    <x v="1"/>
    <x v="4"/>
    <x v="3"/>
    <n v="216"/>
    <s v="Citicore Renewable Energy Corporation"/>
    <s v="Isabela Solar Power Project; Phase 1-3"/>
    <s v="Cordon, Isabela and Diadi, Nueva Vizcaya"/>
    <s v="Nueva Vizcaya"/>
    <m/>
    <n v="50"/>
    <s v="4.4832​"/>
    <x v="96"/>
    <m/>
    <d v="2028-12-26T00:00:00"/>
    <m/>
    <m/>
    <m/>
    <m/>
    <m/>
    <m/>
    <m/>
    <s v="-"/>
    <m/>
    <m/>
    <m/>
    <d v="1900-12-29T00:00:00"/>
    <s v="-"/>
    <m/>
    <m/>
    <m/>
    <m/>
    <m/>
    <m/>
    <m/>
  </r>
  <r>
    <x v="1"/>
    <x v="4"/>
    <x v="3"/>
    <n v="217"/>
    <s v="Citicore Renewable Energy Corporation"/>
    <s v="Isabela Solar Power Project; Phase 1-2"/>
    <s v="Cordon, Isabela and Diadi, Nueva Vizcaya"/>
    <s v="Nueva Vizcaya"/>
    <m/>
    <n v="50"/>
    <s v="4.4832​"/>
    <x v="96"/>
    <m/>
    <d v="2028-12-26T00:00:00"/>
    <m/>
    <m/>
    <m/>
    <m/>
    <m/>
    <m/>
    <m/>
    <s v="-"/>
    <m/>
    <m/>
    <m/>
    <d v="1900-12-29T00:00:00"/>
    <s v="-"/>
    <m/>
    <m/>
    <m/>
    <m/>
    <m/>
    <m/>
    <m/>
  </r>
  <r>
    <x v="1"/>
    <x v="6"/>
    <x v="3"/>
    <n v="218"/>
    <s v="Envision Energy Philippines Corporation"/>
    <s v="Pagsanjan Wind Project"/>
    <s v="Cavinti, Kalayaan, Luisiana, Lumba, and Pagsanjan,_x000a_Laguna"/>
    <s v="Laguna"/>
    <m/>
    <n v="200"/>
    <s v="6.0859​"/>
    <x v="97"/>
    <m/>
    <d v="2028-12-26T00:00:00"/>
    <m/>
    <m/>
    <m/>
    <m/>
    <m/>
    <m/>
    <m/>
    <s v="-"/>
    <m/>
    <m/>
    <m/>
    <d v="1900-12-29T00:00:00"/>
    <s v="-"/>
    <m/>
    <m/>
    <m/>
    <m/>
    <m/>
    <m/>
    <m/>
  </r>
  <r>
    <x v="2"/>
    <x v="6"/>
    <x v="3"/>
    <n v="219"/>
    <s v="Envision Energy Philippines Corporation"/>
    <s v="Lavezares Wind Project"/>
    <s v="Allen, Lavezares, Victoria, and Allen, Samar"/>
    <s v="Samar"/>
    <m/>
    <n v="50"/>
    <s v="6.0859​"/>
    <x v="98"/>
    <m/>
    <d v="2028-12-26T00:00:00"/>
    <m/>
    <m/>
    <m/>
    <m/>
    <m/>
    <m/>
    <m/>
    <s v="-"/>
    <m/>
    <m/>
    <m/>
    <d v="1900-12-29T00:00:00"/>
    <s v="-"/>
    <m/>
    <m/>
    <m/>
    <m/>
    <m/>
    <m/>
    <m/>
  </r>
  <r>
    <x v="2"/>
    <x v="6"/>
    <x v="3"/>
    <n v="220"/>
    <s v="Envision Energy Philippines Corporation"/>
    <s v="Leyte Wind Project"/>
    <s v="Capoocan and Leyte City, Leyte"/>
    <s v="Leyte"/>
    <m/>
    <n v="110"/>
    <s v="6.0859​"/>
    <x v="99"/>
    <m/>
    <d v="2028-12-26T00:00:00"/>
    <m/>
    <m/>
    <m/>
    <m/>
    <m/>
    <m/>
    <m/>
    <s v="-"/>
    <m/>
    <m/>
    <m/>
    <d v="1900-12-29T00:00:00"/>
    <s v="-"/>
    <m/>
    <m/>
    <m/>
    <m/>
    <m/>
    <m/>
    <m/>
  </r>
  <r>
    <x v="2"/>
    <x v="4"/>
    <x v="3"/>
    <n v="221"/>
    <s v="Victorias Green Energy Corp."/>
    <s v="Victorias Solar Power Plant"/>
    <s v="Victorias City, Negros Occidental"/>
    <s v="Negros Occidental"/>
    <m/>
    <n v="85"/>
    <s v="4.4832​"/>
    <x v="17"/>
    <m/>
    <d v="2028-12-29T00:00:00"/>
    <m/>
    <m/>
    <m/>
    <m/>
    <m/>
    <m/>
    <m/>
    <s v="-"/>
    <m/>
    <m/>
    <m/>
    <d v="1900-12-29T00:00:00"/>
    <s v="-"/>
    <m/>
    <m/>
    <m/>
    <m/>
    <m/>
    <m/>
    <m/>
  </r>
  <r>
    <x v="2"/>
    <x v="4"/>
    <x v="3"/>
    <n v="222"/>
    <s v="Joy-Nostalg Solaris Incorporated"/>
    <s v="Earthlight San Fernando Barotac Viejo Solar_x000a_Power Project; Phase 1"/>
    <s v="Barotac Viejo, Iloilo"/>
    <s v="Iloilo"/>
    <m/>
    <n v="55.5"/>
    <s v="4.4832​"/>
    <x v="82"/>
    <m/>
    <d v="2028-12-30T00:00:00"/>
    <m/>
    <m/>
    <m/>
    <m/>
    <m/>
    <m/>
    <m/>
    <s v="-"/>
    <m/>
    <m/>
    <m/>
    <d v="1900-12-29T00:00:00"/>
    <s v="-"/>
    <m/>
    <m/>
    <m/>
    <m/>
    <m/>
    <m/>
    <m/>
  </r>
  <r>
    <x v="2"/>
    <x v="4"/>
    <x v="3"/>
    <n v="223"/>
    <s v="Joy-Nostalg Solaris Incorporated"/>
    <s v="Ajuy 1 Solar Power Project; Phase 2"/>
    <s v="Ajuy, Iloilo"/>
    <s v="Iloilo"/>
    <m/>
    <n v="23.966999999999999"/>
    <s v="4.4832​"/>
    <x v="82"/>
    <m/>
    <d v="2028-12-30T00:00:00"/>
    <m/>
    <m/>
    <m/>
    <m/>
    <m/>
    <m/>
    <m/>
    <s v="-"/>
    <m/>
    <m/>
    <m/>
    <d v="1900-12-29T00:00:00"/>
    <s v="-"/>
    <m/>
    <m/>
    <m/>
    <m/>
    <m/>
    <m/>
    <m/>
  </r>
  <r>
    <x v="0"/>
    <x v="11"/>
    <x v="3"/>
    <n v="224"/>
    <s v="Olympia Solar Power Corporation"/>
    <s v="Kalandagan Solar Power Project"/>
    <s v="Tacurong, Sultan Kudarat"/>
    <s v="Sultan Kudarat"/>
    <m/>
    <n v="54"/>
    <s v="5.4028​"/>
    <x v="100"/>
    <m/>
    <d v="2028-12-31T00:00:00"/>
    <m/>
    <m/>
    <m/>
    <m/>
    <m/>
    <m/>
    <m/>
    <s v="-"/>
    <m/>
    <m/>
    <m/>
    <d v="1900-12-29T00:00:00"/>
    <s v="-"/>
    <m/>
    <m/>
    <m/>
    <m/>
    <m/>
    <m/>
    <m/>
  </r>
  <r>
    <x v="0"/>
    <x v="11"/>
    <x v="3"/>
    <n v="225"/>
    <s v="Apolaki Four Inc."/>
    <s v="Titan V Solar Power Project; Phase 2"/>
    <s v="Barobo and Tagbina, Surigao del Sur"/>
    <s v="Surigao del Sur"/>
    <m/>
    <n v="49.7"/>
    <s v="5.4028​"/>
    <x v="101"/>
    <m/>
    <d v="2028-12-31T00:00:00"/>
    <m/>
    <m/>
    <m/>
    <m/>
    <m/>
    <m/>
    <m/>
    <s v="-"/>
    <m/>
    <m/>
    <m/>
    <d v="1900-12-29T00:00:00"/>
    <s v="-"/>
    <m/>
    <m/>
    <m/>
    <m/>
    <m/>
    <m/>
    <m/>
  </r>
  <r>
    <x v="2"/>
    <x v="4"/>
    <x v="3"/>
    <n v="226"/>
    <s v="Western Visayas Solar Energy Corp."/>
    <s v="Ilog Solar Power Project"/>
    <s v="Ilog, Negros Occidental"/>
    <s v="Negros Occidental"/>
    <m/>
    <n v="140.1"/>
    <s v="4.4832​"/>
    <x v="102"/>
    <m/>
    <d v="2028-12-31T00:00:00"/>
    <m/>
    <m/>
    <m/>
    <m/>
    <m/>
    <m/>
    <m/>
    <s v="-"/>
    <m/>
    <m/>
    <m/>
    <d v="1900-12-29T00:00:00"/>
    <s v="-"/>
    <m/>
    <m/>
    <m/>
    <m/>
    <m/>
    <m/>
    <m/>
  </r>
  <r>
    <x v="2"/>
    <x v="4"/>
    <x v="3"/>
    <n v="227"/>
    <s v="Bohol Renewable Power Corp. (Isla_x000a_Este Renewables Corporation)"/>
    <s v="Bohol Solar Power Project"/>
    <s v="Ubay, Bohol"/>
    <s v="Bohol"/>
    <m/>
    <n v="17.5"/>
    <s v="4.4832​"/>
    <x v="103"/>
    <m/>
    <d v="2028-12-31T00:00:00"/>
    <m/>
    <m/>
    <m/>
    <m/>
    <m/>
    <m/>
    <m/>
    <s v=""/>
    <m/>
    <m/>
    <m/>
    <d v="1900-12-29T00:00:00"/>
    <s v=""/>
    <m/>
    <m/>
    <m/>
    <m/>
    <m/>
    <m/>
    <m/>
  </r>
  <r>
    <x v="1"/>
    <x v="7"/>
    <x v="3"/>
    <n v="228"/>
    <s v="Liberty Solar Energy Corporation"/>
    <s v="Liberty Solar Power Project; Phase B"/>
    <s v="Paniqui, Tarlac"/>
    <s v="Tarlac"/>
    <m/>
    <n v="34"/>
    <s v="6.5258​"/>
    <x v="104"/>
    <m/>
    <d v="2028-12-31T00:00:00"/>
    <m/>
    <m/>
    <m/>
    <m/>
    <m/>
    <m/>
    <m/>
    <s v=""/>
    <m/>
    <m/>
    <m/>
    <d v="1900-12-29T00:00:00"/>
    <s v=""/>
    <m/>
    <m/>
    <m/>
    <m/>
    <m/>
    <m/>
    <m/>
  </r>
  <r>
    <x v="1"/>
    <x v="7"/>
    <x v="3"/>
    <n v="229"/>
    <s v="Liberty Solar Energy Corporation"/>
    <s v="Liberty Solar Power Project; Phase A"/>
    <s v="Paniqui, Tarlac"/>
    <s v="Tarlac"/>
    <m/>
    <n v="34"/>
    <s v="6.5258​"/>
    <x v="105"/>
    <m/>
    <d v="2028-12-31T00:00:00"/>
    <m/>
    <m/>
    <m/>
    <m/>
    <m/>
    <m/>
    <m/>
    <s v=""/>
    <m/>
    <m/>
    <m/>
    <d v="1900-12-29T00:00:00"/>
    <s v=""/>
    <m/>
    <m/>
    <m/>
    <m/>
    <m/>
    <m/>
    <m/>
  </r>
  <r>
    <x v="1"/>
    <x v="7"/>
    <x v="3"/>
    <n v="230"/>
    <s v="NKS Solar One Inc."/>
    <s v="NKS One Floating Solar Power Project; Phase 2"/>
    <s v="Lumban and Cavinti, Laguna"/>
    <s v="Laguna"/>
    <m/>
    <n v="47"/>
    <s v="6.5258​"/>
    <x v="106"/>
    <m/>
    <d v="2028-12-31T00:00:00"/>
    <m/>
    <m/>
    <m/>
    <m/>
    <m/>
    <m/>
    <m/>
    <s v="-"/>
    <m/>
    <m/>
    <m/>
    <d v="1900-12-29T00:00:00"/>
    <s v="-"/>
    <m/>
    <m/>
    <m/>
    <m/>
    <m/>
    <m/>
    <m/>
  </r>
  <r>
    <x v="2"/>
    <x v="7"/>
    <x v="3"/>
    <n v="231"/>
    <s v="Limnelios Inc."/>
    <s v="Silay Solar on Water PV Power Plant"/>
    <s v="Silay, Negros Occidental"/>
    <s v="Negros Occidental"/>
    <m/>
    <n v="64"/>
    <s v="6.5258​"/>
    <x v="87"/>
    <m/>
    <d v="2028-12-31T00:00:00"/>
    <m/>
    <m/>
    <m/>
    <m/>
    <m/>
    <m/>
    <m/>
    <s v="-"/>
    <m/>
    <m/>
    <m/>
    <d v="1900-12-29T00:00:00"/>
    <s v="-"/>
    <m/>
    <m/>
    <m/>
    <m/>
    <m/>
    <m/>
    <m/>
  </r>
  <r>
    <x v="1"/>
    <x v="6"/>
    <x v="3"/>
    <n v="232"/>
    <s v="CleanTech Global Renewables, Inc."/>
    <s v="Tayabas North Wind Energy Project (Phase 1)"/>
    <s v="Brgy. Nagsinamo, Municipality of Lucban and Brgys._x000a_Valencia, Ilasan Ilaya, and Palale, Ilaya, City of Tayabas,_x000a_Province of Quezon"/>
    <s v="Quezon"/>
    <m/>
    <n v="96"/>
    <s v="6.0859​"/>
    <x v="107"/>
    <m/>
    <d v="2028-12-31T00:00:00"/>
    <m/>
    <m/>
    <m/>
    <m/>
    <m/>
    <m/>
    <m/>
    <s v=""/>
    <m/>
    <m/>
    <m/>
    <d v="1900-12-29T00:00:00"/>
    <s v=""/>
    <m/>
    <m/>
    <m/>
    <m/>
    <m/>
    <m/>
    <m/>
  </r>
  <r>
    <x v="1"/>
    <x v="6"/>
    <x v="3"/>
    <n v="233"/>
    <s v="San Nicolas Wind Corp."/>
    <s v="San Nicolas Wind Power Project"/>
    <s v="Municipality of Tayug, Natividad, Province of Pangasinan;_x000a_Municipality of Santa Fe, Province of Nueva Vizcaya;_x000a_Municipality of Carrangalan, Province of Nueva Ecija"/>
    <s v="Nueva Ecija"/>
    <m/>
    <n v="200"/>
    <s v="6.0859​"/>
    <x v="108"/>
    <m/>
    <d v="2028-12-31T00:00:00"/>
    <m/>
    <m/>
    <m/>
    <m/>
    <m/>
    <m/>
    <m/>
    <s v="-"/>
    <m/>
    <m/>
    <m/>
    <d v="1900-12-29T00:00:00"/>
    <s v="-"/>
    <m/>
    <m/>
    <m/>
    <m/>
    <m/>
    <m/>
    <m/>
  </r>
  <r>
    <x v="2"/>
    <x v="6"/>
    <x v="3"/>
    <n v="234"/>
    <s v="MC Project Solutions Inc."/>
    <s v="Alegria Wind Power Project"/>
    <s v="Alegria, Badian, Alcoy, and Dalaguete, Cebu"/>
    <s v="Cebu"/>
    <m/>
    <n v="56"/>
    <s v="6.0859​"/>
    <x v="107"/>
    <m/>
    <d v="2028-12-31T00:00:00"/>
    <m/>
    <m/>
    <m/>
    <m/>
    <m/>
    <m/>
    <m/>
    <s v="-"/>
    <m/>
    <m/>
    <m/>
    <d v="1900-12-29T00:00:00"/>
    <s v="-"/>
    <m/>
    <m/>
    <m/>
    <m/>
    <m/>
    <m/>
    <m/>
  </r>
  <r>
    <x v="2"/>
    <x v="4"/>
    <x v="3"/>
    <n v="235"/>
    <s v="EcoSolar Energy Corporation"/>
    <s v="Panitan Solar Power Project"/>
    <s v="Panitan, Capiz"/>
    <s v="Capiz"/>
    <m/>
    <n v="70.08"/>
    <s v="4.4832​"/>
    <x v="109"/>
    <m/>
    <d v="2029-01-01T00:00:00"/>
    <m/>
    <m/>
    <m/>
    <m/>
    <m/>
    <m/>
    <m/>
    <s v="-"/>
    <m/>
    <m/>
    <m/>
    <d v="1900-12-29T00:00:00"/>
    <s v="-"/>
    <m/>
    <m/>
    <m/>
    <m/>
    <m/>
    <m/>
    <m/>
  </r>
  <r>
    <x v="0"/>
    <x v="4"/>
    <x v="3"/>
    <n v="236"/>
    <s v="SMC Global Light and Power Corp."/>
    <s v="Malita Solar Power Project; Phase 4"/>
    <s v="Malita, Davao Occidental"/>
    <s v="Davao Occidental"/>
    <m/>
    <n v="120"/>
    <s v="4.4832​"/>
    <x v="110"/>
    <m/>
    <d v="2029-01-01T00:00:00"/>
    <m/>
    <m/>
    <m/>
    <m/>
    <m/>
    <m/>
    <m/>
    <s v="-"/>
    <m/>
    <m/>
    <m/>
    <d v="1900-12-29T00:00:00"/>
    <s v="-"/>
    <m/>
    <m/>
    <m/>
    <m/>
    <m/>
    <m/>
    <m/>
  </r>
  <r>
    <x v="1"/>
    <x v="7"/>
    <x v="3"/>
    <n v="237"/>
    <s v="SMC Global Light and Power Corp."/>
    <s v="Angat Solar Power Project; Phase 2"/>
    <s v="Doña Remedios and Norzagaray, Bulacan"/>
    <s v="Bulacan"/>
    <m/>
    <n v="500"/>
    <s v="6.5258​"/>
    <x v="111"/>
    <m/>
    <d v="2029-01-01T00:00:00"/>
    <m/>
    <m/>
    <m/>
    <m/>
    <m/>
    <m/>
    <m/>
    <s v="-"/>
    <m/>
    <m/>
    <m/>
    <d v="1900-12-29T00:00:00"/>
    <s v="-"/>
    <m/>
    <m/>
    <m/>
    <m/>
    <m/>
    <m/>
    <m/>
  </r>
  <r>
    <x v="2"/>
    <x v="4"/>
    <x v="3"/>
    <n v="238"/>
    <s v="Urban Energy Development Corp."/>
    <s v="Isabel Solar Power Plant"/>
    <s v="Isabel, Leyte"/>
    <s v="Leyte"/>
    <m/>
    <n v="76.650000000000006"/>
    <s v="4.4832​"/>
    <x v="112"/>
    <m/>
    <d v="2029-06-30T00:00:00"/>
    <m/>
    <m/>
    <m/>
    <m/>
    <m/>
    <m/>
    <m/>
    <s v="-"/>
    <m/>
    <m/>
    <m/>
    <d v="1900-12-29T00:00:00"/>
    <s v="-"/>
    <m/>
    <m/>
    <m/>
    <m/>
    <m/>
    <m/>
    <m/>
  </r>
  <r>
    <x v="2"/>
    <x v="4"/>
    <x v="3"/>
    <n v="239"/>
    <s v="Dagohoy Green Energy Corporation"/>
    <s v="Dagohoy Solar Power Project"/>
    <s v="Dagohoy, Bohol"/>
    <s v="Bohol"/>
    <m/>
    <n v="20.16"/>
    <s v="4.4832​"/>
    <x v="61"/>
    <m/>
    <d v="2029-07-16T00:00:00"/>
    <m/>
    <m/>
    <m/>
    <m/>
    <m/>
    <m/>
    <m/>
    <s v="-"/>
    <m/>
    <m/>
    <m/>
    <d v="1900-12-29T00:00:00"/>
    <s v="-"/>
    <m/>
    <m/>
    <m/>
    <m/>
    <m/>
    <m/>
    <m/>
  </r>
  <r>
    <x v="1"/>
    <x v="11"/>
    <x v="3"/>
    <n v="240"/>
    <s v="Northern Sun Power, Inc."/>
    <s v="Currimao Solar Power Project"/>
    <s v="Currimao and Paoay, Ilocos Norte"/>
    <s v="Ilocos Norte"/>
    <m/>
    <n v="190"/>
    <s v="5.4028​"/>
    <x v="113"/>
    <m/>
    <d v="2029-10-25T00:00:00"/>
    <m/>
    <m/>
    <m/>
    <m/>
    <m/>
    <m/>
    <m/>
    <s v="-"/>
    <m/>
    <m/>
    <m/>
    <d v="1900-12-29T00:00:00"/>
    <s v="-"/>
    <m/>
    <m/>
    <m/>
    <m/>
    <m/>
    <m/>
    <m/>
  </r>
  <r>
    <x v="1"/>
    <x v="6"/>
    <x v="3"/>
    <n v="241"/>
    <s v="Atimonan Windkraft Corporation"/>
    <s v="Quezon Wind Power Project (Phase 1)"/>
    <s v="Atimonan and Mauban, Quezon"/>
    <s v="Quezon"/>
    <m/>
    <n v="67"/>
    <s v="6.0859​"/>
    <x v="114"/>
    <m/>
    <d v="2029-12-24T00:00:00"/>
    <m/>
    <m/>
    <m/>
    <m/>
    <m/>
    <m/>
    <m/>
    <s v="-"/>
    <m/>
    <m/>
    <m/>
    <d v="1900-12-29T00:00:00"/>
    <s v="-"/>
    <m/>
    <m/>
    <m/>
    <m/>
    <m/>
    <m/>
    <m/>
  </r>
  <r>
    <x v="1"/>
    <x v="11"/>
    <x v="3"/>
    <n v="242"/>
    <s v="Citicore Renewable Energy Corporation"/>
    <s v="Pagbilao 4 Solar Power Project; Phase 2"/>
    <s v="Pagbilao, Quezon"/>
    <s v="Quezon"/>
    <m/>
    <n v="25"/>
    <s v="5.4028​"/>
    <x v="115"/>
    <m/>
    <d v="2029-12-26T00:00:00"/>
    <m/>
    <m/>
    <m/>
    <m/>
    <m/>
    <m/>
    <m/>
    <s v="-"/>
    <m/>
    <m/>
    <m/>
    <d v="1900-12-29T00:00:00"/>
    <s v="-"/>
    <m/>
    <m/>
    <m/>
    <m/>
    <m/>
    <m/>
    <m/>
  </r>
  <r>
    <x v="1"/>
    <x v="11"/>
    <x v="3"/>
    <n v="243"/>
    <s v="Citicore Renewable Energy Corporation"/>
    <s v="Pagbilao 4 Solar Power Project; Phase 1"/>
    <s v="Pagbilao, Quezon"/>
    <s v="Quezon"/>
    <m/>
    <n v="50"/>
    <s v="5.4028​"/>
    <x v="115"/>
    <m/>
    <d v="2029-12-26T00:00:00"/>
    <m/>
    <m/>
    <m/>
    <m/>
    <m/>
    <m/>
    <m/>
    <s v="-"/>
    <m/>
    <m/>
    <m/>
    <d v="1900-12-29T00:00:00"/>
    <s v="-"/>
    <m/>
    <m/>
    <m/>
    <m/>
    <m/>
    <m/>
    <m/>
  </r>
  <r>
    <x v="1"/>
    <x v="11"/>
    <x v="3"/>
    <n v="244"/>
    <s v="Sapang Balen Solar Sustainable Energy_x000a_Corp"/>
    <s v="Sapang Balen Solar 1 - North Power Project"/>
    <s v="Mabalacat City and Magalang, Pampanga"/>
    <s v="Pampanga"/>
    <m/>
    <n v="80"/>
    <s v="5.4028​"/>
    <x v="58"/>
    <m/>
    <d v="2029-12-26T00:00:00"/>
    <m/>
    <m/>
    <m/>
    <m/>
    <m/>
    <m/>
    <m/>
    <s v=""/>
    <m/>
    <m/>
    <m/>
    <d v="1900-12-29T00:00:00"/>
    <s v=""/>
    <m/>
    <m/>
    <m/>
    <m/>
    <m/>
    <m/>
    <m/>
  </r>
  <r>
    <x v="1"/>
    <x v="4"/>
    <x v="3"/>
    <n v="245"/>
    <s v="Citicore Renewable Energy Corporation"/>
    <s v="Isabela Solar Power Project; Phase 1-3"/>
    <s v="Cordon, Isabela and Diadi, Nueva Vizcaya"/>
    <s v="Nueva Vizcaya"/>
    <m/>
    <n v="40"/>
    <s v="4.4832​"/>
    <x v="96"/>
    <m/>
    <d v="2029-12-26T00:00:00"/>
    <m/>
    <m/>
    <m/>
    <m/>
    <m/>
    <m/>
    <m/>
    <s v="-"/>
    <m/>
    <m/>
    <m/>
    <d v="1900-12-29T00:00:00"/>
    <s v="-"/>
    <m/>
    <m/>
    <m/>
    <m/>
    <m/>
    <m/>
    <m/>
  </r>
  <r>
    <x v="1"/>
    <x v="4"/>
    <x v="3"/>
    <n v="246"/>
    <s v="Citicore Renewable Energy Corporation"/>
    <s v="Isabela Solar Power Project; Phase 2-3"/>
    <s v="Cordon, Isabela and Diadi, Nueva Vizcaya"/>
    <s v="Nueva Vizcaya"/>
    <m/>
    <n v="50"/>
    <s v="4.4832​"/>
    <x v="96"/>
    <m/>
    <d v="2029-12-26T00:00:00"/>
    <m/>
    <m/>
    <m/>
    <m/>
    <m/>
    <m/>
    <m/>
    <s v="-"/>
    <m/>
    <m/>
    <m/>
    <d v="1900-12-29T00:00:00"/>
    <s v="-"/>
    <m/>
    <m/>
    <m/>
    <m/>
    <m/>
    <m/>
    <m/>
  </r>
  <r>
    <x v="1"/>
    <x v="4"/>
    <x v="3"/>
    <n v="247"/>
    <s v="Citicore Renewable Energy Corporation"/>
    <s v="Isabela Solar Power Project; Phase 2-2"/>
    <s v="Cordon, Isabela and Diadi, Nueva Vizcaya"/>
    <s v="Nueva Vizcaya"/>
    <m/>
    <n v="50"/>
    <s v="4.4832​"/>
    <x v="96"/>
    <m/>
    <d v="2029-12-26T00:00:00"/>
    <m/>
    <m/>
    <m/>
    <m/>
    <m/>
    <m/>
    <m/>
    <s v="-"/>
    <m/>
    <m/>
    <m/>
    <d v="1900-12-29T00:00:00"/>
    <s v="-"/>
    <m/>
    <m/>
    <m/>
    <m/>
    <m/>
    <m/>
    <m/>
  </r>
  <r>
    <x v="1"/>
    <x v="4"/>
    <x v="3"/>
    <n v="248"/>
    <s v="Citicore Renewable Energy Corporation"/>
    <s v="Isabela Solar Power Project: Phase 3-1"/>
    <s v="Cordon, Isabela and Diadi, Nueva Vizcaya"/>
    <s v="Nueva Vizcaya"/>
    <m/>
    <n v="50"/>
    <s v="4.4832​"/>
    <x v="96"/>
    <m/>
    <d v="2029-12-26T00:00:00"/>
    <m/>
    <m/>
    <m/>
    <m/>
    <m/>
    <m/>
    <m/>
    <s v="-"/>
    <m/>
    <m/>
    <m/>
    <d v="1900-12-29T00:00:00"/>
    <s v="-"/>
    <m/>
    <m/>
    <m/>
    <m/>
    <m/>
    <m/>
    <m/>
  </r>
  <r>
    <x v="1"/>
    <x v="4"/>
    <x v="3"/>
    <n v="249"/>
    <s v="Citicore Renewable Energy Corporation"/>
    <s v="Isabela Solar Power Project; Phase 2-1"/>
    <s v="Cordon, Isabela and Diadi, Nueva Vizcaya"/>
    <s v="Nueva Vizcaya"/>
    <m/>
    <n v="50"/>
    <s v="4.4832​"/>
    <x v="96"/>
    <m/>
    <d v="2029-12-26T00:00:00"/>
    <m/>
    <m/>
    <m/>
    <m/>
    <m/>
    <m/>
    <m/>
    <s v="-"/>
    <m/>
    <m/>
    <m/>
    <d v="1900-12-29T00:00:00"/>
    <s v="-"/>
    <m/>
    <m/>
    <m/>
    <m/>
    <m/>
    <m/>
    <m/>
  </r>
  <r>
    <x v="1"/>
    <x v="11"/>
    <x v="3"/>
    <n v="250"/>
    <s v="Citicore Renewable Energy Corporation"/>
    <s v="Bolbok 3 Solar Power Project; Phase 3"/>
    <s v="Tuy, Batangas"/>
    <s v="Batangas"/>
    <m/>
    <n v="50"/>
    <s v="5.4028​"/>
    <x v="115"/>
    <m/>
    <d v="2029-12-26T00:00:00"/>
    <m/>
    <m/>
    <m/>
    <m/>
    <m/>
    <m/>
    <m/>
    <s v="-"/>
    <m/>
    <m/>
    <m/>
    <d v="1900-12-29T00:00:00"/>
    <s v="-"/>
    <m/>
    <m/>
    <m/>
    <m/>
    <m/>
    <m/>
    <m/>
  </r>
  <r>
    <x v="1"/>
    <x v="11"/>
    <x v="3"/>
    <n v="251"/>
    <s v="Sapang Balen Solar Sustainable Energy_x000a_Corp"/>
    <s v="Sapang Balen Solar 2 - North Power Project"/>
    <s v="Mabalacat City and Magalang, Pampanga"/>
    <s v="Pampanga"/>
    <m/>
    <n v="80"/>
    <s v="5.4028​"/>
    <x v="116"/>
    <m/>
    <d v="2029-12-26T00:00:00"/>
    <m/>
    <m/>
    <m/>
    <m/>
    <m/>
    <m/>
    <m/>
    <s v=""/>
    <m/>
    <m/>
    <m/>
    <d v="1900-12-29T00:00:00"/>
    <s v=""/>
    <m/>
    <m/>
    <m/>
    <m/>
    <m/>
    <m/>
    <m/>
  </r>
  <r>
    <x v="2"/>
    <x v="6"/>
    <x v="3"/>
    <n v="252"/>
    <s v="Envision Energy Philippines Corporation"/>
    <s v="Bais Wind Project"/>
    <s v="Bais City, Mabinay and Manjuyod, Negros Oriental"/>
    <s v="Negros Oriental"/>
    <m/>
    <n v="150"/>
    <s v="6.0859​"/>
    <x v="117"/>
    <m/>
    <d v="2029-12-26T00:00:00"/>
    <m/>
    <m/>
    <m/>
    <m/>
    <m/>
    <m/>
    <m/>
    <s v="-"/>
    <m/>
    <m/>
    <m/>
    <d v="1900-12-29T00:00:00"/>
    <s v="-"/>
    <m/>
    <m/>
    <m/>
    <m/>
    <m/>
    <m/>
    <m/>
  </r>
  <r>
    <x v="2"/>
    <x v="4"/>
    <x v="3"/>
    <n v="253"/>
    <s v="Joy-Nostalg Solaris Incorporated"/>
    <s v="Earthlight San Fernando Barotac Viejo Solar_x000a_Power Project; Phase 2"/>
    <s v="Barotac Viejo, Iloilo"/>
    <s v="Iloilo"/>
    <m/>
    <n v="55.5"/>
    <s v="4.4832​"/>
    <x v="82"/>
    <m/>
    <d v="2029-12-30T00:00:00"/>
    <m/>
    <m/>
    <m/>
    <m/>
    <m/>
    <m/>
    <m/>
    <s v="-"/>
    <m/>
    <m/>
    <m/>
    <d v="1900-12-29T00:00:00"/>
    <s v="-"/>
    <m/>
    <m/>
    <m/>
    <m/>
    <m/>
    <m/>
    <m/>
  </r>
  <r>
    <x v="1"/>
    <x v="11"/>
    <x v="3"/>
    <n v="254"/>
    <s v="Iligansolar, Inc"/>
    <s v="Botolan Solar PV Power Plant"/>
    <s v="Botolan, Zambales"/>
    <s v="Zambales"/>
    <m/>
    <n v="40"/>
    <s v="5.4028​"/>
    <x v="118"/>
    <m/>
    <d v="2029-12-31T00:00:00"/>
    <m/>
    <m/>
    <m/>
    <m/>
    <m/>
    <m/>
    <m/>
    <s v=""/>
    <m/>
    <m/>
    <m/>
    <d v="1900-12-29T00:00:00"/>
    <s v=""/>
    <m/>
    <m/>
    <m/>
    <m/>
    <m/>
    <m/>
    <m/>
  </r>
  <r>
    <x v="2"/>
    <x v="11"/>
    <x v="3"/>
    <n v="255"/>
    <s v="Apolaki Eight Inc."/>
    <s v="Luca Solar Power Project; Phase 2"/>
    <s v="Ajuy and Barotac Viejo, Iloilo"/>
    <s v="Iloilo"/>
    <m/>
    <n v="13.38"/>
    <s v="5.4028​"/>
    <x v="119"/>
    <m/>
    <d v="2029-12-31T00:00:00"/>
    <m/>
    <m/>
    <m/>
    <m/>
    <m/>
    <m/>
    <m/>
    <s v="-"/>
    <m/>
    <m/>
    <m/>
    <d v="1900-12-29T00:00:00"/>
    <s v="-"/>
    <m/>
    <m/>
    <m/>
    <m/>
    <m/>
    <m/>
    <m/>
  </r>
  <r>
    <x v="1"/>
    <x v="6"/>
    <x v="3"/>
    <n v="256"/>
    <s v="Envision Energy Philippines Corporation"/>
    <s v="Calabanga Wind Project"/>
    <s v="Calabanga and Tinambac, Camarines Sur"/>
    <s v="Camarines Sur"/>
    <m/>
    <n v="200"/>
    <s v="6.0859​"/>
    <x v="29"/>
    <m/>
    <d v="2029-12-31T00:00:00"/>
    <m/>
    <m/>
    <m/>
    <m/>
    <m/>
    <m/>
    <m/>
    <s v="-"/>
    <m/>
    <m/>
    <m/>
    <d v="1900-12-29T00:00:00"/>
    <s v="-"/>
    <m/>
    <m/>
    <m/>
    <m/>
    <m/>
    <m/>
    <m/>
  </r>
  <r>
    <x v="1"/>
    <x v="6"/>
    <x v="3"/>
    <n v="257"/>
    <s v="Ilosong Wind Corp."/>
    <s v="Ilosong Wind Power Project (Phase 1)"/>
    <s v="Municipality of Atimonan, Plaridel, Unisan, Gumaca, and_x000a_Lopez, Quezon Province"/>
    <s v="Quezon"/>
    <m/>
    <n v="200"/>
    <s v="6.0859​"/>
    <x v="23"/>
    <m/>
    <d v="2029-12-31T00:00:00"/>
    <m/>
    <m/>
    <m/>
    <m/>
    <m/>
    <m/>
    <m/>
    <s v="-"/>
    <m/>
    <m/>
    <m/>
    <d v="1900-12-29T00:00:00"/>
    <s v="-"/>
    <m/>
    <m/>
    <m/>
    <m/>
    <m/>
    <m/>
    <m/>
  </r>
  <r>
    <x v="0"/>
    <x v="6"/>
    <x v="3"/>
    <n v="258"/>
    <s v="Caraga Wind Energy Corporation"/>
    <s v="Caraga Wind Power Project Phase 1"/>
    <s v="Surigao City, San Francisco, Malimono, Siso, Placer and_x000a_Mainit, Province of Surigao del Norte"/>
    <s v="Surigao del Norte"/>
    <m/>
    <n v="101"/>
    <s v="6.0859​"/>
    <x v="120"/>
    <m/>
    <d v="2029-12-31T00:00:00"/>
    <m/>
    <m/>
    <m/>
    <m/>
    <m/>
    <m/>
    <m/>
    <s v="-"/>
    <m/>
    <m/>
    <m/>
    <d v="1900-12-29T00:00:00"/>
    <s v="-"/>
    <m/>
    <m/>
    <m/>
    <m/>
    <m/>
    <m/>
    <m/>
  </r>
  <r>
    <x v="0"/>
    <x v="6"/>
    <x v="3"/>
    <n v="259"/>
    <s v="Caraga Wind Energy Corporation"/>
    <s v="Caraga Wind Power Project Phase 2"/>
    <s v="Jabonga, Agusan del Norte"/>
    <s v="Agusan del Norte"/>
    <m/>
    <n v="50"/>
    <s v="6.0859​"/>
    <x v="120"/>
    <m/>
    <d v="2029-12-31T00:00:00"/>
    <m/>
    <m/>
    <m/>
    <m/>
    <m/>
    <m/>
    <m/>
    <s v="-"/>
    <m/>
    <m/>
    <m/>
    <d v="1900-12-29T00:00:00"/>
    <s v="-"/>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s v="Luzon"/>
    <x v="0"/>
    <x v="0"/>
    <n v="1"/>
    <s v="Raslag Corporation "/>
    <s v="Pampanga Solar Power Project (Phase I)"/>
    <s v="Brgy. Suclaban, Mexico, Pampanga"/>
    <n v="10.045999999999999"/>
    <n v="10"/>
    <n v="10"/>
    <d v="2015-03-17T00:00:00"/>
    <d v="2015-02-05T00:00:00"/>
    <d v="2015-02-05T00:00:00"/>
    <d v="2035-02-04T00:00:00"/>
    <n v="20"/>
    <s v="05 February 2015 - _x000a_04 February 2035"/>
    <d v="2015-04-06T00:00:00"/>
    <d v="2016-02-05T00:00:00"/>
    <n v="9.68"/>
    <s v="•Issuance of FIT-COC: 06 Apr 2015_x000a_•Renewal, Issuance of PAO-FIT: 29-Jun-2020_x000a_•PAO-FIT 1st Extension: 29-Sep-2020_x000a_•PAO-FIT 2nd Extension: 28-Oct-2021_x000a_•PAO-FIT 3rd Extension: 14-Nov-2022_x000a_• Issuance of COC on 01 October 2024"/>
    <x v="0"/>
  </r>
  <r>
    <s v="Luzon"/>
    <x v="0"/>
    <x v="0"/>
    <n v="2"/>
    <s v="Energy Development Corporation "/>
    <s v="Burgos Solar Power Project Phase 1"/>
    <s v="Brgy. Saoit, Burgos, Ilocos Norte"/>
    <n v="4.16"/>
    <n v="4.16"/>
    <n v="4.0999999999999996"/>
    <d v="2015-03-18T00:00:00"/>
    <d v="2015-03-05T00:00:00"/>
    <d v="2015-03-05T00:00:00"/>
    <d v="2035-04-04T00:00:00"/>
    <n v="20"/>
    <s v="05 March 2015 - _x000a_04 March 2035"/>
    <d v="2015-04-06T00:00:00"/>
    <d v="2016-03-05T00:00:00"/>
    <n v="9.68"/>
    <s v="•Issuance of FIT-COC: 06 Apr 2015 •Renewal, Issuance of PAO-FIT: 29-Jun-2020 _x000a_•PAO-FIT 1st Extension: 29-Sep-2020 •PAO-FIT 2nd Extension: 28-Oct-2021 •PAO-FIT 3rd Extension: 20-Dec-22 _x000a_• Issued PAO on 04 November 2024 _x000a_• 1st Extension of PAO on 17 October 2025"/>
    <x v="0"/>
  </r>
  <r>
    <s v="Luzon"/>
    <x v="0"/>
    <x v="0"/>
    <n v="3"/>
    <s v="Solar Philippines Commercial Rooftop Projects, Inc."/>
    <s v="1.5 MW Sm North Solar Rooftop Power Plant"/>
    <s v="SM North EDSA, Quezon City"/>
    <n v="1.5"/>
    <n v="1.5"/>
    <n v="1.5"/>
    <d v="2015-04-29T00:00:00"/>
    <d v="2015-04-07T00:00:00"/>
    <d v="2015-04-07T00:00:00"/>
    <d v="2035-04-07T00:00:00"/>
    <n v="20"/>
    <s v="07 April 2015 - _x000a_07 April 2035"/>
    <d v="2015-06-22T00:00:00"/>
    <d v="2016-04-07T00:00:00"/>
    <n v="9.68"/>
    <s v="•Issuance of FIT-COC: 22-Jun-15_x000a_•Issuance of PAO-FIT: 06-Oct-21_x000a_• With PAO valid until 31 May 2024; With ongoing PAO Application: NISE issued on 04 April 2024"/>
    <x v="1"/>
  </r>
  <r>
    <s v="Visayas"/>
    <x v="0"/>
    <x v="0"/>
    <n v="4"/>
    <s v="San Carlos Solar Energy, Inc.  (SACASOL)"/>
    <s v="San Carlos Solar Energy, Inc. - Phase 1A (SACASOL)"/>
    <s v="Brgy. Punao, San Carlos City, Negros Occidental"/>
    <n v="13.013"/>
    <n v="13.01"/>
    <n v="13"/>
    <d v="2014-06-04T00:00:00"/>
    <d v="2014-05-15T00:00:00"/>
    <d v="2014-05-15T00:00:00"/>
    <d v="2034-05-14T00:00:00"/>
    <n v="20"/>
    <s v="15 May 2014 - _x000a_14 May 2034"/>
    <d v="2015-02-09T00:00:00"/>
    <d v="2016-01-01T00:00:00"/>
    <n v="9.68"/>
    <s v="•Issuance of COC: 09-Jun-14_x000a_•Issuance of FIT- COC: 09-Feb-15_x000a_•Renewal of FIT-COC: 28-May-19_x000a_•Grant of PAO: 04 June 2024_x000a_•1st Extension of PAO: 04 June 2025_x000a_• 2nd Extension of PAO on 25 May 2026"/>
    <x v="0"/>
  </r>
  <r>
    <s v="Visayas"/>
    <x v="0"/>
    <x v="0"/>
    <n v="5"/>
    <s v="San Carlos Solar Energy, Inc.  (SACASOL)"/>
    <s v="San Carlos Solar Energy, Inc. - Phase 1B (SACASOL)"/>
    <s v="Brgy. Punao, San Carlos City, Negros Occidental"/>
    <n v="9"/>
    <n v="9"/>
    <n v="9"/>
    <d v="2014-10-07T00:00:00"/>
    <d v="2014-08-16T00:00:00"/>
    <d v="2014-08-16T00:00:00"/>
    <d v="2034-05-15T00:00:00"/>
    <n v="20"/>
    <s v="16 August 2014 - _x000a_15 August 2034"/>
    <d v="2015-02-09T00:00:00"/>
    <d v="2016-01-01T00:00:00"/>
    <n v="9.68"/>
    <s v="•Issuance of COC: 08-Sept-14_x000a_•Issuance of FIT- COC:09-Feb-15_x000a_•Renewal of FIT-COC: 28-May-19_x000a_•Grant of PAO-FIT: 05 Sep 2024"/>
    <x v="0"/>
  </r>
  <r>
    <s v="Visayas"/>
    <x v="0"/>
    <x v="0"/>
    <n v="6"/>
    <s v="First Solar Energy Corp. (Phil. Solar Farm-Leyte, Inc.)"/>
    <s v="Ormoc Solar Power Project "/>
    <s v="Brgy. Dolores, Ormoc CIty"/>
    <n v="30.38"/>
    <n v="30.38"/>
    <n v="30"/>
    <d v="2015-04-29T00:00:00"/>
    <d v="2015-04-04T00:00:00"/>
    <d v="2015-04-04T00:00:00"/>
    <d v="2035-04-04T00:00:00"/>
    <n v="20"/>
    <s v="04 April 2015 - _x000a_04 April 2035"/>
    <d v="2015-06-08T00:00:00"/>
    <d v="2016-04-04T00:00:00"/>
    <n v="9.68"/>
    <s v="•Issuance of FIT-COC: 08-Jun-15_x000a_•Renewal, Issuance of PAO-FIT: 30-Jun-2020_x000a_•PAO-FIT 1st Extension: 18-Nov-2020_x000a_• PAO-FIT 2nd Extension: 14-Mar-2022_x000a_•Issuance of PAO on 25 November 2024_x000a_• 1st PAO Extension on 17 November 2025"/>
    <x v="0"/>
  </r>
  <r>
    <m/>
    <x v="1"/>
    <x v="1"/>
    <n v="6"/>
    <m/>
    <m/>
    <m/>
    <m/>
    <m/>
    <m/>
    <m/>
    <m/>
    <m/>
    <m/>
    <m/>
    <m/>
    <m/>
    <m/>
    <m/>
    <m/>
    <x v="2"/>
  </r>
  <r>
    <s v="Luzon"/>
    <x v="0"/>
    <x v="2"/>
    <n v="7"/>
    <s v="Valenzuela Solar Energy. Inc."/>
    <s v="Valenzuela Solar Power Project"/>
    <s v="198 Isla Road, Planters, Technopark, Brgy. Isla, Valenzuela"/>
    <n v="8.5"/>
    <n v="8.5"/>
    <n v="8.5"/>
    <m/>
    <d v="2016-03-08T00:00:00"/>
    <d v="2016-03-08T00:00:00"/>
    <d v="2036-03-07T00:00:00"/>
    <n v="20"/>
    <s v="08 March 2016 - _x000a_07 March 2036"/>
    <d v="2016-12-08T00:00:00"/>
    <d v="2017-03-08T00:00:00"/>
    <n v="8.69"/>
    <s v="•Issuance of COC: 14-Jul-16_x000a_•Issuance of FIT-COC: 08-Dec-16_x000a_•Issuance of PAO-FIT: 13-Jul-2021_x000a_•1st Extension of PAO-FIT: 17-Oct-22_x000a_•2nd Extension of PAO-FIT: 16-Jul-24_x000a_• Grant of PAO on 07 July 2025_x000a_• Issuance of COC on 06 April 2026"/>
    <x v="0"/>
  </r>
  <r>
    <s v="Luzon"/>
    <x v="0"/>
    <x v="2"/>
    <n v="8"/>
    <s v="Solar Powered Agri-Rural Communities Corporation (SPARC-Zambales) (EPRRI-Clark)"/>
    <s v="Palauig Solar Power Project"/>
    <s v="Palauig, Zambales"/>
    <n v="5.0199999999999996"/>
    <n v="5.0199999999999996"/>
    <n v="5.0199999999999996"/>
    <m/>
    <d v="2016-03-13T00:00:00"/>
    <d v="2016-03-13T00:00:00"/>
    <d v="2036-03-12T00:00:00"/>
    <n v="20"/>
    <s v="13 March 2016 - _x000a_12 March 2036"/>
    <d v="2017-02-06T00:00:00"/>
    <d v="2017-03-13T00:00:00"/>
    <n v="8.69"/>
    <s v="•Issuance of FIT-COC: 06-Feb-17_x000a_•Issuance of PAO-FIT: 16-Feb-22_x000a_•With PAO valid until 07 December 2024; _x000a_•Extended PAO: 10-Feb-2026"/>
    <x v="0"/>
  </r>
  <r>
    <s v="Luzon"/>
    <x v="0"/>
    <x v="2"/>
    <n v="9"/>
    <s v="Solar Philippines Calatagan Corporation"/>
    <s v="Calatagan Solar Power Project"/>
    <s v="Brgy. Paraiso Biga, Calatagan, Batangas"/>
    <n v="63.3"/>
    <n v="63.3"/>
    <n v="63.3"/>
    <m/>
    <d v="2016-03-11T00:00:00"/>
    <d v="2016-03-11T00:00:00"/>
    <d v="2036-03-10T00:00:00"/>
    <n v="20"/>
    <s v="11 March 2016 - _x000a_10 March 2036"/>
    <d v="2016-06-28T00:00:00"/>
    <d v="2017-03-11T00:00:00"/>
    <n v="8.69"/>
    <s v="•Issuance of FIT-COC: 28-Jun-16_x000a_•Issuance of PAO-FIT: 23-Jun-21_x000a_•1st Extension of PAO-FIT: 22-Aug-2022_x000a_• Issuance of PAO on 05 May 2026"/>
    <x v="0"/>
  </r>
  <r>
    <s v="Luzon"/>
    <x v="0"/>
    <x v="2"/>
    <n v="10"/>
    <s v="Raslag Corporation "/>
    <s v="Pampanga Solar Power Project (Phase II)"/>
    <s v="Brgy. Suclaban, Mexico, Pampanga"/>
    <n v="13.14"/>
    <n v="13.14"/>
    <n v="13.14"/>
    <m/>
    <d v="2015-12-23T00:00:00"/>
    <d v="2015-12-23T00:00:00"/>
    <d v="2035-12-22T00:00:00"/>
    <n v="20"/>
    <s v="23 December 2015 -_x000a_22 December 2035"/>
    <d v="2016-02-29T00:00:00"/>
    <d v="2016-12-23T00:00:00"/>
    <n v="8.69"/>
    <s v="•Issuance of FIT-COC: 29 Feb 2016_x000a_•Renewal, Issuance of PAO-FIT: 29-Jun-2020_x000a_•PAO-FIT 1st Extension: 29-Sep-2020_x000a_•PAO-FIT 2nd Extension: 28-Oct-2021_x000a_•PAO-FIT 3rd Extension: 14-Nov-2022_x000a_• Issuance of COC on 01 October 2024"/>
    <x v="0"/>
  </r>
  <r>
    <s v="Luzon"/>
    <x v="0"/>
    <x v="2"/>
    <n v="11"/>
    <s v="EDC Burgos 2"/>
    <s v="Burgos Solar Power Project Phase 2"/>
    <s v="Brgy. Saoit, Burgos, Ilocos, Norte"/>
    <n v="2.66"/>
    <n v="2.66"/>
    <n v="2.66"/>
    <m/>
    <d v="2016-01-19T00:00:00"/>
    <d v="2016-01-19T00:00:00"/>
    <d v="2036-01-18T00:00:00"/>
    <n v="20"/>
    <s v="19 January 2016 -_x000a_18 January 2036"/>
    <d v="2016-03-01T00:00:00"/>
    <d v="2017-01-19T00:00:00"/>
    <n v="8.69"/>
    <s v="•Issuance of FIT-COC: 01 Mar 2016_x000a_•Renewal, Issuance of PAO-FIT: 29-Jun-2020_x000a_•PAO-FIT 1st Extension: 29-Sep-2020_x000a_•PAO-FIT 2nd Extension: 28-Oct-2021_x000a_•PAO-FIT 3rd Extension: 20-Dec-22_x000a_• Issued PAO on 04 November 2024_x000a_• Issued PAO Amendment on 08 July 2025_x000a_• Issued PAO 1st Extension on 22 October 2025"/>
    <x v="0"/>
  </r>
  <r>
    <s v="Luzon"/>
    <x v="0"/>
    <x v="2"/>
    <n v="12"/>
    <s v="Petrosolar Corp."/>
    <s v="Tarlac Solar Power Project"/>
    <s v="Central Technopark, Tarlac City, Tarlac"/>
    <n v="50.069000000000003"/>
    <n v="50.07"/>
    <n v="50.07"/>
    <m/>
    <d v="2016-02-10T00:00:00"/>
    <d v="2016-02-10T00:00:00"/>
    <d v="2036-02-09T00:00:00"/>
    <n v="20"/>
    <s v="10 February 2016 - _x000a_09 February 2036"/>
    <d v="2025-03-30T00:00:00"/>
    <d v="2017-02-10T00:00:00"/>
    <n v="8.69"/>
    <s v="•Issuance of FIT-COC: 12 Jul 2016_x000a_•Renewal, Issuance of PAO-FIT: 17-Mar-2021_x000a_•1st Extension of PAO-FIT: 19 Apr-2022_x000a_• Grant of PAO on 19 March 2024_x000a_•  1st Extension of PAO on 21 March 2025"/>
    <x v="0"/>
  </r>
  <r>
    <s v="Luzon"/>
    <x v="0"/>
    <x v="2"/>
    <n v="13"/>
    <s v="YH Green Energy, Inc"/>
    <s v="Hermosa Solar Power Project"/>
    <s v="Brgy. Bacong, Hermosa, Bataan"/>
    <n v="14.505000000000001"/>
    <n v="14.51"/>
    <n v="14.51"/>
    <m/>
    <d v="2016-02-12T00:00:00"/>
    <d v="2016-02-12T00:00:00"/>
    <d v="2036-02-11T00:00:00"/>
    <n v="20"/>
    <s v="12 February 2016 - _x000a_11 February 2036"/>
    <d v="2025-03-30T00:00:00"/>
    <d v="2017-02-12T00:00:00"/>
    <n v="8.69"/>
    <s v="•Issuance of FIT-COC: 30-Mar-16_x000a_•Renewal, Issuance of PAO-FIT: 17-Mar-2021_x000a_•Grant of PAO: 12 March 2024_x000a_•1st Extension of PAO: 11 April 2025_x000a_• 2nd Extension of PAO on 27 March 2026"/>
    <x v="0"/>
  </r>
  <r>
    <s v="Luzon"/>
    <x v="0"/>
    <x v="2"/>
    <n v="14"/>
    <s v="First Cabanatuan Renewable Ventures, Inc."/>
    <s v="Cabanatuan Solar Power Project"/>
    <s v="Brgy. Lourdes, Cabanatuan, Nueva Ecija"/>
    <n v="10.26"/>
    <n v="10.26"/>
    <n v="10.26"/>
    <m/>
    <d v="2016-03-11T00:00:00"/>
    <d v="2016-03-11T00:00:00"/>
    <d v="2036-03-10T00:00:00"/>
    <n v="20"/>
    <s v="11 March 2016 - _x000a_10 March 2036"/>
    <d v="2016-04-13T00:00:00"/>
    <d v="2017-03-11T00:00:00"/>
    <n v="8.69"/>
    <s v="•Issuance of FIT-COC: 13 Apr 2016_x000a_•Issuance of PAO-FIT: 05 May 2021_x000a_• Issuance of PAO on 22 May 2026"/>
    <x v="0"/>
  </r>
  <r>
    <s v="Luzon"/>
    <x v="0"/>
    <x v="2"/>
    <n v="15"/>
    <s v="Mirae Asia Energy Corporation"/>
    <s v="Currimao Solar Power Project"/>
    <s v="Brgy. Paguludan-Salindeg, Currimao, Ilocos Norte"/>
    <n v="20"/>
    <n v="20"/>
    <n v="20"/>
    <m/>
    <d v="2016-02-29T00:00:00"/>
    <d v="2016-02-29T00:00:00"/>
    <d v="2036-02-28T00:00:00"/>
    <n v="20"/>
    <s v="29 February 2016 - _x000a_28 February 2036"/>
    <d v="2016-12-08T00:00:00"/>
    <d v="2017-02-28T00:00:00"/>
    <n v="8.69"/>
    <s v="•Issuance of COC: 18-Aug-16_x000a_•Issuance of FIT-COC: 08-Dec-16_x000a_•Issuance of PAO-FIT: 18-Aug-21_x000a_• 1st Extension of PAO-FIT: 17-Oct-22_x000a_• Grant of PAO:  30 Aug 2024_x000a_• 1st PAO Extension: 11 November 2025"/>
    <x v="0"/>
  </r>
  <r>
    <s v="Luzon"/>
    <x v="0"/>
    <x v="2"/>
    <n v="16"/>
    <s v="Absolut Distillers, Inc."/>
    <s v="Lian Solar Power Project"/>
    <s v="Brgy. Malaruhatan, Lian, Batangas"/>
    <n v="2.04"/>
    <n v="2.04"/>
    <n v="2.04"/>
    <m/>
    <d v="2016-03-08T00:00:00"/>
    <d v="2016-03-08T00:00:00"/>
    <d v="2036-03-07T00:00:00"/>
    <n v="20"/>
    <s v="08 March 2016 - _x000a_07 March 2036"/>
    <d v="2016-12-08T00:00:00"/>
    <d v="2017-03-08T00:00:00"/>
    <n v="8.69"/>
    <s v="•Issuance of COC:14-Jul-16_x000a_•Issuance of FIT-COC: 08-Dec-16_x000a_•Issuance of PAO-FIT: 16-Feb-22_x000a_•1st Extension of PAO-FIT: 17-Oct-22_x000a_•2nd Extension of PAO-FIT: 22-Jul-24_x000a_•Issued PAO on 01 August 2025"/>
    <x v="0"/>
  </r>
  <r>
    <s v="Luzon"/>
    <x v="0"/>
    <x v="2"/>
    <n v="17"/>
    <s v="Citicore Renewable Energy Corporation (CREC) [formerly Enfinity Phils. Renewable Resources, Inc.]"/>
    <s v="Clark Solar Power Project"/>
    <s v="Prince Balagtas Road, Clark Freeport Zone, Pampanga"/>
    <n v="22.33"/>
    <n v="22.33"/>
    <n v="22.33"/>
    <m/>
    <d v="2016-03-12T00:00:00"/>
    <d v="2016-03-12T00:00:00"/>
    <d v="2036-03-11T00:00:00"/>
    <n v="20"/>
    <s v="12 March 2016 - _x000a_11 March 2036"/>
    <d v="2025-03-28T00:00:00"/>
    <d v="2017-03-12T00:00:00"/>
    <n v="8.69"/>
    <s v="•Issuance of COC: 22-Nov-16_x000a_•Issuance of FIT-COC: 08-Dec-16_x000a_•Issuance of PAO-FIT: 18 August 2021_x000a_•Issuance of PAO: 11 April 2025_x000a_• Issuance of PAO Extension on 16 March 2026"/>
    <x v="0"/>
  </r>
  <r>
    <s v="Luzon"/>
    <x v="0"/>
    <x v="2"/>
    <n v="18"/>
    <s v="Citicore Solar Bulacan, Inc."/>
    <s v="15.00MWp Bulacan Solar Power Plant"/>
    <s v="Sitio Hulo Brgy. Pasong Bangkal, San Ildefonso, Bulacan"/>
    <n v="15"/>
    <n v="15.000999999999999"/>
    <n v="15.000999999999999"/>
    <m/>
    <d v="2016-03-14T00:00:00"/>
    <d v="2016-03-14T00:00:00"/>
    <d v="2036-03-13T00:00:00"/>
    <n v="20"/>
    <s v="14 March 2016 - _x000a_13 March 2036"/>
    <d v="2016-12-20T00:00:00"/>
    <d v="2017-03-14T00:00:00"/>
    <n v="8.69"/>
    <s v="•Issuance of FIT-COC: 20 Dec 2016_x000a_•Issuance of PAO-FIT: 16 Feb 2022_x000a_•Issuance of PAO: 11 June 2025_x000a_• 1st Extension of PAO on 28 May 2026"/>
    <x v="0"/>
  </r>
  <r>
    <s v="Visayas"/>
    <x v="0"/>
    <x v="2"/>
    <n v="19"/>
    <s v="San Carlos Solar Energy, Inc.  (SACASOL)"/>
    <s v="SACASOL Power Project Plant (Phases I-C &amp;I-)D"/>
    <s v="Brgy. Punao, San Carlos City, Negros Occidental"/>
    <n v="23"/>
    <n v="23"/>
    <n v="23"/>
    <m/>
    <d v="2015-09-06T00:00:00"/>
    <d v="2015-09-06T00:00:00"/>
    <d v="2035-09-05T00:00:00"/>
    <n v="20"/>
    <s v="06 September 2015 -_x000a_05 September 2035"/>
    <s v="1/10/2025 (PAO)"/>
    <d v="2016-09-06T00:00:00"/>
    <n v="8.69"/>
    <s v="•Issuance of FIT- COC:04-May-16_x000a_•Renewal, Issuance of PAO-FIT: 14-Jan-2021_x000a_•1st Extension of PAO-FIT: 14-Mar-2022_x000a_• Issued PAO: 10 January 2024_x000a_• 1st Extension of PAO on 02 January 2025_x000a_• 2nd Extension of PAO on 05 January 2026"/>
    <x v="0"/>
  </r>
  <r>
    <s v="Visayas"/>
    <x v="0"/>
    <x v="2"/>
    <n v="20"/>
    <s v="Monte Solar Energy, Inc. "/>
    <s v="Bais Solar Power Project"/>
    <s v="Bais City, Negros Oriental"/>
    <n v="18"/>
    <n v="18"/>
    <n v="18"/>
    <m/>
    <d v="2016-03-11T00:00:00"/>
    <d v="2016-03-11T00:00:00"/>
    <d v="2036-03-10T00:00:00"/>
    <n v="20"/>
    <s v="11 March 2016 - _x000a_10 March 2036"/>
    <d v="2017-02-06T00:00:00"/>
    <d v="2017-03-11T00:00:00"/>
    <n v="8.69"/>
    <s v="•Issuance of FIT-COC: 06-Feb-17_x000a_•Issuance of PAO-FIT: 07-Jul-21_x000a_•1st Extension of PAO: 24Jun 24_x000a_ •Grant of PAO on 10 July 2025"/>
    <x v="0"/>
  </r>
  <r>
    <s v="Visayas"/>
    <x v="0"/>
    <x v="2"/>
    <n v="21"/>
    <s v="Helios Solar Energy Corporation"/>
    <s v="Cadiz Solar Power Project"/>
    <s v="Brgy. Tinampa-an, Cadiz City, Negros Occidental"/>
    <n v="132.5"/>
    <n v="132.5"/>
    <n v="132.5"/>
    <m/>
    <d v="2016-03-14T00:00:00"/>
    <d v="2016-03-14T00:00:00"/>
    <d v="2036-03-13T00:00:00"/>
    <n v="20"/>
    <s v="14 March 2016 - _x000a_13 March 2036"/>
    <d v="2016-12-08T00:00:00"/>
    <d v="2017-03-14T00:00:00"/>
    <n v="8.69"/>
    <s v="•Issuance of COC:14-Jul-16_x000a_•Issuance of FIT-COC: 08-Dec-16_x000a_•Issuance of PAO-FIT: 13-Jul-21_x000a_•1st Extension of PAO-FIT: 03 Nov 2022_x000a_•Grant of PAO: 30 Aug 2024_x000a_• 1st Extension of PAO 11 November 2025"/>
    <x v="0"/>
  </r>
  <r>
    <s v="Visayas"/>
    <x v="0"/>
    <x v="2"/>
    <n v="22"/>
    <s v="San Carlos Sun Power, Inc. (SACASUN)"/>
    <s v="58.981MWp SACASUN Solar Power Plant"/>
    <s v="Ecozone Blvd., San Carlos Ecozone, Brgy. Punao, San Carlos City, Negros Occidental"/>
    <n v="58.981000000000002"/>
    <n v="58.981000000000002"/>
    <n v="58.981000000000002"/>
    <m/>
    <d v="2016-03-15T00:00:00"/>
    <d v="2022-08-27T00:00:00"/>
    <d v="2036-03-14T00:00:00"/>
    <n v="14"/>
    <s v="27 August 2022 - 14 March 2036"/>
    <d v="2026-05-18T00:00:00"/>
    <m/>
    <n v="8.69"/>
    <s v="•Issuance of COC: 20 Dec 2016_x000a_•Issuance of PAO: 07 July 2021_x000a_•1st Extension of PAO-FIT: 13 July 2023_x000a_• Grant of PAO: 03 July 2024_x000a_• 1st Extension of PAO: 18 June 2025_x000a_• Issuance of COC on 18 May 2026_x000a_• With issued COC on 18 May 2026"/>
    <x v="0"/>
  </r>
  <r>
    <s v="Mindanao"/>
    <x v="0"/>
    <x v="2"/>
    <n v="23"/>
    <s v="Citicore Solar South Cotabato, Inc. (CSSCI) [formerly nv Vogt Philippines Solar Energy One, Inc.]"/>
    <s v="Centrala Solar Power Plant"/>
    <s v="Centralla, Surallah, South Cotabato"/>
    <n v="6.23"/>
    <n v="6.23"/>
    <n v="6.23"/>
    <m/>
    <d v="2015-10-09T00:00:00"/>
    <d v="2016-10-25T00:00:00"/>
    <d v="2035-12-08T00:00:00"/>
    <n v="19"/>
    <s v="25 October 2016 - _x000a_08 Decmber 2035"/>
    <d v="2017-02-28T00:00:00"/>
    <d v="2016-10-25T00:00:00"/>
    <n v="8.69"/>
    <s v="•Issuance of FIT-COC: 28 Feb 2017_x000a_•Grant of PAO: 22 March 2024_x000a_•1st Extension of PAO: 04 July 2025_x000a_• With issued COC on 04 May 2026"/>
    <x v="0"/>
  </r>
  <r>
    <s v="Mindanao"/>
    <x v="0"/>
    <x v="2"/>
    <n v="24"/>
    <s v="Asian Green Energy Corporation "/>
    <s v="Kibawe Solar Power Plant"/>
    <s v="Brgy. Labuagon, Kibawe, Bukidnon"/>
    <n v="10.49"/>
    <n v="10.49"/>
    <n v="10.49"/>
    <m/>
    <d v="2016-03-13T00:00:00"/>
    <d v="2016-03-13T00:00:00"/>
    <d v="2036-03-12T00:00:00"/>
    <n v="20"/>
    <s v="13 March 2016 - _x000a_12 March 2036"/>
    <d v="2017-08-08T00:00:00"/>
    <d v="2017-03-13T00:00:00"/>
    <n v="8.69"/>
    <s v="•With issued PAO from 14 July 2016 _x000a_• Issuance of  FIT-COC: 08 Aug 2017_x000a_• Issuance of  PAO-FIT: 13-Jul-2021_x000a_• 1st Extension of  PAO-FIT: 17 Oct 2022_x000a_• Grant of PAO: 11 Sep 2024_x000a_• Issued COC on 10 November 2025"/>
    <x v="0"/>
  </r>
  <r>
    <m/>
    <x v="1"/>
    <x v="1"/>
    <m/>
    <m/>
    <m/>
    <m/>
    <m/>
    <m/>
    <m/>
    <m/>
    <m/>
    <m/>
    <m/>
    <m/>
    <m/>
    <m/>
    <m/>
    <m/>
    <m/>
    <x v="2"/>
  </r>
  <r>
    <m/>
    <x v="1"/>
    <x v="1"/>
    <m/>
    <m/>
    <m/>
    <m/>
    <m/>
    <m/>
    <m/>
    <m/>
    <m/>
    <m/>
    <m/>
    <m/>
    <m/>
    <m/>
    <m/>
    <m/>
    <m/>
    <x v="2"/>
  </r>
  <r>
    <s v="Luzon"/>
    <x v="2"/>
    <x v="0"/>
    <n v="1"/>
    <s v="Northwind Power Development Corporation"/>
    <s v="Bangui Bay Wind Farm Power Plant Phase III"/>
    <s v="Bangui, Ilocos Norte"/>
    <n v="18.899999999999999"/>
    <n v="18.899999999999999"/>
    <n v="18.899999999999999"/>
    <m/>
    <d v="2014-10-10T00:00:00"/>
    <d v="2014-10-10T00:00:00"/>
    <d v="2034-10-09T00:00:00"/>
    <n v="20"/>
    <s v="10 October 2014 -_x000a_09 October 2034"/>
    <d v="2015-04-13T00:00:00"/>
    <d v="2016-01-01T00:00:00"/>
    <n v="8.5299999999999994"/>
    <s v="•Issuance of COC: 09-Feb-15_x000a_•Issuance of FIT-COC: 13-Apr-15_x000a_•Renewal, Issuance of PAO-FIT: 08-Oct-2019 _x000a_• PAO-FIT 1st Extension: 06-Jul-2020 _x000a_• PAO-FIT 2nd Extension: 14-Oct-2020 _x000a_• PAO-FIT 3rd Extension: 21-Dec-2021 _x000a_• PAO-FIT 4th Extension: 14-Mar-2022 _x000a_• Grant of PAO: 29 Sep 2025"/>
    <x v="0"/>
  </r>
  <r>
    <s v="Luzon"/>
    <x v="2"/>
    <x v="0"/>
    <n v="2"/>
    <s v="EDC Burgos Wind Power Corporation"/>
    <s v="Burgos Wind Power Plant Phase I &amp; II"/>
    <s v="Burgos, Ilocos Norte"/>
    <n v="150"/>
    <n v="150"/>
    <n v="134.63999999999999"/>
    <m/>
    <d v="2014-11-11T00:00:00"/>
    <d v="2014-11-11T00:00:00"/>
    <d v="2034-11-10T00:00:00"/>
    <n v="20"/>
    <s v="11 November 2014 - _x000a_10 November 2034"/>
    <d v="2015-04-13T00:00:00"/>
    <d v="2016-01-01T00:00:00"/>
    <n v="8.5299999999999994"/>
    <s v="•Issuance of COC:09-Feb-15 _x000a_•Issuance of FIT-COC:13-Apr-15 (FIT)_x000a_•Renewal of COC-FIT: 03-Dec-2019_x000a_• Issued PAO on 13 January 2025_x000a_• Amended PAO on 13 May 2025_x000a_• Amended PAO on 04 July 2025_x000a_• 1st Extension of PAO on 14 January 2026_x000a_• Amended 1st Extension of PAO on 01 June 2026"/>
    <x v="0"/>
  </r>
  <r>
    <s v="Luzon"/>
    <x v="2"/>
    <x v="0"/>
    <n v="3"/>
    <s v="North Luzon Renewable Energy Corporation"/>
    <s v="Caparispisan Wind Energy Plant"/>
    <s v="Pagudpud, Ilocos Norte"/>
    <n v="81"/>
    <n v="81"/>
    <n v="81"/>
    <m/>
    <d v="2014-11-11T00:00:00"/>
    <d v="2014-11-11T00:00:00"/>
    <d v="2034-11-10T00:00:00"/>
    <n v="20"/>
    <s v="11 November 2014 - _x000a_10 November 2034"/>
    <d v="2015-04-13T00:00:00"/>
    <d v="2016-01-01T00:00:00"/>
    <n v="8.5299999999999994"/>
    <s v="•Issuance of COC:09-Feb-15 _x000a_•Issuance of FIT-COC:13-Apr-15_x000a_•Renewal, Issuance of PAO-FIT: 28-Nov-2019_x000a_•PAO-FIT 1st Extension: 30-Jun-2020_x000a_•PAO-FIT 2nd Extension: 2-Dec-2020 _x000a_•PAO-FIT 3rd Extension: 14-Mar-2022_x000a_• Grant of PAO on 10 December 2024_x000a_• 1st Extension of PAO on 09 December 2025"/>
    <x v="0"/>
  </r>
  <r>
    <m/>
    <x v="1"/>
    <x v="1"/>
    <m/>
    <m/>
    <m/>
    <m/>
    <m/>
    <m/>
    <m/>
    <m/>
    <m/>
    <m/>
    <m/>
    <m/>
    <m/>
    <m/>
    <m/>
    <m/>
    <m/>
    <x v="2"/>
  </r>
  <r>
    <s v="Luzon"/>
    <x v="2"/>
    <x v="2"/>
    <n v="6"/>
    <s v="Pililla Wind Power Corporation_x000a_(Formerly Alternergy Wind One Corporation (AWOC)"/>
    <s v="Pililia Wind Power Plant"/>
    <s v="Brgy. Halayhayin, Pililia, Rizal"/>
    <n v="54"/>
    <n v="54"/>
    <n v="54"/>
    <m/>
    <d v="2015-06-09T00:00:00"/>
    <d v="2015-06-09T00:00:00"/>
    <d v="2035-06-08T00:00:00"/>
    <n v="20"/>
    <s v="09 June 2015 -_x000a_08 June 2035"/>
    <d v="2015-12-01T00:00:00"/>
    <d v="2016-06-09T00:00:00"/>
    <n v="7.4"/>
    <s v="•Issuance of COC: 14-Sept-15_x000a_•Issuance of FIT-COC: 01-Dec-15_x000a_•Renewal, Issued to PAO-FIT: 8-Sep-2020_x000a_•Amendment to PAO-FIT: 22-Oct-2020_x000a_•1st Extension of PAO-FIT: 28-Oct-2021_x000a_• Issuance of PAO on 04 November 2024"/>
    <x v="0"/>
  </r>
  <r>
    <s v="Visayas"/>
    <x v="2"/>
    <x v="2"/>
    <n v="4"/>
    <s v="Guimaras Wind Corporation (GWC)"/>
    <s v="San Lorenzo Wind Power Plant"/>
    <s v="San Lorenzo, Guimaras"/>
    <n v="54"/>
    <n v="54"/>
    <n v="51"/>
    <m/>
    <d v="2014-12-27T00:00:00"/>
    <d v="2014-12-27T00:00:00"/>
    <d v="2034-12-26T00:00:00"/>
    <n v="20"/>
    <s v="27 December 2014 -_x000a_26 December 2034"/>
    <d v="2025-01-31T00:00:00"/>
    <d v="2016-01-01T00:00:00"/>
    <n v="7.4"/>
    <s v="•Issuance of PAO: 02 Mar 2015_x000a_•Issuance of COC: 01 Jun 2015_x000a_•Issuance of FIT-COC: 01-Dec-15_x000a_•Renewal, Issuance of FIT-COC: 18-Feb-2020_x000a_• With issued COC on 31 January 2025"/>
    <x v="0"/>
  </r>
  <r>
    <s v="Visayas"/>
    <x v="2"/>
    <x v="2"/>
    <n v="5"/>
    <s v="Petro Wind Energy, Inc."/>
    <s v="Nabas Wind Energy Plant"/>
    <s v="Nabas-Malay, Aklan"/>
    <n v="36"/>
    <n v="36"/>
    <n v="36"/>
    <m/>
    <d v="2015-06-10T00:00:00"/>
    <d v="2015-06-10T00:00:00"/>
    <d v="2035-06-09T00:00:00"/>
    <n v="20"/>
    <s v="10 June 2015 - _x000a_09 June 2035"/>
    <d v="2015-12-01T00:00:00"/>
    <d v="2016-06-10T00:00:00"/>
    <n v="7.4"/>
    <s v="•Issuance of COC: 17-Aug-15_x000a_•Issuance of FIT-COC: 01-Dec-15_x000a_•Renewal, Issuance of PAO-FIT: 12-Aug-2020_x000a_•PAO-FIT 1st Extension: 18 August 2021_x000a_• Grant of PAO: 30 Sep 2024_x000a_•1st Extension of PAO: 22 Sep 2025"/>
    <x v="0"/>
  </r>
  <r>
    <m/>
    <x v="1"/>
    <x v="1"/>
    <m/>
    <m/>
    <m/>
    <m/>
    <m/>
    <m/>
    <m/>
    <m/>
    <m/>
    <m/>
    <m/>
    <m/>
    <m/>
    <m/>
    <m/>
    <m/>
    <m/>
    <x v="2"/>
  </r>
  <r>
    <s v="Luzon"/>
    <x v="2"/>
    <x v="3"/>
    <n v="7"/>
    <s v="Northwind Power Development Corporation "/>
    <s v="Bangui Wind Power Plant Phase I &amp; II"/>
    <s v="Bangui, Ilocos Norte"/>
    <n v="33"/>
    <m/>
    <n v="21.45"/>
    <m/>
    <d v="2015-07-20T00:00:00"/>
    <d v="2015-07-20T00:00:00"/>
    <d v="2025-06-04T00:00:00"/>
    <n v="10"/>
    <s v="20 July 2015 -_x000a_04 June 2025"/>
    <d v="2015-04-13T00:00:00"/>
    <d v="2016-07-20T00:00:00"/>
    <n v="5.96"/>
    <s v="• Issuance of COC: 15-Jun-05 (Phase1)_x000a_• Issuance of COC: 26-Jan-09 (Phase II)_x000a_•Renewal of COC: 15-Jun-10 (Phases I and II)_x000a_•Renewal of COC: 15-Jun-15_x000a_•Issuance of PAO-FIT: 20-July-15 (PAO-FIT)_x000a_•Issuance of FIT-COC: 13-Feb-18 (FIT)_x000a_• Renewal, Issuance of PAO-FIT: 06-Jul-2020 _x000a_• PAO-FIT 1st Extension: 18-Nov-2020 _x000a_• PAO-FIT 2ndd Extension: 14-Mar-2022_x000a_• Granted PAO on 10 December 2024_x000a_• Granted PAO for Additional Units Approved on 04 June 2025_x000a_•  Amended PAO on 25 June 2025"/>
    <x v="3"/>
  </r>
  <r>
    <m/>
    <x v="1"/>
    <x v="1"/>
    <m/>
    <m/>
    <m/>
    <m/>
    <m/>
    <m/>
    <m/>
    <m/>
    <m/>
    <m/>
    <m/>
    <m/>
    <m/>
    <m/>
    <m/>
    <m/>
    <m/>
    <x v="2"/>
  </r>
  <r>
    <m/>
    <x v="1"/>
    <x v="1"/>
    <m/>
    <m/>
    <m/>
    <m/>
    <m/>
    <m/>
    <m/>
    <m/>
    <m/>
    <m/>
    <m/>
    <m/>
    <m/>
    <m/>
    <m/>
    <m/>
    <m/>
    <x v="2"/>
  </r>
  <r>
    <m/>
    <x v="1"/>
    <x v="1"/>
    <m/>
    <m/>
    <m/>
    <m/>
    <m/>
    <m/>
    <m/>
    <m/>
    <m/>
    <m/>
    <m/>
    <m/>
    <m/>
    <m/>
    <m/>
    <m/>
    <m/>
    <x v="2"/>
  </r>
  <r>
    <s v="Luzon"/>
    <x v="3"/>
    <x v="0"/>
    <n v="1"/>
    <s v="San Jose City I Power Corporation"/>
    <s v="12 MW e(net) SJCi Power Rice Husk-fired Biomass Power Plant Project (Phase I)"/>
    <s v="Nrgy. Tulat, San Jose City, Nueva Ecija"/>
    <n v="12"/>
    <n v="12"/>
    <n v="12"/>
    <m/>
    <d v="2014-11-02T00:00:00"/>
    <d v="2014-11-02T00:00:00"/>
    <d v="2034-11-01T00:00:00"/>
    <n v="20"/>
    <s v="02 November 2014 - _x000a_01 November 2034"/>
    <d v="2025-04-21T00:00:00"/>
    <d v="2016-01-01T00:00:00"/>
    <n v="6.63"/>
    <s v="•Issuance of PAO: 18 Dec 2014_x000a_•Issuance of COC: 09 Feb 2015_x000a_•Renewal, Issuance of FIT-COC: 28-Nov-2019 (Consolidated FIT COC for Phase 1 and Phase 2_x000a_•With Issued Separated PAO on 30 April 2025_x000a_• 1st Extension of PAO on 10 April 2026"/>
    <x v="0"/>
  </r>
  <r>
    <s v="Luzon"/>
    <x v="3"/>
    <x v="0"/>
    <n v="2"/>
    <s v="Montalban Methane Power Corporation"/>
    <s v="43.8 MW Montalban Landfill Methane Recovery and Electricity Generation"/>
    <s v="Brgy. San Isidro, Rodriguez, Rizal"/>
    <n v="6.37"/>
    <n v="8.19"/>
    <n v="2.1749999999999998"/>
    <m/>
    <d v="2015-06-15T00:00:00"/>
    <d v="2015-06-15T00:00:00"/>
    <d v="2029-02-08T00:00:00"/>
    <n v="14"/>
    <s v="15 June 2015 - _x000a_08 February 2029 "/>
    <d v="2015-06-15T00:00:00"/>
    <d v="2016-06-15T00:00:00"/>
    <n v="6.63"/>
    <s v="•Issuance of  COC: 09-Feb-09_x000a_•Renewal of COC: 09-Jun-14_x000a_• Issuance of FIT-COC: 15-Jun-15_x000a_• Renewal, PAO-FITL: 09-Feb-19_x000a_• Conversion of PAO-FIT to COC: 18-Jul-19_x000a_• With PAO valid until 08 February 2024; With ongoing PAO Application: NISE issued on 21 May 2024"/>
    <x v="1"/>
  </r>
  <r>
    <s v="Luzon"/>
    <x v="3"/>
    <x v="0"/>
    <n v="3"/>
    <s v="Pangea Green Energy Philippines, Inc"/>
    <s v="1.2 MW Payatas Landfill Methane Recovery and Power Generator Facility (Phase I)"/>
    <s v="Brgy. Payatas, Quezon City"/>
    <n v="0.64"/>
    <n v="0.876"/>
    <n v="0.876"/>
    <m/>
    <d v="2013-03-05T00:00:00"/>
    <d v="2015-06-15T00:00:00"/>
    <d v="2033-03-04T00:00:00"/>
    <n v="20"/>
    <s v="15 June 2015 - _x000a_04 March 2033"/>
    <d v="2015-06-15T00:00:00"/>
    <d v="2016-01-01T00:00:00"/>
    <n v="6.63"/>
    <s v="•Issuance of COC: 29-Apr-13 (U1-3)_x000a_•Issuance of COC-FIT: 15-Jun-15 (U1-3)_x000a_•Issuance of COC: 19-Jul-17 (U4-5)_x000a_•Issuance of COC-FIT: 25-Oct-17 (U4-5)_x000a_•Renewal of COC-FIT15-Mar-18 (U1-5)_x000a_•Granted Separated PAOs: 19 August 2024_x000a_• Phase 1 1st PAO Extension: 06 October 2025"/>
    <x v="0"/>
  </r>
  <r>
    <s v="Luzon"/>
    <x v="3"/>
    <x v="0"/>
    <n v="4"/>
    <s v="Lucky PPH International, Inc."/>
    <s v="LLPHII Rice Husk-Fired Biomass Power Plant Project "/>
    <s v="Brgy. San Antonio, Alicia, Isabela"/>
    <n v="3.6"/>
    <n v="3.6"/>
    <n v="3.6"/>
    <m/>
    <d v="2008-09-26T00:00:00"/>
    <d v="2015-06-15T00:00:00"/>
    <d v="2028-09-25T00:00:00"/>
    <n v="13"/>
    <s v="15 June 2015 - _x000a_25 September 2028"/>
    <d v="2015-06-15T00:00:00"/>
    <d v="2016-01-01T00:00:00"/>
    <n v="6.63"/>
    <s v="•Issuance of COC: 15-Feb-10_x000a_•Renewal of COC: 09-Feb-15_x000a_•Issuance of COC-FIT: 15-June-15_x000a_•No COC Renewal Application_x000a_•with certification from Municipal Treasurer of Isabela the cessation of business since Nov 23, 2016"/>
    <x v="4"/>
  </r>
  <r>
    <s v="Luzon"/>
    <x v="3"/>
    <x v="0"/>
    <n v="5"/>
    <s v="Bataan 2020, Inc."/>
    <s v="12.5 MW Bataan 2020 Rice Hull-fired Cogen Plant"/>
    <s v="Brgy. Gugo, Samal, Bataan"/>
    <n v="12.5"/>
    <n v="12.5"/>
    <n v="11.1"/>
    <m/>
    <d v="2015-07-10T00:00:00"/>
    <d v="2015-07-10T00:00:00"/>
    <d v="2035-07-09T00:00:00"/>
    <n v="20"/>
    <s v="10 July 2015 -_x000a_09 July 2035"/>
    <d v="2015-11-26T00:00:00"/>
    <d v="2016-07-10T00:00:00"/>
    <n v="6.63"/>
    <s v="•Issuance of COC: 21-Mar-11_x000a_•Issuance of FIT-COC:26-Nov-15_x000a_•Renewal of FIT-COC:10-Mar-16_x000a_•Renewal, Issuance of PAO-FIT: 7-Apr-2021_x000a_• 1st Extension of PAO-FIT: 9-Nov-22_x000a_• Issuance of PAO: 30 Oct 2025"/>
    <x v="0"/>
  </r>
  <r>
    <s v="Luzon"/>
    <x v="3"/>
    <x v="0"/>
    <n v="6"/>
    <s v="Isabela Biomass Energy Coorporation (IBEC)"/>
    <s v="20 MW IBEC Biomass Power Plant Project"/>
    <s v="Brgy. Burgos, Alicia, Isabela"/>
    <n v="20"/>
    <n v="20"/>
    <n v="18"/>
    <m/>
    <d v="2015-10-06T00:00:00"/>
    <d v="2015-10-06T00:00:00"/>
    <d v="2035-10-05T00:00:00"/>
    <n v="20"/>
    <s v="06 October 2015 -_x000a_05 October 2035"/>
    <d v="2025-01-19T00:00:00"/>
    <d v="2016-10-06T00:00:00"/>
    <n v="6.63"/>
    <s v="• Issuance of Pao: 19-Jan-16_x000a_• Issuance of FIT-COC: 21-Apr-16_x000a_• Renewal, Issuance of PAO-FIT: 13-Jan-2021_x000a_• 1st Extension of PAO-FIT: 05-Jul-2022_x000a_• Issuance of COC: 18 Dec 2025"/>
    <x v="0"/>
  </r>
  <r>
    <s v="Luzon"/>
    <x v="3"/>
    <x v="0"/>
    <n v="7"/>
    <s v="Green Future Innovations, Inc."/>
    <s v="19 KW Bagasse-fired Cogeneration Power Plant"/>
    <s v="San Mariano, Isabela"/>
    <n v="19.809999999999999"/>
    <n v="19.809999999999999"/>
    <n v="14"/>
    <m/>
    <d v="2012-11-30T00:00:00"/>
    <d v="2012-11-30T00:00:00"/>
    <d v="2032-11-29T00:00:00"/>
    <n v="20"/>
    <s v="30 November 2012 - _x000a_29 November 2032"/>
    <s v="16-Apr-25 (PAO)"/>
    <d v="2016-01-01T00:00:00"/>
    <n v="6.63"/>
    <s v="•Issuance of Regular COC: 12-Nov-12_x000a_•Issuance of FIT-COC: 02-Feb-16_x000a_•Renewal, PAO: 13 -Dec-17_x000a_•Extension, PAO: 04-Apr-18_x000a_•Extension, PAO-FIT: 20-June-18_x000a_• Extension of PAO Deferred: With Issue on 60%-40% Filipino-Foreign Ownership; issue was reverted to DOE for confirmation_x000a_• With Issued PAO, PAO validity depends on GFII's Compliance with the Commission's Directive"/>
    <x v="0"/>
  </r>
  <r>
    <s v="Luzon"/>
    <x v="3"/>
    <x v="0"/>
    <n v="8"/>
    <s v="Green Innovations for Tomorrow Corporation"/>
    <s v="12 MW Rice Husk-fired Biomass Power Plant Project"/>
    <s v="Talavera, Nueva Ecija"/>
    <n v="12"/>
    <n v="12"/>
    <n v="10.8"/>
    <m/>
    <d v="2016-02-27T00:00:00"/>
    <d v="2016-02-27T00:00:00"/>
    <d v="2036-02-26T00:00:00"/>
    <n v="20"/>
    <s v="27 February 2016 - _x000a_26 February 2036"/>
    <s v="16-Jan-2017 (PAO FIT) / _x000a_5-Jun-17 (FINAL FIT COC)"/>
    <d v="2017-02-27T00:00:00"/>
    <n v="6.63"/>
    <s v="•Issuance of  PAO: 16 Jan 2017_x000a_•Issuance of  FIT-COC: 5-Jun-2017 _x000a_•Issuance of  PAO-FIT: 25 -Jan-2022_x000a_•Extension of  PAO-FIT: 09-Jun-2024_x000a_• Grant of PAO on 18 December 2024_x000a_•Extension of  PAO: 1-Dec-2025"/>
    <x v="0"/>
  </r>
  <r>
    <s v="Luzon"/>
    <x v="3"/>
    <x v="0"/>
    <n v="9"/>
    <s v="Bicol Biomass Energy Corporation"/>
    <s v="5 MW Rice Husk-fired Biomass Power Plant Project"/>
    <s v="Pili, Camarines Sur"/>
    <n v="5"/>
    <n v="5"/>
    <n v="4.4000000000000004"/>
    <m/>
    <d v="2016-10-10T00:00:00"/>
    <d v="2016-10-10T00:00:00"/>
    <d v="2036-10-09T00:00:00"/>
    <n v="20"/>
    <s v="10 October 2016 -_x000a_09 October 2036"/>
    <d v="2017-03-27T00:00:00"/>
    <d v="2017-10-10T00:00:00"/>
    <n v="6.63"/>
    <s v="•Issuance of PAO: 27 Mar 17                               _x000a_•Issuance of COC-FIT: 19 Sept 17_x000a_•Renewal, Issuance of PAO-FIT: 17-Oct-22_x000a_•Granted PAO: 02 May 2024_x000a_•Issuance of PAO: 18 Jun 2025"/>
    <x v="0"/>
  </r>
  <r>
    <s v="Luzon"/>
    <x v="3"/>
    <x v="0"/>
    <n v="10"/>
    <s v="Aseagas Corporation"/>
    <s v="AGC Biogas Project"/>
    <s v="Lian, Batangas"/>
    <n v="8.8000000000000007"/>
    <n v="8.8000000000000007"/>
    <n v="2.21"/>
    <m/>
    <d v="2016-12-14T00:00:00"/>
    <d v="2016-12-14T00:00:00"/>
    <d v="2036-12-13T00:00:00"/>
    <n v="20"/>
    <s v="14 December 2016 - _x000a_13 December 2036"/>
    <d v="2017-10-25T00:00:00"/>
    <d v="2017-12-14T00:00:00"/>
    <n v="6.63"/>
    <s v="•Issuance of FIT-COC: 25 Oct 2017_x000a_•Shutdown since 15 January 2018 as per letter dated 17 Jan 2018"/>
    <x v="4"/>
  </r>
  <r>
    <s v="Visayas"/>
    <x v="3"/>
    <x v="0"/>
    <n v="11"/>
    <s v="First Farmers Holding Corporation"/>
    <s v="21 MW FFHC Bagasse-fired Cogeneration Power Plant"/>
    <s v="Dos Hermanas, Talisay City, Negros Occidental"/>
    <n v="21.76"/>
    <n v="21.76"/>
    <n v="8"/>
    <m/>
    <d v="2009-09-04T00:00:00"/>
    <d v="2015-06-15T00:00:00"/>
    <d v="2029-04-08T00:00:00"/>
    <n v="14"/>
    <s v="15 June 2015 - _x000a_08 April 2029"/>
    <d v="2015-06-15T00:00:00"/>
    <d v="2016-01-01T00:00:00"/>
    <n v="6.63"/>
    <s v="•Issuance of COC:27-Apr-09_x000a_•Renewal of COC:02-Sept-14_x000a_•Issuance of FIT-COC:15-Jun-15_x000a_•Renewal of FIT-COC:29-Aug-19_x000a_•Grant of PAO: 03 October 2024_x000a_• 1st Extension of PAO: 13 November 2025"/>
    <x v="0"/>
  </r>
  <r>
    <s v="Visayas"/>
    <x v="3"/>
    <x v="0"/>
    <n v="12"/>
    <s v="Universal Robina Coorporation"/>
    <s v="46 MW Bagasse-fired Cogeneration Power Plant"/>
    <s v="Brgy. Camugao, Kabankalan City, Negros Occidental"/>
    <n v="46"/>
    <n v="46"/>
    <n v="20"/>
    <m/>
    <d v="2015-01-20T00:00:00"/>
    <d v="2015-01-20T00:00:00"/>
    <d v="2035-01-19T00:00:00"/>
    <n v="20"/>
    <s v="20 January 2015 - _x000a_19 January 2035"/>
    <s v="19-Jan-16 (PAO FIT) / _x000a_15-Dec-16 (FINAL FIT COC)"/>
    <d v="2016-01-20T00:00:00"/>
    <n v="6.63"/>
    <s v="•Issuance of FIT-COC:15-Dec-16_x000a_•Renewal, Issuance of PAO-FIT: 14-Jan-2021_x000a_• Denied PAO Application _x000a_• With Grant of PAO on 26 November 2024_x000a_• Extension of PAO on 26 January 2026"/>
    <x v="0"/>
  </r>
  <r>
    <s v="Visayas"/>
    <x v="3"/>
    <x v="0"/>
    <n v="13"/>
    <s v="Victorias Milling Company, Inc."/>
    <s v="Victorias Biomass Power Plant"/>
    <s v="Negros Occidental"/>
    <n v="23"/>
    <n v="34"/>
    <n v="2.5"/>
    <m/>
    <d v="2015-10-23T00:00:00"/>
    <d v="2015-10-23T00:00:00"/>
    <d v="2035-10-22T00:00:00"/>
    <n v="20"/>
    <s v="23 October 2015 - 22 October 2035"/>
    <s v="22-Sep-21 (PAO FIT)"/>
    <m/>
    <n v="6.63"/>
    <s v="•Issuance of PAO-FIT: 22 Sep 2021_x000a_• Issued PAO on 30 October 2024_x000a_• Issuance of PAO: 17 Dec 2025"/>
    <x v="0"/>
  </r>
  <r>
    <s v="Mindanao"/>
    <x v="3"/>
    <x v="0"/>
    <n v="14"/>
    <s v="Lamsan Power Corporation"/>
    <s v="LPC Biomass Power Plant"/>
    <s v="Brgy. Crossing Simunay, Sultan Kudarat"/>
    <n v="15"/>
    <n v="13.5"/>
    <n v="13.5"/>
    <m/>
    <d v="2016-10-10T00:00:00"/>
    <d v="2016-12-30T00:00:00"/>
    <d v="2036-12-29T00:00:00"/>
    <n v="20"/>
    <s v="30 December 2016 - _x000a_29 December 2036"/>
    <d v="2018-04-16T00:00:00"/>
    <d v="2017-10-10T00:00:00"/>
    <n v="6.63"/>
    <s v="•Issuance of FIT-COC: 16 April 2018_x000a_•Grant of PAO: 27 May 2024_x000a_•1st Extension of PAO on 13 June 2025_x000a_• 2nd Extension of PAO on 25 May 2026"/>
    <x v="0"/>
  </r>
  <r>
    <m/>
    <x v="1"/>
    <x v="1"/>
    <n v="14"/>
    <m/>
    <m/>
    <m/>
    <n v="206.48000000000002"/>
    <n v="218.036"/>
    <n v="123.161"/>
    <m/>
    <m/>
    <m/>
    <m/>
    <m/>
    <m/>
    <m/>
    <m/>
    <m/>
    <m/>
    <x v="2"/>
  </r>
  <r>
    <s v="Luzon"/>
    <x v="3"/>
    <x v="4"/>
    <n v="15"/>
    <s v="San Jose City I Power Corporation"/>
    <s v="12 MW e(net) SJCi Power Rice Husk-fired Biomass Power Plant Project (Phase II)"/>
    <s v="Brgy. Tlat, San Jose City,  Nueva Ecija"/>
    <n v="12"/>
    <n v="12"/>
    <n v="10.8"/>
    <m/>
    <d v="2017-09-22T00:00:00"/>
    <d v="2017-09-22T00:00:00"/>
    <d v="2037-09-21T00:00:00"/>
    <n v="20"/>
    <s v="22 September 2017 - _x000a_21 September 2037"/>
    <d v="2017-12-13T00:00:00"/>
    <d v="2018-09-22T00:00:00"/>
    <n v="6.5968999999999998"/>
    <s v="•Issuance of COC-FIT: 13 Dec 2017_x000a_•Renewal, Issuance of FIT-COC: 28-Nov-2019 (Consolidated FIT COC for Phase 1 and Phase 2_x000a_• With Issued Separated PAO on 30 April 2025_x000a_• 1st Extension of PAO on 13 April 2026"/>
    <x v="0"/>
  </r>
  <r>
    <s v="Luzon"/>
    <x v="3"/>
    <x v="4"/>
    <n v="16"/>
    <s v="Pangea Green Energy Philippines, Inc"/>
    <s v="1.2 MW Payatas Landfill Methane Recovery and Power Generator Facility (Phase II)"/>
    <s v="Brgy. Payatas, Quezon City"/>
    <n v="0.32"/>
    <n v="0.64"/>
    <n v="0.42399999999999999"/>
    <m/>
    <d v="2017-02-17T00:00:00"/>
    <d v="2017-02-17T00:00:00"/>
    <d v="2037-02-16T00:00:00"/>
    <n v="20"/>
    <s v="17 February 2017 -_x000a_16 February 2037"/>
    <d v="2017-10-25T00:00:00"/>
    <d v="2018-02-17T00:00:00"/>
    <n v="6.5968999999999998"/>
    <s v="•Issuance of COC: 29-Apr-13 (U1-3)_x000a_•Issuance of COC-FIT: 15-Jun-15 (U1-3)_x000a_•Issuance of COC: 19-Jul-17 (U4-5)_x000a_•Issuance of COC-FIT: 25-Oct-17 (U4-5)_x000a_•Renewal of COC-FIT15-Mar-18 (U1-5)_x000a_•Granted Separated PAOs: 19 August 2024"/>
    <x v="5"/>
  </r>
  <r>
    <s v="Luzon"/>
    <x v="3"/>
    <x v="4"/>
    <n v="17"/>
    <s v="Asian Carbon Neutral Power Corp. (ACNPC)"/>
    <s v="ACNPC Biogas Power Plant Project"/>
    <s v="Armenia, Tarlac City"/>
    <n v="2.121"/>
    <n v="2"/>
    <n v="1.7"/>
    <m/>
    <d v="2017-07-21T00:00:00"/>
    <d v="2017-07-21T00:00:00"/>
    <d v="2037-07-20T00:00:00"/>
    <n v="20"/>
    <s v="21 July 2017 - _x000a_20 July 2037"/>
    <s v="27-Mar-18 (PAO FIT) /_x000a_03-Dec-19 (FINAL FIT COC)"/>
    <d v="2018-07-21T00:00:00"/>
    <n v="6.5968999999999998"/>
    <s v="•Issuance of PAO-FIT: 27 Mar 2018-26 Sept 2018_x000a_•Extension of PAO-FIT: 27 Sept 2018 - 26 March 2019_x000a_•COC-FIT: 03 Dec 2019_x000a_•With NISE on 30 January 2024_x000a_• with 5th NISE on 1 Aug 2025"/>
    <x v="6"/>
  </r>
  <r>
    <s v="Mindanao"/>
    <x v="3"/>
    <x v="4"/>
    <n v="18"/>
    <s v="Green Earth Enersource Corporation"/>
    <s v="3.5 MW GEEC Biomass Power Plant Project"/>
    <s v="Brgy. Poblacion, Buluan, Maguindanao"/>
    <n v="3.33"/>
    <n v="3.5"/>
    <n v="1.64"/>
    <m/>
    <d v="2017-05-27T00:00:00"/>
    <d v="2017-05-27T00:00:00"/>
    <d v="2037-05-26T00:00:00"/>
    <n v="20"/>
    <s v="27 May 2017 -_x000a_26 May 2037"/>
    <s v="13-Dec-17 (PAO FIT) /_x000a_08-Aug-19 (FINAL FIT COC)"/>
    <d v="2018-05-27T00:00:00"/>
    <n v="6.5968999999999998"/>
    <s v="•Issuance of PAO: 13 Dec 2017_x000a_•Renewal of PAO: 08 March 2018_x000a_•Issuance of COC-FIT: 08 Aug 2019_x000a_•With PAO valid until 12 December 2024; With ongoing PAO Application"/>
    <x v="1"/>
  </r>
  <r>
    <s v="Mindanao"/>
    <x v="3"/>
    <x v="4"/>
    <n v="19"/>
    <s v="Biotech Farms, Inc. (BFI)"/>
    <s v="BIOTECH Biomass Cogeneration Power Plant"/>
    <s v="Brgy. Dumalig, Tantangan, South Cotabato"/>
    <n v="5.96"/>
    <n v="5.96"/>
    <n v="3.5"/>
    <m/>
    <d v="2018-05-08T00:00:00"/>
    <d v="2018-05-08T00:00:00"/>
    <d v="2038-05-07T00:00:00"/>
    <n v="20"/>
    <s v="08 May 2018 - _x000a_07 May 2038"/>
    <d v="2019-09-03T00:00:00"/>
    <m/>
    <n v="6.5968999999999998"/>
    <s v="•Issuance of FIT-COC: 03 Sept 2019_x000a_"/>
    <x v="0"/>
  </r>
  <r>
    <m/>
    <x v="1"/>
    <x v="1"/>
    <n v="5"/>
    <m/>
    <m/>
    <m/>
    <n v="23.731000000000002"/>
    <n v="24.1"/>
    <n v="18.064"/>
    <m/>
    <m/>
    <m/>
    <m/>
    <m/>
    <m/>
    <m/>
    <m/>
    <m/>
    <m/>
    <x v="2"/>
  </r>
  <r>
    <s v="Luzon"/>
    <x v="3"/>
    <x v="2"/>
    <n v="20"/>
    <s v="Cagayan Biomass Energy Corporation"/>
    <s v="Cagayan Biomass Energy Plant"/>
    <s v="Brgy. Raniag, Burgos, Isabela"/>
    <n v="15"/>
    <n v="15"/>
    <n v="13.5"/>
    <m/>
    <d v="2019-10-03T00:00:00"/>
    <d v="2019-10-03T00:00:00"/>
    <d v="2039-10-02T00:00:00"/>
    <n v="20"/>
    <s v="3 October 2019 - 2 October 2039"/>
    <s v="15-Jun-20 (PAO FIT)_x000a_18-Nov-20 (Extension)"/>
    <m/>
    <n v="6.19"/>
    <s v="•With Issued PA0: 15 June 2020_x000a_•With PAO Extension: 18 Nov 2020_x000a_•2nd PAO Extension: 25 Jan 2022_x000a_•Issued FIT-COC: 23 August 2022_x000a_• Issued PAO on 18 June 2025_x000a_• 1st Extension of PAO on 25 May 2026"/>
    <x v="0"/>
  </r>
  <r>
    <s v="Luzon"/>
    <x v="3"/>
    <x v="2"/>
    <n v="21"/>
    <s v="Central Azucarera Don Pedro, Inc."/>
    <s v="31.875 MW Cogeneration Power Plant"/>
    <s v="Batangas"/>
    <n v="32.5"/>
    <n v="31.875"/>
    <n v="2"/>
    <m/>
    <d v="2018-02-16T00:00:00"/>
    <d v="2018-02-16T00:00:00"/>
    <n v="50451"/>
    <n v="20"/>
    <s v="16 February 2018 - 15 February 2038"/>
    <s v="04-Nov-20 (FINAL)"/>
    <m/>
    <n v="6.19"/>
    <s v="•Issuance of FIT-COC: 04 Nov 2020_x000a_• ends its operations on February 28, 2024"/>
    <x v="4"/>
  </r>
  <r>
    <s v="Luzon"/>
    <x v="3"/>
    <x v="2"/>
    <n v="22"/>
    <s v="Grass Gold Renewable Energy Corporation"/>
    <s v="12 MW Biomass Power Plant"/>
    <s v="Nueva Ecija"/>
    <n v="12"/>
    <n v="12"/>
    <n v="10.8"/>
    <m/>
    <d v="2019-12-13T00:00:00"/>
    <d v="2019-12-13T00:00:00"/>
    <d v="2039-12-12T00:00:00"/>
    <n v="20"/>
    <s v="13 December 2019 - 12 December 2039"/>
    <s v="28-Jul-21 (PAO FIT)"/>
    <m/>
    <n v="6.19"/>
    <s v="With Issued PAO-FIT: 28 July 2021"/>
    <x v="0"/>
  </r>
  <r>
    <s v="Luzon"/>
    <x v="3"/>
    <x v="2"/>
    <n v="23"/>
    <s v="Green Innovations for Tomorrow Corporation II"/>
    <s v="6 MW Biomass Power Plant"/>
    <s v="Nueva Ecija"/>
    <n v="6.2"/>
    <n v="6"/>
    <n v="5.4"/>
    <m/>
    <d v="2019-12-25T00:00:00"/>
    <d v="2019-12-25T00:00:00"/>
    <d v="2039-12-24T00:00:00"/>
    <n v="20"/>
    <s v="25 December 2019 - 24 December 2039"/>
    <s v="23-Jun-21 (PAO FIT)"/>
    <m/>
    <n v="6.19"/>
    <s v="•With Issued PAO-FIT: 23 June 2021_x000a_•1st Extension of PAO-FIT: 03-Nov-22_x000a_•Issued PAO: 05 June 2024_x000a_•1st Extension of PAO: 24 November 2025"/>
    <x v="0"/>
  </r>
  <r>
    <s v="Luzon"/>
    <x v="3"/>
    <x v="2"/>
    <n v="24"/>
    <s v="VS Gripal Power Corporation"/>
    <s v="6 MW Biomass Power Plant"/>
    <s v="Nueva Ecija"/>
    <n v="6"/>
    <n v="6"/>
    <n v="5.4"/>
    <m/>
    <d v="2019-12-31T00:00:00"/>
    <d v="2019-12-31T00:00:00"/>
    <d v="2039-12-30T00:00:00"/>
    <n v="20"/>
    <s v="31 December 2019 - 30 December 2039"/>
    <s v="11-Aug-21 (PAO FIT)"/>
    <m/>
    <n v="6.19"/>
    <s v="With Issued PAO: 11 August 2021_x000a_With Issued PAO: 21 October 2024_x000a_Issuance of PAO: 30 Oct 2025"/>
    <x v="0"/>
  </r>
  <r>
    <s v="Luzon"/>
    <x v="3"/>
    <x v="2"/>
    <n v="25"/>
    <s v="Cleangreen Energy Corporation"/>
    <s v="12 MW Biomass Power Plant"/>
    <s v="Bataan"/>
    <m/>
    <n v="12.7"/>
    <n v="7.7"/>
    <m/>
    <d v="2019-12-31T00:00:00"/>
    <m/>
    <m/>
    <m/>
    <m/>
    <m/>
    <m/>
    <n v="6.19"/>
    <s v="With COC Application"/>
    <x v="7"/>
  </r>
  <r>
    <s v="Visayas"/>
    <x v="3"/>
    <x v="2"/>
    <n v="26"/>
    <s v="Central Azucarera de San Antonio"/>
    <s v="15 MW Cogeneration Power Plant"/>
    <s v="Iloilo"/>
    <n v="15"/>
    <n v="8"/>
    <n v="8"/>
    <m/>
    <d v="2010-12-06T00:00:00"/>
    <d v="2020-12-02T00:00:00"/>
    <d v="2030-12-05T00:00:00"/>
    <n v="10"/>
    <s v="2 December 2020 - 5 December 2030"/>
    <s v="02-Dec-20 (PAO FIT)"/>
    <m/>
    <n v="6.19"/>
    <s v="•Issuance of COC: 06-Dec-10_x000a_•Renewal of COC: 26-Nov-15_x000a_• With PAO-FIT: 02 Dec 2020_x000a_• With 2nd Extension of PAO-FIT: 11-Mar-2022_x000a_•  With issued PAO, PAO Validity Depends on CASA's Compliance with the Commission's Directive"/>
    <x v="8"/>
  </r>
  <r>
    <s v="Visayas"/>
    <x v="3"/>
    <x v="2"/>
    <n v="27"/>
    <s v="Hawaiian-Philippine Company"/>
    <s v="28.580MW Biomass Co-Generation Power Plant "/>
    <s v="Negros Occidental"/>
    <n v="28.58"/>
    <n v="28.58"/>
    <n v="9.5"/>
    <d v="2019-01-19T00:00:00"/>
    <d v="2019-01-19T00:00:00"/>
    <d v="2019-10-17T00:00:00"/>
    <d v="2039-10-16T00:00:00"/>
    <n v="20"/>
    <s v="17 October 2019 - 16 October 2039"/>
    <s v="Issuance of  PAO-FIT: 06 October 2021"/>
    <m/>
    <n v="6.19"/>
    <s v="•Issuance of  PAO-FIT: 06 October 2021_x000a_• 1st Extension of Consolidated PAO on 11 November 2025"/>
    <x v="0"/>
  </r>
  <r>
    <s v="Visayas"/>
    <x v="3"/>
    <x v="2"/>
    <n v="28"/>
    <s v="San Carlos Bioenergy, Inc."/>
    <s v="8-MW Biomass Cogeneration Plant"/>
    <s v=" Negros Occidental"/>
    <m/>
    <n v="8.3000000000000007"/>
    <n v="1.5"/>
    <m/>
    <d v="2019-08-29T00:00:00"/>
    <m/>
    <m/>
    <m/>
    <m/>
    <m/>
    <m/>
    <n v="6.19"/>
    <s v="With COC Application - Conversion to FIT"/>
    <x v="7"/>
  </r>
  <r>
    <s v="Visayas"/>
    <x v="3"/>
    <x v="2"/>
    <n v="29"/>
    <s v="Central Azucarera de Bais"/>
    <s v="25 MW Biomass Cogeneration Plant"/>
    <s v="Negros Oriental"/>
    <n v="20"/>
    <n v="25"/>
    <n v="12"/>
    <m/>
    <d v="2019-11-14T00:00:00"/>
    <d v="2019-11-14T00:00:00"/>
    <d v="2039-11-13T00:00:00"/>
    <n v="20"/>
    <s v="14 November 2019 - 13 November 2039"/>
    <d v="2022-11-02T00:00:00"/>
    <m/>
    <n v="6.19"/>
    <s v="With Issued PAO-FIT: 02 November 2022_x000a_With issued PAO on 06 January 2025_x000a_With Issued COC on 18-Feb-2026"/>
    <x v="0"/>
  </r>
  <r>
    <s v="Visayas"/>
    <x v="3"/>
    <x v="2"/>
    <n v="30"/>
    <s v="BISCOM, Inc."/>
    <s v="48.5 MW Bagasse-Fired Cogeneration Power Plant"/>
    <s v="Negros Occidental"/>
    <n v="30"/>
    <n v="48.5"/>
    <n v="12.7"/>
    <m/>
    <d v="2019-11-28T00:00:00"/>
    <d v="2019-11-28T00:00:00"/>
    <d v="2039-11-27T00:00:00"/>
    <m/>
    <s v="28 November 2019 - 27 November 2039"/>
    <s v="11-Oct-24 (PAO)"/>
    <m/>
    <n v="6.19"/>
    <s v="• With Issued PAO: 11 October 2024_x000a_• Issuance of PAO: 18 Dec 2025"/>
    <x v="0"/>
  </r>
  <r>
    <s v="Visayas"/>
    <x v="3"/>
    <x v="2"/>
    <n v="31"/>
    <s v="Victorias Milling Company, Inc."/>
    <s v="40 MW Biomass Expansion Project"/>
    <s v="Negros Occidental"/>
    <n v="40"/>
    <n v="40"/>
    <n v="21.45"/>
    <m/>
    <d v="2019-02-24T00:00:00"/>
    <d v="2022-03-10T00:00:00"/>
    <d v="2042-03-09T00:00:00"/>
    <n v="20"/>
    <s v="10 March 2022 - 9 March 2042"/>
    <s v="10-Mar-22 (PAO FIT)"/>
    <m/>
    <n v="6.19"/>
    <s v="•With Issued PAO-FIT: 10 Mar 2022_x000a_•Denied PAO-FIT Extension: 06 March 2024_x000a_•With Grant of PAO on 24 April 2024_x000a_•Amended PAO on 21 October 2024_x000a_•With issued PAO on 24 April 2025_x000a_• Witsh 2nd Extension of PAO on 28 May 2026"/>
    <x v="5"/>
  </r>
  <r>
    <s v="Mindanao"/>
    <x v="3"/>
    <x v="2"/>
    <n v="32"/>
    <s v="Biotech Farms, Inc."/>
    <s v="12.39 MW Biogas Power Plant"/>
    <s v="South Cotabato"/>
    <m/>
    <n v="12.39"/>
    <n v="6.4"/>
    <m/>
    <d v="2018-12-05T00:00:00"/>
    <m/>
    <m/>
    <m/>
    <m/>
    <m/>
    <m/>
    <n v="6.19"/>
    <s v="With COC Appplication"/>
    <x v="7"/>
  </r>
  <r>
    <s v="Mindanao"/>
    <x v="3"/>
    <x v="2"/>
    <n v="33"/>
    <s v="Surallah Power Generation, Inc."/>
    <s v="6 MW Biomass Power Plant"/>
    <s v="South Cotabato"/>
    <n v="6.15"/>
    <n v="6"/>
    <n v="5.28"/>
    <m/>
    <d v="2020-01-29T00:00:00"/>
    <d v="2020-01-29T00:00:00"/>
    <d v="2040-01-28T00:00:00"/>
    <n v="20"/>
    <s v="29 January 2020 - 28 January 2040"/>
    <s v="With Issued COC-FIT: 8 May 2022"/>
    <m/>
    <n v="6.19"/>
    <s v="With Issued COC-FIT: 8 May 2022"/>
    <x v="0"/>
  </r>
  <r>
    <m/>
    <x v="1"/>
    <x v="1"/>
    <n v="14"/>
    <m/>
    <m/>
    <m/>
    <n v="211.43"/>
    <n v="260.34500000000003"/>
    <n v="121.63000000000002"/>
    <m/>
    <m/>
    <m/>
    <m/>
    <m/>
    <m/>
    <m/>
    <m/>
    <m/>
    <m/>
    <x v="2"/>
  </r>
  <r>
    <m/>
    <x v="1"/>
    <x v="1"/>
    <m/>
    <m/>
    <m/>
    <m/>
    <m/>
    <m/>
    <m/>
    <m/>
    <m/>
    <m/>
    <m/>
    <m/>
    <m/>
    <m/>
    <m/>
    <m/>
    <m/>
    <x v="2"/>
  </r>
  <r>
    <s v="Luzon"/>
    <x v="4"/>
    <x v="0"/>
    <n v="1"/>
    <s v="Smith Bell"/>
    <s v="Communal-Uddlawan HEP"/>
    <s v="Solano, Nueva Vizcaya"/>
    <n v="1.8"/>
    <n v="1.8"/>
    <n v="1.8"/>
    <m/>
    <d v="2010-12-26T00:00:00"/>
    <d v="2015-06-15T00:00:00"/>
    <d v="2030-12-14T00:00:00"/>
    <n v="15"/>
    <s v="15 June 2015 -_x000a_14 December 2030"/>
    <d v="2025-04-21T00:00:00"/>
    <d v="2016-06-15T00:00:00"/>
    <n v="5.9"/>
    <s v="•Issuance of COC: 15-Dec-2010_x000a_•Issuance of FIT-COC: 15 June 2015 _x000a_•Renewal of FIT COC: 01 Dec 2015_x000a_•Renewal, Issuance of PAO-FIT: 2-Dec-2020_x000a_•1st Extension of PAO-FIT: 28-Jan-2022_x000a_•Grant of PAO on 21 April 2025"/>
    <x v="0"/>
  </r>
  <r>
    <s v="Luzon"/>
    <x v="4"/>
    <x v="0"/>
    <n v="2"/>
    <s v="Hedcor Sabangan, Inc"/>
    <s v="Sabangan Hydroelectric Power Project"/>
    <s v="Sabangan, Mountain Province"/>
    <n v="14.138"/>
    <n v="14.138999999999999"/>
    <n v="14.138999999999999"/>
    <m/>
    <d v="2015-06-02T00:00:00"/>
    <d v="2015-06-02T00:00:00"/>
    <d v="2035-06-01T00:00:00"/>
    <n v="20"/>
    <s v="02 June 2015 -_x000a_01 June 2035"/>
    <d v="2015-09-29T00:00:00"/>
    <d v="2016-06-02T00:00:00"/>
    <n v="5.9"/>
    <s v="•Issuance of FIT-COC: 29-Sept-15_x000a_•Renewal, Issuance of PAO-FIT 7-Sep-2020_x000a_•PAO-FIT 1st Extension:15-Sep-2021_x000a_•PAO-FIT 2nd Extension:06-Sep-2024"/>
    <x v="0"/>
  </r>
  <r>
    <s v="Luzon"/>
    <x v="4"/>
    <x v="0"/>
    <n v="3"/>
    <s v="HedCor (Aboitiz)"/>
    <s v="Irisan 1 HEP"/>
    <s v="Tuba, Benguet"/>
    <n v="3.9"/>
    <n v="3.9"/>
    <n v="3.8"/>
    <m/>
    <d v="2012-04-30T00:00:00"/>
    <d v="2012-04-30T00:00:00"/>
    <d v="2032-04-29T00:00:00"/>
    <n v="20"/>
    <s v="30 April 2012 -_x000a_29 April 2032"/>
    <d v="2016-01-27T00:00:00"/>
    <d v="2016-01-01T00:00:00"/>
    <n v="5.9"/>
    <s v="•Issuance of COC: 30-Apr-12_x000a_•Issuance of FIT-COC: 24-Jan-16_x000a_•Renewal of FIT-COC: 19-Apr-17_x000a_•Renewal, Grant of PAO-FIT: 03-Oct-22_x000a_•Renewal, 1st Extension of PAO-FIT: 02 May 2024_x000a_•Extension of PAO: 4-Feb-2026"/>
    <x v="0"/>
  </r>
  <r>
    <s v="Visayas"/>
    <x v="4"/>
    <x v="0"/>
    <n v="4"/>
    <s v="Sunwest Water and Electric Co. 2, Inc."/>
    <s v="Villasiga Hydro Power Plant"/>
    <s v="Bugasong, Antique"/>
    <n v="8.08"/>
    <n v="8.08"/>
    <n v="8.08"/>
    <m/>
    <d v="2016-04-17T00:00:00"/>
    <d v="2016-04-17T00:00:00"/>
    <d v="2036-04-16T00:00:00"/>
    <n v="20"/>
    <s v="17 April 2016 - 16 April 2036"/>
    <s v="27-Mar-17 (PAO FIT)"/>
    <d v="2017-04-17T00:00:00"/>
    <n v="5.9"/>
    <s v="•Issuance of PAO: 07 Nov 2016_x000a_•Issuance of PAO-FIT: 27 March 2017 _x000a_•Issuance of COC-FIT: 26 Jun 2019_x000a_•Issuance of PAO-FIT: 12 April 2022_x000a_•Isuance of PAO on 15 July 2025"/>
    <x v="0"/>
  </r>
  <r>
    <s v="Mindanao"/>
    <x v="4"/>
    <x v="0"/>
    <n v="5"/>
    <s v="Hedcor Tudaya, Inc."/>
    <s v="Tudaya 2 HEP"/>
    <s v="Brgy. Sibulan, Sta. Cruz, Davao del Sur"/>
    <n v="8.1370000000000005"/>
    <n v="8.1370000000000005"/>
    <n v="8.1370000000000005"/>
    <m/>
    <d v="2014-04-11T00:00:00"/>
    <d v="2015-06-15T00:00:00"/>
    <d v="2034-04-10T00:00:00"/>
    <n v="20"/>
    <s v="15 June 2015 - _x000a_10 April 2034"/>
    <d v="2015-06-15T00:00:00"/>
    <d v="2016-06-15T00:00:00"/>
    <n v="5.9"/>
    <s v="•Issuance of Regular COC: 11-Apr-14_x000a_•Issuance of FIT-COC: 15-Jun-15_x000a_•Renewal of FIT COC: 05-Mar-19_x000a_•Grant of PAO: 19-Mar-24_x000a_• 1st Extension of PAO on 21 Mar ch 2025_x000a_• 2nd Extension of PAO on 24 March 2026"/>
    <x v="0"/>
  </r>
  <r>
    <m/>
    <x v="1"/>
    <x v="1"/>
    <n v="5"/>
    <m/>
    <m/>
    <m/>
    <n v="36.055"/>
    <n v="36.055999999999997"/>
    <n v="35.956000000000003"/>
    <m/>
    <m/>
    <m/>
    <m/>
    <m/>
    <m/>
    <m/>
    <m/>
    <m/>
    <m/>
    <x v="2"/>
  </r>
  <r>
    <s v="Luzon"/>
    <x v="4"/>
    <x v="4"/>
    <n v="6"/>
    <s v="SN Aboitiz Power Magat, Inc."/>
    <s v="Maris Main Canal I Hydroelectric Power Plant"/>
    <s v="Brgy. Ambatali, Ramon Isabela"/>
    <n v="8.5"/>
    <n v="8.5"/>
    <n v="8.5"/>
    <m/>
    <d v="2017-11-20T00:00:00"/>
    <d v="2017-11-20T00:00:00"/>
    <d v="2037-11-19T00:00:00"/>
    <n v="20"/>
    <s v="20 November 2017 - _x000a_19 November 2037"/>
    <d v="2018-04-04T00:00:00"/>
    <d v="2018-11-20T00:00:00"/>
    <n v="5.8704999999999998"/>
    <s v="•Issuance of FIT-COC: 04-Apr-18"/>
    <x v="0"/>
  </r>
  <r>
    <m/>
    <x v="1"/>
    <x v="1"/>
    <n v="1"/>
    <m/>
    <m/>
    <m/>
    <n v="8.5"/>
    <n v="8.5"/>
    <n v="8.5"/>
    <m/>
    <m/>
    <m/>
    <m/>
    <m/>
    <m/>
    <m/>
    <m/>
    <m/>
    <m/>
    <x v="2"/>
  </r>
  <r>
    <s v="Luzon"/>
    <x v="4"/>
    <x v="2"/>
    <n v="7"/>
    <s v="Majayjay Hydropower Company, Inc."/>
    <s v="Majayjay Hydropower Plant"/>
    <s v="Brgy. Ibabang Banga, Majayjay, Laguna"/>
    <n v="2.3199999999999998"/>
    <n v="2.3199999999999998"/>
    <n v="2.19"/>
    <m/>
    <d v="2019-05-17T00:00:00"/>
    <d v="2019-05-17T00:00:00"/>
    <d v="2039-05-16T00:00:00"/>
    <n v="20"/>
    <s v="17 May 2019 - 16 May 2039"/>
    <d v="2021-07-07T00:00:00"/>
    <m/>
    <n v="5.8704999999999998"/>
    <s v="•Issuance of PAO: 14 Oct 2019_x000a_•For conversion to COC-FIT_x000a_•PAO 1st Extension: 15-June-2020_x000a_•Issuance of PAO-FIT: 06-Oct-2020_x000a_•Issuance of COC-FIT: 07-Jul-2021_x000a_• With issued PAO on 30 October 2024"/>
    <x v="0"/>
  </r>
  <r>
    <s v="Luzon"/>
    <x v="4"/>
    <x v="2"/>
    <n v="8"/>
    <s v="Philippine Power and Development Corporation"/>
    <s v="1100 kW Balugbog Hydroelectric Power Plant"/>
    <s v="Nagcarlan, Laguna"/>
    <n v="1.1000000000000001"/>
    <n v="1.1000000000000001"/>
    <n v="1.1000000000000001"/>
    <m/>
    <d v="2018-07-23T00:00:00"/>
    <d v="2018-07-23T00:00:00"/>
    <d v="2038-07-22T00:00:00"/>
    <n v="20"/>
    <s v="23 July 2018 - 22 July 2038"/>
    <s v="02-Dec-20 (PAO FIT)"/>
    <m/>
    <n v="5.8704999999999998"/>
    <s v="•Issuance of PAO-FIT: 02 Dec 2020_x000a_•Grant of PAO: 15 January 2025_x000a_• 1st Extension of PAO on 27 February 2026"/>
    <x v="0"/>
  </r>
  <r>
    <s v="Luzon"/>
    <x v="4"/>
    <x v="2"/>
    <n v="9"/>
    <s v="Philippine Power and Development Corporation"/>
    <s v="1500 kW Palakpakin Hydroelectric Power Plant"/>
    <s v="Calauan and San Pablo City, Laguna"/>
    <n v="1.5"/>
    <n v="1.5"/>
    <n v="1.5"/>
    <m/>
    <d v="2018-10-19T00:00:00"/>
    <d v="2018-10-19T00:00:00"/>
    <d v="2038-10-18T00:00:00"/>
    <n v="20"/>
    <s v="19 October 2018 - 18 October 2038"/>
    <s v="02-Dec-20 (PAO FIT)"/>
    <m/>
    <n v="5.8704999999999998"/>
    <s v="•Issuance of PAO-FIT: 02 Dec 2020_x000a_•Grant of PAO: 15 January 2025_x000a_• Issuance of COC on 31 March 2026"/>
    <x v="0"/>
  </r>
  <r>
    <s v="Luzon"/>
    <x v="4"/>
    <x v="2"/>
    <n v="10"/>
    <s v="Hedcor, Inc."/>
    <s v="La Trinidad"/>
    <s v="La Trinidad, Benguet"/>
    <n v="20.399999999999999"/>
    <n v="20.399999999999999"/>
    <n v="20.399999999999999"/>
    <m/>
    <d v="2019-07-01T00:00:00"/>
    <d v="2019-07-01T00:00:00"/>
    <d v="2039-06-30T00:00:00"/>
    <n v="20"/>
    <s v="1 July 2019 - 30 June 2039"/>
    <s v="06-Dec-20 (PAO FIT)"/>
    <m/>
    <n v="5.8704999999999998"/>
    <s v="•Issuance of PAO-FIT: 06 Oct 2020_x000a_•Issuance of 1st Extension of PAO-FIT: 03 Nov 2021_x000a_•Issuance of 2nd Extension of PAO-FIT: 14 Nov 2022_x000a_•Issuance of 3rd Extension of PAO-FIT: 16 September 2024"/>
    <x v="0"/>
  </r>
  <r>
    <s v="Visayas"/>
    <x v="4"/>
    <x v="2"/>
    <n v="11"/>
    <s v="Sta. Clara Power Corporation"/>
    <s v="Loboc 2"/>
    <s v="Loboc, Bohol"/>
    <n v="1.2"/>
    <n v="1.2"/>
    <n v="1.2"/>
    <m/>
    <d v="2019-12-25T00:00:00"/>
    <d v="2019-12-25T00:00:00"/>
    <d v="2039-12-24T00:00:00"/>
    <n v="20"/>
    <s v="25 December 2019 - 24 December 2039"/>
    <s v="16-Sep-21 (PAO FIT)"/>
    <m/>
    <n v="5.8704999999999998"/>
    <s v="•Issuance of PAO-FIT: 16 Sep 2021_x000a_•With 2nd NISE on 27 December 2024"/>
    <x v="1"/>
  </r>
  <r>
    <s v="Mindanao"/>
    <x v="4"/>
    <x v="2"/>
    <n v="12"/>
    <s v="HedCor Bukidnon, Inc."/>
    <s v="Manolo Fortich 1 Hydroelectric Power Plant"/>
    <s v="Brgy. Santiago, Manolo, Fortich, Bukidnon"/>
    <n v="45.936"/>
    <n v="45.936"/>
    <n v="45.936"/>
    <m/>
    <d v="2018-07-02T00:00:00"/>
    <d v="2018-07-02T00:00:00"/>
    <d v="2038-07-01T00:00:00"/>
    <n v="20"/>
    <s v="02 July 2018 -_x000a_01 July 2038"/>
    <d v="2019-06-18T00:00:00"/>
    <m/>
    <n v="5.8704999999999998"/>
    <s v="•Issuance of FIT-COC: 18 June 2019_x000a_•Grant of PAO: 07 June 2024_x000a_•1st Extension of PAO: 19 May 2025_x000a_• 2nd Extension of PAO on 19 May 2026"/>
    <x v="0"/>
  </r>
  <r>
    <s v="Mindanao"/>
    <x v="4"/>
    <x v="2"/>
    <n v="13"/>
    <s v="Euro Hydro Power (Asia) Holdings, Inc."/>
    <s v="New Bataan"/>
    <s v="New Bataan, Compostela Valley"/>
    <n v="3.1880000000000002"/>
    <n v="3.1880000000000002"/>
    <n v="3.1880000000000002"/>
    <m/>
    <d v="2018-03-06T00:00:00"/>
    <d v="2018-03-06T00:00:00"/>
    <d v="2038-03-05T00:00:00"/>
    <n v="20"/>
    <s v="6 March 2018 - 5 March 2038"/>
    <s v="16-Dec-20 (PAO FIT)"/>
    <m/>
    <n v="5.8704999999999998"/>
    <s v="•Issuance of COC: 18 May 2018_x000a_•For conversion to COC-FIT_x000a_• Issued PAO-FIT: 16-Dec-2020_x000a_• 1st Extension of  PAO-FIT: 18-Jan-2022_x000a_• With PAO valid until 15 December 2024; With ongoing PAO Application_x000a_• With NISE on 20 November 2024_x000a_•Issuance PAO: 12-Feb-2026"/>
    <x v="0"/>
  </r>
  <r>
    <s v="Mindanao"/>
    <x v="4"/>
    <x v="2"/>
    <n v="14"/>
    <s v="Hedcor Bukidnon, Inc."/>
    <s v="Manolo Fortich 2"/>
    <s v="Manolo Fortich, Bukidnon"/>
    <n v="27.387"/>
    <n v="27.387"/>
    <n v="27.387"/>
    <m/>
    <d v="2018-11-23T00:00:00"/>
    <d v="2018-11-23T00:00:00"/>
    <d v="2038-11-22T00:00:00"/>
    <n v="20"/>
    <s v="23 November 2018 - 22 November 2038"/>
    <s v="05-May-21 _x000a_(Conversion to FIT COC)"/>
    <m/>
    <n v="5.8704999999999998"/>
    <s v="•Issuance of COC: 18 June 2019_x000a_•Converted to COC-FIT on 5 May 2021_x000a_•Grant of PAO: 07 June 2024_x000a_•1st Extension of PAO: 19 May 2025_x000a_• 2nd Extension of PAO on 19 May 2026"/>
    <x v="0"/>
  </r>
  <r>
    <m/>
    <x v="1"/>
    <x v="1"/>
    <m/>
    <m/>
    <m/>
    <m/>
    <n v="103.03100000000001"/>
    <n v="103.03100000000001"/>
    <n v="102.901"/>
    <m/>
    <m/>
    <m/>
    <m/>
    <m/>
    <m/>
    <m/>
    <m/>
    <m/>
    <m/>
    <x v="2"/>
  </r>
  <r>
    <s v="Luzon"/>
    <x v="4"/>
    <x v="3"/>
    <n v="15"/>
    <s v="Luzon Hydro Corporation (LHC) [Under IPPA with Northern Renewables Generation Corporation (formerly Vivant-Sta. Clara Northern Renewables Generation Corp.)]"/>
    <s v="74.80MW Bakun Hydroelectric Power Plant"/>
    <s v="Brgy. Amilongan, Alilem, Ilocos Sur"/>
    <n v="74.8"/>
    <n v="74.8"/>
    <n v="74.8"/>
    <m/>
    <d v="2020-06-23T00:00:00"/>
    <d v="2020-06-23T00:00:00"/>
    <d v="2036-01-26T00:00:00"/>
    <n v="16"/>
    <s v="23 June 2020 -_x000a_22 June 2036"/>
    <d v="2020-09-29T00:00:00"/>
    <m/>
    <n v="5.6715"/>
    <s v=" •From Regular COC Converted to COC-FIT (29 Sep 2020)_x000a_•Renewed to PAO on 29 July 2024_x000a_ • 1st Extension of PAO on 10 July 2025"/>
    <x v="8"/>
  </r>
  <r>
    <m/>
    <x v="1"/>
    <x v="1"/>
    <m/>
    <m/>
    <m/>
    <m/>
    <n v="74.8"/>
    <n v="74.8"/>
    <n v="74.8"/>
    <m/>
    <m/>
    <m/>
    <m/>
    <m/>
    <m/>
    <m/>
    <m/>
    <m/>
    <m/>
    <x v="2"/>
  </r>
  <r>
    <s v="Luzon"/>
    <x v="4"/>
    <x v="5"/>
    <n v="16"/>
    <s v="Philippine Power and Development Corporation"/>
    <s v="300 kW Calibato Hydroelectric Power Plant"/>
    <s v="San Pablo, Laguna"/>
    <n v="0.3"/>
    <n v="0.3"/>
    <n v="0.3"/>
    <m/>
    <d v="2020-01-06T00:00:00"/>
    <d v="2020-01-06T00:00:00"/>
    <d v="2040-01-05T00:00:00"/>
    <n v="20"/>
    <s v="6 January 2020 - 5 January 2040"/>
    <s v="02-Dec-20 (PAO FIT)"/>
    <m/>
    <n v="6.1109999999999998"/>
    <s v="•Issuance of PAO-FIT: 02 Dec 2020_x000a_•Grant of PAO: 17 January 2025_x000a_• 1st Extension of PAO on 12 February 2026"/>
    <x v="0"/>
  </r>
  <r>
    <s v="Luzon"/>
    <x v="4"/>
    <x v="5"/>
    <n v="17"/>
    <s v="Labayat 1 Hydroelectric Power Plant (L1HC)"/>
    <s v="3.456 MW Upper Labayat Hydroelectric Power Plant (ULHEPP)"/>
    <s v="Brgy. Maragondon, Real, Quezon"/>
    <n v="3.456"/>
    <n v="3.456"/>
    <n v="3.456"/>
    <m/>
    <d v="2021-09-01T00:00:00"/>
    <d v="2021-09-01T00:00:00"/>
    <d v="2041-08-31T00:00:00"/>
    <n v="20"/>
    <s v="1 September 2021 - 31 August 2041"/>
    <s v="11/15/2022 (PAO-FIT)"/>
    <m/>
    <n v="6.1109999999999998"/>
    <s v="•Issuance of PAO-FIT: 15 Nov 2022"/>
    <x v="0"/>
  </r>
  <r>
    <s v="Luzon"/>
    <x v="4"/>
    <x v="6"/>
    <n v="18"/>
    <s v="Mindoro Grid Corporation"/>
    <s v="1.350 MW Butao HEPP"/>
    <s v="Brgy. Butao San Manuel, Pangasinan"/>
    <n v="1.35"/>
    <n v="1.1970000000000001"/>
    <n v="1.1970000000000001"/>
    <m/>
    <d v="2022-02-15T00:00:00"/>
    <d v="2023-10-18T00:00:00"/>
    <d v="2043-10-17T00:00:00"/>
    <n v="20"/>
    <s v="18 October 2023 - 17 October 2043"/>
    <s v="10/18/2023 (PAO-FIT)"/>
    <m/>
    <n v="6.0804450000000001"/>
    <s v="•Issuance of PAO-FIT: 18 October 2023"/>
    <x v="0"/>
  </r>
  <r>
    <s v="Luzon"/>
    <x v="4"/>
    <x v="6"/>
    <n v="19"/>
    <s v="Bicol Hydropower Corporation (BHC)"/>
    <s v="Inarihan Hydroelectric Power Plant"/>
    <s v="Brgy. Panicuason, Naga City, Camarines Sur"/>
    <n v="1.6"/>
    <n v="1.6"/>
    <n v="1.6"/>
    <m/>
    <d v="2022-04-28T00:00:00"/>
    <d v="2022-04-28T00:00:00"/>
    <d v="2042-04-27T00:00:00"/>
    <n v="20"/>
    <s v="28 April 2022 - 27 April 2042"/>
    <s v="10/26/2023 (PAO-FIT)"/>
    <m/>
    <n v="6.0804450000000001"/>
    <s v="•Issuance of PAO-FIT: 26 October 2023_x000a_• Issued PAO on 21 October 2024_x000a_• Issued PAO (1st extension) on 06 January 2026"/>
    <x v="0"/>
  </r>
  <r>
    <s v="Luzon"/>
    <x v="4"/>
    <x v="6"/>
    <n v="20"/>
    <s v="Tibag Hydropower Corporation (THC)"/>
    <s v="5.0 MW Tibag Hydroelectric Power Project (HPP)"/>
    <s v="Mauban, Quezon"/>
    <n v="5.8079999999999998"/>
    <n v="5.8079999999999998"/>
    <n v="5.8079999999999998"/>
    <m/>
    <d v="2023-09-27T00:00:00"/>
    <d v="2023-09-27T00:00:00"/>
    <d v="2043-09-26T00:00:00"/>
    <n v="20"/>
    <s v="27 September 2023 - 26 September 2043"/>
    <d v="2024-12-18T00:00:00"/>
    <m/>
    <n v="6.05"/>
    <s v="•Issuance of PAO: 18 December 2024_x000a_•Issuance PAO: 26-Feb-2026"/>
    <x v="0"/>
  </r>
  <r>
    <s v="Luzon"/>
    <x v="4"/>
    <x v="6"/>
    <n v="21"/>
    <s v="Benguet Electric Cooperative, Inc."/>
    <s v="Man-asok Hydroelectric Power Plant"/>
    <s v="Brgy. Sebang, Buguias, Benguet"/>
    <n v="3.24"/>
    <n v="3.24"/>
    <n v="3.24"/>
    <m/>
    <d v="2022-07-01T00:00:00"/>
    <d v="2022-07-01T00:00:00"/>
    <d v="2042-06-30T00:00:00"/>
    <n v="20"/>
    <s v="1 July 2022 - 30 June 2042"/>
    <d v="2024-11-25T00:00:00"/>
    <m/>
    <n v="6.0804450000000001"/>
    <s v="•Issuance of PAO: 25 November 2024"/>
    <x v="0"/>
  </r>
  <r>
    <s v="Luzon"/>
    <x v="4"/>
    <x v="6"/>
    <n v="22"/>
    <s v="BEHMC Lower Labayat Hydropower Corporation"/>
    <s v="Labayat River (Lower Cascade) Hydroelectric Power Project"/>
    <s v="Real, Quezon"/>
    <n v="1.4"/>
    <n v="1.4"/>
    <n v="1.4"/>
    <m/>
    <d v="2024-05-07T00:00:00"/>
    <d v="2024-05-07T00:00:00"/>
    <d v="2044-05-06T00:00:00"/>
    <n v="20"/>
    <s v="7 May 2024 - 6 May 2044"/>
    <s v="30 Oct 2024 (PAO)"/>
    <m/>
    <n v="6.0198"/>
    <s v="•Issuance of PAO: 30 October 2024_x000a_• 1st Extension of PAO on 12 November 2025"/>
    <x v="0"/>
  </r>
  <r>
    <s v="Luzon"/>
    <x v="4"/>
    <x v="6"/>
    <n v="23"/>
    <s v="Matuno River Development Corporation"/>
    <s v="Matuno"/>
    <s v="Bambang, Nueva Vizcaya"/>
    <n v="8.6609999999999996"/>
    <n v="8.6609999999999996"/>
    <n v="8.6609999999999996"/>
    <m/>
    <d v="2024-08-27T00:00:00"/>
    <d v="2024-08-27T00:00:00"/>
    <d v="2044-08-26T00:00:00"/>
    <n v="20"/>
    <s v="27 August 2024 - 26 August 2044"/>
    <s v="21 Oct 2024 (PAO)"/>
    <m/>
    <n v="6.0198"/>
    <s v="•Issuance of PAO: 24 October 2024"/>
    <x v="0"/>
  </r>
  <r>
    <s v="Luzon"/>
    <x v="4"/>
    <x v="6"/>
    <n v="24"/>
    <s v="Liangan Power Corporation"/>
    <s v="Liangan"/>
    <s v="Bacolod, Lanao del Norte"/>
    <n v="12"/>
    <n v="12"/>
    <n v="11.79"/>
    <m/>
    <d v="2024-10-22T00:00:00"/>
    <d v="2024-10-22T00:00:00"/>
    <d v="2044-10-21T00:00:00"/>
    <n v="20"/>
    <s v="22 October 2024 - 21 October 2044"/>
    <s v=" COC: 21 April 2025"/>
    <m/>
    <n v="6.0198"/>
    <s v="•Issuance of COC: 21 April 2025"/>
    <x v="0"/>
  </r>
  <r>
    <s v="Luzon"/>
    <x v="4"/>
    <x v="6"/>
    <n v="25"/>
    <s v="Hydrocore Corporation"/>
    <s v="Ibulao"/>
    <s v="Lagawe, Ifugao"/>
    <n v="4.5"/>
    <n v="4.5"/>
    <n v="4.5"/>
    <m/>
    <d v="2024-11-25T00:00:00"/>
    <d v="2024-11-25T00:00:00"/>
    <d v="2044-11-19T00:00:00"/>
    <n v="20"/>
    <s v="25 November 2024 - 19 November 2044"/>
    <s v="19 December 2025 (PAO)"/>
    <m/>
    <n v="6.0198"/>
    <s v="•Issuance of PAO: 19 December 2025_x000a_•"/>
    <x v="0"/>
  </r>
  <r>
    <s v="Luzon"/>
    <x v="4"/>
    <x v="6"/>
    <n v="26"/>
    <s v="Siguil Hydro Power Corporation"/>
    <s v="Siguil"/>
    <s v="Maasim, Sarangani Province"/>
    <n v="15.3"/>
    <n v="15.3"/>
    <n v="14.6"/>
    <m/>
    <d v="2024-09-30T00:00:00"/>
    <d v="2024-09-30T00:00:00"/>
    <d v="2044-09-29T00:00:00"/>
    <n v="20"/>
    <s v="30 September 2024 - 29 September 2044"/>
    <s v="10 April 2025 (COC)"/>
    <m/>
    <n v="6.0198"/>
    <s v="•Issuance of PAO: 30 September 2024_x000a_• Issuance of COC: 10 April 2025"/>
    <x v="0"/>
  </r>
  <r>
    <s v="Luzon"/>
    <x v="4"/>
    <x v="6"/>
    <n v="27"/>
    <s v="Iraya Ventures, Inc."/>
    <s v="Upper Taft Hydroelectric Power Project"/>
    <s v="Taft, Eastern Samar"/>
    <n v="14.16"/>
    <n v="14.16"/>
    <n v="14.16"/>
    <m/>
    <d v="2025-07-08T00:00:00"/>
    <d v="2025-07-08T00:00:00"/>
    <d v="2045-07-07T00:00:00"/>
    <n v="20"/>
    <s v="8 July 2025 - 7 July 2045"/>
    <s v="27 August 2025 (PAO)"/>
    <m/>
    <n v="5.9897"/>
    <s v="•Issuance of PAO: 27 August 2025"/>
    <x v="0"/>
  </r>
  <r>
    <s v="Luzon"/>
    <x v="4"/>
    <x v="6"/>
    <n v="28"/>
    <s v="Energvantage Suppliers Co., Inc."/>
    <s v="Laguio (Laginbayan) Malaki 1"/>
    <s v="Mauban, Quezon"/>
    <n v="1.72"/>
    <n v="1.72"/>
    <n v="1.72"/>
    <m/>
    <d v="2025-08-14T00:00:00"/>
    <d v="2025-08-14T00:00:00"/>
    <d v="2045-08-13T00:00:00"/>
    <n v="20"/>
    <s v="14 August 2025 - 13 August 2045"/>
    <s v="30 October 2025 (PAO)"/>
    <m/>
    <n v="5.9897"/>
    <s v="•Issuance of PAO: 30 October 2025_x000a_•"/>
    <x v="0"/>
  </r>
  <r>
    <s v="Luzon"/>
    <x v="4"/>
    <x v="6"/>
    <n v="29"/>
    <s v="Oriental Energy and Power Generation Corporation"/>
    <s v="Timbaban"/>
    <s v="Madalag, Aklan"/>
    <n v="18.869"/>
    <n v="18.869"/>
    <n v="18.869"/>
    <m/>
    <d v="2024-06-25T00:00:00"/>
    <d v="2025-12-12T00:00:00"/>
    <d v="2044-06-24T00:00:00"/>
    <n v="19"/>
    <s v="12 December 2025 - 24 June 2044"/>
    <s v="5 September 2025"/>
    <m/>
    <n v="6.0198"/>
    <s v="•Issuance of PAO: 5 September 2025_x000a_•"/>
    <x v="0"/>
  </r>
  <r>
    <s v="Visayas"/>
    <x v="4"/>
    <x v="6"/>
    <n v="30"/>
    <s v="Taft Hydroenergy Corporation"/>
    <s v="Tubig Hydroelectric Power Plant"/>
    <s v="San Rafel, Taft, Eastern Samar"/>
    <n v="15.93"/>
    <n v="15.18"/>
    <n v="15.18"/>
    <m/>
    <d v="2022-10-15T00:00:00"/>
    <d v="2022-10-15T00:00:00"/>
    <d v="2042-10-14T00:00:00"/>
    <n v="20"/>
    <s v="15 October 2022 - 14 October 2042"/>
    <s v="27 Nov 2024 (PAO)"/>
    <m/>
    <n v="6.0804450000000001"/>
    <s v="•Issuance of PAO: 27 November 2024_x000a_• 1st Extension of PAO: 13 November 2025"/>
    <x v="0"/>
  </r>
  <r>
    <s v="Mindanao"/>
    <x v="4"/>
    <x v="6"/>
    <n v="31"/>
    <s v="Euro Hydro Power (Asia) Holdings, Inc. "/>
    <s v="Marbel 1 Hydroelectric Power Plant"/>
    <s v="Sitio Guadalupe, Purok Mabuhay II, Brgy. Carpenter Hill, Koronadal City, South Cotabato"/>
    <n v="0.78800000000000003"/>
    <n v="0.45300000000000001"/>
    <n v="0.45300000000000001"/>
    <m/>
    <d v="2022-06-15T00:00:00"/>
    <d v="2022-07-03T00:00:00"/>
    <d v="2043-06-02T00:00:00"/>
    <n v="21"/>
    <s v="3 July 2022 - 2 June 2043"/>
    <s v="07/03/2023 (PAO-FIT)"/>
    <m/>
    <n v="6.0804450000000001"/>
    <s v="•Issuance of PAO-FIT: 03 July 2023"/>
    <x v="0"/>
  </r>
  <r>
    <s v="Mindanao"/>
    <x v="4"/>
    <x v="6"/>
    <n v="32"/>
    <s v="Euro Hydro Power (Asia) Holdings, Inc. "/>
    <s v="Alamada Hydroelectric Power Plant - Unit 1"/>
    <s v="Brgy. Barangiran, Alamada, North Cotabato"/>
    <n v="1"/>
    <n v="2.5870000000000002"/>
    <n v="2.5870000000000002"/>
    <m/>
    <d v="2023-06-01T00:00:00"/>
    <d v="2023-06-01T00:00:00"/>
    <d v="2043-05-31T00:00:00"/>
    <n v="20"/>
    <s v="1 June 2023 - 31 May 2043"/>
    <s v="1/31/2025 (PAO)"/>
    <m/>
    <n v="6.05"/>
    <s v="•Issuance of PAO: 31 January 2025_x000a_• Extension of PAO: 31 January 2026_x000a_• Amended Extension of PAO on 08 June 2026"/>
    <x v="0"/>
  </r>
  <r>
    <m/>
    <x v="1"/>
    <x v="1"/>
    <n v="17"/>
    <m/>
    <m/>
    <m/>
    <n v="110.08199999999998"/>
    <n v="110.431"/>
    <n v="109.521"/>
    <m/>
    <m/>
    <m/>
    <m/>
    <m/>
    <m/>
    <m/>
    <m/>
    <m/>
    <m/>
    <x v="2"/>
  </r>
  <r>
    <s v="Mindanao"/>
    <x v="4"/>
    <x v="7"/>
    <n v="1"/>
    <s v="Cabanglasan Hydropower Corporation "/>
    <s v="Pulanai River"/>
    <s v="Valencia, Bukidnon"/>
    <n v="18.2"/>
    <n v="18.2"/>
    <n v="18.2"/>
    <m/>
    <d v="2026-04-02T00:00:00"/>
    <d v="2026-04-02T00:00:00"/>
    <d v="2046-04-01T00:00:00"/>
    <n v="20"/>
    <s v="2 April 2026 - 1 April 2046"/>
    <s v="21-May-26 (PAO)"/>
    <m/>
    <n v="6.9282000000000004"/>
    <s v="•Issuance of PAO: 22 May 2026"/>
    <x v="0"/>
  </r>
  <r>
    <m/>
    <x v="1"/>
    <x v="1"/>
    <n v="1"/>
    <m/>
    <m/>
    <m/>
    <n v="18.2"/>
    <n v="18.2"/>
    <n v="18.2"/>
    <m/>
    <m/>
    <m/>
    <m/>
    <m/>
    <m/>
    <m/>
    <m/>
    <m/>
    <m/>
    <x v="2"/>
  </r>
  <r>
    <m/>
    <x v="1"/>
    <x v="1"/>
    <m/>
    <m/>
    <m/>
    <m/>
    <m/>
    <m/>
    <m/>
    <m/>
    <m/>
    <m/>
    <m/>
    <m/>
    <m/>
    <m/>
    <m/>
    <m/>
    <m/>
    <x v="2"/>
  </r>
  <r>
    <m/>
    <x v="1"/>
    <x v="1"/>
    <n v="1"/>
    <m/>
    <m/>
    <m/>
    <n v="74.8"/>
    <n v="74.8"/>
    <n v="74.8"/>
    <m/>
    <m/>
    <m/>
    <m/>
    <m/>
    <m/>
    <m/>
    <m/>
    <m/>
    <m/>
    <x v="2"/>
  </r>
  <r>
    <m/>
    <x v="1"/>
    <x v="1"/>
    <n v="1"/>
    <m/>
    <m/>
    <m/>
    <n v="74.8"/>
    <n v="74.8"/>
    <n v="74.8"/>
    <m/>
    <m/>
    <m/>
    <m/>
    <m/>
    <m/>
    <m/>
    <m/>
    <m/>
    <m/>
    <x v="2"/>
  </r>
  <r>
    <m/>
    <x v="1"/>
    <x v="1"/>
    <n v="1"/>
    <m/>
    <m/>
    <m/>
    <n v="74.8"/>
    <n v="74.8"/>
    <n v="74.8"/>
    <m/>
    <m/>
    <m/>
    <m/>
    <m/>
    <m/>
    <m/>
    <m/>
    <m/>
    <m/>
    <x v="2"/>
  </r>
  <r>
    <m/>
    <x v="1"/>
    <x v="1"/>
    <n v="1"/>
    <m/>
    <m/>
    <m/>
    <n v="74.8"/>
    <n v="74.8"/>
    <n v="74.8"/>
    <m/>
    <m/>
    <m/>
    <m/>
    <m/>
    <m/>
    <m/>
    <m/>
    <m/>
    <m/>
    <x v="2"/>
  </r>
  <r>
    <m/>
    <x v="1"/>
    <x v="1"/>
    <n v="3"/>
    <m/>
    <m/>
    <m/>
    <n v="224.39999999999998"/>
    <n v="224.39999999999998"/>
    <n v="224.39999999999998"/>
    <m/>
    <m/>
    <m/>
    <m/>
    <m/>
    <m/>
    <m/>
    <m/>
    <m/>
    <m/>
    <x v="2"/>
  </r>
  <r>
    <m/>
    <x v="1"/>
    <x v="1"/>
    <n v="3"/>
    <m/>
    <m/>
    <m/>
    <n v="374"/>
    <n v="374"/>
    <n v="374"/>
    <m/>
    <m/>
    <m/>
    <m/>
    <m/>
    <m/>
    <m/>
    <m/>
    <m/>
    <m/>
    <x v="2"/>
  </r>
  <r>
    <m/>
    <x v="1"/>
    <x v="1"/>
    <n v="5"/>
    <m/>
    <m/>
    <m/>
    <n v="822.8"/>
    <n v="822.8"/>
    <n v="822.8"/>
    <m/>
    <m/>
    <m/>
    <m/>
    <m/>
    <m/>
    <m/>
    <m/>
    <m/>
    <m/>
    <x v="2"/>
  </r>
  <r>
    <m/>
    <x v="1"/>
    <x v="1"/>
    <n v="5"/>
    <m/>
    <m/>
    <m/>
    <n v="1570.8"/>
    <n v="1570.8"/>
    <n v="1570.8"/>
    <m/>
    <m/>
    <m/>
    <m/>
    <m/>
    <m/>
    <m/>
    <m/>
    <m/>
    <m/>
    <x v="2"/>
  </r>
  <r>
    <m/>
    <x v="1"/>
    <x v="1"/>
    <n v="6"/>
    <m/>
    <m/>
    <m/>
    <n v="3141.6"/>
    <n v="3141.6"/>
    <n v="3141.6"/>
    <m/>
    <m/>
    <m/>
    <m/>
    <m/>
    <m/>
    <m/>
    <m/>
    <m/>
    <m/>
    <x v="2"/>
  </r>
  <r>
    <m/>
    <x v="1"/>
    <x v="1"/>
    <n v="8"/>
    <m/>
    <m/>
    <m/>
    <n v="6358"/>
    <n v="6358"/>
    <n v="6358"/>
    <m/>
    <m/>
    <m/>
    <m/>
    <m/>
    <m/>
    <m/>
    <m/>
    <m/>
    <m/>
    <x v="2"/>
  </r>
  <r>
    <m/>
    <x v="1"/>
    <x v="1"/>
    <n v="15"/>
    <m/>
    <m/>
    <m/>
    <n v="12939.07"/>
    <n v="12940.671"/>
    <n v="12939.761"/>
    <m/>
    <m/>
    <m/>
    <m/>
    <m/>
    <m/>
    <m/>
    <m/>
    <m/>
    <m/>
    <x v="2"/>
  </r>
  <r>
    <m/>
    <x v="1"/>
    <x v="1"/>
    <n v="15"/>
    <m/>
    <m/>
    <m/>
    <n v="25877.351999999999"/>
    <n v="25880.889000000003"/>
    <n v="25879.069"/>
    <m/>
    <m/>
    <m/>
    <m/>
    <m/>
    <m/>
    <m/>
    <m/>
    <n v="6.19"/>
    <m/>
    <x v="2"/>
  </r>
  <r>
    <m/>
    <x v="1"/>
    <x v="1"/>
    <n v="18"/>
    <m/>
    <m/>
    <m/>
    <n v="51568.34"/>
    <n v="51573.98"/>
    <n v="51571.25"/>
    <m/>
    <m/>
    <m/>
    <m/>
    <m/>
    <m/>
    <m/>
    <m/>
    <m/>
    <m/>
    <x v="2"/>
  </r>
  <r>
    <m/>
    <x v="1"/>
    <x v="1"/>
    <n v="19"/>
    <m/>
    <m/>
    <m/>
    <n v="103339.76199999999"/>
    <n v="103351.391"/>
    <n v="103345.02099999999"/>
    <m/>
    <m/>
    <m/>
    <m/>
    <m/>
    <m/>
    <m/>
    <m/>
    <m/>
    <m/>
    <x v="2"/>
  </r>
  <r>
    <m/>
    <x v="1"/>
    <x v="1"/>
    <n v="179"/>
    <m/>
    <s v="Total Subscribed Capacity with FIT COC"/>
    <m/>
    <n v="51584.639999999999"/>
    <n v="51591.867000000006"/>
    <n v="51588.436999999998"/>
    <m/>
    <m/>
    <m/>
    <m/>
    <m/>
    <m/>
    <m/>
    <m/>
    <m/>
    <m/>
    <x v="2"/>
  </r>
  <r>
    <m/>
    <x v="1"/>
    <x v="1"/>
    <m/>
    <m/>
    <s v="Total Subscribed Capacity with FIT COC"/>
    <m/>
    <n v="51600.57"/>
    <n v="51607.047000000006"/>
    <n v="51603.616999999998"/>
    <m/>
    <m/>
    <m/>
    <m/>
    <m/>
    <m/>
    <m/>
    <m/>
    <m/>
    <m/>
    <x v="2"/>
  </r>
  <r>
    <m/>
    <x v="1"/>
    <x v="1"/>
    <m/>
    <m/>
    <s v="Total Subscribed Capacity with FIT COC"/>
    <m/>
    <n v="161298.33199999999"/>
    <n v="161316.43800000002"/>
    <n v="161306.63799999998"/>
    <m/>
    <m/>
    <m/>
    <m/>
    <m/>
    <m/>
    <m/>
    <m/>
    <m/>
    <m/>
    <x v="2"/>
  </r>
  <r>
    <m/>
    <x v="1"/>
    <x v="1"/>
    <m/>
    <m/>
    <s v="Total Subscribed Capacity with FIT COC"/>
    <m/>
    <n v="212909.78700000001"/>
    <n v="212934.63200000004"/>
    <n v="212921.40199999997"/>
    <m/>
    <m/>
    <m/>
    <m/>
    <m/>
    <m/>
    <m/>
    <m/>
    <m/>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Luzon"/>
    <x v="0"/>
    <x v="0"/>
    <n v="1"/>
    <s v="Raslag Corporation "/>
    <s v="Pampanga Solar Power Project (Phase I)"/>
    <s v="Brgy. Suclaban, Mexico, Pampanga"/>
    <n v="10.045999999999999"/>
    <n v="10"/>
    <n v="10"/>
    <d v="2015-03-17T00:00:00"/>
    <d v="2015-02-05T00:00:00"/>
    <d v="2015-02-05T00:00:00"/>
    <d v="2035-02-04T00:00:00"/>
    <n v="20"/>
    <s v="05 February 2015 - _x000a_04 February 2035"/>
    <d v="2015-04-06T00:00:00"/>
    <d v="2016-02-05T00:00:00"/>
    <x v="0"/>
    <s v="•Issuance of FIT-COC: 06 Apr 2015_x000a_•Renewal, Issuance of PAO-FIT: 29-Jun-2020_x000a_•PAO-FIT 1st Extension: 29-Sep-2020_x000a_•PAO-FIT 2nd Extension: 28-Oct-2021_x000a_•PAO-FIT 3rd Extension: 14-Nov-2022_x000a_• Issuance of COC on 01 October 2024"/>
    <x v="0"/>
  </r>
  <r>
    <s v="Luzon"/>
    <x v="0"/>
    <x v="0"/>
    <n v="2"/>
    <s v="Energy Development Corporation "/>
    <s v="Burgos Solar Power Project Phase 1"/>
    <s v="Brgy. Saoit, Burgos, Ilocos Norte"/>
    <n v="4.16"/>
    <n v="4.16"/>
    <n v="4.0999999999999996"/>
    <d v="2015-03-18T00:00:00"/>
    <d v="2015-03-05T00:00:00"/>
    <d v="2015-03-05T00:00:00"/>
    <d v="2035-04-04T00:00:00"/>
    <n v="20"/>
    <s v="05 March 2015 - _x000a_04 March 2035"/>
    <d v="2015-04-06T00:00:00"/>
    <d v="2016-03-05T00:00:00"/>
    <x v="0"/>
    <s v="•Issuance of FIT-COC: 06 Apr 2015 •Renewal, Issuance of PAO-FIT: 29-Jun-2020 _x000a_•PAO-FIT 1st Extension: 29-Sep-2020 •PAO-FIT 2nd Extension: 28-Oct-2021 •PAO-FIT 3rd Extension: 20-Dec-22 _x000a_• Issued PAO on 04 November 2024 _x000a_• 1st Extension of PAO on 17 October 2025"/>
    <x v="0"/>
  </r>
  <r>
    <s v="Luzon"/>
    <x v="0"/>
    <x v="0"/>
    <n v="3"/>
    <s v="Solar Philippines Commercial Rooftop Projects, Inc."/>
    <s v="1.5 MW Sm North Solar Rooftop Power Plant"/>
    <s v="SM North EDSA, Quezon City"/>
    <n v="1.5"/>
    <n v="1.5"/>
    <n v="1.5"/>
    <d v="2015-04-29T00:00:00"/>
    <d v="2015-04-07T00:00:00"/>
    <d v="2015-04-07T00:00:00"/>
    <d v="2035-04-07T00:00:00"/>
    <n v="20"/>
    <s v="07 April 2015 - _x000a_07 April 2035"/>
    <d v="2015-06-22T00:00:00"/>
    <d v="2016-04-07T00:00:00"/>
    <x v="0"/>
    <s v="•Issuance of FIT-COC: 22-Jun-15_x000a_•Issuance of PAO-FIT: 06-Oct-21_x000a_• With PAO valid until 31 May 2024; With ongoing PAO Application: NISE issued on 04 April 2024"/>
    <x v="1"/>
  </r>
  <r>
    <s v="Visayas"/>
    <x v="0"/>
    <x v="0"/>
    <n v="4"/>
    <s v="San Carlos Solar Energy, Inc.  (SACASOL)"/>
    <s v="San Carlos Solar Energy, Inc. - Phase 1A (SACASOL)"/>
    <s v="Brgy. Punao, San Carlos City, Negros Occidental"/>
    <n v="13.013"/>
    <n v="13.01"/>
    <n v="13"/>
    <d v="2014-06-04T00:00:00"/>
    <d v="2014-05-15T00:00:00"/>
    <d v="2014-05-15T00:00:00"/>
    <d v="2034-05-14T00:00:00"/>
    <n v="20"/>
    <s v="15 May 2014 - _x000a_14 May 2034"/>
    <d v="2015-02-09T00:00:00"/>
    <d v="2016-01-01T00:00:00"/>
    <x v="0"/>
    <s v="•Issuance of COC: 09-Jun-14_x000a_•Issuance of FIT- COC: 09-Feb-15_x000a_•Renewal of FIT-COC: 28-May-19_x000a_•Grant of PAO: 04 June 2024_x000a_•1st Extension of PAO: 04 June 2025_x000a_• 2nd Extension of PAO on 25 May 2026"/>
    <x v="0"/>
  </r>
  <r>
    <s v="Visayas"/>
    <x v="0"/>
    <x v="0"/>
    <n v="5"/>
    <s v="San Carlos Solar Energy, Inc.  (SACASOL)"/>
    <s v="San Carlos Solar Energy, Inc. - Phase 1B (SACASOL)"/>
    <s v="Brgy. Punao, San Carlos City, Negros Occidental"/>
    <n v="9"/>
    <n v="9"/>
    <n v="9"/>
    <d v="2014-10-07T00:00:00"/>
    <d v="2014-08-16T00:00:00"/>
    <d v="2014-08-16T00:00:00"/>
    <d v="2034-05-15T00:00:00"/>
    <n v="20"/>
    <s v="16 August 2014 - _x000a_15 August 2034"/>
    <d v="2015-02-09T00:00:00"/>
    <d v="2016-01-01T00:00:00"/>
    <x v="0"/>
    <s v="•Issuance of COC: 08-Sept-14_x000a_•Issuance of FIT- COC:09-Feb-15_x000a_•Renewal of FIT-COC: 28-May-19_x000a_•Grant of PAO-FIT: 05 Sep 2024"/>
    <x v="0"/>
  </r>
  <r>
    <s v="Visayas"/>
    <x v="0"/>
    <x v="0"/>
    <n v="6"/>
    <s v="First Solar Energy Corp. (Phil. Solar Farm-Leyte, Inc.)"/>
    <s v="Ormoc Solar Power Project "/>
    <s v="Brgy. Dolores, Ormoc CIty"/>
    <n v="30.38"/>
    <n v="30.38"/>
    <n v="30"/>
    <d v="2015-04-29T00:00:00"/>
    <d v="2015-04-04T00:00:00"/>
    <d v="2015-04-04T00:00:00"/>
    <d v="2035-04-04T00:00:00"/>
    <n v="20"/>
    <s v="04 April 2015 - _x000a_04 April 2035"/>
    <d v="2015-06-08T00:00:00"/>
    <d v="2016-04-04T00:00:00"/>
    <x v="0"/>
    <s v="•Issuance of FIT-COC: 08-Jun-15_x000a_•Renewal, Issuance of PAO-FIT: 30-Jun-2020_x000a_•PAO-FIT 1st Extension: 18-Nov-2020_x000a_• PAO-FIT 2nd Extension: 14-Mar-2022_x000a_•Issuance of PAO on 25 November 2024_x000a_• 1st PAO Extension on 17 November 2025"/>
    <x v="0"/>
  </r>
  <r>
    <m/>
    <x v="1"/>
    <x v="1"/>
    <n v="6"/>
    <m/>
    <m/>
    <m/>
    <m/>
    <m/>
    <m/>
    <m/>
    <m/>
    <m/>
    <m/>
    <m/>
    <m/>
    <m/>
    <m/>
    <x v="1"/>
    <m/>
    <x v="2"/>
  </r>
  <r>
    <s v="Luzon"/>
    <x v="0"/>
    <x v="2"/>
    <n v="7"/>
    <s v="Valenzuela Solar Energy. Inc."/>
    <s v="Valenzuela Solar Power Project"/>
    <s v="198 Isla Road, Planters, Technopark, Brgy. Isla, Valenzuela"/>
    <n v="8.5"/>
    <n v="8.5"/>
    <n v="8.5"/>
    <m/>
    <d v="2016-03-08T00:00:00"/>
    <d v="2016-03-08T00:00:00"/>
    <d v="2036-03-07T00:00:00"/>
    <n v="20"/>
    <s v="08 March 2016 - _x000a_07 March 2036"/>
    <d v="2016-12-08T00:00:00"/>
    <d v="2017-03-08T00:00:00"/>
    <x v="2"/>
    <s v="•Issuance of COC: 14-Jul-16_x000a_•Issuance of FIT-COC: 08-Dec-16_x000a_•Issuance of PAO-FIT: 13-Jul-2021_x000a_•1st Extension of PAO-FIT: 17-Oct-22_x000a_•2nd Extension of PAO-FIT: 16-Jul-24_x000a_• Grant of PAO on 07 July 2025_x000a_• Issuance of COC on 06 April 2026"/>
    <x v="0"/>
  </r>
  <r>
    <s v="Luzon"/>
    <x v="0"/>
    <x v="2"/>
    <n v="8"/>
    <s v="Solar Powered Agri-Rural Communities Corporation (SPARC-Zambales) (EPRRI-Clark)"/>
    <s v="Palauig Solar Power Project"/>
    <s v="Palauig, Zambales"/>
    <n v="5.0199999999999996"/>
    <n v="5.0199999999999996"/>
    <n v="5.0199999999999996"/>
    <m/>
    <d v="2016-03-13T00:00:00"/>
    <d v="2016-03-13T00:00:00"/>
    <d v="2036-03-12T00:00:00"/>
    <n v="20"/>
    <s v="13 March 2016 - _x000a_12 March 2036"/>
    <d v="2017-02-06T00:00:00"/>
    <d v="2017-03-13T00:00:00"/>
    <x v="2"/>
    <s v="•Issuance of FIT-COC: 06-Feb-17_x000a_•Issuance of PAO-FIT: 16-Feb-22_x000a_•With PAO valid until 07 December 2024; _x000a_•Extended PAO: 10-Feb-2026"/>
    <x v="0"/>
  </r>
  <r>
    <s v="Luzon"/>
    <x v="0"/>
    <x v="2"/>
    <n v="9"/>
    <s v="Solar Philippines Calatagan Corporation"/>
    <s v="Calatagan Solar Power Project"/>
    <s v="Brgy. Paraiso Biga, Calatagan, Batangas"/>
    <n v="63.3"/>
    <n v="63.3"/>
    <n v="63.3"/>
    <m/>
    <d v="2016-03-11T00:00:00"/>
    <d v="2016-03-11T00:00:00"/>
    <d v="2036-03-10T00:00:00"/>
    <n v="20"/>
    <s v="11 March 2016 - _x000a_10 March 2036"/>
    <d v="2016-06-28T00:00:00"/>
    <d v="2017-03-11T00:00:00"/>
    <x v="2"/>
    <s v="•Issuance of FIT-COC: 28-Jun-16_x000a_•Issuance of PAO-FIT: 23-Jun-21_x000a_•1st Extension of PAO-FIT: 22-Aug-2022_x000a_• Issuance of PAO on 05 May 2026"/>
    <x v="0"/>
  </r>
  <r>
    <s v="Luzon"/>
    <x v="0"/>
    <x v="2"/>
    <n v="10"/>
    <s v="Raslag Corporation "/>
    <s v="Pampanga Solar Power Project (Phase II)"/>
    <s v="Brgy. Suclaban, Mexico, Pampanga"/>
    <n v="13.14"/>
    <n v="13.14"/>
    <n v="13.14"/>
    <m/>
    <d v="2015-12-23T00:00:00"/>
    <d v="2015-12-23T00:00:00"/>
    <d v="2035-12-22T00:00:00"/>
    <n v="20"/>
    <s v="23 December 2015 -_x000a_22 December 2035"/>
    <d v="2016-02-29T00:00:00"/>
    <d v="2016-12-23T00:00:00"/>
    <x v="2"/>
    <s v="•Issuance of FIT-COC: 29 Feb 2016_x000a_•Renewal, Issuance of PAO-FIT: 29-Jun-2020_x000a_•PAO-FIT 1st Extension: 29-Sep-2020_x000a_•PAO-FIT 2nd Extension: 28-Oct-2021_x000a_•PAO-FIT 3rd Extension: 14-Nov-2022_x000a_• Issuance of COC on 01 October 2024"/>
    <x v="0"/>
  </r>
  <r>
    <s v="Luzon"/>
    <x v="0"/>
    <x v="2"/>
    <n v="11"/>
    <s v="EDC Burgos 2"/>
    <s v="Burgos Solar Power Project Phase 2"/>
    <s v="Brgy. Saoit, Burgos, Ilocos, Norte"/>
    <n v="2.66"/>
    <n v="2.66"/>
    <n v="2.66"/>
    <m/>
    <d v="2016-01-19T00:00:00"/>
    <d v="2016-01-19T00:00:00"/>
    <d v="2036-01-18T00:00:00"/>
    <n v="20"/>
    <s v="19 January 2016 -_x000a_18 January 2036"/>
    <d v="2016-03-01T00:00:00"/>
    <d v="2017-01-19T00:00:00"/>
    <x v="2"/>
    <s v="•Issuance of FIT-COC: 01 Mar 2016_x000a_•Renewal, Issuance of PAO-FIT: 29-Jun-2020_x000a_•PAO-FIT 1st Extension: 29-Sep-2020_x000a_•PAO-FIT 2nd Extension: 28-Oct-2021_x000a_•PAO-FIT 3rd Extension: 20-Dec-22_x000a_• Issued PAO on 04 November 2024_x000a_• Issued PAO Amendment on 08 July 2025_x000a_• Issued PAO 1st Extension on 22 October 2025"/>
    <x v="0"/>
  </r>
  <r>
    <s v="Luzon"/>
    <x v="0"/>
    <x v="2"/>
    <n v="12"/>
    <s v="Petrosolar Corp."/>
    <s v="Tarlac Solar Power Project"/>
    <s v="Central Technopark, Tarlac City, Tarlac"/>
    <n v="50.069000000000003"/>
    <n v="50.07"/>
    <n v="50.07"/>
    <m/>
    <d v="2016-02-10T00:00:00"/>
    <d v="2016-02-10T00:00:00"/>
    <d v="2036-02-09T00:00:00"/>
    <n v="20"/>
    <s v="10 February 2016 - _x000a_09 February 2036"/>
    <d v="2025-03-30T00:00:00"/>
    <d v="2017-02-10T00:00:00"/>
    <x v="2"/>
    <s v="•Issuance of FIT-COC: 12 Jul 2016_x000a_•Renewal, Issuance of PAO-FIT: 17-Mar-2021_x000a_•1st Extension of PAO-FIT: 19 Apr-2022_x000a_• Grant of PAO on 19 March 2024_x000a_•  1st Extension of PAO on 21 March 2025"/>
    <x v="0"/>
  </r>
  <r>
    <s v="Luzon"/>
    <x v="0"/>
    <x v="2"/>
    <n v="13"/>
    <s v="YH Green Energy, Inc"/>
    <s v="Hermosa Solar Power Project"/>
    <s v="Brgy. Bacong, Hermosa, Bataan"/>
    <n v="14.505000000000001"/>
    <n v="14.51"/>
    <n v="14.51"/>
    <m/>
    <d v="2016-02-12T00:00:00"/>
    <d v="2016-02-12T00:00:00"/>
    <d v="2036-02-11T00:00:00"/>
    <n v="20"/>
    <s v="12 February 2016 - _x000a_11 February 2036"/>
    <d v="2025-03-30T00:00:00"/>
    <d v="2017-02-12T00:00:00"/>
    <x v="2"/>
    <s v="•Issuance of FIT-COC: 30-Mar-16_x000a_•Renewal, Issuance of PAO-FIT: 17-Mar-2021_x000a_•Grant of PAO: 12 March 2024_x000a_•1st Extension of PAO: 11 April 2025_x000a_• 2nd Extension of PAO on 27 March 2026"/>
    <x v="0"/>
  </r>
  <r>
    <s v="Luzon"/>
    <x v="0"/>
    <x v="2"/>
    <n v="14"/>
    <s v="First Cabanatuan Renewable Ventures, Inc."/>
    <s v="Cabanatuan Solar Power Project"/>
    <s v="Brgy. Lourdes, Cabanatuan, Nueva Ecija"/>
    <n v="10.26"/>
    <n v="10.26"/>
    <n v="10.26"/>
    <m/>
    <d v="2016-03-11T00:00:00"/>
    <d v="2016-03-11T00:00:00"/>
    <d v="2036-03-10T00:00:00"/>
    <n v="20"/>
    <s v="11 March 2016 - _x000a_10 March 2036"/>
    <d v="2016-04-13T00:00:00"/>
    <d v="2017-03-11T00:00:00"/>
    <x v="2"/>
    <s v="•Issuance of FIT-COC: 13 Apr 2016_x000a_•Issuance of PAO-FIT: 05 May 2021_x000a_• Issuance of PAO on 22 May 2026"/>
    <x v="0"/>
  </r>
  <r>
    <s v="Luzon"/>
    <x v="0"/>
    <x v="2"/>
    <n v="15"/>
    <s v="Mirae Asia Energy Corporation"/>
    <s v="Currimao Solar Power Project"/>
    <s v="Brgy. Paguludan-Salindeg, Currimao, Ilocos Norte"/>
    <n v="20"/>
    <n v="20"/>
    <n v="20"/>
    <m/>
    <d v="2016-02-29T00:00:00"/>
    <d v="2016-02-29T00:00:00"/>
    <d v="2036-02-28T00:00:00"/>
    <n v="20"/>
    <s v="29 February 2016 - _x000a_28 February 2036"/>
    <d v="2016-12-08T00:00:00"/>
    <d v="2017-02-28T00:00:00"/>
    <x v="2"/>
    <s v="•Issuance of COC: 18-Aug-16_x000a_•Issuance of FIT-COC: 08-Dec-16_x000a_•Issuance of PAO-FIT: 18-Aug-21_x000a_• 1st Extension of PAO-FIT: 17-Oct-22_x000a_• Grant of PAO:  30 Aug 2024_x000a_• 1st PAO Extension: 11 November 2025"/>
    <x v="0"/>
  </r>
  <r>
    <s v="Luzon"/>
    <x v="0"/>
    <x v="2"/>
    <n v="16"/>
    <s v="Absolut Distillers, Inc."/>
    <s v="Lian Solar Power Project"/>
    <s v="Brgy. Malaruhatan, Lian, Batangas"/>
    <n v="2.04"/>
    <n v="2.04"/>
    <n v="2.04"/>
    <m/>
    <d v="2016-03-08T00:00:00"/>
    <d v="2016-03-08T00:00:00"/>
    <d v="2036-03-07T00:00:00"/>
    <n v="20"/>
    <s v="08 March 2016 - _x000a_07 March 2036"/>
    <d v="2016-12-08T00:00:00"/>
    <d v="2017-03-08T00:00:00"/>
    <x v="2"/>
    <s v="•Issuance of COC:14-Jul-16_x000a_•Issuance of FIT-COC: 08-Dec-16_x000a_•Issuance of PAO-FIT: 16-Feb-22_x000a_•1st Extension of PAO-FIT: 17-Oct-22_x000a_•2nd Extension of PAO-FIT: 22-Jul-24_x000a_•Issued PAO on 01 August 2025"/>
    <x v="0"/>
  </r>
  <r>
    <s v="Luzon"/>
    <x v="0"/>
    <x v="2"/>
    <n v="17"/>
    <s v="Citicore Renewable Energy Corporation (CREC) [formerly Enfinity Phils. Renewable Resources, Inc.]"/>
    <s v="Clark Solar Power Project"/>
    <s v="Prince Balagtas Road, Clark Freeport Zone, Pampanga"/>
    <n v="22.33"/>
    <n v="22.33"/>
    <n v="22.33"/>
    <m/>
    <d v="2016-03-12T00:00:00"/>
    <d v="2016-03-12T00:00:00"/>
    <d v="2036-03-11T00:00:00"/>
    <n v="20"/>
    <s v="12 March 2016 - _x000a_11 March 2036"/>
    <d v="2025-03-28T00:00:00"/>
    <d v="2017-03-12T00:00:00"/>
    <x v="2"/>
    <s v="•Issuance of COC: 22-Nov-16_x000a_•Issuance of FIT-COC: 08-Dec-16_x000a_•Issuance of PAO-FIT: 18 August 2021_x000a_•Issuance of PAO: 11 April 2025_x000a_• Issuance of PAO Extension on 16 March 2026"/>
    <x v="0"/>
  </r>
  <r>
    <s v="Luzon"/>
    <x v="0"/>
    <x v="2"/>
    <n v="18"/>
    <s v="Citicore Solar Bulacan, Inc."/>
    <s v="15.00MWp Bulacan Solar Power Plant"/>
    <s v="Sitio Hulo Brgy. Pasong Bangkal, San Ildefonso, Bulacan"/>
    <n v="15"/>
    <n v="15.000999999999999"/>
    <n v="15.000999999999999"/>
    <m/>
    <d v="2016-03-14T00:00:00"/>
    <d v="2016-03-14T00:00:00"/>
    <d v="2036-03-13T00:00:00"/>
    <n v="20"/>
    <s v="14 March 2016 - _x000a_13 March 2036"/>
    <d v="2016-12-20T00:00:00"/>
    <d v="2017-03-14T00:00:00"/>
    <x v="2"/>
    <s v="•Issuance of FIT-COC: 20 Dec 2016_x000a_•Issuance of PAO-FIT: 16 Feb 2022_x000a_•Issuance of PAO: 11 June 2025_x000a_• 1st Extension of PAO on 28 May 2026"/>
    <x v="0"/>
  </r>
  <r>
    <s v="Visayas"/>
    <x v="0"/>
    <x v="2"/>
    <n v="19"/>
    <s v="San Carlos Solar Energy, Inc.  (SACASOL)"/>
    <s v="SACASOL Power Project Plant (Phases I-C &amp;I-)D"/>
    <s v="Brgy. Punao, San Carlos City, Negros Occidental"/>
    <n v="23"/>
    <n v="23"/>
    <n v="23"/>
    <m/>
    <d v="2015-09-06T00:00:00"/>
    <d v="2015-09-06T00:00:00"/>
    <d v="2035-09-05T00:00:00"/>
    <n v="20"/>
    <s v="06 September 2015 -_x000a_05 September 2035"/>
    <s v="1/10/2025 (PAO)"/>
    <d v="2016-09-06T00:00:00"/>
    <x v="2"/>
    <s v="•Issuance of FIT- COC:04-May-16_x000a_•Renewal, Issuance of PAO-FIT: 14-Jan-2021_x000a_•1st Extension of PAO-FIT: 14-Mar-2022_x000a_• Issued PAO: 10 January 2024_x000a_• 1st Extension of PAO on 02 January 2025_x000a_• 2nd Extension of PAO on 05 January 2026"/>
    <x v="0"/>
  </r>
  <r>
    <s v="Visayas"/>
    <x v="0"/>
    <x v="2"/>
    <n v="20"/>
    <s v="Monte Solar Energy, Inc. "/>
    <s v="Bais Solar Power Project"/>
    <s v="Bais City, Negros Oriental"/>
    <n v="18"/>
    <n v="18"/>
    <n v="18"/>
    <m/>
    <d v="2016-03-11T00:00:00"/>
    <d v="2016-03-11T00:00:00"/>
    <d v="2036-03-10T00:00:00"/>
    <n v="20"/>
    <s v="11 March 2016 - _x000a_10 March 2036"/>
    <d v="2017-02-06T00:00:00"/>
    <d v="2017-03-11T00:00:00"/>
    <x v="2"/>
    <s v="•Issuance of FIT-COC: 06-Feb-17_x000a_•Issuance of PAO-FIT: 07-Jul-21_x000a_•1st Extension of PAO: 24Jun 24_x000a_ •Grant of PAO on 10 July 2025"/>
    <x v="0"/>
  </r>
  <r>
    <s v="Visayas"/>
    <x v="0"/>
    <x v="2"/>
    <n v="21"/>
    <s v="Helios Solar Energy Corporation"/>
    <s v="Cadiz Solar Power Project"/>
    <s v="Brgy. Tinampa-an, Cadiz City, Negros Occidental"/>
    <n v="132.5"/>
    <n v="132.5"/>
    <n v="132.5"/>
    <m/>
    <d v="2016-03-14T00:00:00"/>
    <d v="2016-03-14T00:00:00"/>
    <d v="2036-03-13T00:00:00"/>
    <n v="20"/>
    <s v="14 March 2016 - _x000a_13 March 2036"/>
    <d v="2016-12-08T00:00:00"/>
    <d v="2017-03-14T00:00:00"/>
    <x v="2"/>
    <s v="•Issuance of COC:14-Jul-16_x000a_•Issuance of FIT-COC: 08-Dec-16_x000a_•Issuance of PAO-FIT: 13-Jul-21_x000a_•1st Extension of PAO-FIT: 03 Nov 2022_x000a_•Grant of PAO: 30 Aug 2024_x000a_• 1st Extension of PAO 11 November 2025"/>
    <x v="0"/>
  </r>
  <r>
    <s v="Visayas"/>
    <x v="0"/>
    <x v="2"/>
    <n v="22"/>
    <s v="San Carlos Sun Power, Inc. (SACASUN)"/>
    <s v="58.981MWp SACASUN Solar Power Plant"/>
    <s v="Ecozone Blvd., San Carlos Ecozone, Brgy. Punao, San Carlos City, Negros Occidental"/>
    <n v="58.981000000000002"/>
    <n v="58.981000000000002"/>
    <n v="58.981000000000002"/>
    <m/>
    <d v="2016-03-15T00:00:00"/>
    <d v="2022-08-27T00:00:00"/>
    <d v="2036-03-14T00:00:00"/>
    <n v="14"/>
    <s v="27 August 2022 - 14 March 2036"/>
    <d v="2026-05-18T00:00:00"/>
    <m/>
    <x v="2"/>
    <s v="•Issuance of COC: 20 Dec 2016_x000a_•Issuance of PAO: 07 July 2021_x000a_•1st Extension of PAO-FIT: 13 July 2023_x000a_• Grant of PAO: 03 July 2024_x000a_• 1st Extension of PAO: 18 June 2025_x000a_• Issuance of COC on 18 May 2026_x000a_• With issued COC on 18 May 2026"/>
    <x v="0"/>
  </r>
  <r>
    <s v="Mindanao"/>
    <x v="0"/>
    <x v="2"/>
    <n v="23"/>
    <s v="Citicore Solar South Cotabato, Inc. (CSSCI) [formerly nv Vogt Philippines Solar Energy One, Inc.]"/>
    <s v="Centrala Solar Power Plant"/>
    <s v="Centralla, Surallah, South Cotabato"/>
    <n v="6.23"/>
    <n v="6.23"/>
    <n v="6.23"/>
    <m/>
    <d v="2015-10-09T00:00:00"/>
    <d v="2016-10-25T00:00:00"/>
    <d v="2035-12-08T00:00:00"/>
    <n v="19"/>
    <s v="25 October 2016 - _x000a_08 Decmber 2035"/>
    <d v="2017-02-28T00:00:00"/>
    <d v="2016-10-25T00:00:00"/>
    <x v="2"/>
    <s v="•Issuance of FIT-COC: 28 Feb 2017_x000a_•Grant of PAO: 22 March 2024_x000a_•1st Extension of PAO: 04 July 2025_x000a_• With issued COC on 04 May 2026"/>
    <x v="0"/>
  </r>
  <r>
    <s v="Mindanao"/>
    <x v="0"/>
    <x v="2"/>
    <n v="24"/>
    <s v="Asian Green Energy Corporation "/>
    <s v="Kibawe Solar Power Plant"/>
    <s v="Brgy. Labuagon, Kibawe, Bukidnon"/>
    <n v="10.49"/>
    <n v="10.49"/>
    <n v="10.49"/>
    <m/>
    <d v="2016-03-13T00:00:00"/>
    <d v="2016-03-13T00:00:00"/>
    <d v="2036-03-12T00:00:00"/>
    <n v="20"/>
    <s v="13 March 2016 - _x000a_12 March 2036"/>
    <d v="2017-08-08T00:00:00"/>
    <d v="2017-03-13T00:00:00"/>
    <x v="2"/>
    <s v="•With issued PAO from 14 July 2016 _x000a_• Issuance of  FIT-COC: 08 Aug 2017_x000a_• Issuance of  PAO-FIT: 13-Jul-2021_x000a_• 1st Extension of  PAO-FIT: 17 Oct 2022_x000a_• Grant of PAO: 11 Sep 2024_x000a_• Issued COC on 10 November 2025"/>
    <x v="0"/>
  </r>
  <r>
    <m/>
    <x v="1"/>
    <x v="1"/>
    <m/>
    <m/>
    <m/>
    <m/>
    <m/>
    <m/>
    <m/>
    <m/>
    <m/>
    <m/>
    <m/>
    <m/>
    <m/>
    <m/>
    <m/>
    <x v="1"/>
    <m/>
    <x v="2"/>
  </r>
  <r>
    <m/>
    <x v="1"/>
    <x v="1"/>
    <m/>
    <m/>
    <m/>
    <m/>
    <m/>
    <m/>
    <m/>
    <m/>
    <m/>
    <m/>
    <m/>
    <m/>
    <m/>
    <m/>
    <m/>
    <x v="1"/>
    <m/>
    <x v="2"/>
  </r>
  <r>
    <s v="Luzon"/>
    <x v="2"/>
    <x v="0"/>
    <n v="1"/>
    <s v="Northwind Power Development Corporation"/>
    <s v="Bangui Bay Wind Farm Power Plant Phase III"/>
    <s v="Bangui, Ilocos Norte"/>
    <n v="18.899999999999999"/>
    <n v="18.899999999999999"/>
    <n v="18.899999999999999"/>
    <m/>
    <d v="2014-10-10T00:00:00"/>
    <d v="2014-10-10T00:00:00"/>
    <d v="2034-10-09T00:00:00"/>
    <n v="20"/>
    <s v="10 October 2014 -_x000a_09 October 2034"/>
    <d v="2015-04-13T00:00:00"/>
    <d v="2016-01-01T00:00:00"/>
    <x v="3"/>
    <s v="•Issuance of COC: 09-Feb-15_x000a_•Issuance of FIT-COC: 13-Apr-15_x000a_•Renewal, Issuance of PAO-FIT: 08-Oct-2019 _x000a_• PAO-FIT 1st Extension: 06-Jul-2020 _x000a_• PAO-FIT 2nd Extension: 14-Oct-2020 _x000a_• PAO-FIT 3rd Extension: 21-Dec-2021 _x000a_• PAO-FIT 4th Extension: 14-Mar-2022 _x000a_• Grant of PAO: 29 Sep 2025"/>
    <x v="0"/>
  </r>
  <r>
    <s v="Luzon"/>
    <x v="2"/>
    <x v="0"/>
    <n v="2"/>
    <s v="EDC Burgos Wind Power Corporation"/>
    <s v="Burgos Wind Power Plant Phase I &amp; II"/>
    <s v="Burgos, Ilocos Norte"/>
    <n v="150"/>
    <n v="150"/>
    <n v="134.63999999999999"/>
    <m/>
    <d v="2014-11-11T00:00:00"/>
    <d v="2014-11-11T00:00:00"/>
    <d v="2034-11-10T00:00:00"/>
    <n v="20"/>
    <s v="11 November 2014 - _x000a_10 November 2034"/>
    <d v="2015-04-13T00:00:00"/>
    <d v="2016-01-01T00:00:00"/>
    <x v="3"/>
    <s v="•Issuance of COC:09-Feb-15 _x000a_•Issuance of FIT-COC:13-Apr-15 (FIT)_x000a_•Renewal of COC-FIT: 03-Dec-2019_x000a_• Issued PAO on 13 January 2025_x000a_• Amended PAO on 13 May 2025_x000a_• Amended PAO on 04 July 2025_x000a_• 1st Extension of PAO on 14 January 2026_x000a_• Amended 1st Extension of PAO on 01 June 2026"/>
    <x v="0"/>
  </r>
  <r>
    <s v="Luzon"/>
    <x v="2"/>
    <x v="0"/>
    <n v="3"/>
    <s v="North Luzon Renewable Energy Corporation"/>
    <s v="Caparispisan Wind Energy Plant"/>
    <s v="Pagudpud, Ilocos Norte"/>
    <n v="81"/>
    <n v="81"/>
    <n v="81"/>
    <m/>
    <d v="2014-11-11T00:00:00"/>
    <d v="2014-11-11T00:00:00"/>
    <d v="2034-11-10T00:00:00"/>
    <n v="20"/>
    <s v="11 November 2014 - _x000a_10 November 2034"/>
    <d v="2015-04-13T00:00:00"/>
    <d v="2016-01-01T00:00:00"/>
    <x v="3"/>
    <s v="•Issuance of COC:09-Feb-15 _x000a_•Issuance of FIT-COC:13-Apr-15_x000a_•Renewal, Issuance of PAO-FIT: 28-Nov-2019_x000a_•PAO-FIT 1st Extension: 30-Jun-2020_x000a_•PAO-FIT 2nd Extension: 2-Dec-2020 _x000a_•PAO-FIT 3rd Extension: 14-Mar-2022_x000a_• Grant of PAO on 10 December 2024_x000a_• 1st Extension of PAO on 09 December 2025"/>
    <x v="0"/>
  </r>
  <r>
    <m/>
    <x v="1"/>
    <x v="1"/>
    <m/>
    <m/>
    <m/>
    <m/>
    <m/>
    <m/>
    <m/>
    <m/>
    <m/>
    <m/>
    <m/>
    <m/>
    <m/>
    <m/>
    <m/>
    <x v="1"/>
    <m/>
    <x v="2"/>
  </r>
  <r>
    <s v="Luzon"/>
    <x v="2"/>
    <x v="2"/>
    <n v="6"/>
    <s v="Pililla Wind Power Corporation_x000a_(Formerly Alternergy Wind One Corporation (AWOC)"/>
    <s v="Pililia Wind Power Plant"/>
    <s v="Brgy. Halayhayin, Pililia, Rizal"/>
    <n v="54"/>
    <n v="54"/>
    <n v="54"/>
    <m/>
    <d v="2015-06-09T00:00:00"/>
    <d v="2015-06-09T00:00:00"/>
    <d v="2035-06-08T00:00:00"/>
    <n v="20"/>
    <s v="09 June 2015 -_x000a_08 June 2035"/>
    <d v="2015-12-01T00:00:00"/>
    <d v="2016-06-09T00:00:00"/>
    <x v="4"/>
    <s v="•Issuance of COC: 14-Sept-15_x000a_•Issuance of FIT-COC: 01-Dec-15_x000a_•Renewal, Issued to PAO-FIT: 8-Sep-2020_x000a_•Amendment to PAO-FIT: 22-Oct-2020_x000a_•1st Extension of PAO-FIT: 28-Oct-2021_x000a_• Issuance of PAO on 04 November 2024"/>
    <x v="0"/>
  </r>
  <r>
    <s v="Visayas"/>
    <x v="2"/>
    <x v="2"/>
    <n v="4"/>
    <s v="Guimaras Wind Corporation (GWC)"/>
    <s v="San Lorenzo Wind Power Plant"/>
    <s v="San Lorenzo, Guimaras"/>
    <n v="54"/>
    <n v="54"/>
    <n v="51"/>
    <m/>
    <d v="2014-12-27T00:00:00"/>
    <d v="2014-12-27T00:00:00"/>
    <d v="2034-12-26T00:00:00"/>
    <n v="20"/>
    <s v="27 December 2014 -_x000a_26 December 2034"/>
    <d v="2025-01-31T00:00:00"/>
    <d v="2016-01-01T00:00:00"/>
    <x v="4"/>
    <s v="•Issuance of PAO: 02 Mar 2015_x000a_•Issuance of COC: 01 Jun 2015_x000a_•Issuance of FIT-COC: 01-Dec-15_x000a_•Renewal, Issuance of FIT-COC: 18-Feb-2020_x000a_• With issued COC on 31 January 2025"/>
    <x v="0"/>
  </r>
  <r>
    <s v="Visayas"/>
    <x v="2"/>
    <x v="2"/>
    <n v="5"/>
    <s v="Petro Wind Energy, Inc."/>
    <s v="Nabas Wind Energy Plant"/>
    <s v="Nabas-Malay, Aklan"/>
    <n v="36"/>
    <n v="36"/>
    <n v="36"/>
    <m/>
    <d v="2015-06-10T00:00:00"/>
    <d v="2015-06-10T00:00:00"/>
    <d v="2035-06-09T00:00:00"/>
    <n v="20"/>
    <s v="10 June 2015 - _x000a_09 June 2035"/>
    <d v="2015-12-01T00:00:00"/>
    <d v="2016-06-10T00:00:00"/>
    <x v="4"/>
    <s v="•Issuance of COC: 17-Aug-15_x000a_•Issuance of FIT-COC: 01-Dec-15_x000a_•Renewal, Issuance of PAO-FIT: 12-Aug-2020_x000a_•PAO-FIT 1st Extension: 18 August 2021_x000a_• Grant of PAO: 30 Sep 2024_x000a_•1st Extension of PAO: 22 Sep 2025"/>
    <x v="0"/>
  </r>
  <r>
    <m/>
    <x v="1"/>
    <x v="1"/>
    <m/>
    <m/>
    <m/>
    <m/>
    <m/>
    <m/>
    <m/>
    <m/>
    <m/>
    <m/>
    <m/>
    <m/>
    <m/>
    <m/>
    <m/>
    <x v="1"/>
    <m/>
    <x v="2"/>
  </r>
  <r>
    <s v="Luzon"/>
    <x v="2"/>
    <x v="3"/>
    <n v="7"/>
    <s v="Northwind Power Development Corporation "/>
    <s v="Bangui Wind Power Plant Phase I &amp; II"/>
    <s v="Bangui, Ilocos Norte"/>
    <n v="33"/>
    <m/>
    <n v="21.45"/>
    <m/>
    <d v="2015-07-20T00:00:00"/>
    <d v="2015-07-20T00:00:00"/>
    <d v="2025-06-04T00:00:00"/>
    <n v="10"/>
    <s v="20 July 2015 -_x000a_04 June 2025"/>
    <d v="2015-04-13T00:00:00"/>
    <d v="2016-07-20T00:00:00"/>
    <x v="5"/>
    <s v="• Issuance of COC: 15-Jun-05 (Phase1)_x000a_• Issuance of COC: 26-Jan-09 (Phase II)_x000a_•Renewal of COC: 15-Jun-10 (Phases I and II)_x000a_•Renewal of COC: 15-Jun-15_x000a_•Issuance of PAO-FIT: 20-July-15 (PAO-FIT)_x000a_•Issuance of FIT-COC: 13-Feb-18 (FIT)_x000a_• Renewal, Issuance of PAO-FIT: 06-Jul-2020 _x000a_• PAO-FIT 1st Extension: 18-Nov-2020 _x000a_• PAO-FIT 2ndd Extension: 14-Mar-2022_x000a_• Granted PAO on 10 December 2024_x000a_• Granted PAO for Additional Units Approved on 04 June 2025_x000a_•  Amended PAO on 25 June 2025"/>
    <x v="3"/>
  </r>
  <r>
    <m/>
    <x v="1"/>
    <x v="1"/>
    <m/>
    <m/>
    <m/>
    <m/>
    <m/>
    <m/>
    <m/>
    <m/>
    <m/>
    <m/>
    <m/>
    <m/>
    <m/>
    <m/>
    <m/>
    <x v="1"/>
    <m/>
    <x v="2"/>
  </r>
  <r>
    <m/>
    <x v="1"/>
    <x v="1"/>
    <m/>
    <m/>
    <m/>
    <m/>
    <m/>
    <m/>
    <m/>
    <m/>
    <m/>
    <m/>
    <m/>
    <m/>
    <m/>
    <m/>
    <m/>
    <x v="1"/>
    <m/>
    <x v="2"/>
  </r>
  <r>
    <m/>
    <x v="1"/>
    <x v="1"/>
    <m/>
    <m/>
    <m/>
    <m/>
    <m/>
    <m/>
    <m/>
    <m/>
    <m/>
    <m/>
    <m/>
    <m/>
    <m/>
    <m/>
    <m/>
    <x v="1"/>
    <m/>
    <x v="2"/>
  </r>
  <r>
    <s v="Luzon"/>
    <x v="3"/>
    <x v="0"/>
    <n v="1"/>
    <s v="San Jose City I Power Corporation"/>
    <s v="12 MW e(net) SJCi Power Rice Husk-fired Biomass Power Plant Project (Phase I)"/>
    <s v="Nrgy. Tulat, San Jose City, Nueva Ecija"/>
    <n v="12"/>
    <n v="12"/>
    <n v="12"/>
    <m/>
    <d v="2014-11-02T00:00:00"/>
    <d v="2014-11-02T00:00:00"/>
    <d v="2034-11-01T00:00:00"/>
    <n v="20"/>
    <s v="02 November 2014 - _x000a_01 November 2034"/>
    <d v="2025-04-21T00:00:00"/>
    <d v="2016-01-01T00:00:00"/>
    <x v="6"/>
    <s v="•Issuance of PAO: 18 Dec 2014_x000a_•Issuance of COC: 09 Feb 2015_x000a_•Renewal, Issuance of FIT-COC: 28-Nov-2019 (Consolidated FIT COC for Phase 1 and Phase 2_x000a_•With Issued Separated PAO on 30 April 2025_x000a_• 1st Extension of PAO on 10 April 2026"/>
    <x v="0"/>
  </r>
  <r>
    <s v="Luzon"/>
    <x v="3"/>
    <x v="0"/>
    <n v="2"/>
    <s v="Montalban Methane Power Corporation"/>
    <s v="43.8 MW Montalban Landfill Methane Recovery and Electricity Generation"/>
    <s v="Brgy. San Isidro, Rodriguez, Rizal"/>
    <n v="6.37"/>
    <n v="8.19"/>
    <n v="2.1749999999999998"/>
    <m/>
    <d v="2015-06-15T00:00:00"/>
    <d v="2015-06-15T00:00:00"/>
    <d v="2029-02-08T00:00:00"/>
    <n v="14"/>
    <s v="15 June 2015 - _x000a_08 February 2029 "/>
    <d v="2015-06-15T00:00:00"/>
    <d v="2016-06-15T00:00:00"/>
    <x v="6"/>
    <s v="•Issuance of  COC: 09-Feb-09_x000a_•Renewal of COC: 09-Jun-14_x000a_• Issuance of FIT-COC: 15-Jun-15_x000a_• Renewal, PAO-FITL: 09-Feb-19_x000a_• Conversion of PAO-FIT to COC: 18-Jul-19_x000a_• With PAO valid until 08 February 2024; With ongoing PAO Application: NISE issued on 21 May 2024"/>
    <x v="1"/>
  </r>
  <r>
    <s v="Luzon"/>
    <x v="3"/>
    <x v="0"/>
    <n v="3"/>
    <s v="Pangea Green Energy Philippines, Inc"/>
    <s v="1.2 MW Payatas Landfill Methane Recovery and Power Generator Facility (Phase I)"/>
    <s v="Brgy. Payatas, Quezon City"/>
    <n v="0.64"/>
    <n v="0.876"/>
    <n v="0.876"/>
    <m/>
    <d v="2013-03-05T00:00:00"/>
    <d v="2015-06-15T00:00:00"/>
    <d v="2033-03-04T00:00:00"/>
    <n v="20"/>
    <s v="15 June 2015 - _x000a_04 March 2033"/>
    <d v="2015-06-15T00:00:00"/>
    <d v="2016-01-01T00:00:00"/>
    <x v="6"/>
    <s v="•Issuance of COC: 29-Apr-13 (U1-3)_x000a_•Issuance of COC-FIT: 15-Jun-15 (U1-3)_x000a_•Issuance of COC: 19-Jul-17 (U4-5)_x000a_•Issuance of COC-FIT: 25-Oct-17 (U4-5)_x000a_•Renewal of COC-FIT15-Mar-18 (U1-5)_x000a_•Granted Separated PAOs: 19 August 2024_x000a_• Phase 1 1st PAO Extension: 06 October 2025"/>
    <x v="0"/>
  </r>
  <r>
    <s v="Luzon"/>
    <x v="3"/>
    <x v="0"/>
    <n v="4"/>
    <s v="Lucky PPH International, Inc."/>
    <s v="LLPHII Rice Husk-Fired Biomass Power Plant Project "/>
    <s v="Brgy. San Antonio, Alicia, Isabela"/>
    <n v="3.6"/>
    <n v="3.6"/>
    <n v="3.6"/>
    <m/>
    <d v="2008-09-26T00:00:00"/>
    <d v="2015-06-15T00:00:00"/>
    <d v="2028-09-25T00:00:00"/>
    <n v="13"/>
    <s v="15 June 2015 - _x000a_25 September 2028"/>
    <d v="2015-06-15T00:00:00"/>
    <d v="2016-01-01T00:00:00"/>
    <x v="6"/>
    <s v="•Issuance of COC: 15-Feb-10_x000a_•Renewal of COC: 09-Feb-15_x000a_•Issuance of COC-FIT: 15-June-15_x000a_•No COC Renewal Application_x000a_•with certification from Municipal Treasurer of Isabela the cessation of business since Nov 23, 2016"/>
    <x v="4"/>
  </r>
  <r>
    <s v="Luzon"/>
    <x v="3"/>
    <x v="0"/>
    <n v="5"/>
    <s v="Bataan 2020, Inc."/>
    <s v="12.5 MW Bataan 2020 Rice Hull-fired Cogen Plant"/>
    <s v="Brgy. Gugo, Samal, Bataan"/>
    <n v="12.5"/>
    <n v="12.5"/>
    <n v="11.1"/>
    <m/>
    <d v="2015-07-10T00:00:00"/>
    <d v="2015-07-10T00:00:00"/>
    <d v="2035-07-09T00:00:00"/>
    <n v="20"/>
    <s v="10 July 2015 -_x000a_09 July 2035"/>
    <d v="2015-11-26T00:00:00"/>
    <d v="2016-07-10T00:00:00"/>
    <x v="6"/>
    <s v="•Issuance of COC: 21-Mar-11_x000a_•Issuance of FIT-COC:26-Nov-15_x000a_•Renewal of FIT-COC:10-Mar-16_x000a_•Renewal, Issuance of PAO-FIT: 7-Apr-2021_x000a_• 1st Extension of PAO-FIT: 9-Nov-22_x000a_• Issuance of PAO: 30 Oct 2025"/>
    <x v="0"/>
  </r>
  <r>
    <s v="Luzon"/>
    <x v="3"/>
    <x v="0"/>
    <n v="6"/>
    <s v="Isabela Biomass Energy Coorporation (IBEC)"/>
    <s v="20 MW IBEC Biomass Power Plant Project"/>
    <s v="Brgy. Burgos, Alicia, Isabela"/>
    <n v="20"/>
    <n v="20"/>
    <n v="18"/>
    <m/>
    <d v="2015-10-06T00:00:00"/>
    <d v="2015-10-06T00:00:00"/>
    <d v="2035-10-05T00:00:00"/>
    <n v="20"/>
    <s v="06 October 2015 -_x000a_05 October 2035"/>
    <d v="2025-01-19T00:00:00"/>
    <d v="2016-10-06T00:00:00"/>
    <x v="6"/>
    <s v="• Issuance of Pao: 19-Jan-16_x000a_• Issuance of FIT-COC: 21-Apr-16_x000a_• Renewal, Issuance of PAO-FIT: 13-Jan-2021_x000a_• 1st Extension of PAO-FIT: 05-Jul-2022_x000a_• Issuance of COC: 18 Dec 2025"/>
    <x v="0"/>
  </r>
  <r>
    <s v="Luzon"/>
    <x v="3"/>
    <x v="0"/>
    <n v="7"/>
    <s v="Green Future Innovations, Inc."/>
    <s v="19 KW Bagasse-fired Cogeneration Power Plant"/>
    <s v="San Mariano, Isabela"/>
    <n v="19.809999999999999"/>
    <n v="19.809999999999999"/>
    <n v="14"/>
    <m/>
    <d v="2012-11-30T00:00:00"/>
    <d v="2012-11-30T00:00:00"/>
    <d v="2032-11-29T00:00:00"/>
    <n v="20"/>
    <s v="30 November 2012 - _x000a_29 November 2032"/>
    <s v="16-Apr-25 (PAO)"/>
    <d v="2016-01-01T00:00:00"/>
    <x v="6"/>
    <s v="•Issuance of Regular COC: 12-Nov-12_x000a_•Issuance of FIT-COC: 02-Feb-16_x000a_•Renewal, PAO: 13 -Dec-17_x000a_•Extension, PAO: 04-Apr-18_x000a_•Extension, PAO-FIT: 20-June-18_x000a_• Extension of PAO Deferred: With Issue on 60%-40% Filipino-Foreign Ownership; issue was reverted to DOE for confirmation_x000a_• With Issued PAO, PAO validity depends on GFII's Compliance with the Commission's Directive"/>
    <x v="0"/>
  </r>
  <r>
    <s v="Luzon"/>
    <x v="3"/>
    <x v="0"/>
    <n v="8"/>
    <s v="Green Innovations for Tomorrow Corporation"/>
    <s v="12 MW Rice Husk-fired Biomass Power Plant Project"/>
    <s v="Talavera, Nueva Ecija"/>
    <n v="12"/>
    <n v="12"/>
    <n v="10.8"/>
    <m/>
    <d v="2016-02-27T00:00:00"/>
    <d v="2016-02-27T00:00:00"/>
    <d v="2036-02-26T00:00:00"/>
    <n v="20"/>
    <s v="27 February 2016 - _x000a_26 February 2036"/>
    <s v="16-Jan-2017 (PAO FIT) / _x000a_5-Jun-17 (FINAL FIT COC)"/>
    <d v="2017-02-27T00:00:00"/>
    <x v="6"/>
    <s v="•Issuance of  PAO: 16 Jan 2017_x000a_•Issuance of  FIT-COC: 5-Jun-2017 _x000a_•Issuance of  PAO-FIT: 25 -Jan-2022_x000a_•Extension of  PAO-FIT: 09-Jun-2024_x000a_• Grant of PAO on 18 December 2024_x000a_•Extension of  PAO: 1-Dec-2025"/>
    <x v="0"/>
  </r>
  <r>
    <s v="Luzon"/>
    <x v="3"/>
    <x v="0"/>
    <n v="9"/>
    <s v="Bicol Biomass Energy Corporation"/>
    <s v="5 MW Rice Husk-fired Biomass Power Plant Project"/>
    <s v="Pili, Camarines Sur"/>
    <n v="5"/>
    <n v="5"/>
    <n v="4.4000000000000004"/>
    <m/>
    <d v="2016-10-10T00:00:00"/>
    <d v="2016-10-10T00:00:00"/>
    <d v="2036-10-09T00:00:00"/>
    <n v="20"/>
    <s v="10 October 2016 -_x000a_09 October 2036"/>
    <d v="2017-03-27T00:00:00"/>
    <d v="2017-10-10T00:00:00"/>
    <x v="6"/>
    <s v="•Issuance of PAO: 27 Mar 17                               _x000a_•Issuance of COC-FIT: 19 Sept 17_x000a_•Renewal, Issuance of PAO-FIT: 17-Oct-22_x000a_•Granted PAO: 02 May 2024_x000a_•Issuance of PAO: 18 Jun 2025"/>
    <x v="0"/>
  </r>
  <r>
    <s v="Luzon"/>
    <x v="3"/>
    <x v="0"/>
    <n v="10"/>
    <s v="Aseagas Corporation"/>
    <s v="AGC Biogas Project"/>
    <s v="Lian, Batangas"/>
    <n v="8.8000000000000007"/>
    <n v="8.8000000000000007"/>
    <n v="2.21"/>
    <m/>
    <d v="2016-12-14T00:00:00"/>
    <d v="2016-12-14T00:00:00"/>
    <d v="2036-12-13T00:00:00"/>
    <n v="20"/>
    <s v="14 December 2016 - _x000a_13 December 2036"/>
    <d v="2017-10-25T00:00:00"/>
    <d v="2017-12-14T00:00:00"/>
    <x v="6"/>
    <s v="•Issuance of FIT-COC: 25 Oct 2017_x000a_•Shutdown since 15 January 2018 as per letter dated 17 Jan 2018"/>
    <x v="4"/>
  </r>
  <r>
    <s v="Visayas"/>
    <x v="3"/>
    <x v="0"/>
    <n v="11"/>
    <s v="First Farmers Holding Corporation"/>
    <s v="21 MW FFHC Bagasse-fired Cogeneration Power Plant"/>
    <s v="Dos Hermanas, Talisay City, Negros Occidental"/>
    <n v="21.76"/>
    <n v="21.76"/>
    <n v="8"/>
    <m/>
    <d v="2009-09-04T00:00:00"/>
    <d v="2015-06-15T00:00:00"/>
    <d v="2029-04-08T00:00:00"/>
    <n v="14"/>
    <s v="15 June 2015 - _x000a_08 April 2029"/>
    <d v="2015-06-15T00:00:00"/>
    <d v="2016-01-01T00:00:00"/>
    <x v="6"/>
    <s v="•Issuance of COC:27-Apr-09_x000a_•Renewal of COC:02-Sept-14_x000a_•Issuance of FIT-COC:15-Jun-15_x000a_•Renewal of FIT-COC:29-Aug-19_x000a_•Grant of PAO: 03 October 2024_x000a_• 1st Extension of PAO: 13 November 2025"/>
    <x v="0"/>
  </r>
  <r>
    <s v="Visayas"/>
    <x v="3"/>
    <x v="0"/>
    <n v="12"/>
    <s v="Universal Robina Coorporation"/>
    <s v="46 MW Bagasse-fired Cogeneration Power Plant"/>
    <s v="Brgy. Camugao, Kabankalan City, Negros Occidental"/>
    <n v="46"/>
    <n v="46"/>
    <n v="20"/>
    <m/>
    <d v="2015-01-20T00:00:00"/>
    <d v="2015-01-20T00:00:00"/>
    <d v="2035-01-19T00:00:00"/>
    <n v="20"/>
    <s v="20 January 2015 - _x000a_19 January 2035"/>
    <s v="19-Jan-16 (PAO FIT) / _x000a_15-Dec-16 (FINAL FIT COC)"/>
    <d v="2016-01-20T00:00:00"/>
    <x v="6"/>
    <s v="•Issuance of FIT-COC:15-Dec-16_x000a_•Renewal, Issuance of PAO-FIT: 14-Jan-2021_x000a_• Denied PAO Application _x000a_• With Grant of PAO on 26 November 2024_x000a_• Extension of PAO on 26 January 2026"/>
    <x v="0"/>
  </r>
  <r>
    <s v="Visayas"/>
    <x v="3"/>
    <x v="0"/>
    <n v="13"/>
    <s v="Victorias Milling Company, Inc."/>
    <s v="Victorias Biomass Power Plant"/>
    <s v="Negros Occidental"/>
    <n v="23"/>
    <n v="34"/>
    <n v="2.5"/>
    <m/>
    <d v="2015-10-23T00:00:00"/>
    <d v="2015-10-23T00:00:00"/>
    <d v="2035-10-22T00:00:00"/>
    <n v="20"/>
    <s v="23 October 2015 - 22 October 2035"/>
    <s v="22-Sep-21 (PAO FIT)"/>
    <m/>
    <x v="6"/>
    <s v="•Issuance of PAO-FIT: 22 Sep 2021_x000a_• Issued PAO on 30 October 2024_x000a_• Issuance of PAO: 17 Dec 2025"/>
    <x v="0"/>
  </r>
  <r>
    <s v="Mindanao"/>
    <x v="3"/>
    <x v="0"/>
    <n v="14"/>
    <s v="Lamsan Power Corporation"/>
    <s v="LPC Biomass Power Plant"/>
    <s v="Brgy. Crossing Simunay, Sultan Kudarat"/>
    <n v="15"/>
    <n v="13.5"/>
    <n v="13.5"/>
    <m/>
    <d v="2016-10-10T00:00:00"/>
    <d v="2016-12-30T00:00:00"/>
    <d v="2036-12-29T00:00:00"/>
    <n v="20"/>
    <s v="30 December 2016 - _x000a_29 December 2036"/>
    <d v="2018-04-16T00:00:00"/>
    <d v="2017-10-10T00:00:00"/>
    <x v="6"/>
    <s v="•Issuance of FIT-COC: 16 April 2018_x000a_•Grant of PAO: 27 May 2024_x000a_•1st Extension of PAO on 13 June 2025_x000a_• 2nd Extension of PAO on 25 May 2026"/>
    <x v="0"/>
  </r>
  <r>
    <m/>
    <x v="1"/>
    <x v="1"/>
    <n v="14"/>
    <m/>
    <m/>
    <m/>
    <n v="206.48000000000002"/>
    <n v="218.036"/>
    <n v="123.161"/>
    <m/>
    <m/>
    <m/>
    <m/>
    <m/>
    <m/>
    <m/>
    <m/>
    <x v="1"/>
    <m/>
    <x v="2"/>
  </r>
  <r>
    <s v="Luzon"/>
    <x v="3"/>
    <x v="4"/>
    <n v="15"/>
    <s v="San Jose City I Power Corporation"/>
    <s v="12 MW e(net) SJCi Power Rice Husk-fired Biomass Power Plant Project (Phase II)"/>
    <s v="Brgy. Tlat, San Jose City,  Nueva Ecija"/>
    <n v="12"/>
    <n v="12"/>
    <n v="10.8"/>
    <m/>
    <d v="2017-09-22T00:00:00"/>
    <d v="2017-09-22T00:00:00"/>
    <d v="2037-09-21T00:00:00"/>
    <n v="20"/>
    <s v="22 September 2017 - _x000a_21 September 2037"/>
    <d v="2017-12-13T00:00:00"/>
    <d v="2018-09-22T00:00:00"/>
    <x v="7"/>
    <s v="•Issuance of COC-FIT: 13 Dec 2017_x000a_•Renewal, Issuance of FIT-COC: 28-Nov-2019 (Consolidated FIT COC for Phase 1 and Phase 2_x000a_• With Issued Separated PAO on 30 April 2025_x000a_• 1st Extension of PAO on 13 April 2026"/>
    <x v="0"/>
  </r>
  <r>
    <s v="Luzon"/>
    <x v="3"/>
    <x v="4"/>
    <n v="16"/>
    <s v="Pangea Green Energy Philippines, Inc"/>
    <s v="1.2 MW Payatas Landfill Methane Recovery and Power Generator Facility (Phase II)"/>
    <s v="Brgy. Payatas, Quezon City"/>
    <n v="0.32"/>
    <n v="0.64"/>
    <n v="0.42399999999999999"/>
    <m/>
    <d v="2017-02-17T00:00:00"/>
    <d v="2017-02-17T00:00:00"/>
    <d v="2037-02-16T00:00:00"/>
    <n v="20"/>
    <s v="17 February 2017 -_x000a_16 February 2037"/>
    <d v="2017-10-25T00:00:00"/>
    <d v="2018-02-17T00:00:00"/>
    <x v="7"/>
    <s v="•Issuance of COC: 29-Apr-13 (U1-3)_x000a_•Issuance of COC-FIT: 15-Jun-15 (U1-3)_x000a_•Issuance of COC: 19-Jul-17 (U4-5)_x000a_•Issuance of COC-FIT: 25-Oct-17 (U4-5)_x000a_•Renewal of COC-FIT15-Mar-18 (U1-5)_x000a_•Granted Separated PAOs: 19 August 2024"/>
    <x v="5"/>
  </r>
  <r>
    <s v="Luzon"/>
    <x v="3"/>
    <x v="4"/>
    <n v="17"/>
    <s v="Asian Carbon Neutral Power Corp. (ACNPC)"/>
    <s v="ACNPC Biogas Power Plant Project"/>
    <s v="Armenia, Tarlac City"/>
    <n v="2.121"/>
    <n v="2"/>
    <n v="1.7"/>
    <m/>
    <d v="2017-07-21T00:00:00"/>
    <d v="2017-07-21T00:00:00"/>
    <d v="2037-07-20T00:00:00"/>
    <n v="20"/>
    <s v="21 July 2017 - _x000a_20 July 2037"/>
    <s v="27-Mar-18 (PAO FIT) /_x000a_03-Dec-19 (FINAL FIT COC)"/>
    <d v="2018-07-21T00:00:00"/>
    <x v="7"/>
    <s v="•Issuance of PAO-FIT: 27 Mar 2018-26 Sept 2018_x000a_•Extension of PAO-FIT: 27 Sept 2018 - 26 March 2019_x000a_•COC-FIT: 03 Dec 2019_x000a_•With NISE on 30 January 2024_x000a_• with 5th NISE on 1 Aug 2025"/>
    <x v="6"/>
  </r>
  <r>
    <s v="Mindanao"/>
    <x v="3"/>
    <x v="4"/>
    <n v="18"/>
    <s v="Green Earth Enersource Corporation"/>
    <s v="3.5 MW GEEC Biomass Power Plant Project"/>
    <s v="Brgy. Poblacion, Buluan, Maguindanao"/>
    <n v="3.33"/>
    <n v="3.5"/>
    <n v="1.64"/>
    <m/>
    <d v="2017-05-27T00:00:00"/>
    <d v="2017-05-27T00:00:00"/>
    <d v="2037-05-26T00:00:00"/>
    <n v="20"/>
    <s v="27 May 2017 -_x000a_26 May 2037"/>
    <s v="13-Dec-17 (PAO FIT) /_x000a_08-Aug-19 (FINAL FIT COC)"/>
    <d v="2018-05-27T00:00:00"/>
    <x v="7"/>
    <s v="•Issuance of PAO: 13 Dec 2017_x000a_•Renewal of PAO: 08 March 2018_x000a_•Issuance of COC-FIT: 08 Aug 2019_x000a_•With PAO valid until 12 December 2024; With ongoing PAO Application"/>
    <x v="1"/>
  </r>
  <r>
    <s v="Mindanao"/>
    <x v="3"/>
    <x v="4"/>
    <n v="19"/>
    <s v="Biotech Farms, Inc. (BFI)"/>
    <s v="BIOTECH Biomass Cogeneration Power Plant"/>
    <s v="Brgy. Dumalig, Tantangan, South Cotabato"/>
    <n v="5.96"/>
    <n v="5.96"/>
    <n v="3.5"/>
    <m/>
    <d v="2018-05-08T00:00:00"/>
    <d v="2018-05-08T00:00:00"/>
    <d v="2038-05-07T00:00:00"/>
    <n v="20"/>
    <s v="08 May 2018 - _x000a_07 May 2038"/>
    <d v="2019-09-03T00:00:00"/>
    <m/>
    <x v="7"/>
    <s v="•Issuance of FIT-COC: 03 Sept 2019_x000a_"/>
    <x v="0"/>
  </r>
  <r>
    <m/>
    <x v="1"/>
    <x v="1"/>
    <n v="5"/>
    <m/>
    <m/>
    <m/>
    <n v="23.731000000000002"/>
    <n v="24.1"/>
    <n v="18.064"/>
    <m/>
    <m/>
    <m/>
    <m/>
    <m/>
    <m/>
    <m/>
    <m/>
    <x v="1"/>
    <m/>
    <x v="2"/>
  </r>
  <r>
    <s v="Luzon"/>
    <x v="3"/>
    <x v="2"/>
    <n v="20"/>
    <s v="Cagayan Biomass Energy Corporation"/>
    <s v="Cagayan Biomass Energy Plant"/>
    <s v="Brgy. Raniag, Burgos, Isabela"/>
    <n v="15"/>
    <n v="15"/>
    <n v="13.5"/>
    <m/>
    <d v="2019-10-03T00:00:00"/>
    <d v="2019-10-03T00:00:00"/>
    <d v="2039-10-02T00:00:00"/>
    <n v="20"/>
    <s v="3 October 2019 - 2 October 2039"/>
    <s v="15-Jun-20 (PAO FIT)_x000a_18-Nov-20 (Extension)"/>
    <m/>
    <x v="8"/>
    <s v="•With Issued PA0: 15 June 2020_x000a_•With PAO Extension: 18 Nov 2020_x000a_•2nd PAO Extension: 25 Jan 2022_x000a_•Issued FIT-COC: 23 August 2022_x000a_• Issued PAO on 18 June 2025_x000a_• 1st Extension of PAO on 25 May 2026"/>
    <x v="0"/>
  </r>
  <r>
    <s v="Luzon"/>
    <x v="3"/>
    <x v="2"/>
    <n v="21"/>
    <s v="Central Azucarera Don Pedro, Inc."/>
    <s v="31.875 MW Cogeneration Power Plant"/>
    <s v="Batangas"/>
    <n v="32.5"/>
    <n v="31.875"/>
    <n v="2"/>
    <m/>
    <d v="2018-02-16T00:00:00"/>
    <d v="2018-02-16T00:00:00"/>
    <n v="50451"/>
    <n v="20"/>
    <s v="16 February 2018 - 15 February 2038"/>
    <s v="04-Nov-20 (FINAL)"/>
    <m/>
    <x v="8"/>
    <s v="•Issuance of FIT-COC: 04 Nov 2020_x000a_• ends its operations on February 28, 2024"/>
    <x v="4"/>
  </r>
  <r>
    <s v="Luzon"/>
    <x v="3"/>
    <x v="2"/>
    <n v="22"/>
    <s v="Grass Gold Renewable Energy Corporation"/>
    <s v="12 MW Biomass Power Plant"/>
    <s v="Nueva Ecija"/>
    <n v="12"/>
    <n v="12"/>
    <n v="10.8"/>
    <m/>
    <d v="2019-12-13T00:00:00"/>
    <d v="2019-12-13T00:00:00"/>
    <d v="2039-12-12T00:00:00"/>
    <n v="20"/>
    <s v="13 December 2019 - 12 December 2039"/>
    <s v="28-Jul-21 (PAO FIT)"/>
    <m/>
    <x v="8"/>
    <s v="With Issued PAO-FIT: 28 July 2021"/>
    <x v="0"/>
  </r>
  <r>
    <s v="Luzon"/>
    <x v="3"/>
    <x v="2"/>
    <n v="23"/>
    <s v="Green Innovations for Tomorrow Corporation II"/>
    <s v="6 MW Biomass Power Plant"/>
    <s v="Nueva Ecija"/>
    <n v="6.2"/>
    <n v="6"/>
    <n v="5.4"/>
    <m/>
    <d v="2019-12-25T00:00:00"/>
    <d v="2019-12-25T00:00:00"/>
    <d v="2039-12-24T00:00:00"/>
    <n v="20"/>
    <s v="25 December 2019 - 24 December 2039"/>
    <s v="23-Jun-21 (PAO FIT)"/>
    <m/>
    <x v="8"/>
    <s v="•With Issued PAO-FIT: 23 June 2021_x000a_•1st Extension of PAO-FIT: 03-Nov-22_x000a_•Issued PAO: 05 June 2024_x000a_•1st Extension of PAO: 24 November 2025"/>
    <x v="0"/>
  </r>
  <r>
    <s v="Luzon"/>
    <x v="3"/>
    <x v="2"/>
    <n v="24"/>
    <s v="VS Gripal Power Corporation"/>
    <s v="6 MW Biomass Power Plant"/>
    <s v="Nueva Ecija"/>
    <n v="6"/>
    <n v="6"/>
    <n v="5.4"/>
    <m/>
    <d v="2019-12-31T00:00:00"/>
    <d v="2019-12-31T00:00:00"/>
    <d v="2039-12-30T00:00:00"/>
    <n v="20"/>
    <s v="31 December 2019 - 30 December 2039"/>
    <s v="11-Aug-21 (PAO FIT)"/>
    <m/>
    <x v="8"/>
    <s v="With Issued PAO: 11 August 2021_x000a_With Issued PAO: 21 October 2024_x000a_Issuance of PAO: 30 Oct 2025"/>
    <x v="0"/>
  </r>
  <r>
    <s v="Luzon"/>
    <x v="3"/>
    <x v="2"/>
    <n v="25"/>
    <s v="Cleangreen Energy Corporation"/>
    <s v="12 MW Biomass Power Plant"/>
    <s v="Bataan"/>
    <m/>
    <n v="12.7"/>
    <n v="7.7"/>
    <m/>
    <d v="2019-12-31T00:00:00"/>
    <m/>
    <m/>
    <m/>
    <m/>
    <m/>
    <m/>
    <x v="8"/>
    <s v="With COC Application"/>
    <x v="7"/>
  </r>
  <r>
    <s v="Visayas"/>
    <x v="3"/>
    <x v="2"/>
    <n v="26"/>
    <s v="Central Azucarera de San Antonio"/>
    <s v="15 MW Cogeneration Power Plant"/>
    <s v="Iloilo"/>
    <n v="15"/>
    <n v="8"/>
    <n v="8"/>
    <m/>
    <d v="2010-12-06T00:00:00"/>
    <d v="2020-12-02T00:00:00"/>
    <d v="2030-12-05T00:00:00"/>
    <n v="10"/>
    <s v="2 December 2020 - 5 December 2030"/>
    <s v="02-Dec-20 (PAO FIT)"/>
    <m/>
    <x v="8"/>
    <s v="•Issuance of COC: 06-Dec-10_x000a_•Renewal of COC: 26-Nov-15_x000a_• With PAO-FIT: 02 Dec 2020_x000a_• With 2nd Extension of PAO-FIT: 11-Mar-2022_x000a_•  With issued PAO, PAO Validity Depends on CASA's Compliance with the Commission's Directive"/>
    <x v="8"/>
  </r>
  <r>
    <s v="Visayas"/>
    <x v="3"/>
    <x v="2"/>
    <n v="27"/>
    <s v="Hawaiian-Philippine Company"/>
    <s v="28.580MW Biomass Co-Generation Power Plant "/>
    <s v="Negros Occidental"/>
    <n v="28.58"/>
    <n v="28.58"/>
    <n v="9.5"/>
    <d v="2019-01-19T00:00:00"/>
    <d v="2019-01-19T00:00:00"/>
    <d v="2019-10-17T00:00:00"/>
    <d v="2039-10-16T00:00:00"/>
    <n v="20"/>
    <s v="17 October 2019 - 16 October 2039"/>
    <s v="Issuance of  PAO-FIT: 06 October 2021"/>
    <m/>
    <x v="8"/>
    <s v="•Issuance of  PAO-FIT: 06 October 2021_x000a_• 1st Extension of Consolidated PAO on 11 November 2025"/>
    <x v="0"/>
  </r>
  <r>
    <s v="Visayas"/>
    <x v="3"/>
    <x v="2"/>
    <n v="28"/>
    <s v="San Carlos Bioenergy, Inc."/>
    <s v="8-MW Biomass Cogeneration Plant"/>
    <s v=" Negros Occidental"/>
    <m/>
    <n v="8.3000000000000007"/>
    <n v="1.5"/>
    <m/>
    <d v="2019-08-29T00:00:00"/>
    <m/>
    <m/>
    <m/>
    <m/>
    <m/>
    <m/>
    <x v="8"/>
    <s v="With COC Application - Conversion to FIT"/>
    <x v="7"/>
  </r>
  <r>
    <s v="Visayas"/>
    <x v="3"/>
    <x v="2"/>
    <n v="29"/>
    <s v="Central Azucarera de Bais"/>
    <s v="25 MW Biomass Cogeneration Plant"/>
    <s v="Negros Oriental"/>
    <n v="20"/>
    <n v="25"/>
    <n v="12"/>
    <m/>
    <d v="2019-11-14T00:00:00"/>
    <d v="2019-11-14T00:00:00"/>
    <d v="2039-11-13T00:00:00"/>
    <n v="20"/>
    <s v="14 November 2019 - 13 November 2039"/>
    <d v="2022-11-02T00:00:00"/>
    <m/>
    <x v="8"/>
    <s v="With Issued PAO-FIT: 02 November 2022_x000a_With issued PAO on 06 January 2025_x000a_With Issued COC on 18-Feb-2026"/>
    <x v="0"/>
  </r>
  <r>
    <s v="Visayas"/>
    <x v="3"/>
    <x v="2"/>
    <n v="30"/>
    <s v="BISCOM, Inc."/>
    <s v="48.5 MW Bagasse-Fired Cogeneration Power Plant"/>
    <s v="Negros Occidental"/>
    <n v="30"/>
    <n v="48.5"/>
    <n v="12.7"/>
    <m/>
    <d v="2019-11-28T00:00:00"/>
    <d v="2019-11-28T00:00:00"/>
    <d v="2039-11-27T00:00:00"/>
    <m/>
    <s v="28 November 2019 - 27 November 2039"/>
    <s v="11-Oct-24 (PAO)"/>
    <m/>
    <x v="8"/>
    <s v="• With Issued PAO: 11 October 2024_x000a_• Issuance of PAO: 18 Dec 2025"/>
    <x v="0"/>
  </r>
  <r>
    <s v="Visayas"/>
    <x v="3"/>
    <x v="2"/>
    <n v="31"/>
    <s v="Victorias Milling Company, Inc."/>
    <s v="40 MW Biomass Expansion Project"/>
    <s v="Negros Occidental"/>
    <n v="40"/>
    <n v="40"/>
    <n v="21.45"/>
    <m/>
    <d v="2019-02-24T00:00:00"/>
    <d v="2022-03-10T00:00:00"/>
    <d v="2042-03-09T00:00:00"/>
    <n v="20"/>
    <s v="10 March 2022 - 9 March 2042"/>
    <s v="10-Mar-22 (PAO FIT)"/>
    <m/>
    <x v="8"/>
    <s v="•With Issued PAO-FIT: 10 Mar 2022_x000a_•Denied PAO-FIT Extension: 06 March 2024_x000a_•With Grant of PAO on 24 April 2024_x000a_•Amended PAO on 21 October 2024_x000a_•With issued PAO on 24 April 2025_x000a_• Witsh 2nd Extension of PAO on 28 May 2026"/>
    <x v="5"/>
  </r>
  <r>
    <s v="Mindanao"/>
    <x v="3"/>
    <x v="2"/>
    <n v="32"/>
    <s v="Biotech Farms, Inc."/>
    <s v="12.39 MW Biogas Power Plant"/>
    <s v="South Cotabato"/>
    <m/>
    <n v="12.39"/>
    <n v="6.4"/>
    <m/>
    <d v="2018-12-05T00:00:00"/>
    <m/>
    <m/>
    <m/>
    <m/>
    <m/>
    <m/>
    <x v="8"/>
    <s v="With COC Appplication"/>
    <x v="7"/>
  </r>
  <r>
    <s v="Mindanao"/>
    <x v="3"/>
    <x v="2"/>
    <n v="33"/>
    <s v="Surallah Power Generation, Inc."/>
    <s v="6 MW Biomass Power Plant"/>
    <s v="South Cotabato"/>
    <n v="6.15"/>
    <n v="6"/>
    <n v="5.28"/>
    <m/>
    <d v="2020-01-29T00:00:00"/>
    <d v="2020-01-29T00:00:00"/>
    <d v="2040-01-28T00:00:00"/>
    <n v="20"/>
    <s v="29 January 2020 - 28 January 2040"/>
    <s v="With Issued COC-FIT: 8 May 2022"/>
    <m/>
    <x v="8"/>
    <s v="With Issued COC-FIT: 8 May 2022"/>
    <x v="0"/>
  </r>
  <r>
    <m/>
    <x v="1"/>
    <x v="1"/>
    <n v="14"/>
    <m/>
    <m/>
    <m/>
    <n v="211.43"/>
    <n v="260.34500000000003"/>
    <n v="121.63000000000002"/>
    <m/>
    <m/>
    <m/>
    <m/>
    <m/>
    <m/>
    <m/>
    <m/>
    <x v="1"/>
    <m/>
    <x v="2"/>
  </r>
  <r>
    <m/>
    <x v="1"/>
    <x v="1"/>
    <m/>
    <m/>
    <m/>
    <m/>
    <m/>
    <m/>
    <m/>
    <m/>
    <m/>
    <m/>
    <m/>
    <m/>
    <m/>
    <m/>
    <m/>
    <x v="1"/>
    <m/>
    <x v="2"/>
  </r>
  <r>
    <s v="Luzon"/>
    <x v="4"/>
    <x v="0"/>
    <n v="1"/>
    <s v="Smith Bell"/>
    <s v="Communal-Uddlawan HEP"/>
    <s v="Solano, Nueva Vizcaya"/>
    <n v="1.8"/>
    <n v="1.8"/>
    <n v="1.8"/>
    <m/>
    <d v="2010-12-26T00:00:00"/>
    <d v="2015-06-15T00:00:00"/>
    <d v="2030-12-14T00:00:00"/>
    <n v="15"/>
    <s v="15 June 2015 -_x000a_14 December 2030"/>
    <d v="2025-04-21T00:00:00"/>
    <d v="2016-06-15T00:00:00"/>
    <x v="9"/>
    <s v="•Issuance of COC: 15-Dec-2010_x000a_•Issuance of FIT-COC: 15 June 2015 _x000a_•Renewal of FIT COC: 01 Dec 2015_x000a_•Renewal, Issuance of PAO-FIT: 2-Dec-2020_x000a_•1st Extension of PAO-FIT: 28-Jan-2022_x000a_•Grant of PAO on 21 April 2025"/>
    <x v="0"/>
  </r>
  <r>
    <s v="Luzon"/>
    <x v="4"/>
    <x v="0"/>
    <n v="2"/>
    <s v="Hedcor Sabangan, Inc"/>
    <s v="Sabangan Hydroelectric Power Project"/>
    <s v="Sabangan, Mountain Province"/>
    <n v="14.138"/>
    <n v="14.138999999999999"/>
    <n v="14.138999999999999"/>
    <m/>
    <d v="2015-06-02T00:00:00"/>
    <d v="2015-06-02T00:00:00"/>
    <d v="2035-06-01T00:00:00"/>
    <n v="20"/>
    <s v="02 June 2015 -_x000a_01 June 2035"/>
    <d v="2015-09-29T00:00:00"/>
    <d v="2016-06-02T00:00:00"/>
    <x v="9"/>
    <s v="•Issuance of FIT-COC: 29-Sept-15_x000a_•Renewal, Issuance of PAO-FIT 7-Sep-2020_x000a_•PAO-FIT 1st Extension:15-Sep-2021_x000a_•PAO-FIT 2nd Extension:06-Sep-2024"/>
    <x v="0"/>
  </r>
  <r>
    <s v="Luzon"/>
    <x v="4"/>
    <x v="0"/>
    <n v="3"/>
    <s v="HedCor (Aboitiz)"/>
    <s v="Irisan 1 HEP"/>
    <s v="Tuba, Benguet"/>
    <n v="3.9"/>
    <n v="3.9"/>
    <n v="3.8"/>
    <m/>
    <d v="2012-04-30T00:00:00"/>
    <d v="2012-04-30T00:00:00"/>
    <d v="2032-04-29T00:00:00"/>
    <n v="20"/>
    <s v="30 April 2012 -_x000a_29 April 2032"/>
    <d v="2016-01-27T00:00:00"/>
    <d v="2016-01-01T00:00:00"/>
    <x v="9"/>
    <s v="•Issuance of COC: 30-Apr-12_x000a_•Issuance of FIT-COC: 24-Jan-16_x000a_•Renewal of FIT-COC: 19-Apr-17_x000a_•Renewal, Grant of PAO-FIT: 03-Oct-22_x000a_•Renewal, 1st Extension of PAO-FIT: 02 May 2024_x000a_•Extension of PAO: 4-Feb-2026"/>
    <x v="0"/>
  </r>
  <r>
    <s v="Visayas"/>
    <x v="4"/>
    <x v="0"/>
    <n v="4"/>
    <s v="Sunwest Water and Electric Co. 2, Inc."/>
    <s v="Villasiga Hydro Power Plant"/>
    <s v="Bugasong, Antique"/>
    <n v="8.08"/>
    <n v="8.08"/>
    <n v="8.08"/>
    <m/>
    <d v="2016-04-17T00:00:00"/>
    <d v="2016-04-17T00:00:00"/>
    <d v="2036-04-16T00:00:00"/>
    <n v="20"/>
    <s v="17 April 2016 - 16 April 2036"/>
    <s v="27-Mar-17 (PAO FIT)"/>
    <d v="2017-04-17T00:00:00"/>
    <x v="9"/>
    <s v="•Issuance of PAO: 07 Nov 2016_x000a_•Issuance of PAO-FIT: 27 March 2017 _x000a_•Issuance of COC-FIT: 26 Jun 2019_x000a_•Issuance of PAO-FIT: 12 April 2022_x000a_•Isuance of PAO on 15 July 2025"/>
    <x v="0"/>
  </r>
  <r>
    <s v="Mindanao"/>
    <x v="4"/>
    <x v="0"/>
    <n v="5"/>
    <s v="Hedcor Tudaya, Inc."/>
    <s v="Tudaya 2 HEP"/>
    <s v="Brgy. Sibulan, Sta. Cruz, Davao del Sur"/>
    <n v="8.1370000000000005"/>
    <n v="8.1370000000000005"/>
    <n v="8.1370000000000005"/>
    <m/>
    <d v="2014-04-11T00:00:00"/>
    <d v="2015-06-15T00:00:00"/>
    <d v="2034-04-10T00:00:00"/>
    <n v="20"/>
    <s v="15 June 2015 - _x000a_10 April 2034"/>
    <d v="2015-06-15T00:00:00"/>
    <d v="2016-06-15T00:00:00"/>
    <x v="9"/>
    <s v="•Issuance of Regular COC: 11-Apr-14_x000a_•Issuance of FIT-COC: 15-Jun-15_x000a_•Renewal of FIT COC: 05-Mar-19_x000a_•Grant of PAO: 19-Mar-24_x000a_• 1st Extension of PAO on 21 Mar ch 2025_x000a_• 2nd Extension of PAO on 24 March 2026"/>
    <x v="0"/>
  </r>
  <r>
    <m/>
    <x v="1"/>
    <x v="1"/>
    <n v="5"/>
    <m/>
    <m/>
    <m/>
    <n v="36.055"/>
    <n v="36.055999999999997"/>
    <n v="35.956000000000003"/>
    <m/>
    <m/>
    <m/>
    <m/>
    <m/>
    <m/>
    <m/>
    <m/>
    <x v="1"/>
    <m/>
    <x v="2"/>
  </r>
  <r>
    <s v="Luzon"/>
    <x v="4"/>
    <x v="4"/>
    <n v="6"/>
    <s v="SN Aboitiz Power Magat, Inc."/>
    <s v="Maris Main Canal I Hydroelectric Power Plant"/>
    <s v="Brgy. Ambatali, Ramon Isabela"/>
    <n v="8.5"/>
    <n v="8.5"/>
    <n v="8.5"/>
    <m/>
    <d v="2017-11-20T00:00:00"/>
    <d v="2017-11-20T00:00:00"/>
    <d v="2037-11-19T00:00:00"/>
    <n v="20"/>
    <s v="20 November 2017 - _x000a_19 November 2037"/>
    <d v="2018-04-04T00:00:00"/>
    <d v="2018-11-20T00:00:00"/>
    <x v="10"/>
    <s v="•Issuance of FIT-COC: 04-Apr-18"/>
    <x v="0"/>
  </r>
  <r>
    <m/>
    <x v="1"/>
    <x v="1"/>
    <n v="1"/>
    <m/>
    <m/>
    <m/>
    <n v="8.5"/>
    <n v="8.5"/>
    <n v="8.5"/>
    <m/>
    <m/>
    <m/>
    <m/>
    <m/>
    <m/>
    <m/>
    <m/>
    <x v="1"/>
    <m/>
    <x v="2"/>
  </r>
  <r>
    <s v="Luzon"/>
    <x v="4"/>
    <x v="2"/>
    <n v="7"/>
    <s v="Majayjay Hydropower Company, Inc."/>
    <s v="Majayjay Hydropower Plant"/>
    <s v="Brgy. Ibabang Banga, Majayjay, Laguna"/>
    <n v="2.3199999999999998"/>
    <n v="2.3199999999999998"/>
    <n v="2.19"/>
    <m/>
    <d v="2019-05-17T00:00:00"/>
    <d v="2019-05-17T00:00:00"/>
    <d v="2039-05-16T00:00:00"/>
    <n v="20"/>
    <s v="17 May 2019 - 16 May 2039"/>
    <d v="2021-07-07T00:00:00"/>
    <m/>
    <x v="10"/>
    <s v="•Issuance of PAO: 14 Oct 2019_x000a_•For conversion to COC-FIT_x000a_•PAO 1st Extension: 15-June-2020_x000a_•Issuance of PAO-FIT: 06-Oct-2020_x000a_•Issuance of COC-FIT: 07-Jul-2021_x000a_• With issued PAO on 30 October 2024"/>
    <x v="0"/>
  </r>
  <r>
    <s v="Luzon"/>
    <x v="4"/>
    <x v="2"/>
    <n v="8"/>
    <s v="Philippine Power and Development Corporation"/>
    <s v="1100 kW Balugbog Hydroelectric Power Plant"/>
    <s v="Nagcarlan, Laguna"/>
    <n v="1.1000000000000001"/>
    <n v="1.1000000000000001"/>
    <n v="1.1000000000000001"/>
    <m/>
    <d v="2018-07-23T00:00:00"/>
    <d v="2018-07-23T00:00:00"/>
    <d v="2038-07-22T00:00:00"/>
    <n v="20"/>
    <s v="23 July 2018 - 22 July 2038"/>
    <s v="02-Dec-20 (PAO FIT)"/>
    <m/>
    <x v="10"/>
    <s v="•Issuance of PAO-FIT: 02 Dec 2020_x000a_•Grant of PAO: 15 January 2025_x000a_• 1st Extension of PAO on 27 February 2026"/>
    <x v="0"/>
  </r>
  <r>
    <s v="Luzon"/>
    <x v="4"/>
    <x v="2"/>
    <n v="9"/>
    <s v="Philippine Power and Development Corporation"/>
    <s v="1500 kW Palakpakin Hydroelectric Power Plant"/>
    <s v="Calauan and San Pablo City, Laguna"/>
    <n v="1.5"/>
    <n v="1.5"/>
    <n v="1.5"/>
    <m/>
    <d v="2018-10-19T00:00:00"/>
    <d v="2018-10-19T00:00:00"/>
    <d v="2038-10-18T00:00:00"/>
    <n v="20"/>
    <s v="19 October 2018 - 18 October 2038"/>
    <s v="02-Dec-20 (PAO FIT)"/>
    <m/>
    <x v="10"/>
    <s v="•Issuance of PAO-FIT: 02 Dec 2020_x000a_•Grant of PAO: 15 January 2025_x000a_• Issuance of COC on 31 March 2026"/>
    <x v="0"/>
  </r>
  <r>
    <s v="Luzon"/>
    <x v="4"/>
    <x v="2"/>
    <n v="10"/>
    <s v="Hedcor, Inc."/>
    <s v="La Trinidad"/>
    <s v="La Trinidad, Benguet"/>
    <n v="20.399999999999999"/>
    <n v="20.399999999999999"/>
    <n v="20.399999999999999"/>
    <m/>
    <d v="2019-07-01T00:00:00"/>
    <d v="2019-07-01T00:00:00"/>
    <d v="2039-06-30T00:00:00"/>
    <n v="20"/>
    <s v="1 July 2019 - 30 June 2039"/>
    <s v="06-Dec-20 (PAO FIT)"/>
    <m/>
    <x v="10"/>
    <s v="•Issuance of PAO-FIT: 06 Oct 2020_x000a_•Issuance of 1st Extension of PAO-FIT: 03 Nov 2021_x000a_•Issuance of 2nd Extension of PAO-FIT: 14 Nov 2022_x000a_•Issuance of 3rd Extension of PAO-FIT: 16 September 2024"/>
    <x v="0"/>
  </r>
  <r>
    <s v="Visayas"/>
    <x v="4"/>
    <x v="2"/>
    <n v="11"/>
    <s v="Sta. Clara Power Corporation"/>
    <s v="Loboc 2"/>
    <s v="Loboc, Bohol"/>
    <n v="1.2"/>
    <n v="1.2"/>
    <n v="1.2"/>
    <m/>
    <d v="2019-12-25T00:00:00"/>
    <d v="2019-12-25T00:00:00"/>
    <d v="2039-12-24T00:00:00"/>
    <n v="20"/>
    <s v="25 December 2019 - 24 December 2039"/>
    <s v="16-Sep-21 (PAO FIT)"/>
    <m/>
    <x v="10"/>
    <s v="•Issuance of PAO-FIT: 16 Sep 2021_x000a_•With 2nd NISE on 27 December 2024"/>
    <x v="1"/>
  </r>
  <r>
    <s v="Mindanao"/>
    <x v="4"/>
    <x v="2"/>
    <n v="12"/>
    <s v="HedCor Bukidnon, Inc."/>
    <s v="Manolo Fortich 1 Hydroelectric Power Plant"/>
    <s v="Brgy. Santiago, Manolo, Fortich, Bukidnon"/>
    <n v="45.936"/>
    <n v="45.936"/>
    <n v="45.936"/>
    <m/>
    <d v="2018-07-02T00:00:00"/>
    <d v="2018-07-02T00:00:00"/>
    <d v="2038-07-01T00:00:00"/>
    <n v="20"/>
    <s v="02 July 2018 -_x000a_01 July 2038"/>
    <d v="2019-06-18T00:00:00"/>
    <m/>
    <x v="10"/>
    <s v="•Issuance of FIT-COC: 18 June 2019_x000a_•Grant of PAO: 07 June 2024_x000a_•1st Extension of PAO: 19 May 2025_x000a_• 2nd Extension of PAO on 19 May 2026"/>
    <x v="0"/>
  </r>
  <r>
    <s v="Mindanao"/>
    <x v="4"/>
    <x v="2"/>
    <n v="13"/>
    <s v="Euro Hydro Power (Asia) Holdings, Inc."/>
    <s v="New Bataan"/>
    <s v="New Bataan, Compostela Valley"/>
    <n v="3.1880000000000002"/>
    <n v="3.1880000000000002"/>
    <n v="3.1880000000000002"/>
    <m/>
    <d v="2018-03-06T00:00:00"/>
    <d v="2018-03-06T00:00:00"/>
    <d v="2038-03-05T00:00:00"/>
    <n v="20"/>
    <s v="6 March 2018 - 5 March 2038"/>
    <s v="16-Dec-20 (PAO FIT)"/>
    <m/>
    <x v="10"/>
    <s v="•Issuance of COC: 18 May 2018_x000a_•For conversion to COC-FIT_x000a_• Issued PAO-FIT: 16-Dec-2020_x000a_• 1st Extension of  PAO-FIT: 18-Jan-2022_x000a_• With PAO valid until 15 December 2024; With ongoing PAO Application_x000a_• With NISE on 20 November 2024_x000a_•Issuance PAO: 12-Feb-2026"/>
    <x v="0"/>
  </r>
  <r>
    <s v="Mindanao"/>
    <x v="4"/>
    <x v="2"/>
    <n v="14"/>
    <s v="Hedcor Bukidnon, Inc."/>
    <s v="Manolo Fortich 2"/>
    <s v="Manolo Fortich, Bukidnon"/>
    <n v="27.387"/>
    <n v="27.387"/>
    <n v="27.387"/>
    <m/>
    <d v="2018-11-23T00:00:00"/>
    <d v="2018-11-23T00:00:00"/>
    <d v="2038-11-22T00:00:00"/>
    <n v="20"/>
    <s v="23 November 2018 - 22 November 2038"/>
    <s v="05-May-21 _x000a_(Conversion to FIT COC)"/>
    <m/>
    <x v="10"/>
    <s v="•Issuance of COC: 18 June 2019_x000a_•Converted to COC-FIT on 5 May 2021_x000a_•Grant of PAO: 07 June 2024_x000a_•1st Extension of PAO: 19 May 2025_x000a_• 2nd Extension of PAO on 19 May 2026"/>
    <x v="0"/>
  </r>
  <r>
    <m/>
    <x v="1"/>
    <x v="1"/>
    <m/>
    <m/>
    <m/>
    <m/>
    <n v="103.03100000000001"/>
    <n v="103.03100000000001"/>
    <n v="102.901"/>
    <m/>
    <m/>
    <m/>
    <m/>
    <m/>
    <m/>
    <m/>
    <m/>
    <x v="1"/>
    <m/>
    <x v="2"/>
  </r>
  <r>
    <s v="Luzon"/>
    <x v="4"/>
    <x v="3"/>
    <n v="15"/>
    <s v="Luzon Hydro Corporation (LHC) [Under IPPA with Northern Renewables Generation Corporation (formerly Vivant-Sta. Clara Northern Renewables Generation Corp.)]"/>
    <s v="74.80MW Bakun Hydroelectric Power Plant"/>
    <s v="Brgy. Amilongan, Alilem, Ilocos Sur"/>
    <n v="74.8"/>
    <n v="74.8"/>
    <n v="74.8"/>
    <m/>
    <d v="2020-06-23T00:00:00"/>
    <d v="2020-06-23T00:00:00"/>
    <d v="2036-01-26T00:00:00"/>
    <n v="16"/>
    <s v="23 June 2020 -_x000a_22 June 2036"/>
    <d v="2020-09-29T00:00:00"/>
    <m/>
    <x v="11"/>
    <s v=" •From Regular COC Converted to COC-FIT (29 Sep 2020)_x000a_•Renewed to PAO on 29 July 2024_x000a_ • 1st Extension of PAO on 10 July 2025"/>
    <x v="8"/>
  </r>
  <r>
    <m/>
    <x v="1"/>
    <x v="1"/>
    <m/>
    <m/>
    <m/>
    <m/>
    <n v="74.8"/>
    <n v="74.8"/>
    <n v="74.8"/>
    <m/>
    <m/>
    <m/>
    <m/>
    <m/>
    <m/>
    <m/>
    <m/>
    <x v="1"/>
    <m/>
    <x v="2"/>
  </r>
  <r>
    <s v="Luzon"/>
    <x v="4"/>
    <x v="5"/>
    <n v="16"/>
    <s v="Philippine Power and Development Corporation"/>
    <s v="300 kW Calibato Hydroelectric Power Plant"/>
    <s v="San Pablo, Laguna"/>
    <n v="0.3"/>
    <n v="0.3"/>
    <n v="0.3"/>
    <m/>
    <d v="2020-01-06T00:00:00"/>
    <d v="2020-01-06T00:00:00"/>
    <d v="2040-01-05T00:00:00"/>
    <n v="20"/>
    <s v="6 January 2020 - 5 January 2040"/>
    <s v="02-Dec-20 (PAO FIT)"/>
    <m/>
    <x v="12"/>
    <s v="•Issuance of PAO-FIT: 02 Dec 2020_x000a_•Grant of PAO: 17 January 2025_x000a_• 1st Extension of PAO on 12 February 2026"/>
    <x v="0"/>
  </r>
  <r>
    <s v="Luzon"/>
    <x v="4"/>
    <x v="5"/>
    <n v="17"/>
    <s v="Labayat 1 Hydroelectric Power Plant (L1HC)"/>
    <s v="3.456 MW Upper Labayat Hydroelectric Power Plant (ULHEPP)"/>
    <s v="Brgy. Maragondon, Real, Quezon"/>
    <n v="3.456"/>
    <n v="3.456"/>
    <n v="3.456"/>
    <m/>
    <d v="2021-09-01T00:00:00"/>
    <d v="2021-09-01T00:00:00"/>
    <d v="2041-08-31T00:00:00"/>
    <n v="20"/>
    <s v="1 September 2021 - 31 August 2041"/>
    <s v="11/15/2022 (PAO-FIT)"/>
    <m/>
    <x v="12"/>
    <s v="•Issuance of PAO-FIT: 15 Nov 2022"/>
    <x v="0"/>
  </r>
  <r>
    <s v="Luzon"/>
    <x v="4"/>
    <x v="6"/>
    <n v="18"/>
    <s v="Mindoro Grid Corporation"/>
    <s v="1.350 MW Butao HEPP"/>
    <s v="Brgy. Butao San Manuel, Pangasinan"/>
    <n v="1.35"/>
    <n v="1.1970000000000001"/>
    <n v="1.1970000000000001"/>
    <m/>
    <d v="2022-02-15T00:00:00"/>
    <d v="2023-10-18T00:00:00"/>
    <d v="2043-10-17T00:00:00"/>
    <n v="20"/>
    <s v="18 October 2023 - 17 October 2043"/>
    <s v="10/18/2023 (PAO-FIT)"/>
    <m/>
    <x v="13"/>
    <s v="•Issuance of PAO-FIT: 18 October 2023"/>
    <x v="0"/>
  </r>
  <r>
    <s v="Luzon"/>
    <x v="4"/>
    <x v="6"/>
    <n v="19"/>
    <s v="Bicol Hydropower Corporation (BHC)"/>
    <s v="Inarihan Hydroelectric Power Plant"/>
    <s v="Brgy. Panicuason, Naga City, Camarines Sur"/>
    <n v="1.6"/>
    <n v="1.6"/>
    <n v="1.6"/>
    <m/>
    <d v="2022-04-28T00:00:00"/>
    <d v="2022-04-28T00:00:00"/>
    <d v="2042-04-27T00:00:00"/>
    <n v="20"/>
    <s v="28 April 2022 - 27 April 2042"/>
    <s v="10/26/2023 (PAO-FIT)"/>
    <m/>
    <x v="13"/>
    <s v="•Issuance of PAO-FIT: 26 October 2023_x000a_• Issued PAO on 21 October 2024_x000a_• Issued PAO (1st extension) on 06 January 2026"/>
    <x v="0"/>
  </r>
  <r>
    <s v="Luzon"/>
    <x v="4"/>
    <x v="6"/>
    <n v="20"/>
    <s v="Tibag Hydropower Corporation (THC)"/>
    <s v="5.0 MW Tibag Hydroelectric Power Project (HPP)"/>
    <s v="Mauban, Quezon"/>
    <n v="5.8079999999999998"/>
    <n v="5.8079999999999998"/>
    <n v="5.8079999999999998"/>
    <m/>
    <d v="2023-09-27T00:00:00"/>
    <d v="2023-09-27T00:00:00"/>
    <d v="2043-09-26T00:00:00"/>
    <n v="20"/>
    <s v="27 September 2023 - 26 September 2043"/>
    <d v="2024-12-18T00:00:00"/>
    <m/>
    <x v="14"/>
    <s v="•Issuance of PAO: 18 December 2024_x000a_•Issuance PAO: 26-Feb-2026"/>
    <x v="0"/>
  </r>
  <r>
    <s v="Luzon"/>
    <x v="4"/>
    <x v="6"/>
    <n v="21"/>
    <s v="Benguet Electric Cooperative, Inc."/>
    <s v="Man-asok Hydroelectric Power Plant"/>
    <s v="Brgy. Sebang, Buguias, Benguet"/>
    <n v="3.24"/>
    <n v="3.24"/>
    <n v="3.24"/>
    <m/>
    <d v="2022-07-01T00:00:00"/>
    <d v="2022-07-01T00:00:00"/>
    <d v="2042-06-30T00:00:00"/>
    <n v="20"/>
    <s v="1 July 2022 - 30 June 2042"/>
    <d v="2024-11-25T00:00:00"/>
    <m/>
    <x v="13"/>
    <s v="•Issuance of PAO: 25 November 2024"/>
    <x v="0"/>
  </r>
  <r>
    <s v="Luzon"/>
    <x v="4"/>
    <x v="6"/>
    <n v="22"/>
    <s v="BEHMC Lower Labayat Hydropower Corporation"/>
    <s v="Labayat River (Lower Cascade) Hydroelectric Power Project"/>
    <s v="Real, Quezon"/>
    <n v="1.4"/>
    <n v="1.4"/>
    <n v="1.4"/>
    <m/>
    <d v="2024-05-07T00:00:00"/>
    <d v="2024-05-07T00:00:00"/>
    <d v="2044-05-06T00:00:00"/>
    <n v="20"/>
    <s v="7 May 2024 - 6 May 2044"/>
    <s v="30 Oct 2024 (PAO)"/>
    <m/>
    <x v="15"/>
    <s v="•Issuance of PAO: 30 October 2024_x000a_• 1st Extension of PAO on 12 November 2025"/>
    <x v="0"/>
  </r>
  <r>
    <s v="Luzon"/>
    <x v="4"/>
    <x v="6"/>
    <n v="23"/>
    <s v="Matuno River Development Corporation"/>
    <s v="Matuno"/>
    <s v="Bambang, Nueva Vizcaya"/>
    <n v="8.6609999999999996"/>
    <n v="8.6609999999999996"/>
    <n v="8.6609999999999996"/>
    <m/>
    <d v="2024-08-27T00:00:00"/>
    <d v="2024-08-27T00:00:00"/>
    <d v="2044-08-26T00:00:00"/>
    <n v="20"/>
    <s v="27 August 2024 - 26 August 2044"/>
    <s v="21 Oct 2024 (PAO)"/>
    <m/>
    <x v="15"/>
    <s v="•Issuance of PAO: 24 October 2024"/>
    <x v="0"/>
  </r>
  <r>
    <s v="Luzon"/>
    <x v="4"/>
    <x v="6"/>
    <n v="24"/>
    <s v="Liangan Power Corporation"/>
    <s v="Liangan"/>
    <s v="Bacolod, Lanao del Norte"/>
    <n v="12"/>
    <n v="12"/>
    <n v="11.79"/>
    <m/>
    <d v="2024-10-22T00:00:00"/>
    <d v="2024-10-22T00:00:00"/>
    <d v="2044-10-21T00:00:00"/>
    <n v="20"/>
    <s v="22 October 2024 - 21 October 2044"/>
    <s v=" COC: 21 April 2025"/>
    <m/>
    <x v="15"/>
    <s v="•Issuance of COC: 21 April 2025"/>
    <x v="0"/>
  </r>
  <r>
    <s v="Luzon"/>
    <x v="4"/>
    <x v="6"/>
    <n v="25"/>
    <s v="Hydrocore Corporation"/>
    <s v="Ibulao"/>
    <s v="Lagawe, Ifugao"/>
    <n v="4.5"/>
    <n v="4.5"/>
    <n v="4.5"/>
    <m/>
    <d v="2024-11-25T00:00:00"/>
    <d v="2024-11-25T00:00:00"/>
    <d v="2044-11-19T00:00:00"/>
    <n v="20"/>
    <s v="25 November 2024 - 19 November 2044"/>
    <s v="19 December 2025 (PAO)"/>
    <m/>
    <x v="15"/>
    <s v="•Issuance of PAO: 19 December 2025_x000a_•"/>
    <x v="0"/>
  </r>
  <r>
    <s v="Luzon"/>
    <x v="4"/>
    <x v="6"/>
    <n v="26"/>
    <s v="Siguil Hydro Power Corporation"/>
    <s v="Siguil"/>
    <s v="Maasim, Sarangani Province"/>
    <n v="15.3"/>
    <n v="15.3"/>
    <n v="14.6"/>
    <m/>
    <d v="2024-09-30T00:00:00"/>
    <d v="2024-09-30T00:00:00"/>
    <d v="2044-09-29T00:00:00"/>
    <n v="20"/>
    <s v="30 September 2024 - 29 September 2044"/>
    <s v="10 April 2025 (COC)"/>
    <m/>
    <x v="15"/>
    <s v="•Issuance of PAO: 30 September 2024_x000a_• Issuance of COC: 10 April 2025"/>
    <x v="0"/>
  </r>
  <r>
    <s v="Luzon"/>
    <x v="4"/>
    <x v="6"/>
    <n v="27"/>
    <s v="Iraya Ventures, Inc."/>
    <s v="Upper Taft Hydroelectric Power Project"/>
    <s v="Taft, Eastern Samar"/>
    <n v="14.16"/>
    <n v="14.16"/>
    <n v="14.16"/>
    <m/>
    <d v="2025-07-08T00:00:00"/>
    <d v="2025-07-08T00:00:00"/>
    <d v="2045-07-07T00:00:00"/>
    <n v="20"/>
    <s v="8 July 2025 - 7 July 2045"/>
    <s v="27 August 2025 (PAO)"/>
    <m/>
    <x v="16"/>
    <s v="•Issuance of PAO: 27 August 2025"/>
    <x v="0"/>
  </r>
  <r>
    <s v="Luzon"/>
    <x v="4"/>
    <x v="6"/>
    <n v="28"/>
    <s v="Energvantage Suppliers Co., Inc."/>
    <s v="Laguio (Laginbayan) Malaki 1"/>
    <s v="Mauban, Quezon"/>
    <n v="1.72"/>
    <n v="1.72"/>
    <n v="1.72"/>
    <m/>
    <d v="2025-08-14T00:00:00"/>
    <d v="2025-08-14T00:00:00"/>
    <d v="2045-08-13T00:00:00"/>
    <n v="20"/>
    <s v="14 August 2025 - 13 August 2045"/>
    <s v="30 October 2025 (PAO)"/>
    <m/>
    <x v="16"/>
    <s v="•Issuance of PAO: 30 October 2025_x000a_•"/>
    <x v="0"/>
  </r>
  <r>
    <s v="Luzon"/>
    <x v="4"/>
    <x v="6"/>
    <n v="29"/>
    <s v="Oriental Energy and Power Generation Corporation"/>
    <s v="Timbaban"/>
    <s v="Madalag, Aklan"/>
    <n v="18.869"/>
    <n v="18.869"/>
    <n v="18.869"/>
    <m/>
    <d v="2024-06-25T00:00:00"/>
    <d v="2025-12-12T00:00:00"/>
    <d v="2044-06-24T00:00:00"/>
    <n v="19"/>
    <s v="12 December 2025 - 24 June 2044"/>
    <s v="5 September 2025"/>
    <m/>
    <x v="15"/>
    <s v="•Issuance of PAO: 5 September 2025_x000a_•"/>
    <x v="0"/>
  </r>
  <r>
    <s v="Visayas"/>
    <x v="4"/>
    <x v="6"/>
    <n v="30"/>
    <s v="Taft Hydroenergy Corporation"/>
    <s v="Tubig Hydroelectric Power Plant"/>
    <s v="San Rafel, Taft, Eastern Samar"/>
    <n v="15.93"/>
    <n v="15.18"/>
    <n v="15.18"/>
    <m/>
    <d v="2022-10-15T00:00:00"/>
    <d v="2022-10-15T00:00:00"/>
    <d v="2042-10-14T00:00:00"/>
    <n v="20"/>
    <s v="15 October 2022 - 14 October 2042"/>
    <s v="27 Nov 2024 (PAO)"/>
    <m/>
    <x v="13"/>
    <s v="•Issuance of PAO: 27 November 2024_x000a_• 1st Extension of PAO: 13 November 2025"/>
    <x v="0"/>
  </r>
  <r>
    <s v="Mindanao"/>
    <x v="4"/>
    <x v="6"/>
    <n v="31"/>
    <s v="Euro Hydro Power (Asia) Holdings, Inc. "/>
    <s v="Marbel 1 Hydroelectric Power Plant"/>
    <s v="Sitio Guadalupe, Purok Mabuhay II, Brgy. Carpenter Hill, Koronadal City, South Cotabato"/>
    <n v="0.78800000000000003"/>
    <n v="0.45300000000000001"/>
    <n v="0.45300000000000001"/>
    <m/>
    <d v="2022-06-15T00:00:00"/>
    <d v="2022-07-03T00:00:00"/>
    <d v="2043-06-02T00:00:00"/>
    <n v="21"/>
    <s v="3 July 2022 - 2 June 2043"/>
    <s v="07/03/2023 (PAO-FIT)"/>
    <m/>
    <x v="13"/>
    <s v="•Issuance of PAO-FIT: 03 July 2023"/>
    <x v="0"/>
  </r>
  <r>
    <s v="Mindanao"/>
    <x v="4"/>
    <x v="6"/>
    <n v="32"/>
    <s v="Euro Hydro Power (Asia) Holdings, Inc. "/>
    <s v="Alamada Hydroelectric Power Plant - Unit 1"/>
    <s v="Brgy. Barangiran, Alamada, North Cotabato"/>
    <n v="1"/>
    <n v="2.5870000000000002"/>
    <n v="2.5870000000000002"/>
    <m/>
    <d v="2023-06-01T00:00:00"/>
    <d v="2023-06-01T00:00:00"/>
    <d v="2043-05-31T00:00:00"/>
    <n v="20"/>
    <s v="1 June 2023 - 31 May 2043"/>
    <s v="1/31/2025 (PAO)"/>
    <m/>
    <x v="14"/>
    <s v="•Issuance of PAO: 31 January 2025_x000a_• Extension of PAO: 31 January 2026_x000a_• Amended Extension of PAO on 08 June 2026"/>
    <x v="0"/>
  </r>
  <r>
    <m/>
    <x v="1"/>
    <x v="1"/>
    <n v="17"/>
    <m/>
    <m/>
    <m/>
    <n v="110.08199999999998"/>
    <n v="110.431"/>
    <n v="109.521"/>
    <m/>
    <m/>
    <m/>
    <m/>
    <m/>
    <m/>
    <m/>
    <m/>
    <x v="1"/>
    <m/>
    <x v="2"/>
  </r>
  <r>
    <s v="Mindanao"/>
    <x v="4"/>
    <x v="7"/>
    <n v="1"/>
    <s v="Cabanglasan Hydropower Corporation "/>
    <s v="Pulanai River"/>
    <s v="Valencia, Bukidnon"/>
    <n v="18.2"/>
    <n v="18.2"/>
    <n v="18.2"/>
    <m/>
    <d v="2026-04-02T00:00:00"/>
    <d v="2026-04-02T00:00:00"/>
    <d v="2046-04-01T00:00:00"/>
    <n v="20"/>
    <s v="2 April 2026 - 1 April 2046"/>
    <s v="21-May-26 (PAO)"/>
    <m/>
    <x v="17"/>
    <s v="•Issuance of PAO: 22 May 2026"/>
    <x v="0"/>
  </r>
  <r>
    <m/>
    <x v="1"/>
    <x v="1"/>
    <n v="1"/>
    <m/>
    <m/>
    <m/>
    <n v="18.2"/>
    <n v="18.2"/>
    <n v="18.2"/>
    <m/>
    <m/>
    <m/>
    <m/>
    <m/>
    <m/>
    <m/>
    <m/>
    <x v="1"/>
    <m/>
    <x v="2"/>
  </r>
  <r>
    <m/>
    <x v="1"/>
    <x v="1"/>
    <m/>
    <m/>
    <m/>
    <m/>
    <m/>
    <m/>
    <m/>
    <m/>
    <m/>
    <m/>
    <m/>
    <m/>
    <m/>
    <m/>
    <m/>
    <x v="1"/>
    <m/>
    <x v="2"/>
  </r>
  <r>
    <m/>
    <x v="1"/>
    <x v="1"/>
    <n v="1"/>
    <m/>
    <m/>
    <m/>
    <n v="74.8"/>
    <n v="74.8"/>
    <n v="74.8"/>
    <m/>
    <m/>
    <m/>
    <m/>
    <m/>
    <m/>
    <m/>
    <m/>
    <x v="1"/>
    <m/>
    <x v="2"/>
  </r>
  <r>
    <m/>
    <x v="1"/>
    <x v="1"/>
    <n v="1"/>
    <m/>
    <m/>
    <m/>
    <n v="74.8"/>
    <n v="74.8"/>
    <n v="74.8"/>
    <m/>
    <m/>
    <m/>
    <m/>
    <m/>
    <m/>
    <m/>
    <m/>
    <x v="1"/>
    <m/>
    <x v="2"/>
  </r>
  <r>
    <m/>
    <x v="1"/>
    <x v="1"/>
    <n v="1"/>
    <m/>
    <m/>
    <m/>
    <n v="74.8"/>
    <n v="74.8"/>
    <n v="74.8"/>
    <m/>
    <m/>
    <m/>
    <m/>
    <m/>
    <m/>
    <m/>
    <m/>
    <x v="1"/>
    <m/>
    <x v="2"/>
  </r>
  <r>
    <m/>
    <x v="1"/>
    <x v="1"/>
    <n v="1"/>
    <m/>
    <m/>
    <m/>
    <n v="74.8"/>
    <n v="74.8"/>
    <n v="74.8"/>
    <m/>
    <m/>
    <m/>
    <m/>
    <m/>
    <m/>
    <m/>
    <m/>
    <x v="1"/>
    <m/>
    <x v="2"/>
  </r>
  <r>
    <m/>
    <x v="1"/>
    <x v="1"/>
    <n v="3"/>
    <m/>
    <m/>
    <m/>
    <n v="224.39999999999998"/>
    <n v="224.39999999999998"/>
    <n v="224.39999999999998"/>
    <m/>
    <m/>
    <m/>
    <m/>
    <m/>
    <m/>
    <m/>
    <m/>
    <x v="1"/>
    <m/>
    <x v="2"/>
  </r>
  <r>
    <m/>
    <x v="1"/>
    <x v="1"/>
    <n v="3"/>
    <m/>
    <m/>
    <m/>
    <n v="374"/>
    <n v="374"/>
    <n v="374"/>
    <m/>
    <m/>
    <m/>
    <m/>
    <m/>
    <m/>
    <m/>
    <m/>
    <x v="1"/>
    <m/>
    <x v="2"/>
  </r>
  <r>
    <m/>
    <x v="1"/>
    <x v="1"/>
    <n v="5"/>
    <m/>
    <m/>
    <m/>
    <n v="822.8"/>
    <n v="822.8"/>
    <n v="822.8"/>
    <m/>
    <m/>
    <m/>
    <m/>
    <m/>
    <m/>
    <m/>
    <m/>
    <x v="1"/>
    <m/>
    <x v="2"/>
  </r>
  <r>
    <m/>
    <x v="1"/>
    <x v="1"/>
    <n v="5"/>
    <m/>
    <m/>
    <m/>
    <n v="1570.8"/>
    <n v="1570.8"/>
    <n v="1570.8"/>
    <m/>
    <m/>
    <m/>
    <m/>
    <m/>
    <m/>
    <m/>
    <m/>
    <x v="1"/>
    <m/>
    <x v="2"/>
  </r>
  <r>
    <m/>
    <x v="1"/>
    <x v="1"/>
    <n v="6"/>
    <m/>
    <m/>
    <m/>
    <n v="3141.6"/>
    <n v="3141.6"/>
    <n v="3141.6"/>
    <m/>
    <m/>
    <m/>
    <m/>
    <m/>
    <m/>
    <m/>
    <m/>
    <x v="1"/>
    <m/>
    <x v="2"/>
  </r>
  <r>
    <m/>
    <x v="1"/>
    <x v="1"/>
    <n v="8"/>
    <m/>
    <m/>
    <m/>
    <n v="6358"/>
    <n v="6358"/>
    <n v="6358"/>
    <m/>
    <m/>
    <m/>
    <m/>
    <m/>
    <m/>
    <m/>
    <m/>
    <x v="1"/>
    <m/>
    <x v="2"/>
  </r>
  <r>
    <m/>
    <x v="1"/>
    <x v="1"/>
    <n v="15"/>
    <m/>
    <m/>
    <m/>
    <n v="12939.07"/>
    <n v="12940.671"/>
    <n v="12939.761"/>
    <m/>
    <m/>
    <m/>
    <m/>
    <m/>
    <m/>
    <m/>
    <m/>
    <x v="1"/>
    <m/>
    <x v="2"/>
  </r>
  <r>
    <m/>
    <x v="1"/>
    <x v="1"/>
    <n v="15"/>
    <m/>
    <m/>
    <m/>
    <n v="25877.351999999999"/>
    <n v="25880.889000000003"/>
    <n v="25879.069"/>
    <m/>
    <m/>
    <m/>
    <m/>
    <m/>
    <m/>
    <m/>
    <m/>
    <x v="8"/>
    <m/>
    <x v="2"/>
  </r>
  <r>
    <m/>
    <x v="1"/>
    <x v="1"/>
    <n v="18"/>
    <m/>
    <m/>
    <m/>
    <n v="51568.34"/>
    <n v="51573.98"/>
    <n v="51571.25"/>
    <m/>
    <m/>
    <m/>
    <m/>
    <m/>
    <m/>
    <m/>
    <m/>
    <x v="1"/>
    <m/>
    <x v="2"/>
  </r>
  <r>
    <m/>
    <x v="1"/>
    <x v="1"/>
    <n v="19"/>
    <m/>
    <m/>
    <m/>
    <n v="103339.76199999999"/>
    <n v="103351.391"/>
    <n v="103345.02099999999"/>
    <m/>
    <m/>
    <m/>
    <m/>
    <m/>
    <m/>
    <m/>
    <m/>
    <x v="1"/>
    <m/>
    <x v="2"/>
  </r>
  <r>
    <m/>
    <x v="1"/>
    <x v="1"/>
    <n v="179"/>
    <m/>
    <s v="Total Subscribed Capacity with FIT COC"/>
    <m/>
    <n v="51584.639999999999"/>
    <n v="51591.867000000006"/>
    <n v="51588.436999999998"/>
    <m/>
    <m/>
    <m/>
    <m/>
    <m/>
    <m/>
    <m/>
    <m/>
    <x v="1"/>
    <m/>
    <x v="2"/>
  </r>
  <r>
    <m/>
    <x v="1"/>
    <x v="1"/>
    <m/>
    <m/>
    <s v="Total Subscribed Capacity with FIT COC"/>
    <m/>
    <n v="51600.57"/>
    <n v="51607.047000000006"/>
    <n v="51603.616999999998"/>
    <m/>
    <m/>
    <m/>
    <m/>
    <m/>
    <m/>
    <m/>
    <m/>
    <x v="1"/>
    <m/>
    <x v="2"/>
  </r>
  <r>
    <m/>
    <x v="1"/>
    <x v="1"/>
    <m/>
    <m/>
    <s v="Total Subscribed Capacity with FIT COC"/>
    <m/>
    <n v="161298.33199999999"/>
    <n v="161316.43800000002"/>
    <n v="161306.63799999998"/>
    <m/>
    <m/>
    <m/>
    <m/>
    <m/>
    <m/>
    <m/>
    <m/>
    <x v="1"/>
    <m/>
    <x v="2"/>
  </r>
  <r>
    <m/>
    <x v="1"/>
    <x v="1"/>
    <m/>
    <m/>
    <s v="Total Subscribed Capacity with FIT COC"/>
    <m/>
    <n v="212909.78700000001"/>
    <n v="212934.63200000004"/>
    <n v="212921.40199999997"/>
    <m/>
    <m/>
    <m/>
    <m/>
    <m/>
    <m/>
    <m/>
    <m/>
    <x v="1"/>
    <m/>
    <x v="2"/>
  </r>
  <r>
    <m/>
    <x v="1"/>
    <x v="1"/>
    <m/>
    <m/>
    <m/>
    <m/>
    <m/>
    <m/>
    <m/>
    <m/>
    <m/>
    <m/>
    <m/>
    <m/>
    <m/>
    <m/>
    <m/>
    <x v="1"/>
    <m/>
    <x v="2"/>
  </r>
  <r>
    <m/>
    <x v="1"/>
    <x v="1"/>
    <m/>
    <m/>
    <m/>
    <m/>
    <m/>
    <m/>
    <n v="258039.538"/>
    <m/>
    <m/>
    <m/>
    <m/>
    <m/>
    <m/>
    <m/>
    <m/>
    <x v="1"/>
    <m/>
    <x v="2"/>
  </r>
  <r>
    <m/>
    <x v="1"/>
    <x v="1"/>
    <m/>
    <m/>
    <m/>
    <m/>
    <m/>
    <m/>
    <n v="234.989"/>
    <m/>
    <m/>
    <m/>
    <m/>
    <m/>
    <m/>
    <m/>
    <m/>
    <x v="1"/>
    <m/>
    <x v="2"/>
  </r>
  <r>
    <m/>
    <x v="1"/>
    <x v="1"/>
    <m/>
    <m/>
    <m/>
    <m/>
    <m/>
    <m/>
    <m/>
    <m/>
    <n v="13.375999999999999"/>
    <m/>
    <m/>
    <m/>
    <m/>
    <m/>
    <m/>
    <x v="1"/>
    <m/>
    <x v="2"/>
  </r>
  <r>
    <m/>
    <x v="1"/>
    <x v="1"/>
    <m/>
    <m/>
    <m/>
    <m/>
    <m/>
    <m/>
    <m/>
    <m/>
    <m/>
    <m/>
    <m/>
    <m/>
    <m/>
    <m/>
    <m/>
    <x v="1"/>
    <m/>
    <x v="2"/>
  </r>
  <r>
    <m/>
    <x v="1"/>
    <x v="1"/>
    <m/>
    <m/>
    <m/>
    <m/>
    <m/>
    <m/>
    <m/>
    <m/>
    <m/>
    <m/>
    <m/>
    <m/>
    <m/>
    <m/>
    <m/>
    <x v="1"/>
    <m/>
    <x v="2"/>
  </r>
  <r>
    <m/>
    <x v="1"/>
    <x v="1"/>
    <n v="145"/>
    <s v="GRAND TOTAL"/>
    <s v="Total Subscribed Capacity with FIT COC"/>
    <m/>
    <n v="114.75700000000001"/>
    <n v="116.577"/>
    <n v="110.562"/>
    <m/>
    <m/>
    <m/>
    <m/>
    <m/>
    <m/>
    <m/>
    <m/>
    <x v="1"/>
    <m/>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5">
  <r>
    <x v="0"/>
    <x v="0"/>
    <x v="0"/>
    <n v="1"/>
    <s v="Raslag Corporation "/>
    <s v="Pampanga Solar Power Project (Phase I)"/>
    <s v="Brgy. Suclaban, Mexico, Pampanga"/>
    <n v="10.045999999999999"/>
    <n v="10"/>
    <n v="10"/>
    <d v="2015-03-17T00:00:00"/>
    <d v="2015-02-05T00:00:00"/>
    <d v="2015-02-05T00:00:00"/>
    <d v="2035-02-04T00:00:00"/>
    <n v="20"/>
    <s v="05 February 2015 - _x000a_04 February 2035"/>
    <d v="2015-04-06T00:00:00"/>
    <d v="2016-02-05T00:00:00"/>
    <n v="9.68"/>
    <s v="•Issuance of FIT-COC: 06 Apr 2015_x000a_•Renewal, Issuance of PAO-FIT: 29-Jun-2020_x000a_•PAO-FIT 1st Extension: 29-Sep-2020_x000a_•PAO-FIT 2nd Extension: 28-Oct-2021_x000a_•PAO-FIT 3rd Extension: 14-Nov-2022_x000a_• Issuance of COC on 01 October 2024"/>
    <x v="0"/>
    <s v="Pampanga Solar Power Project"/>
    <d v="2015-02-05T00:00:00"/>
    <n v="0"/>
    <m/>
  </r>
  <r>
    <x v="0"/>
    <x v="0"/>
    <x v="0"/>
    <n v="2"/>
    <s v="Energy Development Corporation "/>
    <s v="Burgos Solar Power Project Phase 1"/>
    <s v="Brgy. Saoit, Burgos, Ilocos Norte"/>
    <n v="4.16"/>
    <n v="4.16"/>
    <n v="4.0999999999999996"/>
    <d v="2015-03-18T00:00:00"/>
    <d v="2015-03-05T00:00:00"/>
    <d v="2015-03-05T00:00:00"/>
    <d v="2035-04-04T00:00:00"/>
    <n v="20"/>
    <s v="05 March 2015 - _x000a_04 March 2035"/>
    <d v="2015-04-06T00:00:00"/>
    <d v="2016-03-05T00:00:00"/>
    <n v="9.68"/>
    <s v="•Issuance of FIT-COC: 06 Apr 2015 •Renewal, Issuance of PAO-FIT: 29-Jun-2020 _x000a_•PAO-FIT 1st Extension: 29-Sep-2020 •PAO-FIT 2nd Extension: 28-Oct-2021 •PAO-FIT 3rd Extension: 20-Dec-22 _x000a_• Issued PAO on 04 November 2024 _x000a_• 1st Extension of PAO on 17 October 2025"/>
    <x v="0"/>
    <s v="Burgos Solar Power Project-Phase 1"/>
    <d v="2015-03-05T00:00:00"/>
    <n v="0"/>
    <m/>
  </r>
  <r>
    <x v="0"/>
    <x v="0"/>
    <x v="0"/>
    <n v="3"/>
    <s v="Solar Philippines Commercial Rooftop Projects, Inc."/>
    <s v="1.5 MW Sm North Solar Rooftop Power Plant"/>
    <s v="SM North EDSA, Quezon City"/>
    <n v="1.5"/>
    <n v="1.5"/>
    <n v="1.5"/>
    <d v="2015-04-29T00:00:00"/>
    <d v="2015-04-07T00:00:00"/>
    <d v="2015-04-07T00:00:00"/>
    <d v="2035-04-07T00:00:00"/>
    <n v="20"/>
    <s v="07 April 2015 - _x000a_07 April 2035"/>
    <d v="2015-06-22T00:00:00"/>
    <d v="2016-04-07T00:00:00"/>
    <n v="9.68"/>
    <s v="•Issuance of FIT-COC: 22-Jun-15_x000a_•Issuance of PAO-FIT: 06-Oct-21_x000a_• With PAO valid until 31 May 2024; With ongoing PAO Application: NISE issued on 04 April 2024"/>
    <x v="1"/>
    <s v="SM North Edsa Solar Power Project"/>
    <d v="2015-04-07T00:00:00"/>
    <n v="0"/>
    <m/>
  </r>
  <r>
    <x v="1"/>
    <x v="0"/>
    <x v="0"/>
    <n v="4"/>
    <s v="San Carlos Solar Energy, Inc.  (SACASOL)"/>
    <s v="San Carlos Solar Energy, Inc. - Phase 1A (SACASOL)"/>
    <s v="Brgy. Punao, San Carlos City, Negros Occidental"/>
    <n v="13.013"/>
    <n v="13.01"/>
    <n v="13"/>
    <d v="2014-06-04T00:00:00"/>
    <d v="2014-05-15T00:00:00"/>
    <d v="2014-05-15T00:00:00"/>
    <d v="2034-05-14T00:00:00"/>
    <n v="20"/>
    <s v="15 May 2014 - _x000a_14 May 2034"/>
    <d v="2015-02-09T00:00:00"/>
    <d v="2016-01-01T00:00:00"/>
    <n v="9.68"/>
    <s v="•Issuance of COC: 09-Jun-14_x000a_•Issuance of FIT- COC: 09-Feb-15_x000a_•Renewal of FIT-COC: 28-May-19_x000a_•Grant of PAO: 04 June 2024_x000a_•1st Extension of PAO: 04 June 2025_x000a_• 2nd Extension of PAO on 25 May 2026"/>
    <x v="0"/>
    <s v="San Carlos Solar PV Power Project-Phase A"/>
    <d v="2014-05-15T00:00:00"/>
    <n v="0"/>
    <m/>
  </r>
  <r>
    <x v="1"/>
    <x v="0"/>
    <x v="0"/>
    <n v="5"/>
    <s v="San Carlos Solar Energy, Inc.  (SACASOL)"/>
    <s v="San Carlos Solar Energy, Inc. - Phase 1B (SACASOL)"/>
    <s v="Brgy. Punao, San Carlos City, Negros Occidental"/>
    <n v="9"/>
    <n v="9"/>
    <n v="9"/>
    <d v="2014-10-07T00:00:00"/>
    <d v="2014-08-16T00:00:00"/>
    <d v="2014-08-16T00:00:00"/>
    <d v="2034-05-15T00:00:00"/>
    <n v="20"/>
    <s v="16 August 2014 - _x000a_15 August 2034"/>
    <d v="2015-02-09T00:00:00"/>
    <d v="2016-01-01T00:00:00"/>
    <n v="9.68"/>
    <s v="•Issuance of COC: 08-Sept-14_x000a_•Issuance of FIT- COC:09-Feb-15_x000a_•Renewal of FIT-COC: 28-May-19_x000a_•Grant of PAO-FIT: 05 Sep 2024"/>
    <x v="0"/>
    <s v="San Carlos Solar PV Power Project Phase B"/>
    <d v="2014-08-16T00:00:00"/>
    <n v="0"/>
    <m/>
  </r>
  <r>
    <x v="1"/>
    <x v="0"/>
    <x v="0"/>
    <n v="6"/>
    <s v="First Solar Energy Corp. (Phil. Solar Farm-Leyte, Inc.)"/>
    <s v="Ormoc Solar Power Project "/>
    <s v="Brgy. Dolores, Ormoc CIty"/>
    <n v="30.38"/>
    <n v="30.38"/>
    <n v="30"/>
    <d v="2015-04-29T00:00:00"/>
    <d v="2015-04-04T00:00:00"/>
    <d v="2015-04-04T00:00:00"/>
    <d v="2035-04-04T00:00:00"/>
    <n v="20"/>
    <s v="04 April 2015 - _x000a_04 April 2035"/>
    <d v="2015-06-08T00:00:00"/>
    <d v="2016-04-04T00:00:00"/>
    <n v="9.68"/>
    <s v="•Issuance of FIT-COC: 08-Jun-15_x000a_•Renewal, Issuance of PAO-FIT: 30-Jun-2020_x000a_•PAO-FIT 1st Extension: 18-Nov-2020_x000a_• PAO-FIT 2nd Extension: 14-Mar-2022_x000a_•Issuance of PAO on 25 November 2024_x000a_• 1st PAO Extension on 17 November 2025"/>
    <x v="0"/>
    <s v="Ormoc Solar Power Project (Leyte Solar Power Project)"/>
    <d v="2015-04-04T00:00:00"/>
    <n v="0"/>
    <m/>
  </r>
  <r>
    <x v="2"/>
    <x v="1"/>
    <x v="1"/>
    <n v="6"/>
    <m/>
    <m/>
    <m/>
    <m/>
    <m/>
    <m/>
    <m/>
    <m/>
    <m/>
    <m/>
    <m/>
    <m/>
    <m/>
    <m/>
    <m/>
    <m/>
    <x v="2"/>
    <m/>
    <d v="1899-12-30T00:00:00"/>
    <n v="0"/>
    <m/>
  </r>
  <r>
    <x v="0"/>
    <x v="0"/>
    <x v="2"/>
    <n v="7"/>
    <s v="Valenzuela Solar Energy. Inc."/>
    <s v="Valenzuela Solar Power Project"/>
    <s v="198 Isla Road, Planters, Technopark, Brgy. Isla, Valenzuela"/>
    <n v="8.5"/>
    <n v="8.5"/>
    <n v="8.5"/>
    <m/>
    <d v="2016-03-08T00:00:00"/>
    <d v="2016-03-08T00:00:00"/>
    <d v="2036-03-07T00:00:00"/>
    <n v="20"/>
    <s v="08 March 2016 - _x000a_07 March 2036"/>
    <d v="2016-12-08T00:00:00"/>
    <d v="2017-03-08T00:00:00"/>
    <n v="8.69"/>
    <s v="•Issuance of COC: 14-Jul-16_x000a_•Issuance of FIT-COC: 08-Dec-16_x000a_•Issuance of PAO-FIT: 13-Jul-2021_x000a_•1st Extension of PAO-FIT: 17-Oct-22_x000a_•2nd Extension of PAO-FIT: 16-Jul-24_x000a_• Grant of PAO on 07 July 2025_x000a_• Issuance of COC on 06 April 2026"/>
    <x v="0"/>
    <m/>
    <d v="2016-03-08T00:00:00"/>
    <n v="0"/>
    <m/>
  </r>
  <r>
    <x v="0"/>
    <x v="0"/>
    <x v="2"/>
    <n v="8"/>
    <s v="Solar Powered Agri-Rural Communities Corporation (SPARC-Zambales) (EPRRI-Clark)"/>
    <s v="Palauig Solar Power Project"/>
    <s v="Palauig, Zambales"/>
    <n v="5.0199999999999996"/>
    <n v="5.0199999999999996"/>
    <n v="5.0199999999999996"/>
    <m/>
    <d v="2016-03-13T00:00:00"/>
    <d v="2016-03-13T00:00:00"/>
    <d v="2036-03-12T00:00:00"/>
    <n v="20"/>
    <s v="13 March 2016 - _x000a_12 March 2036"/>
    <d v="2017-02-06T00:00:00"/>
    <d v="2017-03-13T00:00:00"/>
    <n v="8.69"/>
    <s v="•Issuance of FIT-COC: 06-Feb-17_x000a_•Issuance of PAO-FIT: 16-Feb-22_x000a_•With PAO valid until 07 December 2024; _x000a_•Extended PAO: 10-Feb-2026"/>
    <x v="0"/>
    <s v="Palauig Solar PP"/>
    <d v="2016-03-13T00:00:00"/>
    <n v="0"/>
    <m/>
  </r>
  <r>
    <x v="0"/>
    <x v="0"/>
    <x v="2"/>
    <n v="9"/>
    <s v="Solar Philippines Calatagan Corporation"/>
    <s v="Calatagan Solar Power Project"/>
    <s v="Brgy. Paraiso Biga, Calatagan, Batangas"/>
    <n v="63.3"/>
    <n v="63.3"/>
    <n v="63.3"/>
    <m/>
    <d v="2016-03-11T00:00:00"/>
    <d v="2016-03-11T00:00:00"/>
    <d v="2036-03-10T00:00:00"/>
    <n v="20"/>
    <s v="11 March 2016 - _x000a_10 March 2036"/>
    <d v="2016-06-28T00:00:00"/>
    <d v="2017-03-11T00:00:00"/>
    <n v="8.69"/>
    <s v="•Issuance of FIT-COC: 28-Jun-16_x000a_•Issuance of PAO-FIT: 23-Jun-21_x000a_•1st Extension of PAO-FIT: 22-Aug-2022_x000a_• Issuance of PAO on 05 May 2026"/>
    <x v="0"/>
    <m/>
    <d v="2016-03-11T00:00:00"/>
    <n v="0"/>
    <m/>
  </r>
  <r>
    <x v="0"/>
    <x v="0"/>
    <x v="2"/>
    <n v="10"/>
    <s v="Raslag Corporation "/>
    <s v="Pampanga Solar Power Project (Phase II)"/>
    <s v="Brgy. Suclaban, Mexico, Pampanga"/>
    <n v="13.14"/>
    <n v="13.14"/>
    <n v="13.14"/>
    <m/>
    <d v="2015-12-23T00:00:00"/>
    <d v="2015-12-23T00:00:00"/>
    <d v="2035-12-22T00:00:00"/>
    <n v="20"/>
    <s v="23 December 2015 -_x000a_22 December 2035"/>
    <d v="2016-02-29T00:00:00"/>
    <d v="2016-12-23T00:00:00"/>
    <n v="8.69"/>
    <s v="•Issuance of FIT-COC: 29 Feb 2016_x000a_•Renewal, Issuance of PAO-FIT: 29-Jun-2020_x000a_•PAO-FIT 1st Extension: 29-Sep-2020_x000a_•PAO-FIT 2nd Extension: 28-Oct-2021_x000a_•PAO-FIT 3rd Extension: 14-Nov-2022_x000a_• Issuance of COC on 01 October 2024"/>
    <x v="0"/>
    <s v="Pampanga Solar Power Project (Phase 2)"/>
    <d v="2015-12-23T00:00:00"/>
    <n v="0"/>
    <m/>
  </r>
  <r>
    <x v="0"/>
    <x v="0"/>
    <x v="2"/>
    <n v="11"/>
    <s v="EDC Burgos 2"/>
    <s v="Burgos Solar Power Project Phase 2"/>
    <s v="Brgy. Saoit, Burgos, Ilocos, Norte"/>
    <n v="2.66"/>
    <n v="2.66"/>
    <n v="2.66"/>
    <m/>
    <d v="2016-01-19T00:00:00"/>
    <d v="2016-01-19T00:00:00"/>
    <d v="2036-01-18T00:00:00"/>
    <n v="20"/>
    <s v="19 January 2016 -_x000a_18 January 2036"/>
    <d v="2016-03-01T00:00:00"/>
    <d v="2017-01-19T00:00:00"/>
    <n v="8.69"/>
    <s v="•Issuance of FIT-COC: 01 Mar 2016_x000a_•Renewal, Issuance of PAO-FIT: 29-Jun-2020_x000a_•PAO-FIT 1st Extension: 29-Sep-2020_x000a_•PAO-FIT 2nd Extension: 28-Oct-2021_x000a_•PAO-FIT 3rd Extension: 20-Dec-22_x000a_• Issued PAO on 04 November 2024_x000a_• Issued PAO Amendment on 08 July 2025_x000a_• Issued PAO 1st Extension on 22 October 2025"/>
    <x v="0"/>
    <s v="Burgos Solar Power Project (Phase 2)"/>
    <d v="2016-01-19T00:00:00"/>
    <n v="0"/>
    <m/>
  </r>
  <r>
    <x v="0"/>
    <x v="0"/>
    <x v="2"/>
    <n v="12"/>
    <s v="Petrosolar Corp."/>
    <s v="Tarlac Solar Power Project"/>
    <s v="Central Technopark, Tarlac City, Tarlac"/>
    <n v="50.069000000000003"/>
    <n v="50.07"/>
    <n v="50.07"/>
    <m/>
    <d v="2016-02-10T00:00:00"/>
    <d v="2016-02-10T00:00:00"/>
    <d v="2036-02-09T00:00:00"/>
    <n v="20"/>
    <s v="10 February 2016 - _x000a_09 February 2036"/>
    <d v="2025-03-30T00:00:00"/>
    <d v="2017-02-10T00:00:00"/>
    <n v="8.69"/>
    <s v="•Issuance of FIT-COC: 12 Jul 2016_x000a_•Renewal, Issuance of PAO-FIT: 17-Mar-2021_x000a_•1st Extension of PAO-FIT: 19 Apr-2022_x000a_• Grant of PAO on 19 March 2024_x000a_•  1st Extension of PAO on 21 March 2025"/>
    <x v="0"/>
    <m/>
    <d v="2016-02-10T00:00:00"/>
    <n v="0"/>
    <m/>
  </r>
  <r>
    <x v="0"/>
    <x v="0"/>
    <x v="2"/>
    <n v="13"/>
    <s v="YH Green Energy, Inc"/>
    <s v="Hermosa Solar Power Project"/>
    <s v="Brgy. Bacong, Hermosa, Bataan"/>
    <n v="14.505000000000001"/>
    <n v="14.51"/>
    <n v="14.51"/>
    <m/>
    <d v="2016-02-12T00:00:00"/>
    <d v="2016-02-12T00:00:00"/>
    <d v="2036-02-11T00:00:00"/>
    <n v="20"/>
    <s v="12 February 2016 - _x000a_11 February 2036"/>
    <d v="2025-03-30T00:00:00"/>
    <d v="2017-02-12T00:00:00"/>
    <n v="8.69"/>
    <s v="•Issuance of FIT-COC: 30-Mar-16_x000a_•Renewal, Issuance of PAO-FIT: 17-Mar-2021_x000a_•Grant of PAO: 12 March 2024_x000a_•1st Extension of PAO: 11 April 2025_x000a_• 2nd Extension of PAO on 27 March 2026"/>
    <x v="0"/>
    <m/>
    <d v="2016-02-12T00:00:00"/>
    <n v="0"/>
    <m/>
  </r>
  <r>
    <x v="0"/>
    <x v="0"/>
    <x v="2"/>
    <n v="14"/>
    <s v="First Cabanatuan Renewable Ventures, Inc."/>
    <s v="Cabanatuan Solar Power Project"/>
    <s v="Brgy. Lourdes, Cabanatuan, Nueva Ecija"/>
    <n v="10.26"/>
    <n v="10.26"/>
    <n v="10.26"/>
    <m/>
    <d v="2016-03-11T00:00:00"/>
    <d v="2016-03-11T00:00:00"/>
    <d v="2036-03-10T00:00:00"/>
    <n v="20"/>
    <s v="11 March 2016 - _x000a_10 March 2036"/>
    <d v="2016-04-13T00:00:00"/>
    <d v="2017-03-11T00:00:00"/>
    <n v="8.69"/>
    <s v="•Issuance of FIT-COC: 13 Apr 2016_x000a_•Issuance of PAO-FIT: 05 May 2021_x000a_• Issuance of PAO on 22 May 2026"/>
    <x v="0"/>
    <m/>
    <d v="2016-03-11T00:00:00"/>
    <n v="0"/>
    <m/>
  </r>
  <r>
    <x v="0"/>
    <x v="0"/>
    <x v="2"/>
    <n v="15"/>
    <s v="Mirae Asia Energy Corporation"/>
    <s v="Currimao Solar Power Project"/>
    <s v="Brgy. Paguludan-Salindeg, Currimao, Ilocos Norte"/>
    <n v="20"/>
    <n v="20"/>
    <n v="20"/>
    <m/>
    <d v="2016-02-29T00:00:00"/>
    <d v="2016-02-29T00:00:00"/>
    <d v="2036-02-28T00:00:00"/>
    <n v="20"/>
    <s v="29 February 2016 - _x000a_28 February 2036"/>
    <d v="2016-12-08T00:00:00"/>
    <d v="2017-02-28T00:00:00"/>
    <n v="8.69"/>
    <s v="•Issuance of COC: 18-Aug-16_x000a_•Issuance of FIT-COC: 08-Dec-16_x000a_•Issuance of PAO-FIT: 18-Aug-21_x000a_• 1st Extension of PAO-FIT: 17-Oct-22_x000a_• Grant of PAO:  30 Aug 2024_x000a_• 1st PAO Extension: 11 November 2025"/>
    <x v="0"/>
    <m/>
    <d v="2016-02-29T00:00:00"/>
    <n v="0"/>
    <m/>
  </r>
  <r>
    <x v="0"/>
    <x v="0"/>
    <x v="2"/>
    <n v="16"/>
    <s v="Absolut Distillers, Inc."/>
    <s v="Lian Solar Power Project"/>
    <s v="Brgy. Malaruhatan, Lian, Batangas"/>
    <n v="2.04"/>
    <n v="2.04"/>
    <n v="2.04"/>
    <m/>
    <d v="2016-03-08T00:00:00"/>
    <d v="2016-03-08T00:00:00"/>
    <d v="2036-03-07T00:00:00"/>
    <n v="20"/>
    <s v="08 March 2016 - _x000a_07 March 2036"/>
    <d v="2016-12-08T00:00:00"/>
    <d v="2017-03-08T00:00:00"/>
    <n v="8.69"/>
    <s v="•Issuance of COC:14-Jul-16_x000a_•Issuance of FIT-COC: 08-Dec-16_x000a_•Issuance of PAO-FIT: 16-Feb-22_x000a_•1st Extension of PAO-FIT: 17-Oct-22_x000a_•2nd Extension of PAO-FIT: 22-Jul-24_x000a_•Issued PAO on 01 August 2025"/>
    <x v="0"/>
    <s v="Lian  Solar Power Project"/>
    <d v="2016-03-08T00:00:00"/>
    <n v="0"/>
    <m/>
  </r>
  <r>
    <x v="0"/>
    <x v="0"/>
    <x v="2"/>
    <n v="17"/>
    <s v="Citicore Renewable Energy Corporation (CREC) [formerly Enfinity Phils. Renewable Resources, Inc.]"/>
    <s v="Clark Solar Power Project"/>
    <s v="Prince Balagtas Road, Clark Freeport Zone, Pampanga"/>
    <n v="22.33"/>
    <n v="22.33"/>
    <n v="22.33"/>
    <m/>
    <d v="2016-03-12T00:00:00"/>
    <d v="2016-03-12T00:00:00"/>
    <d v="2036-03-11T00:00:00"/>
    <n v="20"/>
    <s v="12 March 2016 - _x000a_11 March 2036"/>
    <d v="2025-03-28T00:00:00"/>
    <d v="2017-03-12T00:00:00"/>
    <n v="8.69"/>
    <s v="•Issuance of COC: 22-Nov-16_x000a_•Issuance of FIT-COC: 08-Dec-16_x000a_•Issuance of PAO-FIT: 18 August 2021_x000a_•Issuance of PAO: 11 April 2025_x000a_• Issuance of PAO Extension on 16 March 2026"/>
    <x v="0"/>
    <s v="Clark Solar Power Poject"/>
    <d v="2016-03-12T00:00:00"/>
    <n v="0"/>
    <m/>
  </r>
  <r>
    <x v="0"/>
    <x v="0"/>
    <x v="2"/>
    <n v="18"/>
    <s v="Citicore Solar Bulacan, Inc."/>
    <s v="15.00MWp Bulacan Solar Power Plant"/>
    <s v="Sitio Hulo Brgy. Pasong Bangkal, San Ildefonso, Bulacan"/>
    <n v="15"/>
    <n v="15.000999999999999"/>
    <n v="15.000999999999999"/>
    <m/>
    <d v="2016-03-14T00:00:00"/>
    <d v="2016-03-14T00:00:00"/>
    <d v="2036-03-13T00:00:00"/>
    <n v="20"/>
    <s v="14 March 2016 - _x000a_13 March 2036"/>
    <d v="2016-12-20T00:00:00"/>
    <d v="2017-03-14T00:00:00"/>
    <n v="8.69"/>
    <s v="•Issuance of FIT-COC: 20 Dec 2016_x000a_•Issuance of PAO-FIT: 16 Feb 2022_x000a_•Issuance of PAO: 11 June 2025_x000a_• 1st Extension of PAO on 28 May 2026"/>
    <x v="0"/>
    <s v="Bulacan III Solar Power Project"/>
    <d v="2016-03-14T00:00:00"/>
    <n v="0"/>
    <m/>
  </r>
  <r>
    <x v="1"/>
    <x v="0"/>
    <x v="2"/>
    <n v="19"/>
    <s v="San Carlos Solar Energy, Inc.  (SACASOL)"/>
    <s v="SACASOL Power Project Plant (Phases I-C &amp;I-)D"/>
    <s v="Brgy. Punao, San Carlos City, Negros Occidental"/>
    <n v="23"/>
    <n v="23"/>
    <n v="23"/>
    <m/>
    <d v="2015-09-06T00:00:00"/>
    <d v="2015-09-06T00:00:00"/>
    <d v="2035-09-05T00:00:00"/>
    <n v="20"/>
    <s v="06 September 2015 -_x000a_05 September 2035"/>
    <s v="1/10/2025 (PAO)"/>
    <d v="2016-09-06T00:00:00"/>
    <n v="8.69"/>
    <s v="•Issuance of FIT- COC:04-May-16_x000a_•Renewal, Issuance of PAO-FIT: 14-Jan-2021_x000a_•1st Extension of PAO-FIT: 14-Mar-2022_x000a_• Issued PAO: 10 January 2024_x000a_• 1st Extension of PAO on 02 January 2025_x000a_• 2nd Extension of PAO on 05 January 2026"/>
    <x v="0"/>
    <s v="San Carlos Solar PV Power Project Phase I-C and I D"/>
    <d v="2015-09-06T00:00:00"/>
    <n v="0"/>
    <m/>
  </r>
  <r>
    <x v="1"/>
    <x v="0"/>
    <x v="2"/>
    <n v="20"/>
    <s v="Monte Solar Energy, Inc. "/>
    <s v="Bais Solar Power Project"/>
    <s v="Bais City, Negros Oriental"/>
    <n v="18"/>
    <n v="18"/>
    <n v="18"/>
    <m/>
    <d v="2016-03-11T00:00:00"/>
    <d v="2016-03-11T00:00:00"/>
    <d v="2036-03-10T00:00:00"/>
    <n v="20"/>
    <s v="11 March 2016 - _x000a_10 March 2036"/>
    <d v="2017-02-06T00:00:00"/>
    <d v="2017-03-11T00:00:00"/>
    <n v="8.69"/>
    <s v="•Issuance of FIT-COC: 06-Feb-17_x000a_•Issuance of PAO-FIT: 07-Jul-21_x000a_•1st Extension of PAO: 24Jun 24_x000a_ •Grant of PAO on 10 July 2025"/>
    <x v="0"/>
    <m/>
    <d v="2016-03-11T00:00:00"/>
    <n v="0"/>
    <m/>
  </r>
  <r>
    <x v="1"/>
    <x v="0"/>
    <x v="2"/>
    <n v="21"/>
    <s v="Helios Solar Energy Corporation"/>
    <s v="Cadiz Solar Power Project"/>
    <s v="Brgy. Tinampa-an, Cadiz City, Negros Occidental"/>
    <n v="132.5"/>
    <n v="132.5"/>
    <n v="132.5"/>
    <m/>
    <d v="2016-03-14T00:00:00"/>
    <d v="2016-03-14T00:00:00"/>
    <d v="2036-03-13T00:00:00"/>
    <n v="20"/>
    <s v="14 March 2016 - _x000a_13 March 2036"/>
    <d v="2016-12-08T00:00:00"/>
    <d v="2017-03-14T00:00:00"/>
    <n v="8.69"/>
    <s v="•Issuance of COC:14-Jul-16_x000a_•Issuance of FIT-COC: 08-Dec-16_x000a_•Issuance of PAO-FIT: 13-Jul-21_x000a_•1st Extension of PAO-FIT: 03 Nov 2022_x000a_•Grant of PAO: 30 Aug 2024_x000a_• 1st Extension of PAO 11 November 2025"/>
    <x v="0"/>
    <m/>
    <d v="2016-03-14T00:00:00"/>
    <n v="0"/>
    <m/>
  </r>
  <r>
    <x v="1"/>
    <x v="0"/>
    <x v="2"/>
    <n v="22"/>
    <s v="San Carlos Sun Power, Inc. (SACASUN)"/>
    <s v="58.981MWp SACASUN Solar Power Plant"/>
    <s v="Ecozone Blvd., San Carlos Ecozone, Brgy. Punao, San Carlos City, Negros Occidental"/>
    <n v="58.981000000000002"/>
    <n v="58.981000000000002"/>
    <n v="58.981000000000002"/>
    <m/>
    <d v="2016-03-15T00:00:00"/>
    <d v="2022-08-27T00:00:00"/>
    <d v="2036-03-14T00:00:00"/>
    <n v="14"/>
    <s v="27 August 2022 - 14 March 2036"/>
    <d v="2026-05-18T00:00:00"/>
    <m/>
    <n v="8.69"/>
    <s v="•Issuance of COC: 20 Dec 2016_x000a_•Issuance of PAO: 07 July 2021_x000a_•1st Extension of PAO-FIT: 13 July 2023_x000a_• Grant of PAO: 03 July 2024_x000a_• 1st Extension of PAO: 18 June 2025_x000a_• Issuance of COC on 18 May 2026_x000a_• With issued COC on 18 May 2026"/>
    <x v="0"/>
    <s v="58.98-MWP SACASUN Solar Power Project"/>
    <d v="2022-08-27T00:00:00"/>
    <n v="0"/>
    <m/>
  </r>
  <r>
    <x v="3"/>
    <x v="0"/>
    <x v="2"/>
    <n v="23"/>
    <s v="Citicore Solar South Cotabato, Inc. (CSSCI) [formerly nv Vogt Philippines Solar Energy One, Inc.]"/>
    <s v="Centrala Solar Power Plant"/>
    <s v="Centralla, Surallah, South Cotabato"/>
    <n v="6.23"/>
    <n v="6.23"/>
    <n v="6.23"/>
    <m/>
    <d v="2015-10-09T00:00:00"/>
    <d v="2016-10-25T00:00:00"/>
    <d v="2035-12-08T00:00:00"/>
    <n v="19"/>
    <s v="25 October 2016 - _x000a_08 Decmber 2035"/>
    <d v="2017-02-28T00:00:00"/>
    <d v="2016-10-25T00:00:00"/>
    <n v="8.69"/>
    <s v="•Issuance of FIT-COC: 28 Feb 2017_x000a_•Grant of PAO: 22 March 2024_x000a_•1st Extension of PAO: 04 July 2025_x000a_• With issued COC on 04 May 2026"/>
    <x v="0"/>
    <s v="Centrala Solar Power Project"/>
    <d v="2016-10-25T00:00:00"/>
    <n v="0"/>
    <m/>
  </r>
  <r>
    <x v="3"/>
    <x v="0"/>
    <x v="2"/>
    <n v="24"/>
    <s v="Asian Green Energy Corporation "/>
    <s v="Kibawe Solar Power Plant"/>
    <s v="Brgy. Labuagon, Kibawe, Bukidnon"/>
    <n v="10.49"/>
    <n v="10.49"/>
    <n v="10.49"/>
    <m/>
    <d v="2016-03-13T00:00:00"/>
    <d v="2016-03-13T00:00:00"/>
    <d v="2036-03-12T00:00:00"/>
    <n v="20"/>
    <s v="13 March 2016 - _x000a_12 March 2036"/>
    <d v="2017-08-08T00:00:00"/>
    <d v="2017-03-13T00:00:00"/>
    <n v="8.69"/>
    <s v="•With issued PAO from 14 July 2016 _x000a_• Issuance of  FIT-COC: 08 Aug 2017_x000a_• Issuance of  PAO-FIT: 13-Jul-2021_x000a_• 1st Extension of  PAO-FIT: 17 Oct 2022_x000a_• Grant of PAO: 11 Sep 2024_x000a_• Issued COC on 10 November 2025"/>
    <x v="0"/>
    <s v="Kibawe Solar Power Project"/>
    <d v="2016-03-13T00:00:00"/>
    <n v="0"/>
    <m/>
  </r>
  <r>
    <x v="2"/>
    <x v="1"/>
    <x v="1"/>
    <m/>
    <m/>
    <m/>
    <m/>
    <m/>
    <m/>
    <m/>
    <m/>
    <m/>
    <m/>
    <m/>
    <m/>
    <m/>
    <m/>
    <m/>
    <m/>
    <m/>
    <x v="2"/>
    <m/>
    <d v="1899-12-30T00:00:00"/>
    <n v="0"/>
    <m/>
  </r>
  <r>
    <x v="2"/>
    <x v="1"/>
    <x v="1"/>
    <m/>
    <m/>
    <m/>
    <m/>
    <m/>
    <m/>
    <m/>
    <m/>
    <m/>
    <m/>
    <m/>
    <m/>
    <m/>
    <m/>
    <m/>
    <m/>
    <m/>
    <x v="2"/>
    <m/>
    <d v="1899-12-30T00:00:00"/>
    <n v="0"/>
    <m/>
  </r>
  <r>
    <x v="0"/>
    <x v="2"/>
    <x v="0"/>
    <n v="1"/>
    <s v="Northwind Power Development Corporation"/>
    <s v="Bangui Bay Wind Farm Power Plant Phase III"/>
    <s v="Bangui, Ilocos Norte"/>
    <n v="18.899999999999999"/>
    <n v="18.899999999999999"/>
    <n v="18.899999999999999"/>
    <m/>
    <d v="2014-10-10T00:00:00"/>
    <d v="2014-10-10T00:00:00"/>
    <d v="2034-10-09T00:00:00"/>
    <n v="20"/>
    <s v="10 October 2014 -_x000a_09 October 2034"/>
    <d v="2015-04-13T00:00:00"/>
    <d v="2016-01-01T00:00:00"/>
    <n v="8.5299999999999994"/>
    <s v="•Issuance of COC: 09-Feb-15_x000a_•Issuance of FIT-COC: 13-Apr-15_x000a_•Renewal, Issuance of PAO-FIT: 08-Oct-2019 _x000a_• PAO-FIT 1st Extension: 06-Jul-2020 _x000a_• PAO-FIT 2nd Extension: 14-Oct-2020 _x000a_• PAO-FIT 3rd Extension: 21-Dec-2021 _x000a_• PAO-FIT 4th Extension: 14-Mar-2022 _x000a_• Grant of PAO: 29 Sep 2025"/>
    <x v="0"/>
    <s v="Bangui Bay Wind Power Project (Phase 3)"/>
    <d v="2014-10-10T00:00:00"/>
    <n v="0"/>
    <m/>
  </r>
  <r>
    <x v="0"/>
    <x v="2"/>
    <x v="0"/>
    <n v="2"/>
    <s v="EDC Burgos Wind Power Corporation"/>
    <s v="Burgos Wind Power Plant Phase I &amp; II"/>
    <s v="Burgos, Ilocos Norte"/>
    <n v="150"/>
    <n v="150"/>
    <n v="134.63999999999999"/>
    <m/>
    <d v="2014-11-11T00:00:00"/>
    <d v="2014-11-11T00:00:00"/>
    <d v="2034-11-10T00:00:00"/>
    <n v="20"/>
    <s v="11 November 2014 - _x000a_10 November 2034"/>
    <d v="2015-04-13T00:00:00"/>
    <d v="2016-01-01T00:00:00"/>
    <n v="8.5299999999999994"/>
    <s v="•Issuance of COC:09-Feb-15 _x000a_•Issuance of FIT-COC:13-Apr-15 (FIT)_x000a_•Renewal of COC-FIT: 03-Dec-2019_x000a_• Issued PAO on 13 January 2025_x000a_• Amended PAO on 13 May 2025_x000a_• Amended PAO on 04 July 2025_x000a_• 1st Extension of PAO on 14 January 2026_x000a_• Amended 1st Extension of PAO on 01 June 2026"/>
    <x v="0"/>
    <s v="Burgos Wind Power Project (Phase 1 &amp; 2)"/>
    <d v="2014-11-11T00:00:00"/>
    <n v="0"/>
    <m/>
  </r>
  <r>
    <x v="0"/>
    <x v="2"/>
    <x v="0"/>
    <n v="3"/>
    <s v="North Luzon Renewable Energy Corporation"/>
    <s v="Caparispisan Wind Energy Plant"/>
    <s v="Pagudpud, Ilocos Norte"/>
    <n v="81"/>
    <n v="81"/>
    <n v="81"/>
    <m/>
    <d v="2014-11-11T00:00:00"/>
    <d v="2014-11-11T00:00:00"/>
    <d v="2034-11-10T00:00:00"/>
    <n v="20"/>
    <s v="11 November 2014 - _x000a_10 November 2034"/>
    <d v="2015-04-13T00:00:00"/>
    <d v="2016-01-01T00:00:00"/>
    <n v="8.5299999999999994"/>
    <s v="•Issuance of COC:09-Feb-15 _x000a_•Issuance of FIT-COC:13-Apr-15_x000a_•Renewal, Issuance of PAO-FIT: 28-Nov-2019_x000a_•PAO-FIT 1st Extension: 30-Jun-2020_x000a_•PAO-FIT 2nd Extension: 2-Dec-2020 _x000a_•PAO-FIT 3rd Extension: 14-Mar-2022_x000a_• Grant of PAO on 10 December 2024_x000a_• 1st Extension of PAO on 09 December 2025"/>
    <x v="0"/>
    <s v="Caparispisan Wind Energy Project"/>
    <d v="2014-11-11T00:00:00"/>
    <n v="0"/>
    <m/>
  </r>
  <r>
    <x v="2"/>
    <x v="1"/>
    <x v="1"/>
    <m/>
    <m/>
    <m/>
    <m/>
    <m/>
    <m/>
    <m/>
    <m/>
    <m/>
    <m/>
    <m/>
    <m/>
    <m/>
    <m/>
    <m/>
    <m/>
    <m/>
    <x v="2"/>
    <m/>
    <d v="1899-12-30T00:00:00"/>
    <n v="0"/>
    <m/>
  </r>
  <r>
    <x v="0"/>
    <x v="2"/>
    <x v="2"/>
    <n v="6"/>
    <s v="Pililla Wind Power Corporation_x000a_(Formerly Alternergy Wind One Corporation (AWOC)"/>
    <s v="Pililia Wind Power Plant"/>
    <s v="Brgy. Halayhayin, Pililia, Rizal"/>
    <n v="54"/>
    <n v="54"/>
    <n v="54"/>
    <m/>
    <d v="2015-06-09T00:00:00"/>
    <d v="2015-06-09T00:00:00"/>
    <d v="2035-06-08T00:00:00"/>
    <n v="20"/>
    <s v="09 June 2015 -_x000a_08 June 2035"/>
    <d v="2015-12-01T00:00:00"/>
    <d v="2016-06-09T00:00:00"/>
    <n v="7.4"/>
    <s v="•Issuance of COC: 14-Sept-15_x000a_•Issuance of FIT-COC: 01-Dec-15_x000a_•Renewal, Issued to PAO-FIT: 8-Sep-2020_x000a_•Amendment to PAO-FIT: 22-Oct-2020_x000a_•1st Extension of PAO-FIT: 28-Oct-2021_x000a_• Issuance of PAO on 04 November 2024"/>
    <x v="0"/>
    <s v="Pillilla Wind Power Project"/>
    <d v="2015-06-09T00:00:00"/>
    <n v="0"/>
    <m/>
  </r>
  <r>
    <x v="1"/>
    <x v="2"/>
    <x v="2"/>
    <n v="4"/>
    <s v="Guimaras Wind Corporation (GWC)"/>
    <s v="San Lorenzo Wind Power Plant"/>
    <s v="San Lorenzo, Guimaras"/>
    <n v="54"/>
    <n v="54"/>
    <n v="51"/>
    <m/>
    <d v="2014-12-27T00:00:00"/>
    <d v="2014-12-27T00:00:00"/>
    <d v="2034-12-26T00:00:00"/>
    <n v="20"/>
    <s v="27 December 2014 -_x000a_26 December 2034"/>
    <d v="2025-01-31T00:00:00"/>
    <d v="2016-01-01T00:00:00"/>
    <n v="7.4"/>
    <s v="•Issuance of PAO: 02 Mar 2015_x000a_•Issuance of COC: 01 Jun 2015_x000a_•Issuance of FIT-COC: 01-Dec-15_x000a_•Renewal, Issuance of FIT-COC: 18-Feb-2020_x000a_• With issued COC on 31 January 2025"/>
    <x v="0"/>
    <s v="San Lorenzo Wind Power Project"/>
    <d v="2014-12-27T00:00:00"/>
    <n v="0"/>
    <m/>
  </r>
  <r>
    <x v="1"/>
    <x v="2"/>
    <x v="2"/>
    <n v="5"/>
    <s v="Petro Wind Energy, Inc."/>
    <s v="Nabas Wind Energy Plant"/>
    <s v="Nabas-Malay, Aklan"/>
    <n v="36"/>
    <n v="36"/>
    <n v="36"/>
    <m/>
    <d v="2015-06-10T00:00:00"/>
    <d v="2015-06-10T00:00:00"/>
    <d v="2035-06-09T00:00:00"/>
    <n v="20"/>
    <s v="10 June 2015 - _x000a_09 June 2035"/>
    <d v="2015-12-01T00:00:00"/>
    <d v="2016-06-10T00:00:00"/>
    <n v="7.4"/>
    <s v="•Issuance of COC: 17-Aug-15_x000a_•Issuance of FIT-COC: 01-Dec-15_x000a_•Renewal, Issuance of PAO-FIT: 12-Aug-2020_x000a_•PAO-FIT 1st Extension: 18 August 2021_x000a_• Grant of PAO: 30 Sep 2024_x000a_•1st Extension of PAO: 22 Sep 2025"/>
    <x v="0"/>
    <s v="Nabas Wind Energy Project"/>
    <d v="2015-06-10T00:00:00"/>
    <n v="0"/>
    <m/>
  </r>
  <r>
    <x v="2"/>
    <x v="1"/>
    <x v="1"/>
    <m/>
    <m/>
    <m/>
    <m/>
    <m/>
    <m/>
    <m/>
    <m/>
    <m/>
    <m/>
    <m/>
    <m/>
    <m/>
    <m/>
    <m/>
    <m/>
    <m/>
    <x v="2"/>
    <m/>
    <d v="1899-12-30T00:00:00"/>
    <n v="0"/>
    <m/>
  </r>
  <r>
    <x v="0"/>
    <x v="2"/>
    <x v="3"/>
    <n v="7"/>
    <s v="Northwind Power Development Corporation "/>
    <s v="Bangui Wind Power Plant Phase I &amp; II"/>
    <s v="Bangui, Ilocos Norte"/>
    <n v="33"/>
    <m/>
    <n v="21.45"/>
    <m/>
    <d v="2015-07-20T00:00:00"/>
    <d v="2015-07-20T00:00:00"/>
    <d v="2025-06-04T00:00:00"/>
    <n v="10"/>
    <s v="20 July 2015 -_x000a_04 June 2025"/>
    <d v="2015-04-13T00:00:00"/>
    <d v="2016-07-20T00:00:00"/>
    <n v="5.96"/>
    <s v="• Issuance of COC: 15-Jun-05 (Phase1)_x000a_• Issuance of COC: 26-Jan-09 (Phase II)_x000a_•Renewal of COC: 15-Jun-10 (Phases I and II)_x000a_•Renewal of COC: 15-Jun-15_x000a_•Issuance of PAO-FIT: 20-July-15 (PAO-FIT)_x000a_•Issuance of FIT-COC: 13-Feb-18 (FIT)_x000a_• Renewal, Issuance of PAO-FIT: 06-Jul-2020 _x000a_• PAO-FIT 1st Extension: 18-Nov-2020 _x000a_• PAO-FIT 2ndd Extension: 14-Mar-2022_x000a_• Granted PAO on 10 December 2024_x000a_• Granted PAO for Additional Units Approved on 04 June 2025_x000a_•  Amended PAO on 25 June 2025"/>
    <x v="3"/>
    <s v="Bangui Wind Power Project (Phase 1 &amp; 2)"/>
    <d v="2015-06-20T00:00:00"/>
    <n v="30"/>
    <s v="Terminated"/>
  </r>
  <r>
    <x v="2"/>
    <x v="1"/>
    <x v="1"/>
    <m/>
    <m/>
    <m/>
    <m/>
    <m/>
    <m/>
    <m/>
    <m/>
    <m/>
    <m/>
    <m/>
    <m/>
    <m/>
    <m/>
    <m/>
    <m/>
    <m/>
    <x v="2"/>
    <m/>
    <d v="1899-12-30T00:00:00"/>
    <n v="0"/>
    <m/>
  </r>
  <r>
    <x v="2"/>
    <x v="1"/>
    <x v="1"/>
    <m/>
    <m/>
    <m/>
    <m/>
    <m/>
    <m/>
    <m/>
    <m/>
    <m/>
    <m/>
    <m/>
    <m/>
    <m/>
    <m/>
    <m/>
    <m/>
    <m/>
    <x v="2"/>
    <m/>
    <d v="1899-12-30T00:00:00"/>
    <n v="0"/>
    <m/>
  </r>
  <r>
    <x v="2"/>
    <x v="1"/>
    <x v="1"/>
    <m/>
    <m/>
    <m/>
    <m/>
    <m/>
    <m/>
    <m/>
    <m/>
    <m/>
    <m/>
    <m/>
    <m/>
    <m/>
    <m/>
    <m/>
    <m/>
    <m/>
    <x v="2"/>
    <m/>
    <d v="1899-12-30T00:00:00"/>
    <n v="0"/>
    <m/>
  </r>
  <r>
    <x v="0"/>
    <x v="3"/>
    <x v="0"/>
    <n v="1"/>
    <s v="San Jose City I Power Corporation"/>
    <s v="12 MW e(net) SJCi Power Rice Husk-fired Biomass Power Plant Project (Phase I)"/>
    <s v="Nrgy. Tulat, San Jose City, Nueva Ecija"/>
    <n v="12"/>
    <n v="12"/>
    <n v="12"/>
    <m/>
    <d v="2014-11-02T00:00:00"/>
    <d v="2014-11-02T00:00:00"/>
    <d v="2034-11-01T00:00:00"/>
    <n v="20"/>
    <s v="02 November 2014 - _x000a_01 November 2034"/>
    <d v="2025-04-21T00:00:00"/>
    <d v="2016-01-01T00:00:00"/>
    <n v="6.63"/>
    <s v="•Issuance of PAO: 18 Dec 2014_x000a_•Issuance of COC: 09 Feb 2015_x000a_•Renewal, Issuance of FIT-COC: 28-Nov-2019 (Consolidated FIT COC for Phase 1 and Phase 2_x000a_•With Issued Separated PAO on 30 April 2025_x000a_• 1st Extension of PAO on 10 April 2026"/>
    <x v="0"/>
    <m/>
    <d v="2014-11-02T00:00:00"/>
    <n v="0"/>
    <m/>
  </r>
  <r>
    <x v="0"/>
    <x v="3"/>
    <x v="0"/>
    <n v="2"/>
    <s v="Montalban Methane Power Corporation"/>
    <s v="43.8 MW Montalban Landfill Methane Recovery and Electricity Generation"/>
    <s v="Brgy. San Isidro, Rodriguez, Rizal"/>
    <n v="6.37"/>
    <n v="8.19"/>
    <n v="2.1749999999999998"/>
    <m/>
    <d v="2015-06-15T00:00:00"/>
    <d v="2015-06-15T00:00:00"/>
    <d v="2029-02-08T00:00:00"/>
    <n v="14"/>
    <s v="15 June 2015 - _x000a_08 February 2029 "/>
    <d v="2015-06-15T00:00:00"/>
    <d v="2016-06-15T00:00:00"/>
    <n v="6.63"/>
    <s v="•Issuance of  COC: 09-Feb-09_x000a_•Renewal of COC: 09-Jun-14_x000a_• Issuance of FIT-COC: 15-Jun-15_x000a_• Renewal, PAO-FITL: 09-Feb-19_x000a_• Conversion of PAO-FIT to COC: 18-Jul-19_x000a_• With PAO valid until 08 February 2024; With ongoing PAO Application: NISE issued on 21 May 2024"/>
    <x v="1"/>
    <m/>
    <d v="2015-06-15T00:00:00"/>
    <n v="0"/>
    <m/>
  </r>
  <r>
    <x v="0"/>
    <x v="3"/>
    <x v="0"/>
    <n v="3"/>
    <s v="Pangea Green Energy Philippines, Inc"/>
    <s v="1.2 MW Payatas Landfill Methane Recovery and Power Generator Facility (Phase I)"/>
    <s v="Brgy. Payatas, Quezon City"/>
    <n v="0.64"/>
    <n v="0.876"/>
    <n v="0.876"/>
    <m/>
    <d v="2013-03-05T00:00:00"/>
    <d v="2015-06-15T00:00:00"/>
    <d v="2033-03-04T00:00:00"/>
    <n v="20"/>
    <s v="15 June 2015 - _x000a_04 March 2033"/>
    <d v="2015-06-15T00:00:00"/>
    <d v="2016-01-01T00:00:00"/>
    <n v="6.63"/>
    <s v="•Issuance of COC: 29-Apr-13 (U1-3)_x000a_•Issuance of COC-FIT: 15-Jun-15 (U1-3)_x000a_•Issuance of COC: 19-Jul-17 (U4-5)_x000a_•Issuance of COC-FIT: 25-Oct-17 (U4-5)_x000a_•Renewal of COC-FIT15-Mar-18 (U1-5)_x000a_•Granted Separated PAOs: 19 August 2024_x000a_• Phase 1 1st PAO Extension: 06 October 2025"/>
    <x v="0"/>
    <m/>
    <d v="2015-06-15T00:00:00"/>
    <n v="0"/>
    <m/>
  </r>
  <r>
    <x v="0"/>
    <x v="3"/>
    <x v="0"/>
    <n v="4"/>
    <s v="Lucky PPH International, Inc."/>
    <s v="LLPHII Rice Husk-Fired Biomass Power Plant Project "/>
    <s v="Brgy. San Antonio, Alicia, Isabela"/>
    <n v="3.6"/>
    <n v="3.6"/>
    <n v="3.6"/>
    <m/>
    <d v="2008-09-26T00:00:00"/>
    <d v="2015-06-15T00:00:00"/>
    <d v="2028-09-25T00:00:00"/>
    <n v="13"/>
    <s v="15 June 2015 - _x000a_25 September 2028"/>
    <d v="2015-06-15T00:00:00"/>
    <d v="2016-01-01T00:00:00"/>
    <n v="6.63"/>
    <s v="•Issuance of COC: 15-Feb-10_x000a_•Renewal of COC: 09-Feb-15_x000a_•Issuance of COC-FIT: 15-June-15_x000a_•No COC Renewal Application_x000a_•with certification from Municipal Treasurer of Isabela the cessation of business since Nov 23, 2016"/>
    <x v="4"/>
    <m/>
    <e v="#N/A"/>
    <e v="#N/A"/>
    <s v="not included"/>
  </r>
  <r>
    <x v="0"/>
    <x v="3"/>
    <x v="0"/>
    <n v="5"/>
    <s v="Bataan 2020, Inc."/>
    <s v="12.5 MW Bataan 2020 Rice Hull-fired Cogen Plant"/>
    <s v="Brgy. Gugo, Samal, Bataan"/>
    <n v="12.5"/>
    <n v="12.5"/>
    <n v="11.1"/>
    <m/>
    <d v="2015-07-10T00:00:00"/>
    <d v="2015-07-10T00:00:00"/>
    <d v="2035-07-09T00:00:00"/>
    <n v="20"/>
    <s v="10 July 2015 -_x000a_09 July 2035"/>
    <d v="2015-11-26T00:00:00"/>
    <d v="2016-07-10T00:00:00"/>
    <n v="6.63"/>
    <s v="•Issuance of COC: 21-Mar-11_x000a_•Issuance of FIT-COC:26-Nov-15_x000a_•Renewal of FIT-COC:10-Mar-16_x000a_•Renewal, Issuance of PAO-FIT: 7-Apr-2021_x000a_• 1st Extension of PAO-FIT: 9-Nov-22_x000a_• Issuance of PAO: 30 Oct 2025"/>
    <x v="0"/>
    <m/>
    <d v="2015-07-10T00:00:00"/>
    <n v="0"/>
    <m/>
  </r>
  <r>
    <x v="0"/>
    <x v="3"/>
    <x v="0"/>
    <n v="6"/>
    <s v="Isabela Biomass Energy Coorporation (IBEC)"/>
    <s v="20 MW IBEC Biomass Power Plant Project"/>
    <s v="Brgy. Burgos, Alicia, Isabela"/>
    <n v="20"/>
    <n v="20"/>
    <n v="18"/>
    <m/>
    <d v="2015-10-06T00:00:00"/>
    <d v="2015-10-06T00:00:00"/>
    <d v="2035-10-05T00:00:00"/>
    <n v="20"/>
    <s v="06 October 2015 -_x000a_05 October 2035"/>
    <d v="2025-01-19T00:00:00"/>
    <d v="2016-10-06T00:00:00"/>
    <n v="6.63"/>
    <s v="• Issuance of Pao: 19-Jan-16_x000a_• Issuance of FIT-COC: 21-Apr-16_x000a_• Renewal, Issuance of PAO-FIT: 13-Jan-2021_x000a_• 1st Extension of PAO-FIT: 05-Jul-2022_x000a_• Issuance of COC: 18 Dec 2025"/>
    <x v="0"/>
    <m/>
    <d v="2015-10-06T00:00:00"/>
    <n v="0"/>
    <m/>
  </r>
  <r>
    <x v="0"/>
    <x v="3"/>
    <x v="0"/>
    <n v="7"/>
    <s v="Green Future Innovations, Inc."/>
    <s v="19 KW Bagasse-fired Cogeneration Power Plant"/>
    <s v="San Mariano, Isabela"/>
    <n v="19.809999999999999"/>
    <n v="19.809999999999999"/>
    <n v="14"/>
    <m/>
    <d v="2012-11-30T00:00:00"/>
    <d v="2012-11-30T00:00:00"/>
    <d v="2032-11-29T00:00:00"/>
    <n v="20"/>
    <s v="30 November 2012 - _x000a_29 November 2032"/>
    <s v="16-Apr-25 (PAO)"/>
    <d v="2016-01-01T00:00:00"/>
    <n v="6.63"/>
    <s v="•Issuance of Regular COC: 12-Nov-12_x000a_•Issuance of FIT-COC: 02-Feb-16_x000a_•Renewal, PAO: 13 -Dec-17_x000a_•Extension, PAO: 04-Apr-18_x000a_•Extension, PAO-FIT: 20-June-18_x000a_• Extension of PAO Deferred: With Issue on 60%-40% Filipino-Foreign Ownership; issue was reverted to DOE for confirmation_x000a_• With Issued PAO, PAO validity depends on GFII's Compliance with the Commission's Directive"/>
    <x v="0"/>
    <m/>
    <d v="2012-11-30T00:00:00"/>
    <n v="0"/>
    <m/>
  </r>
  <r>
    <x v="0"/>
    <x v="3"/>
    <x v="0"/>
    <n v="8"/>
    <s v="Green Innovations for Tomorrow Corporation"/>
    <s v="12 MW Rice Husk-fired Biomass Power Plant Project"/>
    <s v="Talavera, Nueva Ecija"/>
    <n v="12"/>
    <n v="12"/>
    <n v="10.8"/>
    <m/>
    <d v="2016-02-27T00:00:00"/>
    <d v="2016-02-27T00:00:00"/>
    <d v="2036-02-26T00:00:00"/>
    <n v="20"/>
    <s v="27 February 2016 - _x000a_26 February 2036"/>
    <s v="16-Jan-2017 (PAO FIT) / _x000a_5-Jun-17 (FINAL FIT COC)"/>
    <d v="2017-02-27T00:00:00"/>
    <n v="6.63"/>
    <s v="•Issuance of  PAO: 16 Jan 2017_x000a_•Issuance of  FIT-COC: 5-Jun-2017 _x000a_•Issuance of  PAO-FIT: 25 -Jan-2022_x000a_•Extension of  PAO-FIT: 09-Jun-2024_x000a_• Grant of PAO on 18 December 2024_x000a_•Extension of  PAO: 1-Dec-2025"/>
    <x v="0"/>
    <m/>
    <d v="2016-02-27T00:00:00"/>
    <n v="0"/>
    <m/>
  </r>
  <r>
    <x v="0"/>
    <x v="3"/>
    <x v="0"/>
    <n v="9"/>
    <s v="Bicol Biomass Energy Corporation"/>
    <s v="5 MW Rice Husk-fired Biomass Power Plant Project"/>
    <s v="Pili, Camarines Sur"/>
    <n v="5"/>
    <n v="5"/>
    <n v="4.4000000000000004"/>
    <m/>
    <d v="2016-10-10T00:00:00"/>
    <d v="2016-10-10T00:00:00"/>
    <d v="2036-10-09T00:00:00"/>
    <n v="20"/>
    <s v="10 October 2016 -_x000a_09 October 2036"/>
    <d v="2017-03-27T00:00:00"/>
    <d v="2017-10-10T00:00:00"/>
    <n v="6.63"/>
    <s v="•Issuance of PAO: 27 Mar 17                               _x000a_•Issuance of COC-FIT: 19 Sept 17_x000a_•Renewal, Issuance of PAO-FIT: 17-Oct-22_x000a_•Granted PAO: 02 May 2024_x000a_•Issuance of PAO: 18 Jun 2025"/>
    <x v="0"/>
    <m/>
    <d v="2016-10-10T00:00:00"/>
    <n v="0"/>
    <m/>
  </r>
  <r>
    <x v="0"/>
    <x v="3"/>
    <x v="0"/>
    <n v="10"/>
    <s v="Aseagas Corporation"/>
    <s v="AGC Biogas Project"/>
    <s v="Lian, Batangas"/>
    <n v="8.8000000000000007"/>
    <n v="8.8000000000000007"/>
    <n v="2.21"/>
    <m/>
    <d v="2016-12-14T00:00:00"/>
    <d v="2016-12-14T00:00:00"/>
    <d v="2036-12-13T00:00:00"/>
    <n v="20"/>
    <s v="14 December 2016 - _x000a_13 December 2036"/>
    <d v="2017-10-25T00:00:00"/>
    <d v="2017-12-14T00:00:00"/>
    <n v="6.63"/>
    <s v="•Issuance of FIT-COC: 25 Oct 2017_x000a_•Shutdown since 15 January 2018 as per letter dated 17 Jan 2018"/>
    <x v="4"/>
    <m/>
    <d v="2016-12-14T00:00:00"/>
    <n v="0"/>
    <m/>
  </r>
  <r>
    <x v="1"/>
    <x v="3"/>
    <x v="0"/>
    <n v="11"/>
    <s v="First Farmers Holding Corporation"/>
    <s v="21 MW FFHC Bagasse-fired Cogeneration Power Plant"/>
    <s v="Dos Hermanas, Talisay City, Negros Occidental"/>
    <n v="21.76"/>
    <n v="21.76"/>
    <n v="8"/>
    <m/>
    <d v="2009-09-04T00:00:00"/>
    <d v="2015-06-15T00:00:00"/>
    <d v="2029-04-08T00:00:00"/>
    <n v="14"/>
    <s v="15 June 2015 - _x000a_08 April 2029"/>
    <d v="2015-06-15T00:00:00"/>
    <d v="2016-01-01T00:00:00"/>
    <n v="6.63"/>
    <s v="•Issuance of COC:27-Apr-09_x000a_•Renewal of COC:02-Sept-14_x000a_•Issuance of FIT-COC:15-Jun-15_x000a_•Renewal of FIT-COC:29-Aug-19_x000a_•Grant of PAO: 03 October 2024_x000a_• 1st Extension of PAO: 13 November 2025"/>
    <x v="0"/>
    <m/>
    <d v="2015-06-15T00:00:00"/>
    <n v="0"/>
    <m/>
  </r>
  <r>
    <x v="1"/>
    <x v="3"/>
    <x v="0"/>
    <n v="12"/>
    <s v="Universal Robina Coorporation"/>
    <s v="46 MW Bagasse-fired Cogeneration Power Plant"/>
    <s v="Brgy. Camugao, Kabankalan City, Negros Occidental"/>
    <n v="46"/>
    <n v="46"/>
    <n v="20"/>
    <m/>
    <d v="2015-01-20T00:00:00"/>
    <d v="2015-01-20T00:00:00"/>
    <d v="2035-01-19T00:00:00"/>
    <n v="20"/>
    <s v="20 January 2015 - _x000a_19 January 2035"/>
    <s v="19-Jan-16 (PAO FIT) / _x000a_15-Dec-16 (FINAL FIT COC)"/>
    <d v="2016-01-20T00:00:00"/>
    <n v="6.63"/>
    <s v="•Issuance of FIT-COC:15-Dec-16_x000a_•Renewal, Issuance of PAO-FIT: 14-Jan-2021_x000a_• Denied PAO Application _x000a_• With Grant of PAO on 26 November 2024_x000a_• Extension of PAO on 26 January 2026"/>
    <x v="0"/>
    <m/>
    <d v="2015-01-20T00:00:00"/>
    <n v="0"/>
    <m/>
  </r>
  <r>
    <x v="1"/>
    <x v="3"/>
    <x v="0"/>
    <n v="13"/>
    <s v="Victorias Milling Company, Inc."/>
    <s v="Victorias Biomass Power Plant"/>
    <s v="Negros Occidental"/>
    <n v="23"/>
    <n v="34"/>
    <n v="2.5"/>
    <m/>
    <d v="2015-10-23T00:00:00"/>
    <d v="2015-10-23T00:00:00"/>
    <d v="2035-10-22T00:00:00"/>
    <n v="20"/>
    <s v="23 October 2015 - 22 October 2035"/>
    <s v="22-Sep-21 (PAO FIT)"/>
    <m/>
    <n v="6.63"/>
    <s v="•Issuance of PAO-FIT: 22 Sep 2021_x000a_• Issued PAO on 30 October 2024_x000a_• Issuance of PAO: 17 Dec 2025"/>
    <x v="0"/>
    <m/>
    <d v="2015-10-23T00:00:00"/>
    <n v="0"/>
    <m/>
  </r>
  <r>
    <x v="3"/>
    <x v="3"/>
    <x v="0"/>
    <n v="14"/>
    <s v="Lamsan Power Corporation"/>
    <s v="LPC Biomass Power Plant"/>
    <s v="Brgy. Crossing Simunay, Sultan Kudarat"/>
    <n v="15"/>
    <n v="13.5"/>
    <n v="13.5"/>
    <m/>
    <d v="2016-10-10T00:00:00"/>
    <d v="2016-12-30T00:00:00"/>
    <d v="2036-12-29T00:00:00"/>
    <n v="20"/>
    <s v="30 December 2016 - _x000a_29 December 2036"/>
    <d v="2018-04-16T00:00:00"/>
    <d v="2017-10-10T00:00:00"/>
    <n v="6.63"/>
    <s v="•Issuance of FIT-COC: 16 April 2018_x000a_•Grant of PAO: 27 May 2024_x000a_•1st Extension of PAO on 13 June 2025_x000a_• 2nd Extension of PAO on 25 May 2026"/>
    <x v="0"/>
    <s v="Lamsan Biomass Power Plant Project"/>
    <d v="2016-12-30T00:00:00"/>
    <n v="0"/>
    <m/>
  </r>
  <r>
    <x v="2"/>
    <x v="1"/>
    <x v="1"/>
    <n v="14"/>
    <m/>
    <m/>
    <m/>
    <n v="206.48000000000002"/>
    <n v="218.036"/>
    <n v="123.161"/>
    <m/>
    <m/>
    <m/>
    <m/>
    <m/>
    <m/>
    <m/>
    <m/>
    <m/>
    <m/>
    <x v="2"/>
    <m/>
    <d v="1899-12-30T00:00:00"/>
    <n v="0"/>
    <m/>
  </r>
  <r>
    <x v="0"/>
    <x v="3"/>
    <x v="4"/>
    <n v="15"/>
    <s v="San Jose City I Power Corporation"/>
    <s v="12 MW e(net) SJCi Power Rice Husk-fired Biomass Power Plant Project (Phase II)"/>
    <s v="Brgy. Tlat, San Jose City,  Nueva Ecija"/>
    <n v="12"/>
    <n v="12"/>
    <n v="10.8"/>
    <m/>
    <d v="2017-09-22T00:00:00"/>
    <d v="2017-09-22T00:00:00"/>
    <d v="2037-09-21T00:00:00"/>
    <n v="20"/>
    <s v="22 September 2017 - _x000a_21 September 2037"/>
    <d v="2017-12-13T00:00:00"/>
    <d v="2018-09-22T00:00:00"/>
    <n v="6.5968999999999998"/>
    <s v="•Issuance of COC-FIT: 13 Dec 2017_x000a_•Renewal, Issuance of FIT-COC: 28-Nov-2019 (Consolidated FIT COC for Phase 1 and Phase 2_x000a_• With Issued Separated PAO on 30 April 2025_x000a_• 1st Extension of PAO on 13 April 2026"/>
    <x v="0"/>
    <s v="SJCi Power Rice Husk-Fired Biomass Power Plant Project Phase II"/>
    <d v="2017-09-22T00:00:00"/>
    <n v="0"/>
    <m/>
  </r>
  <r>
    <x v="0"/>
    <x v="3"/>
    <x v="4"/>
    <n v="16"/>
    <s v="Pangea Green Energy Philippines, Inc"/>
    <s v="1.2 MW Payatas Landfill Methane Recovery and Power Generator Facility (Phase II)"/>
    <s v="Brgy. Payatas, Quezon City"/>
    <n v="0.32"/>
    <n v="0.64"/>
    <n v="0.42399999999999999"/>
    <m/>
    <d v="2017-02-17T00:00:00"/>
    <d v="2017-02-17T00:00:00"/>
    <d v="2037-02-16T00:00:00"/>
    <n v="20"/>
    <s v="17 February 2017 -_x000a_16 February 2037"/>
    <d v="2017-10-25T00:00:00"/>
    <d v="2018-02-17T00:00:00"/>
    <n v="6.5968999999999998"/>
    <s v="•Issuance of COC: 29-Apr-13 (U1-3)_x000a_•Issuance of COC-FIT: 15-Jun-15 (U1-3)_x000a_•Issuance of COC: 19-Jul-17 (U4-5)_x000a_•Issuance of COC-FIT: 25-Oct-17 (U4-5)_x000a_•Renewal of COC-FIT15-Mar-18 (U1-5)_x000a_•Granted Separated PAOs: 19 August 2024"/>
    <x v="5"/>
    <s v="Payatas Landfill Methane Recovery and Power Gen. Facility"/>
    <d v="2017-02-17T00:00:00"/>
    <n v="0"/>
    <m/>
  </r>
  <r>
    <x v="0"/>
    <x v="3"/>
    <x v="4"/>
    <n v="17"/>
    <s v="Asian Carbon Neutral Power Corp. (ACNPC)"/>
    <s v="ACNPC Biogas Power Plant Project"/>
    <s v="Armenia, Tarlac City"/>
    <n v="2.121"/>
    <n v="2"/>
    <n v="1.7"/>
    <m/>
    <d v="2017-07-21T00:00:00"/>
    <d v="2017-07-21T00:00:00"/>
    <d v="2037-07-20T00:00:00"/>
    <n v="20"/>
    <s v="21 July 2017 - _x000a_20 July 2037"/>
    <s v="27-Mar-18 (PAO FIT) /_x000a_03-Dec-19 (FINAL FIT COC)"/>
    <d v="2018-07-21T00:00:00"/>
    <n v="6.5968999999999998"/>
    <s v="•Issuance of PAO-FIT: 27 Mar 2018-26 Sept 2018_x000a_•Extension of PAO-FIT: 27 Sept 2018 - 26 March 2019_x000a_•COC-FIT: 03 Dec 2019_x000a_•With NISE on 30 January 2024_x000a_• with 5th NISE on 1 Aug 2025"/>
    <x v="6"/>
    <s v="ACNC Biogas Power Plant Project"/>
    <d v="2017-07-21T00:00:00"/>
    <n v="0"/>
    <m/>
  </r>
  <r>
    <x v="3"/>
    <x v="3"/>
    <x v="4"/>
    <n v="18"/>
    <s v="Green Earth Enersource Corporation"/>
    <s v="3.5 MW GEEC Biomass Power Plant Project"/>
    <s v="Brgy. Poblacion, Buluan, Maguindanao"/>
    <n v="3.33"/>
    <n v="3.5"/>
    <n v="1.64"/>
    <m/>
    <d v="2017-05-27T00:00:00"/>
    <d v="2017-05-27T00:00:00"/>
    <d v="2037-05-26T00:00:00"/>
    <n v="20"/>
    <s v="27 May 2017 -_x000a_26 May 2037"/>
    <s v="13-Dec-17 (PAO FIT) /_x000a_08-Aug-19 (FINAL FIT COC)"/>
    <d v="2018-05-27T00:00:00"/>
    <n v="6.5968999999999998"/>
    <s v="•Issuance of PAO: 13 Dec 2017_x000a_•Renewal of PAO: 08 March 2018_x000a_•Issuance of COC-FIT: 08 Aug 2019_x000a_•With PAO valid until 12 December 2024; With ongoing PAO Application"/>
    <x v="1"/>
    <s v="GEEC  MW Biomass Cogeneration System"/>
    <d v="2017-05-27T00:00:00"/>
    <n v="0"/>
    <s v="No generation since June 26, 2019"/>
  </r>
  <r>
    <x v="3"/>
    <x v="3"/>
    <x v="4"/>
    <n v="19"/>
    <s v="Biotech Farms, Inc. (BFI)"/>
    <s v="BIOTECH Biomass Cogeneration Power Plant"/>
    <s v="Brgy. Dumalig, Tantangan, South Cotabato"/>
    <n v="5.96"/>
    <n v="5.96"/>
    <n v="3.5"/>
    <m/>
    <d v="2018-05-08T00:00:00"/>
    <d v="2018-05-08T00:00:00"/>
    <d v="2038-05-07T00:00:00"/>
    <n v="20"/>
    <s v="08 May 2018 - _x000a_07 May 2038"/>
    <d v="2019-09-03T00:00:00"/>
    <m/>
    <n v="6.5968999999999998"/>
    <s v="•Issuance of FIT-COC: 03 Sept 2019_x000a_"/>
    <x v="0"/>
    <s v="BFI Biogas Power Plant Project"/>
    <d v="2018-05-08T00:00:00"/>
    <n v="0"/>
    <m/>
  </r>
  <r>
    <x v="2"/>
    <x v="1"/>
    <x v="1"/>
    <n v="5"/>
    <m/>
    <m/>
    <m/>
    <n v="23.731000000000002"/>
    <n v="24.1"/>
    <n v="18.064"/>
    <m/>
    <m/>
    <m/>
    <m/>
    <m/>
    <m/>
    <m/>
    <m/>
    <m/>
    <m/>
    <x v="2"/>
    <m/>
    <d v="1899-12-30T00:00:00"/>
    <n v="0"/>
    <m/>
  </r>
  <r>
    <x v="0"/>
    <x v="3"/>
    <x v="2"/>
    <n v="20"/>
    <s v="Cagayan Biomass Energy Corporation"/>
    <s v="Cagayan Biomass Energy Plant"/>
    <s v="Brgy. Raniag, Burgos, Isabela"/>
    <n v="15"/>
    <n v="15"/>
    <n v="13.5"/>
    <m/>
    <d v="2019-10-03T00:00:00"/>
    <d v="2019-10-03T00:00:00"/>
    <d v="2039-10-02T00:00:00"/>
    <n v="20"/>
    <s v="3 October 2019 - 2 October 2039"/>
    <s v="15-Jun-20 (PAO FIT)_x000a_18-Nov-20 (Extension)"/>
    <m/>
    <n v="6.19"/>
    <s v="•With Issued PA0: 15 June 2020_x000a_•With PAO Extension: 18 Nov 2020_x000a_•2nd PAO Extension: 25 Jan 2022_x000a_•Issued FIT-COC: 23 August 2022_x000a_• Issued PAO on 18 June 2025_x000a_• 1st Extension of PAO on 25 May 2026"/>
    <x v="0"/>
    <s v="Rice Husk-Fired Biomass Power Plant"/>
    <d v="2019-10-03T00:00:00"/>
    <n v="0"/>
    <m/>
  </r>
  <r>
    <x v="0"/>
    <x v="3"/>
    <x v="2"/>
    <n v="21"/>
    <s v="Central Azucarera Don Pedro, Inc."/>
    <s v="31.875 MW Cogeneration Power Plant"/>
    <s v="Batangas"/>
    <n v="32.5"/>
    <n v="31.875"/>
    <n v="2"/>
    <m/>
    <d v="2018-02-16T00:00:00"/>
    <d v="2018-02-16T00:00:00"/>
    <n v="50451"/>
    <n v="20"/>
    <s v="16 February 2018 - 15 February 2038"/>
    <s v="04-Nov-20 (FINAL)"/>
    <m/>
    <n v="6.19"/>
    <s v="•Issuance of FIT-COC: 04 Nov 2020_x000a_• ends its operations on February 28, 2024"/>
    <x v="4"/>
    <m/>
    <e v="#N/A"/>
    <e v="#N/A"/>
    <s v="not included"/>
  </r>
  <r>
    <x v="0"/>
    <x v="3"/>
    <x v="2"/>
    <n v="22"/>
    <s v="Grass Gold Renewable Energy Corporation"/>
    <s v="12 MW Biomass Power Plant"/>
    <s v="Nueva Ecija"/>
    <n v="12"/>
    <n v="12"/>
    <n v="10.8"/>
    <m/>
    <d v="2019-12-13T00:00:00"/>
    <d v="2019-12-13T00:00:00"/>
    <d v="2039-12-12T00:00:00"/>
    <n v="20"/>
    <s v="13 December 2019 - 12 December 2039"/>
    <s v="28-Jul-21 (PAO FIT)"/>
    <m/>
    <n v="6.19"/>
    <s v="With Issued PAO-FIT: 28 July 2021"/>
    <x v="0"/>
    <m/>
    <d v="2019-12-13T00:00:00"/>
    <n v="0"/>
    <m/>
  </r>
  <r>
    <x v="0"/>
    <x v="3"/>
    <x v="2"/>
    <n v="23"/>
    <s v="Green Innovations for Tomorrow Corporation II"/>
    <s v="6 MW Biomass Power Plant"/>
    <s v="Nueva Ecija"/>
    <n v="6.2"/>
    <n v="6"/>
    <n v="5.4"/>
    <m/>
    <d v="2019-12-25T00:00:00"/>
    <d v="2019-12-25T00:00:00"/>
    <d v="2039-12-24T00:00:00"/>
    <n v="20"/>
    <s v="25 December 2019 - 24 December 2039"/>
    <s v="23-Jun-21 (PAO FIT)"/>
    <m/>
    <n v="6.19"/>
    <s v="•With Issued PAO-FIT: 23 June 2021_x000a_•1st Extension of PAO-FIT: 03-Nov-22_x000a_•Issued PAO: 05 June 2024_x000a_•1st Extension of PAO: 24 November 2025"/>
    <x v="0"/>
    <s v="Biomass Power Plant Nueva Ecija"/>
    <d v="2019-12-25T00:00:00"/>
    <n v="0"/>
    <m/>
  </r>
  <r>
    <x v="0"/>
    <x v="3"/>
    <x v="2"/>
    <n v="24"/>
    <s v="VS Gripal Power Corporation"/>
    <s v="6 MW Biomass Power Plant"/>
    <s v="Nueva Ecija"/>
    <n v="6"/>
    <n v="6"/>
    <n v="5.4"/>
    <m/>
    <d v="2019-12-31T00:00:00"/>
    <d v="2019-12-31T00:00:00"/>
    <d v="2039-12-30T00:00:00"/>
    <n v="20"/>
    <s v="31 December 2019 - 30 December 2039"/>
    <s v="11-Aug-21 (PAO FIT)"/>
    <m/>
    <n v="6.19"/>
    <s v="With Issued PAO: 11 August 2021_x000a_With Issued PAO: 21 October 2024_x000a_Issuance of PAO: 30 Oct 2025"/>
    <x v="0"/>
    <m/>
    <d v="2019-12-31T00:00:00"/>
    <n v="0"/>
    <m/>
  </r>
  <r>
    <x v="0"/>
    <x v="3"/>
    <x v="2"/>
    <n v="25"/>
    <s v="Cleangreen Energy Corporation"/>
    <s v="12 MW Biomass Power Plant"/>
    <s v="Bataan"/>
    <m/>
    <n v="12.7"/>
    <n v="7.7"/>
    <m/>
    <d v="2019-12-31T00:00:00"/>
    <m/>
    <m/>
    <m/>
    <m/>
    <m/>
    <m/>
    <n v="6.19"/>
    <s v="With COC Application"/>
    <x v="7"/>
    <m/>
    <d v="2019-12-13T00:00:00"/>
    <n v="-43812"/>
    <m/>
  </r>
  <r>
    <x v="1"/>
    <x v="3"/>
    <x v="2"/>
    <n v="26"/>
    <s v="Central Azucarera de San Antonio"/>
    <s v="15 MW Cogeneration Power Plant"/>
    <s v="Iloilo"/>
    <n v="15"/>
    <n v="8"/>
    <n v="8"/>
    <m/>
    <d v="2010-12-06T00:00:00"/>
    <d v="2020-12-02T00:00:00"/>
    <d v="2030-12-05T00:00:00"/>
    <n v="10"/>
    <s v="2 December 2020 - 5 December 2030"/>
    <s v="02-Dec-20 (PAO FIT)"/>
    <m/>
    <n v="6.19"/>
    <s v="•Issuance of COC: 06-Dec-10_x000a_•Renewal of COC: 26-Nov-15_x000a_• With PAO-FIT: 02 Dec 2020_x000a_• With 2nd Extension of PAO-FIT: 11-Mar-2022_x000a_•  With issued PAO, PAO Validity Depends on CASA's Compliance with the Commission's Directive"/>
    <x v="8"/>
    <s v="CASA Cogeneration Power Plant"/>
    <d v="2020-12-02T00:00:00"/>
    <n v="0"/>
    <m/>
  </r>
  <r>
    <x v="1"/>
    <x v="3"/>
    <x v="2"/>
    <n v="27"/>
    <s v="Hawaiian-Philippine Company"/>
    <s v="28.580MW Biomass Co-Generation Power Plant "/>
    <s v="Negros Occidental"/>
    <n v="28.58"/>
    <n v="28.58"/>
    <n v="9.5"/>
    <d v="2019-01-19T00:00:00"/>
    <d v="2019-01-19T00:00:00"/>
    <d v="2019-10-17T00:00:00"/>
    <d v="2039-10-16T00:00:00"/>
    <n v="20"/>
    <s v="17 October 2019 - 16 October 2039"/>
    <s v="Issuance of  PAO-FIT: 06 October 2021"/>
    <m/>
    <n v="6.19"/>
    <s v="•Issuance of  PAO-FIT: 06 October 2021_x000a_• 1st Extension of Consolidated PAO on 11 November 2025"/>
    <x v="0"/>
    <s v="28.58 Biomass Power Plant"/>
    <d v="2019-01-19T00:00:00"/>
    <n v="0"/>
    <m/>
  </r>
  <r>
    <x v="1"/>
    <x v="3"/>
    <x v="2"/>
    <n v="28"/>
    <s v="San Carlos Bioenergy, Inc."/>
    <s v="8-MW Biomass Cogeneration Plant"/>
    <s v=" Negros Occidental"/>
    <m/>
    <n v="8.3000000000000007"/>
    <n v="1.5"/>
    <m/>
    <d v="2019-08-29T00:00:00"/>
    <m/>
    <m/>
    <m/>
    <m/>
    <m/>
    <m/>
    <n v="6.19"/>
    <s v="With COC Application - Conversion to FIT"/>
    <x v="7"/>
    <s v="8 MW Biomass Cogeneration Plant"/>
    <d v="2019-08-29T00:00:00"/>
    <n v="0"/>
    <m/>
  </r>
  <r>
    <x v="1"/>
    <x v="3"/>
    <x v="2"/>
    <n v="29"/>
    <s v="Central Azucarera de Bais"/>
    <s v="25 MW Biomass Cogeneration Plant"/>
    <s v="Negros Oriental"/>
    <n v="20"/>
    <n v="25"/>
    <n v="12"/>
    <m/>
    <d v="2019-11-14T00:00:00"/>
    <d v="2019-11-14T00:00:00"/>
    <d v="2039-11-13T00:00:00"/>
    <n v="20"/>
    <s v="14 November 2019 - 13 November 2039"/>
    <d v="2022-11-02T00:00:00"/>
    <m/>
    <n v="6.19"/>
    <s v="With Issued PAO-FIT: 02 November 2022_x000a_With issued PAO on 06 January 2025_x000a_With Issued COC on 18-Feb-2026"/>
    <x v="0"/>
    <m/>
    <d v="2019-11-14T00:00:00"/>
    <n v="0"/>
    <m/>
  </r>
  <r>
    <x v="1"/>
    <x v="3"/>
    <x v="2"/>
    <n v="30"/>
    <s v="BISCOM, Inc."/>
    <s v="48.5 MW Bagasse-Fired Cogeneration Power Plant"/>
    <s v="Negros Occidental"/>
    <n v="30"/>
    <n v="48.5"/>
    <n v="12.7"/>
    <m/>
    <d v="2019-11-28T00:00:00"/>
    <d v="2019-11-28T00:00:00"/>
    <d v="2039-11-27T00:00:00"/>
    <m/>
    <s v="28 November 2019 - 27 November 2039"/>
    <s v="11-Oct-24 (PAO)"/>
    <m/>
    <n v="6.19"/>
    <s v="• With Issued PAO: 11 October 2024_x000a_• Issuance of PAO: 18 Dec 2025"/>
    <x v="0"/>
    <s v="48.5 MW Bagasse Fired CoGeneration Power Plant"/>
    <d v="2019-11-28T00:00:00"/>
    <n v="0"/>
    <m/>
  </r>
  <r>
    <x v="1"/>
    <x v="3"/>
    <x v="2"/>
    <n v="31"/>
    <s v="Victorias Milling Company, Inc."/>
    <s v="40 MW Biomass Expansion Project"/>
    <s v="Negros Occidental"/>
    <n v="40"/>
    <n v="40"/>
    <n v="21.45"/>
    <m/>
    <d v="2019-02-24T00:00:00"/>
    <d v="2022-03-10T00:00:00"/>
    <d v="2042-03-09T00:00:00"/>
    <n v="20"/>
    <s v="10 March 2022 - 9 March 2042"/>
    <s v="10-Mar-22 (PAO FIT)"/>
    <m/>
    <n v="6.19"/>
    <s v="•With Issued PAO-FIT: 10 Mar 2022_x000a_•Denied PAO-FIT Extension: 06 March 2024_x000a_•With Grant of PAO on 24 April 2024_x000a_•Amended PAO on 21 October 2024_x000a_•With issued PAO on 24 April 2025_x000a_• Witsh 2nd Extension of PAO on 28 May 2026"/>
    <x v="5"/>
    <s v="VMC Bagasse-Fired Biomass Power Plant Expn"/>
    <d v="2019-02-24T00:00:00"/>
    <n v="0"/>
    <m/>
  </r>
  <r>
    <x v="3"/>
    <x v="3"/>
    <x v="2"/>
    <n v="32"/>
    <s v="Biotech Farms, Inc."/>
    <s v="12.39 MW Biogas Power Plant"/>
    <s v="South Cotabato"/>
    <m/>
    <n v="12.39"/>
    <n v="6.4"/>
    <m/>
    <d v="2018-12-05T00:00:00"/>
    <m/>
    <m/>
    <m/>
    <m/>
    <m/>
    <m/>
    <n v="6.19"/>
    <s v="With COC Appplication"/>
    <x v="7"/>
    <s v="12.39 MW Biogas Power Plant Project (Phase 1&amp;2:9.5MW)"/>
    <d v="2018-07-31T00:00:00"/>
    <n v="127"/>
    <m/>
  </r>
  <r>
    <x v="3"/>
    <x v="3"/>
    <x v="2"/>
    <n v="33"/>
    <s v="Surallah Power Generation, Inc."/>
    <s v="6 MW Biomass Power Plant"/>
    <s v="South Cotabato"/>
    <n v="6.15"/>
    <n v="6"/>
    <n v="5.28"/>
    <m/>
    <d v="2020-01-29T00:00:00"/>
    <d v="2020-01-29T00:00:00"/>
    <d v="2040-01-28T00:00:00"/>
    <n v="20"/>
    <s v="29 January 2020 - 28 January 2040"/>
    <s v="With Issued COC-FIT: 8 May 2022"/>
    <m/>
    <n v="6.19"/>
    <s v="With Issued COC-FIT: 8 May 2022"/>
    <x v="0"/>
    <s v="6MW Biomass Power Plant South Cotabato"/>
    <d v="2020-01-29T00:00:00"/>
    <n v="0"/>
    <m/>
  </r>
  <r>
    <x v="2"/>
    <x v="1"/>
    <x v="1"/>
    <n v="14"/>
    <m/>
    <m/>
    <m/>
    <n v="211.43"/>
    <n v="260.34500000000003"/>
    <n v="121.63000000000002"/>
    <m/>
    <m/>
    <m/>
    <m/>
    <m/>
    <m/>
    <m/>
    <m/>
    <m/>
    <m/>
    <x v="2"/>
    <m/>
    <d v="1899-12-30T00:00:00"/>
    <n v="0"/>
    <m/>
  </r>
  <r>
    <x v="2"/>
    <x v="1"/>
    <x v="1"/>
    <m/>
    <m/>
    <m/>
    <m/>
    <m/>
    <m/>
    <m/>
    <m/>
    <m/>
    <m/>
    <m/>
    <m/>
    <m/>
    <m/>
    <m/>
    <m/>
    <m/>
    <x v="2"/>
    <m/>
    <d v="1899-12-30T00:00:00"/>
    <n v="0"/>
    <m/>
  </r>
  <r>
    <x v="0"/>
    <x v="4"/>
    <x v="0"/>
    <n v="1"/>
    <s v="Smith Bell"/>
    <s v="Communal-Uddlawan HEP"/>
    <s v="Solano, Nueva Vizcaya"/>
    <n v="1.8"/>
    <n v="1.8"/>
    <n v="1.8"/>
    <m/>
    <d v="2010-12-26T00:00:00"/>
    <d v="2015-06-15T00:00:00"/>
    <d v="2030-12-14T00:00:00"/>
    <n v="15"/>
    <s v="15 June 2015 -_x000a_14 December 2030"/>
    <d v="2025-04-21T00:00:00"/>
    <d v="2016-06-15T00:00:00"/>
    <n v="5.9"/>
    <s v="•Issuance of COC: 15-Dec-2010_x000a_•Issuance of FIT-COC: 15 June 2015 _x000a_•Renewal of FIT COC: 01 Dec 2015_x000a_•Renewal, Issuance of PAO-FIT: 2-Dec-2020_x000a_•1st Extension of PAO-FIT: 28-Jan-2022_x000a_•Grant of PAO on 21 April 2025"/>
    <x v="0"/>
    <s v="Communal-Uddiawan Hydroelectric Power Plant"/>
    <d v="2015-06-15T00:00:00"/>
    <n v="0"/>
    <m/>
  </r>
  <r>
    <x v="0"/>
    <x v="4"/>
    <x v="0"/>
    <n v="2"/>
    <s v="Hedcor Sabangan, Inc"/>
    <s v="Sabangan Hydroelectric Power Project"/>
    <s v="Sabangan, Mountain Province"/>
    <n v="14.138"/>
    <n v="14.138999999999999"/>
    <n v="14.138999999999999"/>
    <m/>
    <d v="2015-06-02T00:00:00"/>
    <d v="2015-06-02T00:00:00"/>
    <d v="2035-06-01T00:00:00"/>
    <n v="20"/>
    <s v="02 June 2015 -_x000a_01 June 2035"/>
    <d v="2015-09-29T00:00:00"/>
    <d v="2016-06-02T00:00:00"/>
    <n v="5.9"/>
    <s v="•Issuance of FIT-COC: 29-Sept-15_x000a_•Renewal, Issuance of PAO-FIT 7-Sep-2020_x000a_•PAO-FIT 1st Extension:15-Sep-2021_x000a_•PAO-FIT 2nd Extension:06-Sep-2024"/>
    <x v="0"/>
    <s v="Sabangan Hydroelectric Power Project "/>
    <d v="2015-06-02T00:00:00"/>
    <n v="0"/>
    <m/>
  </r>
  <r>
    <x v="0"/>
    <x v="4"/>
    <x v="0"/>
    <n v="3"/>
    <s v="HedCor (Aboitiz)"/>
    <s v="Irisan 1 HEP"/>
    <s v="Tuba, Benguet"/>
    <n v="3.9"/>
    <n v="3.9"/>
    <n v="3.8"/>
    <m/>
    <d v="2012-04-30T00:00:00"/>
    <d v="2012-04-30T00:00:00"/>
    <d v="2032-04-29T00:00:00"/>
    <n v="20"/>
    <s v="30 April 2012 -_x000a_29 April 2032"/>
    <d v="2016-01-27T00:00:00"/>
    <d v="2016-01-01T00:00:00"/>
    <n v="5.9"/>
    <s v="•Issuance of COC: 30-Apr-12_x000a_•Issuance of FIT-COC: 24-Jan-16_x000a_•Renewal of FIT-COC: 19-Apr-17_x000a_•Renewal, Grant of PAO-FIT: 03-Oct-22_x000a_•Renewal, 1st Extension of PAO-FIT: 02 May 2024_x000a_•Extension of PAO: 4-Feb-2026"/>
    <x v="0"/>
    <s v="Irisan 1 Hydroelectric Power Plant"/>
    <d v="2012-04-30T00:00:00"/>
    <n v="0"/>
    <m/>
  </r>
  <r>
    <x v="1"/>
    <x v="4"/>
    <x v="0"/>
    <n v="4"/>
    <s v="Sunwest Water and Electric Co. 2, Inc."/>
    <s v="Villasiga Hydro Power Plant"/>
    <s v="Bugasong, Antique"/>
    <n v="8.08"/>
    <n v="8.08"/>
    <n v="8.08"/>
    <m/>
    <d v="2016-04-17T00:00:00"/>
    <d v="2016-04-17T00:00:00"/>
    <d v="2036-04-16T00:00:00"/>
    <n v="20"/>
    <s v="17 April 2016 - 16 April 2036"/>
    <s v="27-Mar-17 (PAO FIT)"/>
    <d v="2017-04-17T00:00:00"/>
    <n v="5.9"/>
    <s v="•Issuance of PAO: 07 Nov 2016_x000a_•Issuance of PAO-FIT: 27 March 2017 _x000a_•Issuance of COC-FIT: 26 Jun 2019_x000a_•Issuance of PAO-FIT: 12 April 2022_x000a_•Isuance of PAO on 15 July 2025"/>
    <x v="0"/>
    <s v="Villasiga Hydroelectric Power Project"/>
    <d v="2016-04-17T00:00:00"/>
    <n v="0"/>
    <m/>
  </r>
  <r>
    <x v="3"/>
    <x v="4"/>
    <x v="0"/>
    <n v="5"/>
    <s v="Hedcor Tudaya, Inc."/>
    <s v="Tudaya 2 HEP"/>
    <s v="Brgy. Sibulan, Sta. Cruz, Davao del Sur"/>
    <n v="8.1370000000000005"/>
    <n v="8.1370000000000005"/>
    <n v="8.1370000000000005"/>
    <m/>
    <d v="2014-04-11T00:00:00"/>
    <d v="2015-06-15T00:00:00"/>
    <d v="2034-04-10T00:00:00"/>
    <n v="20"/>
    <s v="15 June 2015 - _x000a_10 April 2034"/>
    <d v="2015-06-15T00:00:00"/>
    <d v="2016-06-15T00:00:00"/>
    <n v="5.9"/>
    <s v="•Issuance of Regular COC: 11-Apr-14_x000a_•Issuance of FIT-COC: 15-Jun-15_x000a_•Renewal of FIT COC: 05-Mar-19_x000a_•Grant of PAO: 19-Mar-24_x000a_• 1st Extension of PAO on 21 Mar ch 2025_x000a_• 2nd Extension of PAO on 24 March 2026"/>
    <x v="0"/>
    <s v="Tudaya 2 Hydroelectric Power Project *"/>
    <d v="2015-06-15T00:00:00"/>
    <n v="0"/>
    <m/>
  </r>
  <r>
    <x v="2"/>
    <x v="1"/>
    <x v="1"/>
    <n v="5"/>
    <m/>
    <m/>
    <m/>
    <n v="36.055"/>
    <n v="36.055999999999997"/>
    <n v="35.956000000000003"/>
    <m/>
    <m/>
    <m/>
    <m/>
    <m/>
    <m/>
    <m/>
    <m/>
    <m/>
    <m/>
    <x v="2"/>
    <m/>
    <d v="1899-12-30T00:00:00"/>
    <n v="0"/>
    <m/>
  </r>
  <r>
    <x v="0"/>
    <x v="4"/>
    <x v="4"/>
    <n v="6"/>
    <s v="SN Aboitiz Power Magat, Inc."/>
    <s v="Maris Main Canal I Hydroelectric Power Plant"/>
    <s v="Brgy. Ambatali, Ramon Isabela"/>
    <n v="8.5"/>
    <n v="8.5"/>
    <n v="8.5"/>
    <m/>
    <d v="2017-11-20T00:00:00"/>
    <d v="2017-11-20T00:00:00"/>
    <d v="2037-11-19T00:00:00"/>
    <n v="20"/>
    <s v="20 November 2017 - _x000a_19 November 2037"/>
    <d v="2018-04-04T00:00:00"/>
    <d v="2018-11-20T00:00:00"/>
    <n v="5.8704999999999998"/>
    <s v="•Issuance of FIT-COC: 04-Apr-18"/>
    <x v="0"/>
    <s v="Maris Main Canal 1 HPP"/>
    <d v="2017-11-20T00:00:00"/>
    <n v="0"/>
    <m/>
  </r>
  <r>
    <x v="2"/>
    <x v="1"/>
    <x v="1"/>
    <n v="1"/>
    <m/>
    <m/>
    <m/>
    <n v="8.5"/>
    <n v="8.5"/>
    <n v="8.5"/>
    <m/>
    <m/>
    <m/>
    <m/>
    <m/>
    <m/>
    <m/>
    <m/>
    <m/>
    <m/>
    <x v="2"/>
    <m/>
    <d v="1899-12-30T00:00:00"/>
    <n v="0"/>
    <m/>
  </r>
  <r>
    <x v="0"/>
    <x v="4"/>
    <x v="2"/>
    <n v="7"/>
    <s v="Majayjay Hydropower Company, Inc."/>
    <s v="Majayjay Hydropower Plant"/>
    <s v="Brgy. Ibabang Banga, Majayjay, Laguna"/>
    <n v="2.3199999999999998"/>
    <n v="2.3199999999999998"/>
    <n v="2.19"/>
    <m/>
    <d v="2019-05-17T00:00:00"/>
    <d v="2019-05-17T00:00:00"/>
    <d v="2039-05-16T00:00:00"/>
    <n v="20"/>
    <s v="17 May 2019 - 16 May 2039"/>
    <d v="2021-07-07T00:00:00"/>
    <m/>
    <n v="5.8704999999999998"/>
    <s v="•Issuance of PAO: 14 Oct 2019_x000a_•For conversion to COC-FIT_x000a_•PAO 1st Extension: 15-June-2020_x000a_•Issuance of PAO-FIT: 06-Oct-2020_x000a_•Issuance of COC-FIT: 07-Jul-2021_x000a_• With issued PAO on 30 October 2024"/>
    <x v="0"/>
    <s v="Majayjay HEP"/>
    <d v="2019-05-17T00:00:00"/>
    <n v="0"/>
    <m/>
  </r>
  <r>
    <x v="0"/>
    <x v="4"/>
    <x v="2"/>
    <n v="8"/>
    <s v="Philippine Power and Development Corporation"/>
    <s v="1100 kW Balugbog Hydroelectric Power Plant"/>
    <s v="Nagcarlan, Laguna"/>
    <n v="1.1000000000000001"/>
    <n v="1.1000000000000001"/>
    <n v="1.1000000000000001"/>
    <m/>
    <d v="2018-07-23T00:00:00"/>
    <d v="2018-07-23T00:00:00"/>
    <d v="2038-07-22T00:00:00"/>
    <n v="20"/>
    <s v="23 July 2018 - 22 July 2038"/>
    <s v="02-Dec-20 (PAO FIT)"/>
    <m/>
    <n v="5.8704999999999998"/>
    <s v="•Issuance of PAO-FIT: 02 Dec 2020_x000a_•Grant of PAO: 15 January 2025_x000a_• 1st Extension of PAO on 27 February 2026"/>
    <x v="0"/>
    <s v="Balugbog  Hydroelectric Power Plant"/>
    <d v="2018-07-23T00:00:00"/>
    <n v="0"/>
    <m/>
  </r>
  <r>
    <x v="0"/>
    <x v="4"/>
    <x v="2"/>
    <n v="9"/>
    <s v="Philippine Power and Development Corporation"/>
    <s v="1500 kW Palakpakin Hydroelectric Power Plant"/>
    <s v="Calauan and San Pablo City, Laguna"/>
    <n v="1.5"/>
    <n v="1.5"/>
    <n v="1.5"/>
    <m/>
    <d v="2018-10-19T00:00:00"/>
    <d v="2018-10-19T00:00:00"/>
    <d v="2038-10-18T00:00:00"/>
    <n v="20"/>
    <s v="19 October 2018 - 18 October 2038"/>
    <s v="02-Dec-20 (PAO FIT)"/>
    <m/>
    <n v="5.8704999999999998"/>
    <s v="•Issuance of PAO-FIT: 02 Dec 2020_x000a_•Grant of PAO: 15 January 2025_x000a_• Issuance of COC on 31 March 2026"/>
    <x v="0"/>
    <s v="Palakpakin Hydroelectric Power Plant"/>
    <d v="2018-10-19T00:00:00"/>
    <n v="0"/>
    <m/>
  </r>
  <r>
    <x v="0"/>
    <x v="4"/>
    <x v="2"/>
    <n v="10"/>
    <s v="Hedcor, Inc."/>
    <s v="La Trinidad"/>
    <s v="La Trinidad, Benguet"/>
    <n v="20.399999999999999"/>
    <n v="20.399999999999999"/>
    <n v="20.399999999999999"/>
    <m/>
    <d v="2019-07-01T00:00:00"/>
    <d v="2019-07-01T00:00:00"/>
    <d v="2039-06-30T00:00:00"/>
    <n v="20"/>
    <s v="1 July 2019 - 30 June 2039"/>
    <s v="06-Dec-20 (PAO FIT)"/>
    <m/>
    <n v="5.8704999999999998"/>
    <s v="•Issuance of PAO-FIT: 06 Oct 2020_x000a_•Issuance of 1st Extension of PAO-FIT: 03 Nov 2021_x000a_•Issuance of 2nd Extension of PAO-FIT: 14 Nov 2022_x000a_•Issuance of 3rd Extension of PAO-FIT: 16 September 2024"/>
    <x v="0"/>
    <s v="La Trinidad HEP"/>
    <d v="2019-07-01T00:00:00"/>
    <n v="0"/>
    <m/>
  </r>
  <r>
    <x v="1"/>
    <x v="4"/>
    <x v="2"/>
    <n v="11"/>
    <s v="Sta. Clara Power Corporation"/>
    <s v="Loboc 2"/>
    <s v="Loboc, Bohol"/>
    <n v="1.2"/>
    <n v="1.2"/>
    <n v="1.2"/>
    <m/>
    <d v="2019-12-25T00:00:00"/>
    <d v="2019-12-25T00:00:00"/>
    <d v="2039-12-24T00:00:00"/>
    <n v="20"/>
    <s v="25 December 2019 - 24 December 2039"/>
    <s v="16-Sep-21 (PAO FIT)"/>
    <m/>
    <n v="5.8704999999999998"/>
    <s v="•Issuance of PAO-FIT: 16 Sep 2021_x000a_•With 2nd NISE on 27 December 2024"/>
    <x v="1"/>
    <m/>
    <d v="2019-12-25T00:00:00"/>
    <n v="0"/>
    <m/>
  </r>
  <r>
    <x v="3"/>
    <x v="4"/>
    <x v="2"/>
    <n v="12"/>
    <s v="HedCor Bukidnon, Inc."/>
    <s v="Manolo Fortich 1 Hydroelectric Power Plant"/>
    <s v="Brgy. Santiago, Manolo, Fortich, Bukidnon"/>
    <n v="45.936"/>
    <n v="45.936"/>
    <n v="45.936"/>
    <m/>
    <d v="2018-07-02T00:00:00"/>
    <d v="2018-07-02T00:00:00"/>
    <d v="2038-07-01T00:00:00"/>
    <n v="20"/>
    <s v="02 July 2018 -_x000a_01 July 2038"/>
    <d v="2019-06-18T00:00:00"/>
    <m/>
    <n v="5.8704999999999998"/>
    <s v="•Issuance of FIT-COC: 18 June 2019_x000a_•Grant of PAO: 07 June 2024_x000a_•1st Extension of PAO: 19 May 2025_x000a_• 2nd Extension of PAO on 19 May 2026"/>
    <x v="0"/>
    <s v="Manolo Fortich 1 HEP"/>
    <d v="2018-07-02T00:00:00"/>
    <n v="0"/>
    <m/>
  </r>
  <r>
    <x v="3"/>
    <x v="4"/>
    <x v="2"/>
    <n v="13"/>
    <s v="Euro Hydro Power (Asia) Holdings, Inc."/>
    <s v="New Bataan"/>
    <s v="New Bataan, Compostela Valley"/>
    <n v="3.1880000000000002"/>
    <n v="3.1880000000000002"/>
    <n v="3.1880000000000002"/>
    <m/>
    <d v="2018-03-06T00:00:00"/>
    <d v="2018-03-06T00:00:00"/>
    <d v="2038-03-05T00:00:00"/>
    <n v="20"/>
    <s v="6 March 2018 - 5 March 2038"/>
    <s v="16-Dec-20 (PAO FIT)"/>
    <m/>
    <n v="5.8704999999999998"/>
    <s v="•Issuance of COC: 18 May 2018_x000a_•For conversion to COC-FIT_x000a_• Issued PAO-FIT: 16-Dec-2020_x000a_• 1st Extension of  PAO-FIT: 18-Jan-2022_x000a_• With PAO valid until 15 December 2024; With ongoing PAO Application_x000a_• With NISE on 20 November 2024_x000a_•Issuance PAO: 12-Feb-2026"/>
    <x v="0"/>
    <s v="New Bataan Hydroelectic Power Plant"/>
    <d v="2018-03-06T00:00:00"/>
    <n v="0"/>
    <m/>
  </r>
  <r>
    <x v="3"/>
    <x v="4"/>
    <x v="2"/>
    <n v="14"/>
    <s v="Hedcor Bukidnon, Inc."/>
    <s v="Manolo Fortich 2"/>
    <s v="Manolo Fortich, Bukidnon"/>
    <n v="27.387"/>
    <n v="27.387"/>
    <n v="27.387"/>
    <m/>
    <d v="2018-11-23T00:00:00"/>
    <d v="2018-11-23T00:00:00"/>
    <d v="2038-11-22T00:00:00"/>
    <n v="20"/>
    <s v="23 November 2018 - 22 November 2038"/>
    <s v="05-May-21 _x000a_(Conversion to FIT COC)"/>
    <m/>
    <n v="5.8704999999999998"/>
    <s v="•Issuance of COC: 18 June 2019_x000a_•Converted to COC-FIT on 5 May 2021_x000a_•Grant of PAO: 07 June 2024_x000a_•1st Extension of PAO: 19 May 2025_x000a_• 2nd Extension of PAO on 19 May 2026"/>
    <x v="0"/>
    <s v="Manolo Fortich 2 HEP"/>
    <d v="2018-11-23T00:00:00"/>
    <n v="0"/>
    <m/>
  </r>
  <r>
    <x v="2"/>
    <x v="1"/>
    <x v="1"/>
    <m/>
    <m/>
    <m/>
    <m/>
    <n v="103.03100000000001"/>
    <n v="103.03100000000001"/>
    <n v="102.901"/>
    <m/>
    <m/>
    <m/>
    <m/>
    <m/>
    <m/>
    <m/>
    <m/>
    <m/>
    <m/>
    <x v="2"/>
    <m/>
    <d v="1899-12-30T00:00:00"/>
    <n v="0"/>
    <m/>
  </r>
  <r>
    <x v="0"/>
    <x v="4"/>
    <x v="3"/>
    <n v="15"/>
    <s v="Luzon Hydro Corporation (LHC) [Under IPPA with Northern Renewables Generation Corporation (formerly Vivant-Sta. Clara Northern Renewables Generation Corp.)]"/>
    <s v="74.80MW Bakun Hydroelectric Power Plant"/>
    <s v="Brgy. Amilongan, Alilem, Ilocos Sur"/>
    <n v="74.8"/>
    <n v="74.8"/>
    <n v="74.8"/>
    <m/>
    <d v="2020-06-23T00:00:00"/>
    <d v="2020-06-23T00:00:00"/>
    <d v="2036-01-26T00:00:00"/>
    <n v="16"/>
    <s v="23 June 2020 -_x000a_22 June 2036"/>
    <d v="2020-09-29T00:00:00"/>
    <m/>
    <n v="5.6715"/>
    <s v=" •From Regular COC Converted to COC-FIT (29 Sep 2020)_x000a_•Renewed to PAO on 29 July 2024_x000a_ • 1st Extension of PAO on 10 July 2025"/>
    <x v="8"/>
    <s v="Bakun Plant"/>
    <s v="6/23/20"/>
    <n v="0"/>
    <m/>
  </r>
  <r>
    <x v="2"/>
    <x v="1"/>
    <x v="1"/>
    <m/>
    <m/>
    <m/>
    <m/>
    <n v="74.8"/>
    <n v="74.8"/>
    <n v="74.8"/>
    <m/>
    <m/>
    <m/>
    <m/>
    <m/>
    <m/>
    <m/>
    <m/>
    <m/>
    <m/>
    <x v="2"/>
    <m/>
    <d v="1899-12-30T00:00:00"/>
    <n v="0"/>
    <m/>
  </r>
  <r>
    <x v="0"/>
    <x v="4"/>
    <x v="5"/>
    <n v="16"/>
    <s v="Philippine Power and Development Corporation"/>
    <s v="300 kW Calibato Hydroelectric Power Plant"/>
    <s v="San Pablo, Laguna"/>
    <n v="0.3"/>
    <n v="0.3"/>
    <n v="0.3"/>
    <m/>
    <d v="2020-01-06T00:00:00"/>
    <d v="2020-01-06T00:00:00"/>
    <d v="2040-01-05T00:00:00"/>
    <n v="20"/>
    <s v="6 January 2020 - 5 January 2040"/>
    <s v="02-Dec-20 (PAO FIT)"/>
    <m/>
    <n v="6.1109999999999998"/>
    <s v="•Issuance of PAO-FIT: 02 Dec 2020_x000a_•Grant of PAO: 17 January 2025_x000a_• 1st Extension of PAO on 12 February 2026"/>
    <x v="0"/>
    <s v="Calibato HEP"/>
    <d v="2020-01-06T00:00:00"/>
    <n v="0"/>
    <m/>
  </r>
  <r>
    <x v="0"/>
    <x v="4"/>
    <x v="5"/>
    <n v="17"/>
    <s v="Labayat 1 Hydroelectric Power Plant (L1HC)"/>
    <s v="3.456 MW Upper Labayat Hydroelectric Power Plant (ULHEPP)"/>
    <s v="Brgy. Maragondon, Real, Quezon"/>
    <n v="3.456"/>
    <n v="3.456"/>
    <n v="3.456"/>
    <m/>
    <d v="2021-09-01T00:00:00"/>
    <d v="2021-09-01T00:00:00"/>
    <d v="2041-08-31T00:00:00"/>
    <n v="20"/>
    <s v="1 September 2021 - 31 August 2041"/>
    <s v="11/15/2022 (PAO-FIT)"/>
    <m/>
    <n v="6.1109999999999998"/>
    <s v="•Issuance of PAO-FIT: 15 Nov 2022"/>
    <x v="0"/>
    <s v="Labayat River (Upper Cascade)"/>
    <d v="2021-09-01T00:00:00"/>
    <n v="0"/>
    <m/>
  </r>
  <r>
    <x v="0"/>
    <x v="4"/>
    <x v="6"/>
    <n v="18"/>
    <s v="Mindoro Grid Corporation"/>
    <s v="1.350 MW Butao HEPP"/>
    <s v="Brgy. Butao San Manuel, Pangasinan"/>
    <n v="1.35"/>
    <n v="1.1970000000000001"/>
    <n v="1.1970000000000001"/>
    <m/>
    <d v="2022-02-15T00:00:00"/>
    <d v="2023-10-18T00:00:00"/>
    <d v="2043-10-17T00:00:00"/>
    <n v="20"/>
    <s v="18 October 2023 - 17 October 2043"/>
    <s v="10/18/2023 (PAO-FIT)"/>
    <m/>
    <n v="6.0804450000000001"/>
    <s v="•Issuance of PAO-FIT: 18 October 2023"/>
    <x v="0"/>
    <s v="Butao Irrigation Drop"/>
    <d v="2022-02-15T00:00:00"/>
    <n v="0"/>
    <m/>
  </r>
  <r>
    <x v="0"/>
    <x v="4"/>
    <x v="6"/>
    <n v="19"/>
    <s v="Bicol Hydropower Corporation (BHC)"/>
    <s v="Inarihan Hydroelectric Power Plant"/>
    <s v="Brgy. Panicuason, Naga City, Camarines Sur"/>
    <n v="1.6"/>
    <n v="1.6"/>
    <n v="1.6"/>
    <m/>
    <d v="2022-04-28T00:00:00"/>
    <d v="2022-04-28T00:00:00"/>
    <d v="2042-04-27T00:00:00"/>
    <n v="20"/>
    <s v="28 April 2022 - 27 April 2042"/>
    <s v="10/26/2023 (PAO-FIT)"/>
    <m/>
    <n v="6.0804450000000001"/>
    <s v="•Issuance of PAO-FIT: 26 October 2023_x000a_• Issued PAO on 21 October 2024_x000a_• Issued PAO (1st extension) on 06 January 2026"/>
    <x v="0"/>
    <s v="Inarihan"/>
    <s v="04/28/22"/>
    <n v="0"/>
    <m/>
  </r>
  <r>
    <x v="0"/>
    <x v="4"/>
    <x v="6"/>
    <n v="20"/>
    <s v="Tibag Hydropower Corporation (THC)"/>
    <s v="5.0 MW Tibag Hydroelectric Power Project (HPP)"/>
    <s v="Mauban, Quezon"/>
    <n v="5.8079999999999998"/>
    <n v="5.8079999999999998"/>
    <n v="5.8079999999999998"/>
    <m/>
    <d v="2023-09-27T00:00:00"/>
    <d v="2023-09-27T00:00:00"/>
    <d v="2043-09-26T00:00:00"/>
    <n v="20"/>
    <s v="27 September 2023 - 26 September 2043"/>
    <d v="2024-12-18T00:00:00"/>
    <m/>
    <n v="6.05"/>
    <s v="•Issuance of PAO: 18 December 2024_x000a_•Issuance PAO: 26-Feb-2026"/>
    <x v="0"/>
    <s v="Tibag"/>
    <d v="2023-09-27T00:00:00"/>
    <n v="0"/>
    <m/>
  </r>
  <r>
    <x v="0"/>
    <x v="4"/>
    <x v="6"/>
    <n v="21"/>
    <s v="Benguet Electric Cooperative, Inc."/>
    <s v="Man-asok Hydroelectric Power Plant"/>
    <s v="Brgy. Sebang, Buguias, Benguet"/>
    <n v="3.24"/>
    <n v="3.24"/>
    <n v="3.24"/>
    <m/>
    <d v="2022-07-01T00:00:00"/>
    <d v="2022-07-01T00:00:00"/>
    <d v="2042-06-30T00:00:00"/>
    <n v="20"/>
    <s v="1 July 2022 - 30 June 2042"/>
    <d v="2024-11-25T00:00:00"/>
    <m/>
    <n v="6.0804450000000001"/>
    <s v="•Issuance of PAO: 25 November 2024"/>
    <x v="0"/>
    <s v="Man-asok"/>
    <d v="2022-07-01T00:00:00"/>
    <n v="0"/>
    <m/>
  </r>
  <r>
    <x v="0"/>
    <x v="4"/>
    <x v="6"/>
    <n v="22"/>
    <s v="BEHMC Lower Labayat Hydropower Corporation"/>
    <s v="Labayat River (Lower Cascade) Hydroelectric Power Project"/>
    <s v="Real, Quezon"/>
    <n v="1.4"/>
    <n v="1.4"/>
    <n v="1.4"/>
    <m/>
    <d v="2024-05-07T00:00:00"/>
    <d v="2024-05-07T00:00:00"/>
    <d v="2044-05-06T00:00:00"/>
    <n v="20"/>
    <s v="7 May 2024 - 6 May 2044"/>
    <s v="30 Oct 2024 (PAO)"/>
    <m/>
    <n v="6.0198"/>
    <s v="•Issuance of PAO: 30 October 2024_x000a_• 1st Extension of PAO on 12 November 2025"/>
    <x v="0"/>
    <s v="Labayat River-lower Cascade"/>
    <d v="2024-05-07T00:00:00"/>
    <n v="0"/>
    <m/>
  </r>
  <r>
    <x v="0"/>
    <x v="4"/>
    <x v="6"/>
    <n v="23"/>
    <s v="Matuno River Development Corporation"/>
    <s v="Matuno"/>
    <s v="Bambang, Nueva Vizcaya"/>
    <n v="8.6609999999999996"/>
    <n v="8.6609999999999996"/>
    <n v="8.6609999999999996"/>
    <m/>
    <d v="2024-08-27T00:00:00"/>
    <d v="2024-08-27T00:00:00"/>
    <d v="2044-08-26T00:00:00"/>
    <n v="20"/>
    <s v="27 August 2024 - 26 August 2044"/>
    <s v="21 Oct 2024 (PAO)"/>
    <m/>
    <n v="6.0198"/>
    <s v="•Issuance of PAO: 24 October 2024"/>
    <x v="0"/>
    <m/>
    <d v="2024-08-27T00:00:00"/>
    <n v="0"/>
    <m/>
  </r>
  <r>
    <x v="0"/>
    <x v="4"/>
    <x v="6"/>
    <n v="24"/>
    <s v="Liangan Power Corporation"/>
    <s v="Liangan"/>
    <s v="Bacolod, Lanao del Norte"/>
    <n v="12"/>
    <n v="12"/>
    <n v="11.79"/>
    <m/>
    <d v="2024-10-22T00:00:00"/>
    <d v="2024-10-22T00:00:00"/>
    <d v="2044-10-21T00:00:00"/>
    <n v="20"/>
    <s v="22 October 2024 - 21 October 2044"/>
    <s v=" COC: 21 April 2025"/>
    <m/>
    <n v="6.0198"/>
    <s v="•Issuance of COC: 21 April 2025"/>
    <x v="0"/>
    <m/>
    <d v="2024-10-22T00:00:00"/>
    <n v="0"/>
    <m/>
  </r>
  <r>
    <x v="0"/>
    <x v="4"/>
    <x v="6"/>
    <n v="25"/>
    <s v="Hydrocore Corporation"/>
    <s v="Ibulao"/>
    <s v="Lagawe, Ifugao"/>
    <n v="4.5"/>
    <n v="4.5"/>
    <n v="4.5"/>
    <m/>
    <d v="2024-11-25T00:00:00"/>
    <d v="2024-11-25T00:00:00"/>
    <d v="2044-11-19T00:00:00"/>
    <n v="20"/>
    <s v="25 November 2024 - 19 November 2044"/>
    <s v="19 December 2025 (PAO)"/>
    <m/>
    <n v="6.0198"/>
    <s v="•Issuance of PAO: 19 December 2025_x000a_•"/>
    <x v="0"/>
    <m/>
    <d v="1899-12-30T00:00:00"/>
    <n v="45621"/>
    <m/>
  </r>
  <r>
    <x v="0"/>
    <x v="4"/>
    <x v="6"/>
    <n v="26"/>
    <s v="Siguil Hydro Power Corporation"/>
    <s v="Siguil"/>
    <s v="Maasim, Sarangani Province"/>
    <n v="15.3"/>
    <n v="15.3"/>
    <n v="14.6"/>
    <m/>
    <d v="2024-09-30T00:00:00"/>
    <d v="2024-09-30T00:00:00"/>
    <d v="2044-09-29T00:00:00"/>
    <n v="20"/>
    <s v="30 September 2024 - 29 September 2044"/>
    <s v="10 April 2025 (COC)"/>
    <m/>
    <n v="6.0198"/>
    <s v="•Issuance of PAO: 30 September 2024_x000a_• Issuance of COC: 10 April 2025"/>
    <x v="0"/>
    <m/>
    <d v="2024-08-01T00:00:00"/>
    <n v="60"/>
    <m/>
  </r>
  <r>
    <x v="0"/>
    <x v="4"/>
    <x v="6"/>
    <n v="27"/>
    <s v="Iraya Ventures, Inc."/>
    <s v="Upper Taft Hydroelectric Power Project"/>
    <s v="Taft, Eastern Samar"/>
    <n v="14.16"/>
    <n v="14.16"/>
    <n v="14.16"/>
    <m/>
    <d v="2025-07-08T00:00:00"/>
    <d v="2025-07-08T00:00:00"/>
    <d v="2045-07-07T00:00:00"/>
    <n v="20"/>
    <s v="8 July 2025 - 7 July 2045"/>
    <s v="27 August 2025 (PAO)"/>
    <m/>
    <n v="5.9897"/>
    <s v="•Issuance of PAO: 27 August 2025"/>
    <x v="0"/>
    <m/>
    <e v="#N/A"/>
    <e v="#N/A"/>
    <m/>
  </r>
  <r>
    <x v="0"/>
    <x v="4"/>
    <x v="6"/>
    <n v="28"/>
    <s v="Energvantage Suppliers Co., Inc."/>
    <s v="Laguio (Laginbayan) Malaki 1"/>
    <s v="Mauban, Quezon"/>
    <n v="1.72"/>
    <n v="1.72"/>
    <n v="1.72"/>
    <m/>
    <d v="2025-08-14T00:00:00"/>
    <d v="2025-08-14T00:00:00"/>
    <d v="2045-08-13T00:00:00"/>
    <n v="20"/>
    <s v="14 August 2025 - 13 August 2045"/>
    <s v="30 October 2025 (PAO)"/>
    <m/>
    <n v="5.9897"/>
    <s v="•Issuance of PAO: 30 October 2025_x000a_•"/>
    <x v="0"/>
    <m/>
    <e v="#N/A"/>
    <e v="#N/A"/>
    <m/>
  </r>
  <r>
    <x v="0"/>
    <x v="4"/>
    <x v="6"/>
    <n v="29"/>
    <s v="Oriental Energy and Power Generation Corporation"/>
    <s v="Timbaban"/>
    <s v="Madalag, Aklan"/>
    <n v="18.869"/>
    <n v="18.869"/>
    <n v="18.869"/>
    <m/>
    <d v="2024-06-25T00:00:00"/>
    <d v="2025-12-12T00:00:00"/>
    <d v="2044-06-24T00:00:00"/>
    <n v="19"/>
    <s v="12 December 2025 - 24 June 2044"/>
    <s v="5 September 2025"/>
    <m/>
    <n v="6.0198"/>
    <s v="•Issuance of PAO: 5 September 2025_x000a_•"/>
    <x v="0"/>
    <m/>
    <e v="#N/A"/>
    <e v="#N/A"/>
    <m/>
  </r>
  <r>
    <x v="1"/>
    <x v="4"/>
    <x v="6"/>
    <n v="30"/>
    <s v="Taft Hydroenergy Corporation"/>
    <s v="Tubig Hydroelectric Power Plant"/>
    <s v="San Rafel, Taft, Eastern Samar"/>
    <n v="15.93"/>
    <n v="15.18"/>
    <n v="15.18"/>
    <m/>
    <d v="2022-10-15T00:00:00"/>
    <d v="2022-10-15T00:00:00"/>
    <d v="2042-10-14T00:00:00"/>
    <n v="20"/>
    <s v="15 October 2022 - 14 October 2042"/>
    <s v="27 Nov 2024 (PAO)"/>
    <m/>
    <n v="6.0804450000000001"/>
    <s v="•Issuance of PAO: 27 November 2024_x000a_• 1st Extension of PAO: 13 November 2025"/>
    <x v="0"/>
    <m/>
    <e v="#N/A"/>
    <e v="#N/A"/>
    <m/>
  </r>
  <r>
    <x v="3"/>
    <x v="4"/>
    <x v="6"/>
    <n v="31"/>
    <s v="Euro Hydro Power (Asia) Holdings, Inc. "/>
    <s v="Marbel 1 Hydroelectric Power Plant"/>
    <s v="Sitio Guadalupe, Purok Mabuhay II, Brgy. Carpenter Hill, Koronadal City, South Cotabato"/>
    <n v="0.78800000000000003"/>
    <n v="0.45300000000000001"/>
    <n v="0.45300000000000001"/>
    <m/>
    <d v="2022-06-15T00:00:00"/>
    <d v="2022-07-03T00:00:00"/>
    <d v="2043-06-02T00:00:00"/>
    <n v="21"/>
    <s v="3 July 2022 - 2 June 2043"/>
    <s v="07/03/2023 (PAO-FIT)"/>
    <m/>
    <n v="6.0804450000000001"/>
    <s v="•Issuance of PAO-FIT: 03 July 2023"/>
    <x v="0"/>
    <s v="Marbel 1"/>
    <s v="06/16/22"/>
    <n v="-1"/>
    <m/>
  </r>
  <r>
    <x v="3"/>
    <x v="4"/>
    <x v="6"/>
    <n v="32"/>
    <s v="Euro Hydro Power (Asia) Holdings, Inc. "/>
    <s v="Alamada Hydroelectric Power Plant - Unit 1"/>
    <s v="Brgy. Barangiran, Alamada, North Cotabato"/>
    <n v="1"/>
    <n v="2.5870000000000002"/>
    <n v="2.5870000000000002"/>
    <m/>
    <d v="2023-06-01T00:00:00"/>
    <d v="2023-06-01T00:00:00"/>
    <d v="2043-05-31T00:00:00"/>
    <n v="20"/>
    <s v="1 June 2023 - 31 May 2043"/>
    <s v="1/31/2025 (PAO)"/>
    <m/>
    <n v="6.05"/>
    <s v="•Issuance of PAO: 31 January 2025_x000a_• Extension of PAO: 31 January 2026_x000a_• Amended Extension of PAO on 08 June 2026"/>
    <x v="0"/>
    <s v="Alamada"/>
    <d v="2023-06-01T00:00:00"/>
    <n v="0"/>
    <m/>
  </r>
  <r>
    <x v="2"/>
    <x v="1"/>
    <x v="1"/>
    <n v="17"/>
    <m/>
    <m/>
    <m/>
    <n v="110.08199999999998"/>
    <n v="110.431"/>
    <n v="109.521"/>
    <m/>
    <m/>
    <m/>
    <m/>
    <m/>
    <m/>
    <m/>
    <m/>
    <m/>
    <m/>
    <x v="2"/>
    <m/>
    <d v="1899-12-30T00:00:00"/>
    <n v="0"/>
    <m/>
  </r>
  <r>
    <x v="3"/>
    <x v="4"/>
    <x v="7"/>
    <n v="1"/>
    <s v="Cabanglasan Hydropower Corporation "/>
    <s v="Pulanai River"/>
    <s v="Valencia, Bukidnon"/>
    <n v="18.2"/>
    <n v="18.2"/>
    <n v="18.2"/>
    <m/>
    <d v="2026-04-02T00:00:00"/>
    <d v="2026-04-02T00:00:00"/>
    <d v="2046-04-01T00:00:00"/>
    <n v="20"/>
    <s v="2 April 2026 - 1 April 2046"/>
    <s v="21-May-26 (PAO)"/>
    <m/>
    <n v="6.9282000000000004"/>
    <s v="•Issuance of PAO: 22 May 2026"/>
    <x v="0"/>
    <m/>
    <m/>
    <m/>
    <m/>
  </r>
  <r>
    <x v="2"/>
    <x v="1"/>
    <x v="1"/>
    <n v="1"/>
    <m/>
    <m/>
    <m/>
    <n v="18.2"/>
    <n v="18.2"/>
    <n v="18.2"/>
    <m/>
    <m/>
    <m/>
    <m/>
    <m/>
    <m/>
    <m/>
    <m/>
    <m/>
    <m/>
    <x v="2"/>
    <m/>
    <d v="1899-12-30T00:00:00"/>
    <n v="0"/>
    <m/>
  </r>
  <r>
    <x v="2"/>
    <x v="1"/>
    <x v="1"/>
    <m/>
    <m/>
    <m/>
    <m/>
    <m/>
    <m/>
    <m/>
    <m/>
    <m/>
    <m/>
    <m/>
    <m/>
    <m/>
    <m/>
    <m/>
    <m/>
    <m/>
    <x v="2"/>
    <m/>
    <d v="1899-12-30T00:00:00"/>
    <n v="0"/>
    <m/>
  </r>
  <r>
    <x v="2"/>
    <x v="1"/>
    <x v="1"/>
    <n v="1"/>
    <m/>
    <m/>
    <m/>
    <n v="74.8"/>
    <n v="74.8"/>
    <n v="74.8"/>
    <m/>
    <m/>
    <m/>
    <m/>
    <m/>
    <m/>
    <m/>
    <m/>
    <m/>
    <m/>
    <x v="2"/>
    <m/>
    <d v="1899-12-30T00:00:00"/>
    <n v="0"/>
    <m/>
  </r>
  <r>
    <x v="2"/>
    <x v="1"/>
    <x v="1"/>
    <n v="1"/>
    <m/>
    <m/>
    <m/>
    <n v="74.8"/>
    <n v="74.8"/>
    <n v="74.8"/>
    <m/>
    <m/>
    <m/>
    <m/>
    <m/>
    <m/>
    <m/>
    <m/>
    <m/>
    <m/>
    <x v="2"/>
    <m/>
    <d v="1899-12-30T00:00:00"/>
    <n v="0"/>
    <m/>
  </r>
  <r>
    <x v="2"/>
    <x v="1"/>
    <x v="1"/>
    <n v="1"/>
    <m/>
    <m/>
    <m/>
    <n v="74.8"/>
    <n v="74.8"/>
    <n v="74.8"/>
    <m/>
    <m/>
    <m/>
    <m/>
    <m/>
    <m/>
    <m/>
    <m/>
    <m/>
    <m/>
    <x v="2"/>
    <m/>
    <d v="1899-12-30T00:00:00"/>
    <n v="0"/>
    <m/>
  </r>
  <r>
    <x v="2"/>
    <x v="1"/>
    <x v="1"/>
    <n v="1"/>
    <m/>
    <m/>
    <m/>
    <n v="74.8"/>
    <n v="74.8"/>
    <n v="74.8"/>
    <m/>
    <m/>
    <m/>
    <m/>
    <m/>
    <m/>
    <m/>
    <m/>
    <m/>
    <m/>
    <x v="2"/>
    <m/>
    <d v="1899-12-30T00:00:00"/>
    <n v="0"/>
    <m/>
  </r>
  <r>
    <x v="2"/>
    <x v="1"/>
    <x v="1"/>
    <n v="3"/>
    <m/>
    <m/>
    <m/>
    <n v="224.39999999999998"/>
    <n v="224.39999999999998"/>
    <n v="224.39999999999998"/>
    <m/>
    <m/>
    <m/>
    <m/>
    <m/>
    <m/>
    <m/>
    <m/>
    <m/>
    <m/>
    <x v="2"/>
    <m/>
    <d v="1899-12-30T00:00:00"/>
    <n v="0"/>
    <m/>
  </r>
  <r>
    <x v="2"/>
    <x v="1"/>
    <x v="1"/>
    <n v="3"/>
    <m/>
    <m/>
    <m/>
    <n v="374"/>
    <n v="374"/>
    <n v="374"/>
    <m/>
    <m/>
    <m/>
    <m/>
    <m/>
    <m/>
    <m/>
    <m/>
    <m/>
    <m/>
    <x v="2"/>
    <m/>
    <d v="1899-12-30T00:00:00"/>
    <n v="0"/>
    <m/>
  </r>
  <r>
    <x v="2"/>
    <x v="1"/>
    <x v="1"/>
    <n v="5"/>
    <m/>
    <m/>
    <m/>
    <n v="822.8"/>
    <n v="822.8"/>
    <n v="822.8"/>
    <m/>
    <m/>
    <m/>
    <m/>
    <m/>
    <m/>
    <m/>
    <m/>
    <m/>
    <m/>
    <x v="2"/>
    <m/>
    <d v="1899-12-30T00:00:00"/>
    <n v="0"/>
    <m/>
  </r>
  <r>
    <x v="2"/>
    <x v="1"/>
    <x v="1"/>
    <n v="5"/>
    <m/>
    <m/>
    <m/>
    <n v="1570.8"/>
    <n v="1570.8"/>
    <n v="1570.8"/>
    <m/>
    <m/>
    <m/>
    <m/>
    <m/>
    <m/>
    <m/>
    <m/>
    <m/>
    <m/>
    <x v="2"/>
    <m/>
    <d v="1899-12-30T00:00:00"/>
    <n v="0"/>
    <m/>
  </r>
  <r>
    <x v="2"/>
    <x v="1"/>
    <x v="1"/>
    <n v="6"/>
    <m/>
    <m/>
    <m/>
    <n v="3141.6"/>
    <n v="3141.6"/>
    <n v="3141.6"/>
    <m/>
    <m/>
    <m/>
    <m/>
    <m/>
    <m/>
    <m/>
    <m/>
    <m/>
    <m/>
    <x v="2"/>
    <m/>
    <d v="1899-12-30T00:00:00"/>
    <n v="0"/>
    <m/>
  </r>
  <r>
    <x v="2"/>
    <x v="1"/>
    <x v="1"/>
    <n v="8"/>
    <m/>
    <m/>
    <m/>
    <n v="6358"/>
    <n v="6358"/>
    <n v="6358"/>
    <m/>
    <m/>
    <m/>
    <m/>
    <m/>
    <m/>
    <m/>
    <m/>
    <m/>
    <m/>
    <x v="2"/>
    <m/>
    <d v="1899-12-30T00:00:00"/>
    <n v="0"/>
    <m/>
  </r>
  <r>
    <x v="2"/>
    <x v="1"/>
    <x v="1"/>
    <n v="15"/>
    <m/>
    <m/>
    <m/>
    <n v="12939.07"/>
    <n v="12940.671"/>
    <n v="12939.761"/>
    <m/>
    <m/>
    <m/>
    <m/>
    <m/>
    <m/>
    <m/>
    <m/>
    <m/>
    <m/>
    <x v="2"/>
    <m/>
    <d v="1899-12-30T00:00:00"/>
    <n v="0"/>
    <m/>
  </r>
  <r>
    <x v="2"/>
    <x v="1"/>
    <x v="1"/>
    <n v="15"/>
    <m/>
    <m/>
    <m/>
    <n v="25877.351999999999"/>
    <n v="25880.889000000003"/>
    <n v="25879.069"/>
    <m/>
    <m/>
    <m/>
    <m/>
    <m/>
    <m/>
    <m/>
    <m/>
    <n v="6.19"/>
    <m/>
    <x v="2"/>
    <m/>
    <d v="1899-12-30T00:00:00"/>
    <n v="0"/>
    <m/>
  </r>
  <r>
    <x v="2"/>
    <x v="1"/>
    <x v="1"/>
    <n v="18"/>
    <m/>
    <m/>
    <m/>
    <n v="51568.34"/>
    <n v="51573.98"/>
    <n v="51571.25"/>
    <m/>
    <m/>
    <m/>
    <m/>
    <m/>
    <m/>
    <m/>
    <m/>
    <m/>
    <m/>
    <x v="2"/>
    <m/>
    <d v="1899-12-30T00:00:00"/>
    <n v="0"/>
    <m/>
  </r>
  <r>
    <x v="2"/>
    <x v="1"/>
    <x v="1"/>
    <n v="19"/>
    <m/>
    <m/>
    <m/>
    <n v="103339.76199999999"/>
    <n v="103351.391"/>
    <n v="103345.02099999999"/>
    <m/>
    <m/>
    <m/>
    <m/>
    <m/>
    <m/>
    <m/>
    <m/>
    <m/>
    <m/>
    <x v="2"/>
    <m/>
    <d v="1899-12-30T00:00:00"/>
    <n v="0"/>
    <m/>
  </r>
  <r>
    <x v="2"/>
    <x v="1"/>
    <x v="1"/>
    <n v="179"/>
    <m/>
    <s v="Total Subscribed Capacity with FIT COC"/>
    <m/>
    <n v="51584.639999999999"/>
    <n v="51591.867000000006"/>
    <n v="51588.436999999998"/>
    <m/>
    <m/>
    <m/>
    <m/>
    <m/>
    <m/>
    <m/>
    <m/>
    <m/>
    <m/>
    <x v="2"/>
    <m/>
    <e v="#N/A"/>
    <e v="#N/A"/>
    <m/>
  </r>
  <r>
    <x v="2"/>
    <x v="1"/>
    <x v="1"/>
    <m/>
    <m/>
    <s v="Total Subscribed Capacity with FIT COC"/>
    <m/>
    <n v="51600.57"/>
    <n v="51607.047000000006"/>
    <n v="51603.616999999998"/>
    <m/>
    <m/>
    <m/>
    <m/>
    <m/>
    <m/>
    <m/>
    <m/>
    <m/>
    <m/>
    <x v="2"/>
    <m/>
    <e v="#N/A"/>
    <e v="#N/A"/>
    <m/>
  </r>
  <r>
    <x v="2"/>
    <x v="1"/>
    <x v="1"/>
    <m/>
    <m/>
    <s v="Total Subscribed Capacity with FIT COC"/>
    <m/>
    <n v="161298.33199999999"/>
    <n v="161316.43800000002"/>
    <n v="161306.63799999998"/>
    <m/>
    <m/>
    <m/>
    <m/>
    <m/>
    <m/>
    <m/>
    <m/>
    <m/>
    <m/>
    <x v="2"/>
    <m/>
    <e v="#N/A"/>
    <e v="#N/A"/>
    <m/>
  </r>
  <r>
    <x v="2"/>
    <x v="1"/>
    <x v="1"/>
    <m/>
    <m/>
    <s v="Total Subscribed Capacity with FIT COC"/>
    <m/>
    <n v="212909.78700000001"/>
    <n v="212934.63200000004"/>
    <n v="212921.40199999997"/>
    <m/>
    <m/>
    <m/>
    <m/>
    <m/>
    <m/>
    <m/>
    <m/>
    <m/>
    <m/>
    <x v="2"/>
    <m/>
    <e v="#N/A"/>
    <e v="#N/A"/>
    <m/>
  </r>
  <r>
    <x v="2"/>
    <x v="1"/>
    <x v="1"/>
    <m/>
    <m/>
    <m/>
    <m/>
    <m/>
    <m/>
    <m/>
    <m/>
    <m/>
    <m/>
    <m/>
    <m/>
    <m/>
    <m/>
    <m/>
    <m/>
    <m/>
    <x v="2"/>
    <m/>
    <d v="1899-12-30T00:00:00"/>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3EDD7-1D6A-4851-B42B-4C52684E4CBC}" name="PivotTable2" cacheId="3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37:G52" firstHeaderRow="0" firstDataRow="1" firstDataCol="2" rowPageCount="1" colPageCount="1"/>
  <pivotFields count="25">
    <pivotField axis="axisRow" compact="0" outline="0" showAll="0">
      <items count="5">
        <item x="0"/>
        <item x="1"/>
        <item x="3"/>
        <item x="2"/>
        <item t="default"/>
      </items>
    </pivotField>
    <pivotField axis="axisRow" compact="0" outline="0" showAll="0" defaultSubtotal="0">
      <items count="5">
        <item x="0"/>
        <item x="2"/>
        <item x="3"/>
        <item x="4"/>
        <item x="1"/>
      </items>
    </pivotField>
    <pivotField compact="0" outline="0" showAll="0">
      <items count="9">
        <item x="0"/>
        <item x="4"/>
        <item x="2"/>
        <item x="3"/>
        <item h="1" x="1"/>
        <item x="5"/>
        <item h="1" x="6"/>
        <item h="1" x="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Page" compact="0" outline="0" multipleItemSelectionAllowed="1" showAll="0">
      <items count="16">
        <item x="0"/>
        <item h="1" x="7"/>
        <item h="1" m="1" x="13"/>
        <item h="1" x="4"/>
        <item h="1" m="1" x="9"/>
        <item h="1" x="2"/>
        <item h="1" m="1" x="14"/>
        <item x="1"/>
        <item h="1" m="1" x="11"/>
        <item m="1" x="12"/>
        <item x="8"/>
        <item h="1" x="3"/>
        <item h="1" m="1" x="10"/>
        <item x="5"/>
        <item x="6"/>
        <item t="default"/>
      </items>
    </pivotField>
    <pivotField compact="0" outline="0" showAll="0"/>
    <pivotField compact="0" outline="0" showAll="0"/>
    <pivotField compact="0" outline="0" showAll="0"/>
    <pivotField compact="0" outline="0" showAll="0"/>
  </pivotFields>
  <rowFields count="2">
    <field x="0"/>
    <field x="1"/>
  </rowFields>
  <rowItems count="15">
    <i>
      <x/>
      <x/>
    </i>
    <i r="1">
      <x v="1"/>
    </i>
    <i r="1">
      <x v="2"/>
    </i>
    <i r="1">
      <x v="3"/>
    </i>
    <i t="default">
      <x/>
    </i>
    <i>
      <x v="1"/>
      <x/>
    </i>
    <i r="1">
      <x v="1"/>
    </i>
    <i r="1">
      <x v="2"/>
    </i>
    <i r="1">
      <x v="3"/>
    </i>
    <i t="default">
      <x v="1"/>
    </i>
    <i>
      <x v="2"/>
      <x/>
    </i>
    <i r="1">
      <x v="2"/>
    </i>
    <i r="1">
      <x v="3"/>
    </i>
    <i t="default">
      <x v="2"/>
    </i>
    <i t="grand">
      <x/>
    </i>
  </rowItems>
  <colFields count="1">
    <field x="-2"/>
  </colFields>
  <colItems count="4">
    <i>
      <x/>
    </i>
    <i i="1">
      <x v="1"/>
    </i>
    <i i="2">
      <x v="2"/>
    </i>
    <i i="3">
      <x v="3"/>
    </i>
  </colItems>
  <pageFields count="1">
    <pageField fld="20" hier="-1"/>
  </pageFields>
  <dataFields count="4">
    <dataField name=" Installed Capacity as per COC (MW)" fld="7" baseField="0" baseItem="0" numFmtId="39"/>
    <dataField name="Count of Plants w/ COC" fld="16" subtotal="count" baseField="0" baseItem="0"/>
    <dataField name=" Subscribed FIT Capacity as per COE (MW)" fld="9" baseField="0" baseItem="0" numFmtId="39"/>
    <dataField name="Count of Plants w/ COE" fld="11" subtotal="count" baseField="0" baseItem="0"/>
  </dataFields>
  <formats count="23">
    <format dxfId="427">
      <pivotArea outline="0" fieldPosition="0">
        <references count="1">
          <reference field="4294967294" count="1">
            <x v="0"/>
          </reference>
        </references>
      </pivotArea>
    </format>
    <format dxfId="426">
      <pivotArea field="0" type="button" dataOnly="0" labelOnly="1" outline="0" axis="axisRow" fieldPosition="0"/>
    </format>
    <format dxfId="425">
      <pivotArea field="1" type="button" dataOnly="0" labelOnly="1" outline="0" axis="axisRow" fieldPosition="1"/>
    </format>
    <format dxfId="424">
      <pivotArea field="2" type="button" dataOnly="0" labelOnly="1" outline="0"/>
    </format>
    <format dxfId="423">
      <pivotArea dataOnly="0" labelOnly="1" outline="0" fieldPosition="0">
        <references count="1">
          <reference field="4294967294" count="4">
            <x v="0"/>
            <x v="1"/>
            <x v="2"/>
            <x v="3"/>
          </reference>
        </references>
      </pivotArea>
    </format>
    <format dxfId="422">
      <pivotArea field="2" type="button" dataOnly="0" labelOnly="1" outline="0"/>
    </format>
    <format dxfId="421">
      <pivotArea dataOnly="0" labelOnly="1" outline="0" fieldPosition="0">
        <references count="1">
          <reference field="0" count="1" defaultSubtotal="1">
            <x v="0"/>
          </reference>
        </references>
      </pivotArea>
    </format>
    <format dxfId="420">
      <pivotArea dataOnly="0" labelOnly="1" outline="0" fieldPosition="0">
        <references count="1">
          <reference field="0" count="1" defaultSubtotal="1">
            <x v="1"/>
          </reference>
        </references>
      </pivotArea>
    </format>
    <format dxfId="419">
      <pivotArea dataOnly="0" labelOnly="1" outline="0" fieldPosition="0">
        <references count="1">
          <reference field="0" count="1" defaultSubtotal="1">
            <x v="2"/>
          </reference>
        </references>
      </pivotArea>
    </format>
    <format dxfId="418">
      <pivotArea dataOnly="0" labelOnly="1" grandRow="1" outline="0" fieldPosition="0"/>
    </format>
    <format dxfId="417">
      <pivotArea dataOnly="0" labelOnly="1" outline="0" fieldPosition="0">
        <references count="2">
          <reference field="0" count="1" selected="0">
            <x v="0"/>
          </reference>
          <reference field="1" count="1">
            <x v="0"/>
          </reference>
        </references>
      </pivotArea>
    </format>
    <format dxfId="416">
      <pivotArea dataOnly="0" labelOnly="1" outline="0" fieldPosition="0">
        <references count="2">
          <reference field="0" count="1" selected="0">
            <x v="0"/>
          </reference>
          <reference field="1" count="1">
            <x v="1"/>
          </reference>
        </references>
      </pivotArea>
    </format>
    <format dxfId="415">
      <pivotArea dataOnly="0" labelOnly="1" outline="0" fieldPosition="0">
        <references count="2">
          <reference field="0" count="1" selected="0">
            <x v="0"/>
          </reference>
          <reference field="1" count="1">
            <x v="2"/>
          </reference>
        </references>
      </pivotArea>
    </format>
    <format dxfId="414">
      <pivotArea dataOnly="0" labelOnly="1" outline="0" fieldPosition="0">
        <references count="2">
          <reference field="0" count="1" selected="0">
            <x v="0"/>
          </reference>
          <reference field="1" count="1">
            <x v="3"/>
          </reference>
        </references>
      </pivotArea>
    </format>
    <format dxfId="413">
      <pivotArea dataOnly="0" labelOnly="1" outline="0" fieldPosition="0">
        <references count="2">
          <reference field="0" count="1" selected="0">
            <x v="1"/>
          </reference>
          <reference field="1" count="1">
            <x v="0"/>
          </reference>
        </references>
      </pivotArea>
    </format>
    <format dxfId="412">
      <pivotArea dataOnly="0" labelOnly="1" outline="0" fieldPosition="0">
        <references count="2">
          <reference field="0" count="1" selected="0">
            <x v="1"/>
          </reference>
          <reference field="1" count="1">
            <x v="1"/>
          </reference>
        </references>
      </pivotArea>
    </format>
    <format dxfId="411">
      <pivotArea dataOnly="0" labelOnly="1" outline="0" fieldPosition="0">
        <references count="2">
          <reference field="0" count="1" selected="0">
            <x v="1"/>
          </reference>
          <reference field="1" count="1">
            <x v="2"/>
          </reference>
        </references>
      </pivotArea>
    </format>
    <format dxfId="410">
      <pivotArea dataOnly="0" labelOnly="1" outline="0" fieldPosition="0">
        <references count="2">
          <reference field="0" count="1" selected="0">
            <x v="1"/>
          </reference>
          <reference field="1" count="1">
            <x v="3"/>
          </reference>
        </references>
      </pivotArea>
    </format>
    <format dxfId="409">
      <pivotArea dataOnly="0" labelOnly="1" outline="0" fieldPosition="0">
        <references count="2">
          <reference field="0" count="1" selected="0">
            <x v="2"/>
          </reference>
          <reference field="1" count="1">
            <x v="0"/>
          </reference>
        </references>
      </pivotArea>
    </format>
    <format dxfId="408">
      <pivotArea dataOnly="0" labelOnly="1" outline="0" fieldPosition="0">
        <references count="2">
          <reference field="0" count="1" selected="0">
            <x v="2"/>
          </reference>
          <reference field="1" count="1">
            <x v="2"/>
          </reference>
        </references>
      </pivotArea>
    </format>
    <format dxfId="407">
      <pivotArea dataOnly="0" labelOnly="1" outline="0" fieldPosition="0">
        <references count="2">
          <reference field="0" count="1" selected="0">
            <x v="2"/>
          </reference>
          <reference field="1" count="1">
            <x v="3"/>
          </reference>
        </references>
      </pivotArea>
    </format>
    <format dxfId="406">
      <pivotArea outline="0" fieldPosition="0">
        <references count="1">
          <reference field="4294967294" count="1">
            <x v="2"/>
          </reference>
        </references>
      </pivotArea>
    </format>
    <format dxfId="405">
      <pivotArea dataOnly="0" labelOnly="1" outline="0" fieldPosition="0">
        <references count="1">
          <reference field="4294967294" count="1">
            <x v="3"/>
          </reference>
        </references>
      </pivotArea>
    </format>
  </formats>
  <pivotTableStyleInfo name="PivotStyleDark7"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9FC5B7-A4E0-430E-8211-1A88145D57DA}" name="PivotTable3" cacheId="2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K6:R28" firstHeaderRow="0" firstDataRow="1" firstDataCol="3" rowPageCount="1" colPageCount="1"/>
  <pivotFields count="21">
    <pivotField compact="0" outline="0" showAll="0"/>
    <pivotField name="RE Resources" axis="axisRow" compact="0" outline="0" showAll="0">
      <items count="6">
        <item x="0"/>
        <item x="2"/>
        <item x="3"/>
        <item x="4"/>
        <item x="1"/>
        <item t="default"/>
      </items>
    </pivotField>
    <pivotField axis="axisRow" compact="0" outline="0" showAll="0" defaultSubtotal="0">
      <items count="8">
        <item x="0"/>
        <item x="4"/>
        <item x="2"/>
        <item x="3"/>
        <item x="1"/>
        <item x="5"/>
        <item x="6"/>
        <item x="7"/>
      </items>
    </pivotField>
    <pivotField compact="0" outline="0" showAll="0"/>
    <pivotField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defaultSubtotal="0">
      <items count="18">
        <item x="11"/>
        <item x="10"/>
        <item x="9"/>
        <item x="5"/>
        <item x="12"/>
        <item x="8"/>
        <item x="7"/>
        <item x="6"/>
        <item x="4"/>
        <item x="3"/>
        <item x="2"/>
        <item x="0"/>
        <item x="1"/>
        <item x="13"/>
        <item x="14"/>
        <item x="15"/>
        <item x="16"/>
        <item x="17"/>
      </items>
    </pivotField>
    <pivotField compact="0" outline="0" showAll="0"/>
    <pivotField axis="axisPage" compact="0" outline="0" multipleItemSelectionAllowed="1" showAll="0">
      <items count="12">
        <item x="0"/>
        <item x="7"/>
        <item h="1" x="4"/>
        <item h="1" x="2"/>
        <item m="1" x="9"/>
        <item x="1"/>
        <item x="8"/>
        <item h="1" x="3"/>
        <item h="1" m="1" x="10"/>
        <item x="5"/>
        <item x="6"/>
        <item t="default"/>
      </items>
    </pivotField>
  </pivotFields>
  <rowFields count="3">
    <field x="1"/>
    <field x="2"/>
    <field x="18"/>
  </rowFields>
  <rowItems count="22">
    <i>
      <x/>
      <x/>
      <x v="11"/>
    </i>
    <i r="1">
      <x v="2"/>
      <x v="10"/>
    </i>
    <i t="default">
      <x/>
    </i>
    <i>
      <x v="1"/>
      <x/>
      <x v="9"/>
    </i>
    <i r="1">
      <x v="2"/>
      <x v="8"/>
    </i>
    <i t="default">
      <x v="1"/>
    </i>
    <i>
      <x v="2"/>
      <x/>
      <x v="7"/>
    </i>
    <i r="1">
      <x v="1"/>
      <x v="6"/>
    </i>
    <i r="1">
      <x v="2"/>
      <x v="5"/>
    </i>
    <i t="default">
      <x v="2"/>
    </i>
    <i>
      <x v="3"/>
      <x/>
      <x v="2"/>
    </i>
    <i r="1">
      <x v="1"/>
      <x v="1"/>
    </i>
    <i r="1">
      <x v="2"/>
      <x v="1"/>
    </i>
    <i r="1">
      <x v="3"/>
      <x/>
    </i>
    <i r="1">
      <x v="5"/>
      <x v="4"/>
    </i>
    <i r="1">
      <x v="6"/>
      <x v="13"/>
    </i>
    <i r="2">
      <x v="14"/>
    </i>
    <i r="2">
      <x v="15"/>
    </i>
    <i r="2">
      <x v="16"/>
    </i>
    <i r="1">
      <x v="7"/>
      <x v="17"/>
    </i>
    <i t="default">
      <x v="3"/>
    </i>
    <i t="grand">
      <x/>
    </i>
  </rowItems>
  <colFields count="1">
    <field x="-2"/>
  </colFields>
  <colItems count="5">
    <i>
      <x/>
    </i>
    <i i="1">
      <x v="1"/>
    </i>
    <i i="2">
      <x v="2"/>
    </i>
    <i i="3">
      <x v="3"/>
    </i>
    <i i="4">
      <x v="4"/>
    </i>
  </colItems>
  <pageFields count="1">
    <pageField fld="20" hier="-1"/>
  </pageFields>
  <dataFields count="5">
    <dataField name=" Installed Capacity as per COC (MW)" fld="7" baseField="0" baseItem="0" numFmtId="39"/>
    <dataField name="Sum of Installed Capacity as per COE (MW) " fld="8" baseField="0" baseItem="0" numFmtId="43"/>
    <dataField name="Count of Plants w/ COC" fld="16" subtotal="count" baseField="0" baseItem="0"/>
    <dataField name=" Subscribed FIT Capacity as per COE (MW)" fld="9" baseField="0" baseItem="0" numFmtId="39"/>
    <dataField name="Count of Plants w/ COE" fld="11" subtotal="count" baseField="0" baseItem="0"/>
  </dataFields>
  <formats count="28">
    <format dxfId="455">
      <pivotArea outline="0" fieldPosition="0">
        <references count="1">
          <reference field="4294967294" count="1">
            <x v="0"/>
          </reference>
        </references>
      </pivotArea>
    </format>
    <format dxfId="454">
      <pivotArea field="1" type="button" dataOnly="0" labelOnly="1" outline="0" axis="axisRow" fieldPosition="0"/>
    </format>
    <format dxfId="453">
      <pivotArea field="2" type="button" dataOnly="0" labelOnly="1" outline="0" axis="axisRow" fieldPosition="1"/>
    </format>
    <format dxfId="452">
      <pivotArea dataOnly="0" labelOnly="1" outline="0" fieldPosition="0">
        <references count="1">
          <reference field="4294967294" count="4">
            <x v="0"/>
            <x v="2"/>
            <x v="3"/>
            <x v="4"/>
          </reference>
        </references>
      </pivotArea>
    </format>
    <format dxfId="451">
      <pivotArea field="18" type="button" dataOnly="0" labelOnly="1" outline="0" axis="axisRow" fieldPosition="2"/>
    </format>
    <format dxfId="450">
      <pivotArea dataOnly="0" labelOnly="1" outline="0" fieldPosition="0">
        <references count="1">
          <reference field="1" count="1" defaultSubtotal="1">
            <x v="0"/>
          </reference>
        </references>
      </pivotArea>
    </format>
    <format dxfId="449">
      <pivotArea dataOnly="0" labelOnly="1" outline="0" fieldPosition="0">
        <references count="1">
          <reference field="1" count="1" defaultSubtotal="1">
            <x v="1"/>
          </reference>
        </references>
      </pivotArea>
    </format>
    <format dxfId="448">
      <pivotArea dataOnly="0" labelOnly="1" outline="0" fieldPosition="0">
        <references count="1">
          <reference field="1" count="1" defaultSubtotal="1">
            <x v="2"/>
          </reference>
        </references>
      </pivotArea>
    </format>
    <format dxfId="447">
      <pivotArea dataOnly="0" labelOnly="1" outline="0" fieldPosition="0">
        <references count="1">
          <reference field="1" count="1" defaultSubtotal="1">
            <x v="3"/>
          </reference>
        </references>
      </pivotArea>
    </format>
    <format dxfId="446">
      <pivotArea dataOnly="0" labelOnly="1" grandRow="1" outline="0" fieldPosition="0"/>
    </format>
    <format dxfId="445">
      <pivotArea dataOnly="0" labelOnly="1" outline="0" fieldPosition="0">
        <references count="3">
          <reference field="1" count="1" selected="0">
            <x v="0"/>
          </reference>
          <reference field="2" count="1" selected="0">
            <x v="0"/>
          </reference>
          <reference field="18" count="1">
            <x v="11"/>
          </reference>
        </references>
      </pivotArea>
    </format>
    <format dxfId="444">
      <pivotArea dataOnly="0" labelOnly="1" outline="0" fieldPosition="0">
        <references count="3">
          <reference field="1" count="1" selected="0">
            <x v="0"/>
          </reference>
          <reference field="2" count="1" selected="0">
            <x v="2"/>
          </reference>
          <reference field="18" count="1">
            <x v="10"/>
          </reference>
        </references>
      </pivotArea>
    </format>
    <format dxfId="443">
      <pivotArea dataOnly="0" labelOnly="1" outline="0" fieldPosition="0">
        <references count="3">
          <reference field="1" count="1" selected="0">
            <x v="1"/>
          </reference>
          <reference field="2" count="1" selected="0">
            <x v="0"/>
          </reference>
          <reference field="18" count="1">
            <x v="9"/>
          </reference>
        </references>
      </pivotArea>
    </format>
    <format dxfId="442">
      <pivotArea dataOnly="0" labelOnly="1" outline="0" fieldPosition="0">
        <references count="3">
          <reference field="1" count="1" selected="0">
            <x v="1"/>
          </reference>
          <reference field="2" count="1" selected="0">
            <x v="2"/>
          </reference>
          <reference field="18" count="1">
            <x v="8"/>
          </reference>
        </references>
      </pivotArea>
    </format>
    <format dxfId="441">
      <pivotArea dataOnly="0" labelOnly="1" outline="0" fieldPosition="0">
        <references count="3">
          <reference field="1" count="1" selected="0">
            <x v="1"/>
          </reference>
          <reference field="2" count="1" selected="0">
            <x v="3"/>
          </reference>
          <reference field="18" count="1">
            <x v="3"/>
          </reference>
        </references>
      </pivotArea>
    </format>
    <format dxfId="440">
      <pivotArea dataOnly="0" labelOnly="1" outline="0" fieldPosition="0">
        <references count="3">
          <reference field="1" count="1" selected="0">
            <x v="2"/>
          </reference>
          <reference field="2" count="1" selected="0">
            <x v="0"/>
          </reference>
          <reference field="18" count="1">
            <x v="7"/>
          </reference>
        </references>
      </pivotArea>
    </format>
    <format dxfId="439">
      <pivotArea dataOnly="0" labelOnly="1" outline="0" fieldPosition="0">
        <references count="3">
          <reference field="1" count="1" selected="0">
            <x v="2"/>
          </reference>
          <reference field="2" count="1" selected="0">
            <x v="1"/>
          </reference>
          <reference field="18" count="1">
            <x v="6"/>
          </reference>
        </references>
      </pivotArea>
    </format>
    <format dxfId="438">
      <pivotArea dataOnly="0" labelOnly="1" outline="0" fieldPosition="0">
        <references count="3">
          <reference field="1" count="1" selected="0">
            <x v="2"/>
          </reference>
          <reference field="2" count="1" selected="0">
            <x v="2"/>
          </reference>
          <reference field="18" count="1">
            <x v="5"/>
          </reference>
        </references>
      </pivotArea>
    </format>
    <format dxfId="437">
      <pivotArea dataOnly="0" labelOnly="1" outline="0" fieldPosition="0">
        <references count="3">
          <reference field="1" count="1" selected="0">
            <x v="3"/>
          </reference>
          <reference field="2" count="1" selected="0">
            <x v="0"/>
          </reference>
          <reference field="18" count="1">
            <x v="2"/>
          </reference>
        </references>
      </pivotArea>
    </format>
    <format dxfId="436">
      <pivotArea dataOnly="0" labelOnly="1" outline="0" fieldPosition="0">
        <references count="3">
          <reference field="1" count="1" selected="0">
            <x v="3"/>
          </reference>
          <reference field="2" count="1" selected="0">
            <x v="1"/>
          </reference>
          <reference field="18" count="1">
            <x v="1"/>
          </reference>
        </references>
      </pivotArea>
    </format>
    <format dxfId="435">
      <pivotArea dataOnly="0" labelOnly="1" outline="0" fieldPosition="0">
        <references count="3">
          <reference field="1" count="1" selected="0">
            <x v="3"/>
          </reference>
          <reference field="2" count="1" selected="0">
            <x v="2"/>
          </reference>
          <reference field="18" count="1">
            <x v="1"/>
          </reference>
        </references>
      </pivotArea>
    </format>
    <format dxfId="434">
      <pivotArea dataOnly="0" labelOnly="1" outline="0" fieldPosition="0">
        <references count="3">
          <reference field="1" count="1" selected="0">
            <x v="3"/>
          </reference>
          <reference field="2" count="1" selected="0">
            <x v="3"/>
          </reference>
          <reference field="18" count="1">
            <x v="0"/>
          </reference>
        </references>
      </pivotArea>
    </format>
    <format dxfId="433">
      <pivotArea dataOnly="0" labelOnly="1" outline="0" fieldPosition="0">
        <references count="3">
          <reference field="1" count="1" selected="0">
            <x v="3"/>
          </reference>
          <reference field="2" count="1" selected="0">
            <x v="5"/>
          </reference>
          <reference field="18" count="1">
            <x v="4"/>
          </reference>
        </references>
      </pivotArea>
    </format>
    <format dxfId="432">
      <pivotArea outline="0" fieldPosition="0">
        <references count="1">
          <reference field="4294967294" count="1">
            <x v="3"/>
          </reference>
        </references>
      </pivotArea>
    </format>
    <format dxfId="431">
      <pivotArea outline="0" fieldPosition="0">
        <references count="2">
          <reference field="4294967294" count="1" selected="0">
            <x v="0"/>
          </reference>
          <reference field="1" count="1" selected="0" defaultSubtotal="1">
            <x v="3"/>
          </reference>
        </references>
      </pivotArea>
    </format>
    <format dxfId="430">
      <pivotArea dataOnly="0" labelOnly="1" outline="0" fieldPosition="0">
        <references count="3">
          <reference field="1" count="1" selected="0">
            <x v="3"/>
          </reference>
          <reference field="2" count="1" selected="0">
            <x v="6"/>
          </reference>
          <reference field="18" count="1">
            <x v="14"/>
          </reference>
        </references>
      </pivotArea>
    </format>
    <format dxfId="429">
      <pivotArea outline="0" fieldPosition="0">
        <references count="1">
          <reference field="4294967294" count="1" selected="0">
            <x v="1"/>
          </reference>
        </references>
      </pivotArea>
    </format>
    <format dxfId="428">
      <pivotArea dataOnly="0" labelOnly="1" outline="0" fieldPosition="0">
        <references count="1">
          <reference field="4294967294" count="1">
            <x v="1"/>
          </reference>
        </references>
      </pivotArea>
    </format>
  </formats>
  <pivotTableStyleInfo name="PivotStyleDark6"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6489BC-21F0-41E5-83E9-C95AEB9F04B9}" name="PivotTable4" cacheId="3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61:G76" firstHeaderRow="0" firstDataRow="1" firstDataCol="2" rowPageCount="1" colPageCount="1"/>
  <pivotFields count="25">
    <pivotField axis="axisRow" compact="0" outline="0" showAll="0">
      <items count="5">
        <item x="0"/>
        <item x="1"/>
        <item x="3"/>
        <item x="2"/>
        <item t="default"/>
      </items>
    </pivotField>
    <pivotField axis="axisRow" compact="0" outline="0" showAll="0" defaultSubtotal="0">
      <items count="5">
        <item x="0"/>
        <item x="2"/>
        <item x="3"/>
        <item x="4"/>
        <item x="1"/>
      </items>
    </pivotField>
    <pivotField compact="0" outline="0" showAll="0">
      <items count="9">
        <item x="0"/>
        <item x="4"/>
        <item x="2"/>
        <item x="3"/>
        <item h="1" x="1"/>
        <item x="5"/>
        <item h="1" x="6"/>
        <item h="1" x="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Page" compact="0" outline="0" multipleItemSelectionAllowed="1" showAll="0">
      <items count="16">
        <item x="0"/>
        <item h="1" x="7"/>
        <item h="1" m="1" x="13"/>
        <item h="1" x="4"/>
        <item h="1" m="1" x="9"/>
        <item h="1" x="2"/>
        <item h="1" m="1" x="14"/>
        <item x="1"/>
        <item h="1" m="1" x="11"/>
        <item m="1" x="12"/>
        <item x="8"/>
        <item h="1" x="3"/>
        <item h="1" m="1" x="10"/>
        <item x="5"/>
        <item x="6"/>
        <item t="default"/>
      </items>
    </pivotField>
    <pivotField compact="0" outline="0" showAll="0"/>
    <pivotField compact="0" outline="0" showAll="0"/>
    <pivotField compact="0" outline="0" showAll="0"/>
    <pivotField compact="0" outline="0" showAll="0"/>
  </pivotFields>
  <rowFields count="2">
    <field x="0"/>
    <field x="1"/>
  </rowFields>
  <rowItems count="15">
    <i>
      <x/>
      <x/>
    </i>
    <i r="1">
      <x v="1"/>
    </i>
    <i r="1">
      <x v="2"/>
    </i>
    <i r="1">
      <x v="3"/>
    </i>
    <i t="default">
      <x/>
    </i>
    <i>
      <x v="1"/>
      <x/>
    </i>
    <i r="1">
      <x v="1"/>
    </i>
    <i r="1">
      <x v="2"/>
    </i>
    <i r="1">
      <x v="3"/>
    </i>
    <i t="default">
      <x v="1"/>
    </i>
    <i>
      <x v="2"/>
      <x/>
    </i>
    <i r="1">
      <x v="2"/>
    </i>
    <i r="1">
      <x v="3"/>
    </i>
    <i t="default">
      <x v="2"/>
    </i>
    <i t="grand">
      <x/>
    </i>
  </rowItems>
  <colFields count="1">
    <field x="-2"/>
  </colFields>
  <colItems count="4">
    <i>
      <x/>
    </i>
    <i i="1">
      <x v="1"/>
    </i>
    <i i="2">
      <x v="2"/>
    </i>
    <i i="3">
      <x v="3"/>
    </i>
  </colItems>
  <pageFields count="1">
    <pageField fld="20" hier="-1"/>
  </pageFields>
  <dataFields count="4">
    <dataField name=" Installed Capacity as per COC (MW)" fld="7" baseField="0" baseItem="0" numFmtId="39"/>
    <dataField name="Count of Plants w/ COC" fld="16" subtotal="count" baseField="0" baseItem="0"/>
    <dataField name=" Subscribed FIT Capacity as per COE (MW)" fld="9" baseField="0" baseItem="0" numFmtId="39"/>
    <dataField name="Count of Plants w/ COE" fld="11" subtotal="count" baseField="0" baseItem="0"/>
  </dataFields>
  <formats count="23">
    <format dxfId="478">
      <pivotArea outline="0" fieldPosition="0">
        <references count="1">
          <reference field="4294967294" count="1">
            <x v="0"/>
          </reference>
        </references>
      </pivotArea>
    </format>
    <format dxfId="477">
      <pivotArea field="0" type="button" dataOnly="0" labelOnly="1" outline="0" axis="axisRow" fieldPosition="0"/>
    </format>
    <format dxfId="476">
      <pivotArea field="1" type="button" dataOnly="0" labelOnly="1" outline="0" axis="axisRow" fieldPosition="1"/>
    </format>
    <format dxfId="475">
      <pivotArea field="2" type="button" dataOnly="0" labelOnly="1" outline="0"/>
    </format>
    <format dxfId="474">
      <pivotArea dataOnly="0" labelOnly="1" outline="0" fieldPosition="0">
        <references count="1">
          <reference field="4294967294" count="4">
            <x v="0"/>
            <x v="1"/>
            <x v="2"/>
            <x v="3"/>
          </reference>
        </references>
      </pivotArea>
    </format>
    <format dxfId="473">
      <pivotArea field="2" type="button" dataOnly="0" labelOnly="1" outline="0"/>
    </format>
    <format dxfId="472">
      <pivotArea dataOnly="0" labelOnly="1" outline="0" fieldPosition="0">
        <references count="1">
          <reference field="0" count="1" defaultSubtotal="1">
            <x v="0"/>
          </reference>
        </references>
      </pivotArea>
    </format>
    <format dxfId="471">
      <pivotArea dataOnly="0" labelOnly="1" outline="0" fieldPosition="0">
        <references count="1">
          <reference field="0" count="1" defaultSubtotal="1">
            <x v="1"/>
          </reference>
        </references>
      </pivotArea>
    </format>
    <format dxfId="470">
      <pivotArea dataOnly="0" labelOnly="1" outline="0" fieldPosition="0">
        <references count="1">
          <reference field="0" count="1" defaultSubtotal="1">
            <x v="2"/>
          </reference>
        </references>
      </pivotArea>
    </format>
    <format dxfId="469">
      <pivotArea dataOnly="0" labelOnly="1" grandRow="1" outline="0" fieldPosition="0"/>
    </format>
    <format dxfId="468">
      <pivotArea dataOnly="0" labelOnly="1" outline="0" fieldPosition="0">
        <references count="2">
          <reference field="0" count="1" selected="0">
            <x v="0"/>
          </reference>
          <reference field="1" count="1">
            <x v="0"/>
          </reference>
        </references>
      </pivotArea>
    </format>
    <format dxfId="467">
      <pivotArea dataOnly="0" labelOnly="1" outline="0" fieldPosition="0">
        <references count="2">
          <reference field="0" count="1" selected="0">
            <x v="0"/>
          </reference>
          <reference field="1" count="1">
            <x v="1"/>
          </reference>
        </references>
      </pivotArea>
    </format>
    <format dxfId="466">
      <pivotArea dataOnly="0" labelOnly="1" outline="0" fieldPosition="0">
        <references count="2">
          <reference field="0" count="1" selected="0">
            <x v="0"/>
          </reference>
          <reference field="1" count="1">
            <x v="2"/>
          </reference>
        </references>
      </pivotArea>
    </format>
    <format dxfId="465">
      <pivotArea dataOnly="0" labelOnly="1" outline="0" fieldPosition="0">
        <references count="2">
          <reference field="0" count="1" selected="0">
            <x v="0"/>
          </reference>
          <reference field="1" count="1">
            <x v="3"/>
          </reference>
        </references>
      </pivotArea>
    </format>
    <format dxfId="464">
      <pivotArea dataOnly="0" labelOnly="1" outline="0" fieldPosition="0">
        <references count="2">
          <reference field="0" count="1" selected="0">
            <x v="1"/>
          </reference>
          <reference field="1" count="1">
            <x v="0"/>
          </reference>
        </references>
      </pivotArea>
    </format>
    <format dxfId="463">
      <pivotArea dataOnly="0" labelOnly="1" outline="0" fieldPosition="0">
        <references count="2">
          <reference field="0" count="1" selected="0">
            <x v="1"/>
          </reference>
          <reference field="1" count="1">
            <x v="1"/>
          </reference>
        </references>
      </pivotArea>
    </format>
    <format dxfId="462">
      <pivotArea dataOnly="0" labelOnly="1" outline="0" fieldPosition="0">
        <references count="2">
          <reference field="0" count="1" selected="0">
            <x v="1"/>
          </reference>
          <reference field="1" count="1">
            <x v="2"/>
          </reference>
        </references>
      </pivotArea>
    </format>
    <format dxfId="461">
      <pivotArea dataOnly="0" labelOnly="1" outline="0" fieldPosition="0">
        <references count="2">
          <reference field="0" count="1" selected="0">
            <x v="1"/>
          </reference>
          <reference field="1" count="1">
            <x v="3"/>
          </reference>
        </references>
      </pivotArea>
    </format>
    <format dxfId="460">
      <pivotArea dataOnly="0" labelOnly="1" outline="0" fieldPosition="0">
        <references count="2">
          <reference field="0" count="1" selected="0">
            <x v="2"/>
          </reference>
          <reference field="1" count="1">
            <x v="0"/>
          </reference>
        </references>
      </pivotArea>
    </format>
    <format dxfId="459">
      <pivotArea dataOnly="0" labelOnly="1" outline="0" fieldPosition="0">
        <references count="2">
          <reference field="0" count="1" selected="0">
            <x v="2"/>
          </reference>
          <reference field="1" count="1">
            <x v="2"/>
          </reference>
        </references>
      </pivotArea>
    </format>
    <format dxfId="458">
      <pivotArea dataOnly="0" labelOnly="1" outline="0" fieldPosition="0">
        <references count="2">
          <reference field="0" count="1" selected="0">
            <x v="2"/>
          </reference>
          <reference field="1" count="1">
            <x v="3"/>
          </reference>
        </references>
      </pivotArea>
    </format>
    <format dxfId="457">
      <pivotArea outline="0" fieldPosition="0">
        <references count="1">
          <reference field="4294967294" count="1">
            <x v="2"/>
          </reference>
        </references>
      </pivotArea>
    </format>
    <format dxfId="456">
      <pivotArea dataOnly="0" labelOnly="1" outline="0" fieldPosition="0">
        <references count="1">
          <reference field="4294967294" count="1">
            <x v="3"/>
          </reference>
        </references>
      </pivotArea>
    </format>
  </formats>
  <pivotTableStyleInfo name="PivotStyleDark7"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A41F6DC-9CD2-4BBD-A49D-511A58DDF3C2}" name="PivotTable1" cacheId="2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6:I28" firstHeaderRow="0" firstDataRow="1" firstDataCol="3" rowPageCount="1" colPageCount="1"/>
  <pivotFields count="21">
    <pivotField compact="0" outline="0" showAll="0"/>
    <pivotField axis="axisRow" compact="0" outline="0" showAll="0">
      <items count="6">
        <item x="0"/>
        <item x="2"/>
        <item x="3"/>
        <item x="4"/>
        <item x="1"/>
        <item t="default"/>
      </items>
    </pivotField>
    <pivotField axis="axisRow" compact="0" outline="0" showAll="0" defaultSubtotal="0">
      <items count="8">
        <item x="0"/>
        <item x="4"/>
        <item x="2"/>
        <item x="3"/>
        <item x="1"/>
        <item x="5"/>
        <item x="6"/>
        <item x="7"/>
      </items>
    </pivotField>
    <pivotField compact="0" outline="0" showAll="0"/>
    <pivotField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defaultSubtotal="0">
      <items count="18">
        <item x="11"/>
        <item x="10"/>
        <item x="9"/>
        <item x="5"/>
        <item x="12"/>
        <item x="8"/>
        <item x="7"/>
        <item x="6"/>
        <item x="4"/>
        <item x="3"/>
        <item x="2"/>
        <item x="0"/>
        <item x="1"/>
        <item x="13"/>
        <item x="14"/>
        <item x="15"/>
        <item x="16"/>
        <item x="17"/>
      </items>
    </pivotField>
    <pivotField compact="0" outline="0" showAll="0"/>
    <pivotField axis="axisPage" compact="0" outline="0" multipleItemSelectionAllowed="1" showAll="0">
      <items count="12">
        <item x="0"/>
        <item h="1" x="7"/>
        <item h="1" x="4"/>
        <item h="1" x="2"/>
        <item h="1" m="1" x="9"/>
        <item x="1"/>
        <item x="8"/>
        <item h="1" x="3"/>
        <item h="1" m="1" x="10"/>
        <item x="5"/>
        <item x="6"/>
        <item t="default"/>
      </items>
    </pivotField>
  </pivotFields>
  <rowFields count="3">
    <field x="1"/>
    <field x="2"/>
    <field x="18"/>
  </rowFields>
  <rowItems count="22">
    <i>
      <x/>
      <x/>
      <x v="11"/>
    </i>
    <i r="1">
      <x v="2"/>
      <x v="10"/>
    </i>
    <i t="default">
      <x/>
    </i>
    <i>
      <x v="1"/>
      <x/>
      <x v="9"/>
    </i>
    <i r="1">
      <x v="2"/>
      <x v="8"/>
    </i>
    <i t="default">
      <x v="1"/>
    </i>
    <i>
      <x v="2"/>
      <x/>
      <x v="7"/>
    </i>
    <i r="1">
      <x v="1"/>
      <x v="6"/>
    </i>
    <i r="1">
      <x v="2"/>
      <x v="5"/>
    </i>
    <i t="default">
      <x v="2"/>
    </i>
    <i>
      <x v="3"/>
      <x/>
      <x v="2"/>
    </i>
    <i r="1">
      <x v="1"/>
      <x v="1"/>
    </i>
    <i r="1">
      <x v="2"/>
      <x v="1"/>
    </i>
    <i r="1">
      <x v="3"/>
      <x/>
    </i>
    <i r="1">
      <x v="5"/>
      <x v="4"/>
    </i>
    <i r="1">
      <x v="6"/>
      <x v="13"/>
    </i>
    <i r="2">
      <x v="14"/>
    </i>
    <i r="2">
      <x v="15"/>
    </i>
    <i r="2">
      <x v="16"/>
    </i>
    <i r="1">
      <x v="7"/>
      <x v="17"/>
    </i>
    <i t="default">
      <x v="3"/>
    </i>
    <i t="grand">
      <x/>
    </i>
  </rowItems>
  <colFields count="1">
    <field x="-2"/>
  </colFields>
  <colItems count="5">
    <i>
      <x/>
    </i>
    <i i="1">
      <x v="1"/>
    </i>
    <i i="2">
      <x v="2"/>
    </i>
    <i i="3">
      <x v="3"/>
    </i>
    <i i="4">
      <x v="4"/>
    </i>
  </colItems>
  <pageFields count="1">
    <pageField fld="20" hier="-1"/>
  </pageFields>
  <dataFields count="5">
    <dataField name=" Installed Capacity as per COC (MW)" fld="7" baseField="0" baseItem="0" numFmtId="39"/>
    <dataField name="Sum of Installed Capacity as per COE (MW) " fld="8" baseField="0" baseItem="0"/>
    <dataField name="Count of Plants w/ COC" fld="16" subtotal="count" baseField="0" baseItem="0"/>
    <dataField name=" Subscribed FIT Capacity as per COE (MW)" fld="9" baseField="0" baseItem="0" numFmtId="39"/>
    <dataField name="Count of Plants w/ COE" fld="11" subtotal="count" baseField="0" baseItem="0"/>
  </dataFields>
  <formats count="25">
    <format dxfId="503">
      <pivotArea outline="0" fieldPosition="0">
        <references count="1">
          <reference field="4294967294" count="1">
            <x v="0"/>
          </reference>
        </references>
      </pivotArea>
    </format>
    <format dxfId="502">
      <pivotArea field="1" type="button" dataOnly="0" labelOnly="1" outline="0" axis="axisRow" fieldPosition="0"/>
    </format>
    <format dxfId="501">
      <pivotArea field="2" type="button" dataOnly="0" labelOnly="1" outline="0" axis="axisRow" fieldPosition="1"/>
    </format>
    <format dxfId="500">
      <pivotArea dataOnly="0" labelOnly="1" outline="0" fieldPosition="0">
        <references count="1">
          <reference field="4294967294" count="4">
            <x v="0"/>
            <x v="2"/>
            <x v="3"/>
            <x v="4"/>
          </reference>
        </references>
      </pivotArea>
    </format>
    <format dxfId="499">
      <pivotArea field="18" type="button" dataOnly="0" labelOnly="1" outline="0" axis="axisRow" fieldPosition="2"/>
    </format>
    <format dxfId="498">
      <pivotArea dataOnly="0" labelOnly="1" outline="0" fieldPosition="0">
        <references count="1">
          <reference field="1" count="1" defaultSubtotal="1">
            <x v="0"/>
          </reference>
        </references>
      </pivotArea>
    </format>
    <format dxfId="497">
      <pivotArea dataOnly="0" labelOnly="1" outline="0" fieldPosition="0">
        <references count="1">
          <reference field="1" count="1" defaultSubtotal="1">
            <x v="1"/>
          </reference>
        </references>
      </pivotArea>
    </format>
    <format dxfId="496">
      <pivotArea dataOnly="0" labelOnly="1" outline="0" fieldPosition="0">
        <references count="1">
          <reference field="1" count="1" defaultSubtotal="1">
            <x v="2"/>
          </reference>
        </references>
      </pivotArea>
    </format>
    <format dxfId="495">
      <pivotArea dataOnly="0" labelOnly="1" outline="0" fieldPosition="0">
        <references count="1">
          <reference field="1" count="1" defaultSubtotal="1">
            <x v="3"/>
          </reference>
        </references>
      </pivotArea>
    </format>
    <format dxfId="494">
      <pivotArea dataOnly="0" labelOnly="1" grandRow="1" outline="0" fieldPosition="0"/>
    </format>
    <format dxfId="493">
      <pivotArea dataOnly="0" labelOnly="1" outline="0" fieldPosition="0">
        <references count="3">
          <reference field="1" count="1" selected="0">
            <x v="0"/>
          </reference>
          <reference field="2" count="1" selected="0">
            <x v="0"/>
          </reference>
          <reference field="18" count="1">
            <x v="11"/>
          </reference>
        </references>
      </pivotArea>
    </format>
    <format dxfId="492">
      <pivotArea dataOnly="0" labelOnly="1" outline="0" fieldPosition="0">
        <references count="3">
          <reference field="1" count="1" selected="0">
            <x v="0"/>
          </reference>
          <reference field="2" count="1" selected="0">
            <x v="2"/>
          </reference>
          <reference field="18" count="1">
            <x v="10"/>
          </reference>
        </references>
      </pivotArea>
    </format>
    <format dxfId="491">
      <pivotArea dataOnly="0" labelOnly="1" outline="0" fieldPosition="0">
        <references count="3">
          <reference field="1" count="1" selected="0">
            <x v="1"/>
          </reference>
          <reference field="2" count="1" selected="0">
            <x v="0"/>
          </reference>
          <reference field="18" count="1">
            <x v="9"/>
          </reference>
        </references>
      </pivotArea>
    </format>
    <format dxfId="490">
      <pivotArea dataOnly="0" labelOnly="1" outline="0" fieldPosition="0">
        <references count="3">
          <reference field="1" count="1" selected="0">
            <x v="1"/>
          </reference>
          <reference field="2" count="1" selected="0">
            <x v="2"/>
          </reference>
          <reference field="18" count="1">
            <x v="8"/>
          </reference>
        </references>
      </pivotArea>
    </format>
    <format dxfId="489">
      <pivotArea dataOnly="0" labelOnly="1" outline="0" fieldPosition="0">
        <references count="3">
          <reference field="1" count="1" selected="0">
            <x v="1"/>
          </reference>
          <reference field="2" count="1" selected="0">
            <x v="3"/>
          </reference>
          <reference field="18" count="1">
            <x v="3"/>
          </reference>
        </references>
      </pivotArea>
    </format>
    <format dxfId="488">
      <pivotArea dataOnly="0" labelOnly="1" outline="0" fieldPosition="0">
        <references count="3">
          <reference field="1" count="1" selected="0">
            <x v="2"/>
          </reference>
          <reference field="2" count="1" selected="0">
            <x v="0"/>
          </reference>
          <reference field="18" count="1">
            <x v="7"/>
          </reference>
        </references>
      </pivotArea>
    </format>
    <format dxfId="487">
      <pivotArea dataOnly="0" labelOnly="1" outline="0" fieldPosition="0">
        <references count="3">
          <reference field="1" count="1" selected="0">
            <x v="2"/>
          </reference>
          <reference field="2" count="1" selected="0">
            <x v="1"/>
          </reference>
          <reference field="18" count="1">
            <x v="6"/>
          </reference>
        </references>
      </pivotArea>
    </format>
    <format dxfId="486">
      <pivotArea dataOnly="0" labelOnly="1" outline="0" fieldPosition="0">
        <references count="3">
          <reference field="1" count="1" selected="0">
            <x v="2"/>
          </reference>
          <reference field="2" count="1" selected="0">
            <x v="2"/>
          </reference>
          <reference field="18" count="1">
            <x v="5"/>
          </reference>
        </references>
      </pivotArea>
    </format>
    <format dxfId="485">
      <pivotArea dataOnly="0" labelOnly="1" outline="0" fieldPosition="0">
        <references count="3">
          <reference field="1" count="1" selected="0">
            <x v="3"/>
          </reference>
          <reference field="2" count="1" selected="0">
            <x v="0"/>
          </reference>
          <reference field="18" count="1">
            <x v="2"/>
          </reference>
        </references>
      </pivotArea>
    </format>
    <format dxfId="484">
      <pivotArea dataOnly="0" labelOnly="1" outline="0" fieldPosition="0">
        <references count="3">
          <reference field="1" count="1" selected="0">
            <x v="3"/>
          </reference>
          <reference field="2" count="1" selected="0">
            <x v="1"/>
          </reference>
          <reference field="18" count="1">
            <x v="1"/>
          </reference>
        </references>
      </pivotArea>
    </format>
    <format dxfId="483">
      <pivotArea dataOnly="0" labelOnly="1" outline="0" fieldPosition="0">
        <references count="3">
          <reference field="1" count="1" selected="0">
            <x v="3"/>
          </reference>
          <reference field="2" count="1" selected="0">
            <x v="2"/>
          </reference>
          <reference field="18" count="1">
            <x v="1"/>
          </reference>
        </references>
      </pivotArea>
    </format>
    <format dxfId="482">
      <pivotArea dataOnly="0" labelOnly="1" outline="0" fieldPosition="0">
        <references count="3">
          <reference field="1" count="1" selected="0">
            <x v="3"/>
          </reference>
          <reference field="2" count="1" selected="0">
            <x v="3"/>
          </reference>
          <reference field="18" count="1">
            <x v="0"/>
          </reference>
        </references>
      </pivotArea>
    </format>
    <format dxfId="481">
      <pivotArea dataOnly="0" labelOnly="1" outline="0" fieldPosition="0">
        <references count="3">
          <reference field="1" count="1" selected="0">
            <x v="3"/>
          </reference>
          <reference field="2" count="1" selected="0">
            <x v="5"/>
          </reference>
          <reference field="18" count="1">
            <x v="4"/>
          </reference>
        </references>
      </pivotArea>
    </format>
    <format dxfId="480">
      <pivotArea outline="0" fieldPosition="0">
        <references count="1">
          <reference field="4294967294" count="1">
            <x v="3"/>
          </reference>
        </references>
      </pivotArea>
    </format>
    <format dxfId="479">
      <pivotArea outline="0" fieldPosition="0">
        <references count="2">
          <reference field="4294967294" count="1" selected="0">
            <x v="0"/>
          </reference>
          <reference field="1" count="1" selected="0" defaultSubtotal="1">
            <x v="3"/>
          </reference>
        </references>
      </pivotArea>
    </format>
  </formats>
  <pivotTableStyleInfo name="PivotStyleDark6"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4FB6BF-E364-47A6-BC99-E9D064099629}" name="PivotTable1" cacheId="1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23:H28" firstHeaderRow="0" firstDataRow="1" firstDataCol="1" rowPageCount="1" colPageCount="1"/>
  <pivotFields count="21">
    <pivotField compact="0" outline="0" showAll="0"/>
    <pivotField axis="axisRow" compact="0" outline="0" showAll="0">
      <items count="6">
        <item x="0"/>
        <item x="2"/>
        <item x="3"/>
        <item x="4"/>
        <item h="1" x="1"/>
        <item t="default"/>
      </items>
    </pivotField>
    <pivotField compact="0" outline="0" showAll="0">
      <items count="9">
        <item x="0"/>
        <item x="4"/>
        <item x="2"/>
        <item x="3"/>
        <item h="1" x="1"/>
        <item h="1" x="5"/>
        <item h="1" x="6"/>
        <item h="1" x="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Page" compact="0" outline="0" multipleItemSelectionAllowed="1" showAll="0">
      <items count="11">
        <item x="0"/>
        <item h="1" x="7"/>
        <item h="1" x="4"/>
        <item h="1" x="2"/>
        <item h="1" m="1" x="9"/>
        <item x="1"/>
        <item x="8"/>
        <item h="1" x="3"/>
        <item x="5"/>
        <item x="6"/>
        <item t="default"/>
      </items>
    </pivotField>
  </pivotFields>
  <rowFields count="1">
    <field x="1"/>
  </rowFields>
  <rowItems count="5">
    <i>
      <x/>
    </i>
    <i>
      <x v="1"/>
    </i>
    <i>
      <x v="2"/>
    </i>
    <i>
      <x v="3"/>
    </i>
    <i t="grand">
      <x/>
    </i>
  </rowItems>
  <colFields count="1">
    <field x="-2"/>
  </colFields>
  <colItems count="6">
    <i>
      <x/>
    </i>
    <i i="1">
      <x v="1"/>
    </i>
    <i i="2">
      <x v="2"/>
    </i>
    <i i="3">
      <x v="3"/>
    </i>
    <i i="4">
      <x v="4"/>
    </i>
    <i i="5">
      <x v="5"/>
    </i>
  </colItems>
  <pageFields count="1">
    <pageField fld="20" hier="-1"/>
  </pageFields>
  <dataFields count="6">
    <dataField name=" Installed Capacity as per COC (MW)" fld="7" baseField="0" baseItem="0" numFmtId="39"/>
    <dataField name="% of Installed Capacity as per COC (MW) " fld="7" showDataAs="percentOfTotal" baseField="0" baseItem="0" numFmtId="10"/>
    <dataField name="Count of Plants w/ COC" fld="16" subtotal="count" baseField="0" baseItem="0"/>
    <dataField name=" Subscribed FIT Capacity with COC (MW)" fld="9" baseField="0" baseItem="0"/>
    <dataField name="No. of Plants w/ COE" fld="11" subtotal="count" baseField="0" baseItem="0"/>
    <dataField name="% of Subscribed FIT Capacity as per COE (MW)" fld="9" showDataAs="percentOfTotal" baseField="0" baseItem="0" numFmtId="10"/>
  </dataFields>
  <formats count="7">
    <format dxfId="380">
      <pivotArea outline="0" fieldPosition="0">
        <references count="1">
          <reference field="4294967294" count="1">
            <x v="0"/>
          </reference>
        </references>
      </pivotArea>
    </format>
    <format dxfId="379">
      <pivotArea field="1" type="button" dataOnly="0" labelOnly="1" outline="0" axis="axisRow" fieldPosition="0"/>
    </format>
    <format dxfId="378">
      <pivotArea field="2" type="button" dataOnly="0" labelOnly="1" outline="0"/>
    </format>
    <format dxfId="377">
      <pivotArea dataOnly="0" labelOnly="1" outline="0" fieldPosition="0">
        <references count="1">
          <reference field="4294967294" count="4">
            <x v="0"/>
            <x v="2"/>
            <x v="3"/>
            <x v="4"/>
          </reference>
        </references>
      </pivotArea>
    </format>
    <format dxfId="376">
      <pivotArea outline="0" fieldPosition="0">
        <references count="1">
          <reference field="4294967294" count="1">
            <x v="1"/>
          </reference>
        </references>
      </pivotArea>
    </format>
    <format dxfId="375">
      <pivotArea outline="0" fieldPosition="0">
        <references count="1">
          <reference field="4294967294" count="1">
            <x v="5"/>
          </reference>
        </references>
      </pivotArea>
    </format>
    <format dxfId="374">
      <pivotArea field="1" grandRow="1" outline="0" axis="axisRow" fieldPosition="0">
        <references count="1">
          <reference field="4294967294" count="1" selected="0">
            <x v="3"/>
          </reference>
        </references>
      </pivotArea>
    </format>
  </formats>
  <pivotTableStyleInfo name="PivotStyleDark6"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8C085FB-DA90-45D4-B648-3883ABB9A9BB}" name="PivotTable3" cacheId="10"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A91:E102" firstHeaderRow="0" firstDataRow="1" firstDataCol="2"/>
  <pivotFields count="34">
    <pivotField axis="axisRow" compact="0" outline="0" showAll="0">
      <items count="4">
        <item h="1" x="1"/>
        <item h="1" x="0"/>
        <item x="2"/>
        <item t="default"/>
      </items>
    </pivotField>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0"/>
    <field x="1"/>
  </rowFields>
  <rowItems count="11">
    <i>
      <x v="2"/>
      <x/>
    </i>
    <i r="1">
      <x v="1"/>
    </i>
    <i r="1">
      <x v="2"/>
    </i>
    <i r="1">
      <x v="3"/>
    </i>
    <i r="1">
      <x v="5"/>
    </i>
    <i r="1">
      <x v="8"/>
    </i>
    <i r="1">
      <x v="9"/>
    </i>
    <i r="1">
      <x v="11"/>
    </i>
    <i r="1">
      <x v="13"/>
    </i>
    <i t="default">
      <x v="2"/>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322">
      <pivotArea outline="0" fieldPosition="0">
        <references count="1">
          <reference field="4294967294" count="1" selected="0">
            <x v="1"/>
          </reference>
        </references>
      </pivotArea>
    </format>
    <format dxfId="321">
      <pivotArea dataOnly="0" labelOnly="1" outline="0" fieldPosition="0">
        <references count="1">
          <reference field="4294967294" count="1">
            <x v="1"/>
          </reference>
        </references>
      </pivotArea>
    </format>
    <format dxfId="320">
      <pivotArea dataOnly="0" labelOnly="1" grandRow="1" outline="0" fieldPosition="0"/>
    </format>
    <format dxfId="319">
      <pivotArea field="2" type="button" dataOnly="0" labelOnly="1" outline="0"/>
    </format>
    <format dxfId="318">
      <pivotArea field="1" type="button" dataOnly="0" labelOnly="1" outline="0" axis="axisRow" fieldPosition="1"/>
    </format>
    <format dxfId="317">
      <pivotArea dataOnly="0" labelOnly="1" outline="0" fieldPosition="0">
        <references count="1">
          <reference field="4294967294" count="2">
            <x v="0"/>
            <x v="1"/>
          </reference>
        </references>
      </pivotArea>
    </format>
    <format dxfId="316">
      <pivotArea outline="0" fieldPosition="0">
        <references count="1">
          <reference field="4294967294" count="1">
            <x v="0"/>
          </reference>
        </references>
      </pivotArea>
    </format>
    <format dxfId="315">
      <pivotArea outline="0" fieldPosition="0">
        <references count="1">
          <reference field="4294967294" count="1" selected="0">
            <x v="2"/>
          </reference>
        </references>
      </pivotArea>
    </format>
    <format dxfId="314">
      <pivotArea dataOnly="0" labelOnly="1" outline="0" fieldPosition="0">
        <references count="1">
          <reference field="4294967294" count="1">
            <x v="2"/>
          </reference>
        </references>
      </pivotArea>
    </format>
    <format dxfId="313">
      <pivotArea outline="0" fieldPosition="0">
        <references count="1">
          <reference field="4294967294" count="1" selected="0">
            <x v="2"/>
          </reference>
        </references>
      </pivotArea>
    </format>
    <format dxfId="312">
      <pivotArea dataOnly="0" labelOnly="1" outline="0" fieldPosition="0">
        <references count="1">
          <reference field="4294967294" count="1">
            <x v="2"/>
          </reference>
        </references>
      </pivotArea>
    </format>
    <format dxfId="311">
      <pivotArea outline="0" fieldPosition="0">
        <references count="1">
          <reference field="4294967294" count="1">
            <x v="2"/>
          </reference>
        </references>
      </pivotArea>
    </format>
  </formats>
  <chartFormats count="7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pivotArea type="data" outline="0" fieldPosition="0">
        <references count="3">
          <reference field="4294967294" count="1" selected="0">
            <x v="0"/>
          </reference>
          <reference field="0" count="1" selected="0">
            <x v="2"/>
          </reference>
          <reference field="1" count="1" selected="0">
            <x v="2"/>
          </reference>
        </references>
      </pivotArea>
    </chartFormat>
    <chartFormat chart="7" format="4">
      <pivotArea type="data" outline="0" fieldPosition="0">
        <references count="3">
          <reference field="4294967294" count="1" selected="0">
            <x v="0"/>
          </reference>
          <reference field="0" count="1" selected="0">
            <x v="2"/>
          </reference>
          <reference field="1" count="1" selected="0">
            <x v="1"/>
          </reference>
        </references>
      </pivotArea>
    </chartFormat>
    <chartFormat chart="7" format="5">
      <pivotArea type="data" outline="0" fieldPosition="0">
        <references count="3">
          <reference field="4294967294" count="1" selected="0">
            <x v="0"/>
          </reference>
          <reference field="0" count="1" selected="0">
            <x v="2"/>
          </reference>
          <reference field="1" count="1" selected="0">
            <x v="0"/>
          </reference>
        </references>
      </pivotArea>
    </chartFormat>
    <chartFormat chart="7" format="6">
      <pivotArea type="data" outline="0" fieldPosition="0">
        <references count="3">
          <reference field="4294967294" count="1" selected="0">
            <x v="0"/>
          </reference>
          <reference field="0" count="1" selected="0">
            <x v="2"/>
          </reference>
          <reference field="1" count="1" selected="0">
            <x v="13"/>
          </reference>
        </references>
      </pivotArea>
    </chartFormat>
    <chartFormat chart="7" format="7">
      <pivotArea type="data" outline="0" fieldPosition="0">
        <references count="3">
          <reference field="4294967294" count="1" selected="0">
            <x v="0"/>
          </reference>
          <reference field="0" count="1" selected="0">
            <x v="2"/>
          </reference>
          <reference field="1" count="1" selected="0">
            <x v="9"/>
          </reference>
        </references>
      </pivotArea>
    </chartFormat>
    <chartFormat chart="7" format="8">
      <pivotArea type="data" outline="0" fieldPosition="0">
        <references count="3">
          <reference field="4294967294" count="1" selected="0">
            <x v="0"/>
          </reference>
          <reference field="0" count="1" selected="0">
            <x v="2"/>
          </reference>
          <reference field="1" count="1" selected="0">
            <x v="11"/>
          </reference>
        </references>
      </pivotArea>
    </chartFormat>
    <chartFormat chart="7" format="9">
      <pivotArea type="data" outline="0" fieldPosition="0">
        <references count="3">
          <reference field="4294967294" count="1" selected="0">
            <x v="0"/>
          </reference>
          <reference field="0" count="1" selected="0">
            <x v="2"/>
          </reference>
          <reference field="1" count="1" selected="0">
            <x v="5"/>
          </reference>
        </references>
      </pivotArea>
    </chartFormat>
    <chartFormat chart="7" format="10">
      <pivotArea type="data" outline="0" fieldPosition="0">
        <references count="3">
          <reference field="4294967294" count="1" selected="0">
            <x v="0"/>
          </reference>
          <reference field="0" count="1" selected="0">
            <x v="2"/>
          </reference>
          <reference field="1" count="1" selected="0">
            <x v="8"/>
          </reference>
        </references>
      </pivotArea>
    </chartFormat>
    <chartFormat chart="7" format="11">
      <pivotArea type="data" outline="0" fieldPosition="0">
        <references count="3">
          <reference field="4294967294" count="1" selected="0">
            <x v="0"/>
          </reference>
          <reference field="0" count="1" selected="0">
            <x v="2"/>
          </reference>
          <reference field="1" count="1" selected="0">
            <x v="3"/>
          </reference>
        </references>
      </pivotArea>
    </chartFormat>
    <chartFormat chart="7" format="12">
      <pivotArea type="data" outline="0" fieldPosition="0">
        <references count="3">
          <reference field="4294967294" count="1" selected="0">
            <x v="1"/>
          </reference>
          <reference field="0" count="1" selected="0">
            <x v="2"/>
          </reference>
          <reference field="1" count="1" selected="0">
            <x v="0"/>
          </reference>
        </references>
      </pivotArea>
    </chartFormat>
    <chartFormat chart="7" format="13">
      <pivotArea type="data" outline="0" fieldPosition="0">
        <references count="3">
          <reference field="4294967294" count="1" selected="0">
            <x v="1"/>
          </reference>
          <reference field="0" count="1" selected="0">
            <x v="2"/>
          </reference>
          <reference field="1" count="1" selected="0">
            <x v="1"/>
          </reference>
        </references>
      </pivotArea>
    </chartFormat>
    <chartFormat chart="7" format="14">
      <pivotArea type="data" outline="0" fieldPosition="0">
        <references count="3">
          <reference field="4294967294" count="1" selected="0">
            <x v="1"/>
          </reference>
          <reference field="0" count="1" selected="0">
            <x v="2"/>
          </reference>
          <reference field="1" count="1" selected="0">
            <x v="2"/>
          </reference>
        </references>
      </pivotArea>
    </chartFormat>
    <chartFormat chart="7" format="15">
      <pivotArea type="data" outline="0" fieldPosition="0">
        <references count="3">
          <reference field="4294967294" count="1" selected="0">
            <x v="1"/>
          </reference>
          <reference field="0" count="1" selected="0">
            <x v="2"/>
          </reference>
          <reference field="1" count="1" selected="0">
            <x v="3"/>
          </reference>
        </references>
      </pivotArea>
    </chartFormat>
    <chartFormat chart="7" format="16">
      <pivotArea type="data" outline="0" fieldPosition="0">
        <references count="3">
          <reference field="4294967294" count="1" selected="0">
            <x v="1"/>
          </reference>
          <reference field="0" count="1" selected="0">
            <x v="2"/>
          </reference>
          <reference field="1" count="1" selected="0">
            <x v="5"/>
          </reference>
        </references>
      </pivotArea>
    </chartFormat>
    <chartFormat chart="7" format="17">
      <pivotArea type="data" outline="0" fieldPosition="0">
        <references count="3">
          <reference field="4294967294" count="1" selected="0">
            <x v="1"/>
          </reference>
          <reference field="0" count="1" selected="0">
            <x v="2"/>
          </reference>
          <reference field="1" count="1" selected="0">
            <x v="8"/>
          </reference>
        </references>
      </pivotArea>
    </chartFormat>
    <chartFormat chart="7" format="18">
      <pivotArea type="data" outline="0" fieldPosition="0">
        <references count="3">
          <reference field="4294967294" count="1" selected="0">
            <x v="1"/>
          </reference>
          <reference field="0" count="1" selected="0">
            <x v="2"/>
          </reference>
          <reference field="1" count="1" selected="0">
            <x v="9"/>
          </reference>
        </references>
      </pivotArea>
    </chartFormat>
    <chartFormat chart="7" format="19">
      <pivotArea type="data" outline="0" fieldPosition="0">
        <references count="3">
          <reference field="4294967294" count="1" selected="0">
            <x v="1"/>
          </reference>
          <reference field="0" count="1" selected="0">
            <x v="2"/>
          </reference>
          <reference field="1" count="1" selected="0">
            <x v="11"/>
          </reference>
        </references>
      </pivotArea>
    </chartFormat>
    <chartFormat chart="7" format="20">
      <pivotArea type="data" outline="0" fieldPosition="0">
        <references count="3">
          <reference field="4294967294" count="1" selected="0">
            <x v="1"/>
          </reference>
          <reference field="0" count="1" selected="0">
            <x v="2"/>
          </reference>
          <reference field="1" count="1" selected="0">
            <x v="13"/>
          </reference>
        </references>
      </pivotArea>
    </chartFormat>
    <chartFormat chart="7" format="21">
      <pivotArea type="data" outline="0" fieldPosition="0">
        <references count="3">
          <reference field="4294967294" count="1" selected="0">
            <x v="2"/>
          </reference>
          <reference field="0" count="1" selected="0">
            <x v="2"/>
          </reference>
          <reference field="1" count="1" selected="0">
            <x v="0"/>
          </reference>
        </references>
      </pivotArea>
    </chartFormat>
    <chartFormat chart="7" format="22">
      <pivotArea type="data" outline="0" fieldPosition="0">
        <references count="3">
          <reference field="4294967294" count="1" selected="0">
            <x v="2"/>
          </reference>
          <reference field="0" count="1" selected="0">
            <x v="2"/>
          </reference>
          <reference field="1" count="1" selected="0">
            <x v="1"/>
          </reference>
        </references>
      </pivotArea>
    </chartFormat>
    <chartFormat chart="7" format="23">
      <pivotArea type="data" outline="0" fieldPosition="0">
        <references count="3">
          <reference field="4294967294" count="1" selected="0">
            <x v="2"/>
          </reference>
          <reference field="0" count="1" selected="0">
            <x v="2"/>
          </reference>
          <reference field="1" count="1" selected="0">
            <x v="2"/>
          </reference>
        </references>
      </pivotArea>
    </chartFormat>
    <chartFormat chart="7" format="24">
      <pivotArea type="data" outline="0" fieldPosition="0">
        <references count="3">
          <reference field="4294967294" count="1" selected="0">
            <x v="2"/>
          </reference>
          <reference field="0" count="1" selected="0">
            <x v="2"/>
          </reference>
          <reference field="1" count="1" selected="0">
            <x v="3"/>
          </reference>
        </references>
      </pivotArea>
    </chartFormat>
    <chartFormat chart="7" format="25">
      <pivotArea type="data" outline="0" fieldPosition="0">
        <references count="3">
          <reference field="4294967294" count="1" selected="0">
            <x v="2"/>
          </reference>
          <reference field="0" count="1" selected="0">
            <x v="2"/>
          </reference>
          <reference field="1" count="1" selected="0">
            <x v="5"/>
          </reference>
        </references>
      </pivotArea>
    </chartFormat>
    <chartFormat chart="7" format="26">
      <pivotArea type="data" outline="0" fieldPosition="0">
        <references count="3">
          <reference field="4294967294" count="1" selected="0">
            <x v="2"/>
          </reference>
          <reference field="0" count="1" selected="0">
            <x v="2"/>
          </reference>
          <reference field="1" count="1" selected="0">
            <x v="8"/>
          </reference>
        </references>
      </pivotArea>
    </chartFormat>
    <chartFormat chart="7" format="27">
      <pivotArea type="data" outline="0" fieldPosition="0">
        <references count="3">
          <reference field="4294967294" count="1" selected="0">
            <x v="2"/>
          </reference>
          <reference field="0" count="1" selected="0">
            <x v="2"/>
          </reference>
          <reference field="1" count="1" selected="0">
            <x v="9"/>
          </reference>
        </references>
      </pivotArea>
    </chartFormat>
    <chartFormat chart="7" format="28">
      <pivotArea type="data" outline="0" fieldPosition="0">
        <references count="3">
          <reference field="4294967294" count="1" selected="0">
            <x v="2"/>
          </reference>
          <reference field="0" count="1" selected="0">
            <x v="2"/>
          </reference>
          <reference field="1" count="1" selected="0">
            <x v="11"/>
          </reference>
        </references>
      </pivotArea>
    </chartFormat>
    <chartFormat chart="7" format="29">
      <pivotArea type="data" outline="0" fieldPosition="0">
        <references count="3">
          <reference field="4294967294" count="1" selected="0">
            <x v="2"/>
          </reference>
          <reference field="0" count="1" selected="0">
            <x v="2"/>
          </reference>
          <reference field="1" count="1" selected="0">
            <x v="13"/>
          </reference>
        </references>
      </pivotArea>
    </chartFormat>
    <chartFormat chart="7" format="30">
      <pivotArea type="data" outline="0" fieldPosition="0">
        <references count="3">
          <reference field="4294967294" count="1" selected="0">
            <x v="0"/>
          </reference>
          <reference field="0" count="1" selected="0">
            <x v="2"/>
          </reference>
          <reference field="1" count="1" selected="0">
            <x v="4"/>
          </reference>
        </references>
      </pivotArea>
    </chartFormat>
    <chartFormat chart="7" format="31">
      <pivotArea type="data" outline="0" fieldPosition="0">
        <references count="3">
          <reference field="4294967294" count="1" selected="0">
            <x v="1"/>
          </reference>
          <reference field="0" count="1" selected="0">
            <x v="2"/>
          </reference>
          <reference field="1" count="1" selected="0">
            <x v="4"/>
          </reference>
        </references>
      </pivotArea>
    </chartFormat>
    <chartFormat chart="7" format="32">
      <pivotArea type="data" outline="0" fieldPosition="0">
        <references count="3">
          <reference field="4294967294" count="1" selected="0">
            <x v="2"/>
          </reference>
          <reference field="0" count="1" selected="0">
            <x v="2"/>
          </reference>
          <reference field="1" count="1" selected="0">
            <x v="4"/>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6A82AAC-711A-4D19-A5ED-6CCFB812F833}" name="PivotTable6" cacheId="10"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A150:E167" firstHeaderRow="0" firstDataRow="1" firstDataCol="2"/>
  <pivotFields count="34">
    <pivotField compact="0" outline="0" showAll="0"/>
    <pivotField axis="axisRow" compact="0" outline="0" showAll="0" defaultSubtotal="0">
      <items count="14">
        <item x="2"/>
        <item x="5"/>
        <item x="7"/>
        <item x="4"/>
        <item m="1" x="12"/>
        <item x="11"/>
        <item x="1"/>
        <item x="9"/>
        <item x="6"/>
        <item x="10"/>
        <item m="1" x="13"/>
        <item x="3"/>
        <item x="0"/>
        <item x="8"/>
      </items>
    </pivotField>
    <pivotField axis="axisRow"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2"/>
    <field x="1"/>
  </rowFields>
  <rowItems count="17">
    <i>
      <x/>
      <x/>
    </i>
    <i r="1">
      <x v="6"/>
    </i>
    <i r="1">
      <x v="11"/>
    </i>
    <i r="1">
      <x v="12"/>
    </i>
    <i>
      <x v="1"/>
      <x v="1"/>
    </i>
    <i r="1">
      <x v="2"/>
    </i>
    <i r="1">
      <x v="3"/>
    </i>
    <i r="1">
      <x v="8"/>
    </i>
    <i>
      <x v="2"/>
      <x v="7"/>
    </i>
    <i r="1">
      <x v="9"/>
    </i>
    <i r="1">
      <x v="13"/>
    </i>
    <i>
      <x v="3"/>
      <x v="1"/>
    </i>
    <i r="1">
      <x v="2"/>
    </i>
    <i r="1">
      <x v="3"/>
    </i>
    <i r="1">
      <x v="5"/>
    </i>
    <i r="1">
      <x v="8"/>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334">
      <pivotArea outline="0" fieldPosition="0">
        <references count="1">
          <reference field="4294967294" count="1" selected="0">
            <x v="1"/>
          </reference>
        </references>
      </pivotArea>
    </format>
    <format dxfId="333">
      <pivotArea dataOnly="0" labelOnly="1" outline="0" fieldPosition="0">
        <references count="1">
          <reference field="4294967294" count="1">
            <x v="1"/>
          </reference>
        </references>
      </pivotArea>
    </format>
    <format dxfId="332">
      <pivotArea dataOnly="0" labelOnly="1" grandRow="1" outline="0" fieldPosition="0"/>
    </format>
    <format dxfId="331">
      <pivotArea field="2" type="button" dataOnly="0" labelOnly="1" outline="0" axis="axisRow" fieldPosition="0"/>
    </format>
    <format dxfId="330">
      <pivotArea field="1" type="button" dataOnly="0" labelOnly="1" outline="0" axis="axisRow" fieldPosition="1"/>
    </format>
    <format dxfId="329">
      <pivotArea dataOnly="0" labelOnly="1" outline="0" fieldPosition="0">
        <references count="1">
          <reference field="4294967294" count="2">
            <x v="0"/>
            <x v="1"/>
          </reference>
        </references>
      </pivotArea>
    </format>
    <format dxfId="328">
      <pivotArea outline="0" fieldPosition="0">
        <references count="1">
          <reference field="4294967294" count="1">
            <x v="0"/>
          </reference>
        </references>
      </pivotArea>
    </format>
    <format dxfId="327">
      <pivotArea outline="0" fieldPosition="0">
        <references count="1">
          <reference field="4294967294" count="1" selected="0">
            <x v="2"/>
          </reference>
        </references>
      </pivotArea>
    </format>
    <format dxfId="326">
      <pivotArea dataOnly="0" labelOnly="1" outline="0" fieldPosition="0">
        <references count="1">
          <reference field="4294967294" count="1">
            <x v="2"/>
          </reference>
        </references>
      </pivotArea>
    </format>
    <format dxfId="325">
      <pivotArea outline="0" fieldPosition="0">
        <references count="1">
          <reference field="4294967294" count="1" selected="0">
            <x v="2"/>
          </reference>
        </references>
      </pivotArea>
    </format>
    <format dxfId="324">
      <pivotArea dataOnly="0" labelOnly="1" outline="0" fieldPosition="0">
        <references count="1">
          <reference field="4294967294" count="1">
            <x v="2"/>
          </reference>
        </references>
      </pivotArea>
    </format>
    <format dxfId="323">
      <pivotArea outline="0" fieldPosition="0">
        <references count="1">
          <reference field="4294967294" count="1">
            <x v="2"/>
          </reference>
        </references>
      </pivotArea>
    </format>
  </format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0E9057-DD91-4007-B302-C3682940A0FD}" name="PivotTable2" cacheId="10"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0">
  <location ref="A76:E89" firstHeaderRow="0" firstDataRow="1" firstDataCol="2"/>
  <pivotFields count="34">
    <pivotField axis="axisRow" compact="0" outline="0" showAll="0">
      <items count="4">
        <item x="1"/>
        <item h="1" x="0"/>
        <item h="1" x="2"/>
        <item t="default"/>
      </items>
    </pivotField>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0"/>
    <field x="1"/>
  </rowFields>
  <rowItems count="13">
    <i>
      <x/>
      <x/>
    </i>
    <i r="1">
      <x v="1"/>
    </i>
    <i r="1">
      <x v="2"/>
    </i>
    <i r="1">
      <x v="3"/>
    </i>
    <i r="1">
      <x v="5"/>
    </i>
    <i r="1">
      <x v="6"/>
    </i>
    <i r="1">
      <x v="7"/>
    </i>
    <i r="1">
      <x v="8"/>
    </i>
    <i r="1">
      <x v="9"/>
    </i>
    <i r="1">
      <x v="11"/>
    </i>
    <i r="1">
      <x v="13"/>
    </i>
    <i t="default">
      <x/>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346">
      <pivotArea outline="0" fieldPosition="0">
        <references count="1">
          <reference field="4294967294" count="1" selected="0">
            <x v="1"/>
          </reference>
        </references>
      </pivotArea>
    </format>
    <format dxfId="345">
      <pivotArea dataOnly="0" labelOnly="1" outline="0" fieldPosition="0">
        <references count="1">
          <reference field="4294967294" count="1">
            <x v="1"/>
          </reference>
        </references>
      </pivotArea>
    </format>
    <format dxfId="344">
      <pivotArea dataOnly="0" labelOnly="1" grandRow="1" outline="0" fieldPosition="0"/>
    </format>
    <format dxfId="343">
      <pivotArea field="2" type="button" dataOnly="0" labelOnly="1" outline="0"/>
    </format>
    <format dxfId="342">
      <pivotArea field="1" type="button" dataOnly="0" labelOnly="1" outline="0" axis="axisRow" fieldPosition="1"/>
    </format>
    <format dxfId="341">
      <pivotArea dataOnly="0" labelOnly="1" outline="0" fieldPosition="0">
        <references count="1">
          <reference field="4294967294" count="2">
            <x v="0"/>
            <x v="1"/>
          </reference>
        </references>
      </pivotArea>
    </format>
    <format dxfId="340">
      <pivotArea outline="0" fieldPosition="0">
        <references count="1">
          <reference field="4294967294" count="1">
            <x v="0"/>
          </reference>
        </references>
      </pivotArea>
    </format>
    <format dxfId="339">
      <pivotArea outline="0" fieldPosition="0">
        <references count="1">
          <reference field="4294967294" count="1" selected="0">
            <x v="2"/>
          </reference>
        </references>
      </pivotArea>
    </format>
    <format dxfId="338">
      <pivotArea dataOnly="0" labelOnly="1" outline="0" fieldPosition="0">
        <references count="1">
          <reference field="4294967294" count="1">
            <x v="2"/>
          </reference>
        </references>
      </pivotArea>
    </format>
    <format dxfId="337">
      <pivotArea outline="0" fieldPosition="0">
        <references count="1">
          <reference field="4294967294" count="1" selected="0">
            <x v="2"/>
          </reference>
        </references>
      </pivotArea>
    </format>
    <format dxfId="336">
      <pivotArea dataOnly="0" labelOnly="1" outline="0" fieldPosition="0">
        <references count="1">
          <reference field="4294967294" count="1">
            <x v="2"/>
          </reference>
        </references>
      </pivotArea>
    </format>
    <format dxfId="335">
      <pivotArea outline="0" fieldPosition="0">
        <references count="1">
          <reference field="4294967294" count="1">
            <x v="2"/>
          </reference>
        </references>
      </pivotArea>
    </format>
  </formats>
  <chartFormats count="7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183" series="1">
      <pivotArea type="data" outline="0" fieldPosition="0">
        <references count="1">
          <reference field="4294967294" count="1" selected="0">
            <x v="0"/>
          </reference>
        </references>
      </pivotArea>
    </chartFormat>
    <chartFormat chart="6" format="184">
      <pivotArea type="data" outline="0" fieldPosition="0">
        <references count="3">
          <reference field="4294967294" count="1" selected="0">
            <x v="0"/>
          </reference>
          <reference field="0" count="1" selected="0">
            <x v="0"/>
          </reference>
          <reference field="1" count="1" selected="0">
            <x v="0"/>
          </reference>
        </references>
      </pivotArea>
    </chartFormat>
    <chartFormat chart="6" format="185">
      <pivotArea type="data" outline="0" fieldPosition="0">
        <references count="3">
          <reference field="4294967294" count="1" selected="0">
            <x v="0"/>
          </reference>
          <reference field="0" count="1" selected="0">
            <x v="0"/>
          </reference>
          <reference field="1" count="1" selected="0">
            <x v="1"/>
          </reference>
        </references>
      </pivotArea>
    </chartFormat>
    <chartFormat chart="6" format="186">
      <pivotArea type="data" outline="0" fieldPosition="0">
        <references count="3">
          <reference field="4294967294" count="1" selected="0">
            <x v="0"/>
          </reference>
          <reference field="0" count="1" selected="0">
            <x v="0"/>
          </reference>
          <reference field="1" count="1" selected="0">
            <x v="2"/>
          </reference>
        </references>
      </pivotArea>
    </chartFormat>
    <chartFormat chart="6" format="187">
      <pivotArea type="data" outline="0" fieldPosition="0">
        <references count="3">
          <reference field="4294967294" count="1" selected="0">
            <x v="0"/>
          </reference>
          <reference field="0" count="1" selected="0">
            <x v="0"/>
          </reference>
          <reference field="1" count="1" selected="0">
            <x v="3"/>
          </reference>
        </references>
      </pivotArea>
    </chartFormat>
    <chartFormat chart="6" format="188">
      <pivotArea type="data" outline="0" fieldPosition="0">
        <references count="3">
          <reference field="4294967294" count="1" selected="0">
            <x v="0"/>
          </reference>
          <reference field="0" count="1" selected="0">
            <x v="0"/>
          </reference>
          <reference field="1" count="1" selected="0">
            <x v="5"/>
          </reference>
        </references>
      </pivotArea>
    </chartFormat>
    <chartFormat chart="6" format="189">
      <pivotArea type="data" outline="0" fieldPosition="0">
        <references count="3">
          <reference field="4294967294" count="1" selected="0">
            <x v="0"/>
          </reference>
          <reference field="0" count="1" selected="0">
            <x v="0"/>
          </reference>
          <reference field="1" count="1" selected="0">
            <x v="6"/>
          </reference>
        </references>
      </pivotArea>
    </chartFormat>
    <chartFormat chart="6" format="190">
      <pivotArea type="data" outline="0" fieldPosition="0">
        <references count="3">
          <reference field="4294967294" count="1" selected="0">
            <x v="0"/>
          </reference>
          <reference field="0" count="1" selected="0">
            <x v="0"/>
          </reference>
          <reference field="1" count="1" selected="0">
            <x v="7"/>
          </reference>
        </references>
      </pivotArea>
    </chartFormat>
    <chartFormat chart="6" format="191">
      <pivotArea type="data" outline="0" fieldPosition="0">
        <references count="3">
          <reference field="4294967294" count="1" selected="0">
            <x v="0"/>
          </reference>
          <reference field="0" count="1" selected="0">
            <x v="0"/>
          </reference>
          <reference field="1" count="1" selected="0">
            <x v="8"/>
          </reference>
        </references>
      </pivotArea>
    </chartFormat>
    <chartFormat chart="6" format="192">
      <pivotArea type="data" outline="0" fieldPosition="0">
        <references count="3">
          <reference field="4294967294" count="1" selected="0">
            <x v="0"/>
          </reference>
          <reference field="0" count="1" selected="0">
            <x v="0"/>
          </reference>
          <reference field="1" count="1" selected="0">
            <x v="9"/>
          </reference>
        </references>
      </pivotArea>
    </chartFormat>
    <chartFormat chart="6" format="193">
      <pivotArea type="data" outline="0" fieldPosition="0">
        <references count="3">
          <reference field="4294967294" count="1" selected="0">
            <x v="0"/>
          </reference>
          <reference field="0" count="1" selected="0">
            <x v="0"/>
          </reference>
          <reference field="1" count="1" selected="0">
            <x v="11"/>
          </reference>
        </references>
      </pivotArea>
    </chartFormat>
    <chartFormat chart="6" format="194">
      <pivotArea type="data" outline="0" fieldPosition="0">
        <references count="3">
          <reference field="4294967294" count="1" selected="0">
            <x v="0"/>
          </reference>
          <reference field="0" count="1" selected="0">
            <x v="0"/>
          </reference>
          <reference field="1" count="1" selected="0">
            <x v="13"/>
          </reference>
        </references>
      </pivotArea>
    </chartFormat>
    <chartFormat chart="6" format="195" series="1">
      <pivotArea type="data" outline="0" fieldPosition="0">
        <references count="1">
          <reference field="4294967294" count="1" selected="0">
            <x v="1"/>
          </reference>
        </references>
      </pivotArea>
    </chartFormat>
    <chartFormat chart="6" format="196">
      <pivotArea type="data" outline="0" fieldPosition="0">
        <references count="3">
          <reference field="4294967294" count="1" selected="0">
            <x v="1"/>
          </reference>
          <reference field="0" count="1" selected="0">
            <x v="0"/>
          </reference>
          <reference field="1" count="1" selected="0">
            <x v="0"/>
          </reference>
        </references>
      </pivotArea>
    </chartFormat>
    <chartFormat chart="6" format="197">
      <pivotArea type="data" outline="0" fieldPosition="0">
        <references count="3">
          <reference field="4294967294" count="1" selected="0">
            <x v="1"/>
          </reference>
          <reference field="0" count="1" selected="0">
            <x v="0"/>
          </reference>
          <reference field="1" count="1" selected="0">
            <x v="1"/>
          </reference>
        </references>
      </pivotArea>
    </chartFormat>
    <chartFormat chart="6" format="198">
      <pivotArea type="data" outline="0" fieldPosition="0">
        <references count="3">
          <reference field="4294967294" count="1" selected="0">
            <x v="1"/>
          </reference>
          <reference field="0" count="1" selected="0">
            <x v="0"/>
          </reference>
          <reference field="1" count="1" selected="0">
            <x v="2"/>
          </reference>
        </references>
      </pivotArea>
    </chartFormat>
    <chartFormat chart="6" format="199">
      <pivotArea type="data" outline="0" fieldPosition="0">
        <references count="3">
          <reference field="4294967294" count="1" selected="0">
            <x v="1"/>
          </reference>
          <reference field="0" count="1" selected="0">
            <x v="0"/>
          </reference>
          <reference field="1" count="1" selected="0">
            <x v="3"/>
          </reference>
        </references>
      </pivotArea>
    </chartFormat>
    <chartFormat chart="6" format="200">
      <pivotArea type="data" outline="0" fieldPosition="0">
        <references count="3">
          <reference field="4294967294" count="1" selected="0">
            <x v="1"/>
          </reference>
          <reference field="0" count="1" selected="0">
            <x v="0"/>
          </reference>
          <reference field="1" count="1" selected="0">
            <x v="5"/>
          </reference>
        </references>
      </pivotArea>
    </chartFormat>
    <chartFormat chart="6" format="201">
      <pivotArea type="data" outline="0" fieldPosition="0">
        <references count="3">
          <reference field="4294967294" count="1" selected="0">
            <x v="1"/>
          </reference>
          <reference field="0" count="1" selected="0">
            <x v="0"/>
          </reference>
          <reference field="1" count="1" selected="0">
            <x v="6"/>
          </reference>
        </references>
      </pivotArea>
    </chartFormat>
    <chartFormat chart="6" format="202">
      <pivotArea type="data" outline="0" fieldPosition="0">
        <references count="3">
          <reference field="4294967294" count="1" selected="0">
            <x v="1"/>
          </reference>
          <reference field="0" count="1" selected="0">
            <x v="0"/>
          </reference>
          <reference field="1" count="1" selected="0">
            <x v="7"/>
          </reference>
        </references>
      </pivotArea>
    </chartFormat>
    <chartFormat chart="6" format="203">
      <pivotArea type="data" outline="0" fieldPosition="0">
        <references count="3">
          <reference field="4294967294" count="1" selected="0">
            <x v="1"/>
          </reference>
          <reference field="0" count="1" selected="0">
            <x v="0"/>
          </reference>
          <reference field="1" count="1" selected="0">
            <x v="8"/>
          </reference>
        </references>
      </pivotArea>
    </chartFormat>
    <chartFormat chart="6" format="204">
      <pivotArea type="data" outline="0" fieldPosition="0">
        <references count="3">
          <reference field="4294967294" count="1" selected="0">
            <x v="1"/>
          </reference>
          <reference field="0" count="1" selected="0">
            <x v="0"/>
          </reference>
          <reference field="1" count="1" selected="0">
            <x v="9"/>
          </reference>
        </references>
      </pivotArea>
    </chartFormat>
    <chartFormat chart="6" format="205">
      <pivotArea type="data" outline="0" fieldPosition="0">
        <references count="3">
          <reference field="4294967294" count="1" selected="0">
            <x v="1"/>
          </reference>
          <reference field="0" count="1" selected="0">
            <x v="0"/>
          </reference>
          <reference field="1" count="1" selected="0">
            <x v="11"/>
          </reference>
        </references>
      </pivotArea>
    </chartFormat>
    <chartFormat chart="6" format="206">
      <pivotArea type="data" outline="0" fieldPosition="0">
        <references count="3">
          <reference field="4294967294" count="1" selected="0">
            <x v="1"/>
          </reference>
          <reference field="0" count="1" selected="0">
            <x v="0"/>
          </reference>
          <reference field="1" count="1" selected="0">
            <x v="13"/>
          </reference>
        </references>
      </pivotArea>
    </chartFormat>
    <chartFormat chart="6" format="207" series="1">
      <pivotArea type="data" outline="0" fieldPosition="0">
        <references count="1">
          <reference field="4294967294" count="1" selected="0">
            <x v="2"/>
          </reference>
        </references>
      </pivotArea>
    </chartFormat>
    <chartFormat chart="6" format="208">
      <pivotArea type="data" outline="0" fieldPosition="0">
        <references count="3">
          <reference field="4294967294" count="1" selected="0">
            <x v="2"/>
          </reference>
          <reference field="0" count="1" selected="0">
            <x v="0"/>
          </reference>
          <reference field="1" count="1" selected="0">
            <x v="0"/>
          </reference>
        </references>
      </pivotArea>
    </chartFormat>
    <chartFormat chart="6" format="209">
      <pivotArea type="data" outline="0" fieldPosition="0">
        <references count="3">
          <reference field="4294967294" count="1" selected="0">
            <x v="2"/>
          </reference>
          <reference field="0" count="1" selected="0">
            <x v="0"/>
          </reference>
          <reference field="1" count="1" selected="0">
            <x v="1"/>
          </reference>
        </references>
      </pivotArea>
    </chartFormat>
    <chartFormat chart="6" format="210">
      <pivotArea type="data" outline="0" fieldPosition="0">
        <references count="3">
          <reference field="4294967294" count="1" selected="0">
            <x v="2"/>
          </reference>
          <reference field="0" count="1" selected="0">
            <x v="0"/>
          </reference>
          <reference field="1" count="1" selected="0">
            <x v="2"/>
          </reference>
        </references>
      </pivotArea>
    </chartFormat>
    <chartFormat chart="6" format="211">
      <pivotArea type="data" outline="0" fieldPosition="0">
        <references count="3">
          <reference field="4294967294" count="1" selected="0">
            <x v="2"/>
          </reference>
          <reference field="0" count="1" selected="0">
            <x v="0"/>
          </reference>
          <reference field="1" count="1" selected="0">
            <x v="3"/>
          </reference>
        </references>
      </pivotArea>
    </chartFormat>
    <chartFormat chart="6" format="212">
      <pivotArea type="data" outline="0" fieldPosition="0">
        <references count="3">
          <reference field="4294967294" count="1" selected="0">
            <x v="2"/>
          </reference>
          <reference field="0" count="1" selected="0">
            <x v="0"/>
          </reference>
          <reference field="1" count="1" selected="0">
            <x v="5"/>
          </reference>
        </references>
      </pivotArea>
    </chartFormat>
    <chartFormat chart="6" format="213">
      <pivotArea type="data" outline="0" fieldPosition="0">
        <references count="3">
          <reference field="4294967294" count="1" selected="0">
            <x v="2"/>
          </reference>
          <reference field="0" count="1" selected="0">
            <x v="0"/>
          </reference>
          <reference field="1" count="1" selected="0">
            <x v="6"/>
          </reference>
        </references>
      </pivotArea>
    </chartFormat>
    <chartFormat chart="6" format="214">
      <pivotArea type="data" outline="0" fieldPosition="0">
        <references count="3">
          <reference field="4294967294" count="1" selected="0">
            <x v="2"/>
          </reference>
          <reference field="0" count="1" selected="0">
            <x v="0"/>
          </reference>
          <reference field="1" count="1" selected="0">
            <x v="7"/>
          </reference>
        </references>
      </pivotArea>
    </chartFormat>
    <chartFormat chart="6" format="215">
      <pivotArea type="data" outline="0" fieldPosition="0">
        <references count="3">
          <reference field="4294967294" count="1" selected="0">
            <x v="2"/>
          </reference>
          <reference field="0" count="1" selected="0">
            <x v="0"/>
          </reference>
          <reference field="1" count="1" selected="0">
            <x v="8"/>
          </reference>
        </references>
      </pivotArea>
    </chartFormat>
    <chartFormat chart="6" format="216">
      <pivotArea type="data" outline="0" fieldPosition="0">
        <references count="3">
          <reference field="4294967294" count="1" selected="0">
            <x v="2"/>
          </reference>
          <reference field="0" count="1" selected="0">
            <x v="0"/>
          </reference>
          <reference field="1" count="1" selected="0">
            <x v="9"/>
          </reference>
        </references>
      </pivotArea>
    </chartFormat>
    <chartFormat chart="6" format="217">
      <pivotArea type="data" outline="0" fieldPosition="0">
        <references count="3">
          <reference field="4294967294" count="1" selected="0">
            <x v="2"/>
          </reference>
          <reference field="0" count="1" selected="0">
            <x v="0"/>
          </reference>
          <reference field="1" count="1" selected="0">
            <x v="11"/>
          </reference>
        </references>
      </pivotArea>
    </chartFormat>
    <chartFormat chart="6" format="218">
      <pivotArea type="data" outline="0" fieldPosition="0">
        <references count="3">
          <reference field="4294967294" count="1" selected="0">
            <x v="2"/>
          </reference>
          <reference field="0" count="1" selected="0">
            <x v="0"/>
          </reference>
          <reference field="1" count="1" selected="0">
            <x v="13"/>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C7B08C4-DFE4-4120-8A23-40DAEAAF47C5}" name="PivotTable5"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171:M185" firstHeaderRow="1" firstDataRow="3" firstDataCol="1"/>
  <pivotFields count="34">
    <pivotField showAll="0"/>
    <pivotField axis="axisRow" showAll="0" defaultSubtotal="0">
      <items count="14">
        <item x="4"/>
        <item x="6"/>
        <item x="0"/>
        <item x="1"/>
        <item x="5"/>
        <item x="2"/>
        <item x="7"/>
        <item m="1" x="12"/>
        <item x="11"/>
        <item x="9"/>
        <item x="10"/>
        <item m="1" x="13"/>
        <item x="3"/>
        <item x="8"/>
      </items>
    </pivotField>
    <pivotField axis="axisCol" showAll="0" defaultSubtotal="0">
      <items count="4">
        <item x="0"/>
        <item x="1"/>
        <item x="2"/>
        <item x="3"/>
      </items>
    </pivotField>
    <pivotField showAll="0"/>
    <pivotField showAll="0"/>
    <pivotField showAll="0"/>
    <pivotField showAll="0"/>
    <pivotField showAll="0"/>
    <pivotField showAll="0"/>
    <pivotField numFmtId="164"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s>
  <rowFields count="1">
    <field x="1"/>
  </rowFields>
  <rowItems count="12">
    <i>
      <x/>
    </i>
    <i>
      <x v="1"/>
    </i>
    <i>
      <x v="2"/>
    </i>
    <i>
      <x v="3"/>
    </i>
    <i>
      <x v="4"/>
    </i>
    <i>
      <x v="5"/>
    </i>
    <i>
      <x v="6"/>
    </i>
    <i>
      <x v="8"/>
    </i>
    <i>
      <x v="9"/>
    </i>
    <i>
      <x v="10"/>
    </i>
    <i>
      <x v="12"/>
    </i>
    <i>
      <x v="13"/>
    </i>
  </rowItems>
  <colFields count="2">
    <field x="2"/>
    <field x="-2"/>
  </colFields>
  <colItems count="12">
    <i>
      <x/>
      <x/>
    </i>
    <i r="1" i="1">
      <x v="1"/>
    </i>
    <i r="1" i="2">
      <x v="2"/>
    </i>
    <i>
      <x v="1"/>
      <x/>
    </i>
    <i r="1" i="1">
      <x v="1"/>
    </i>
    <i r="1" i="2">
      <x v="2"/>
    </i>
    <i>
      <x v="2"/>
      <x/>
    </i>
    <i r="1" i="1">
      <x v="1"/>
    </i>
    <i r="1" i="2">
      <x v="2"/>
    </i>
    <i>
      <x v="3"/>
      <x/>
    </i>
    <i r="1" i="1">
      <x v="1"/>
    </i>
    <i r="1" i="2">
      <x v="2"/>
    </i>
  </colItems>
  <dataFields count="3">
    <dataField name="Min of Bid Price " fld="11" subtotal="min" baseField="1" baseItem="0"/>
    <dataField name="Max of Bid Price " fld="11" subtotal="max" baseField="1" baseItem="0"/>
    <dataField name="Count of Bid Price " fld="11" subtotal="count" baseField="1" baseItem="10"/>
  </dataFields>
  <formats count="3">
    <format dxfId="349">
      <pivotArea dataOnly="0" labelOnly="1" grandRow="1" outline="0" fieldPosition="0"/>
    </format>
    <format dxfId="348">
      <pivotArea field="2" type="button" dataOnly="0" labelOnly="1" outline="0" axis="axisCol" fieldPosition="0"/>
    </format>
    <format dxfId="347">
      <pivotArea field="1" type="button" dataOnly="0" labelOnly="1" outline="0" axis="axisRow" fieldPosition="0"/>
    </format>
  </formats>
  <pivotTableStyleInfo name="PivotStyleMedium27"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6C6749D-4E6C-4B9C-98BB-43AB918E14B1}" name="PivotTable1" cacheId="10"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18:D31" firstHeaderRow="0" firstDataRow="1" firstDataCol="1"/>
  <pivotFields count="34">
    <pivotField compact="0" outline="0" showAll="0"/>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13">
    <i>
      <x/>
    </i>
    <i>
      <x v="1"/>
    </i>
    <i>
      <x v="2"/>
    </i>
    <i>
      <x v="3"/>
    </i>
    <i>
      <x v="5"/>
    </i>
    <i>
      <x v="6"/>
    </i>
    <i>
      <x v="7"/>
    </i>
    <i>
      <x v="8"/>
    </i>
    <i>
      <x v="9"/>
    </i>
    <i>
      <x v="11"/>
    </i>
    <i>
      <x v="12"/>
    </i>
    <i>
      <x v="13"/>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177"/>
  </dataFields>
  <formats count="12">
    <format dxfId="361">
      <pivotArea outline="0" fieldPosition="0">
        <references count="1">
          <reference field="4294967294" count="1" selected="0">
            <x v="1"/>
          </reference>
        </references>
      </pivotArea>
    </format>
    <format dxfId="360">
      <pivotArea dataOnly="0" labelOnly="1" outline="0" fieldPosition="0">
        <references count="1">
          <reference field="4294967294" count="1">
            <x v="1"/>
          </reference>
        </references>
      </pivotArea>
    </format>
    <format dxfId="359">
      <pivotArea dataOnly="0" labelOnly="1" grandRow="1" outline="0" fieldPosition="0"/>
    </format>
    <format dxfId="358">
      <pivotArea field="2" type="button" dataOnly="0" labelOnly="1" outline="0"/>
    </format>
    <format dxfId="357">
      <pivotArea field="1" type="button" dataOnly="0" labelOnly="1" outline="0" axis="axisRow" fieldPosition="0"/>
    </format>
    <format dxfId="356">
      <pivotArea dataOnly="0" labelOnly="1" outline="0" fieldPosition="0">
        <references count="1">
          <reference field="4294967294" count="2">
            <x v="0"/>
            <x v="1"/>
          </reference>
        </references>
      </pivotArea>
    </format>
    <format dxfId="355">
      <pivotArea outline="0" fieldPosition="0">
        <references count="1">
          <reference field="4294967294" count="1">
            <x v="0"/>
          </reference>
        </references>
      </pivotArea>
    </format>
    <format dxfId="354">
      <pivotArea outline="0" fieldPosition="0">
        <references count="1">
          <reference field="4294967294" count="1">
            <x v="2"/>
          </reference>
        </references>
      </pivotArea>
    </format>
    <format dxfId="353">
      <pivotArea outline="0" fieldPosition="0">
        <references count="1">
          <reference field="4294967294" count="1" selected="0">
            <x v="2"/>
          </reference>
        </references>
      </pivotArea>
    </format>
    <format dxfId="352">
      <pivotArea dataOnly="0" labelOnly="1" outline="0" fieldPosition="0">
        <references count="1">
          <reference field="4294967294" count="1">
            <x v="2"/>
          </reference>
        </references>
      </pivotArea>
    </format>
    <format dxfId="351">
      <pivotArea outline="0" fieldPosition="0">
        <references count="1">
          <reference field="4294967294" count="1" selected="0">
            <x v="2"/>
          </reference>
        </references>
      </pivotArea>
    </format>
    <format dxfId="350">
      <pivotArea dataOnly="0" labelOnly="1" outline="0" fieldPosition="0">
        <references count="1">
          <reference field="4294967294" count="1">
            <x v="2"/>
          </reference>
        </references>
      </pivotArea>
    </format>
  </formats>
  <chartFormats count="4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5" format="15">
      <pivotArea type="data" outline="0" fieldPosition="0">
        <references count="2">
          <reference field="4294967294" count="1" selected="0">
            <x v="0"/>
          </reference>
          <reference field="1" count="1" selected="0">
            <x v="1"/>
          </reference>
        </references>
      </pivotArea>
    </chartFormat>
    <chartFormat chart="5" format="16">
      <pivotArea type="data" outline="0" fieldPosition="0">
        <references count="2">
          <reference field="4294967294" count="1" selected="0">
            <x v="1"/>
          </reference>
          <reference field="1" count="1" selected="0">
            <x v="0"/>
          </reference>
        </references>
      </pivotArea>
    </chartFormat>
    <chartFormat chart="5" format="17">
      <pivotArea type="data" outline="0" fieldPosition="0">
        <references count="2">
          <reference field="4294967294" count="1" selected="0">
            <x v="1"/>
          </reference>
          <reference field="1" count="1" selected="0">
            <x v="1"/>
          </reference>
        </references>
      </pivotArea>
    </chartFormat>
    <chartFormat chart="5" format="18">
      <pivotArea type="data" outline="0" fieldPosition="0">
        <references count="2">
          <reference field="4294967294" count="1" selected="0">
            <x v="1"/>
          </reference>
          <reference field="1" count="1" selected="0">
            <x v="2"/>
          </reference>
        </references>
      </pivotArea>
    </chartFormat>
    <chartFormat chart="5" format="19">
      <pivotArea type="data" outline="0" fieldPosition="0">
        <references count="2">
          <reference field="4294967294" count="1" selected="0">
            <x v="1"/>
          </reference>
          <reference field="1" count="1" selected="0">
            <x v="3"/>
          </reference>
        </references>
      </pivotArea>
    </chartFormat>
    <chartFormat chart="5" format="20">
      <pivotArea type="data" outline="0" fieldPosition="0">
        <references count="2">
          <reference field="4294967294" count="1" selected="0">
            <x v="1"/>
          </reference>
          <reference field="1" count="1" selected="0">
            <x v="5"/>
          </reference>
        </references>
      </pivotArea>
    </chartFormat>
    <chartFormat chart="5" format="21">
      <pivotArea type="data" outline="0" fieldPosition="0">
        <references count="2">
          <reference field="4294967294" count="1" selected="0">
            <x v="1"/>
          </reference>
          <reference field="1" count="1" selected="0">
            <x v="6"/>
          </reference>
        </references>
      </pivotArea>
    </chartFormat>
    <chartFormat chart="5" format="22">
      <pivotArea type="data" outline="0" fieldPosition="0">
        <references count="2">
          <reference field="4294967294" count="1" selected="0">
            <x v="1"/>
          </reference>
          <reference field="1" count="1" selected="0">
            <x v="7"/>
          </reference>
        </references>
      </pivotArea>
    </chartFormat>
    <chartFormat chart="5" format="23">
      <pivotArea type="data" outline="0" fieldPosition="0">
        <references count="2">
          <reference field="4294967294" count="1" selected="0">
            <x v="1"/>
          </reference>
          <reference field="1" count="1" selected="0">
            <x v="8"/>
          </reference>
        </references>
      </pivotArea>
    </chartFormat>
    <chartFormat chart="5" format="24">
      <pivotArea type="data" outline="0" fieldPosition="0">
        <references count="2">
          <reference field="4294967294" count="1" selected="0">
            <x v="1"/>
          </reference>
          <reference field="1" count="1" selected="0">
            <x v="9"/>
          </reference>
        </references>
      </pivotArea>
    </chartFormat>
    <chartFormat chart="5" format="25">
      <pivotArea type="data" outline="0" fieldPosition="0">
        <references count="2">
          <reference field="4294967294" count="1" selected="0">
            <x v="1"/>
          </reference>
          <reference field="1" count="1" selected="0">
            <x v="11"/>
          </reference>
        </references>
      </pivotArea>
    </chartFormat>
    <chartFormat chart="5" format="26">
      <pivotArea type="data" outline="0" fieldPosition="0">
        <references count="2">
          <reference field="4294967294" count="1" selected="0">
            <x v="1"/>
          </reference>
          <reference field="1" count="1" selected="0">
            <x v="12"/>
          </reference>
        </references>
      </pivotArea>
    </chartFormat>
    <chartFormat chart="5" format="27">
      <pivotArea type="data" outline="0" fieldPosition="0">
        <references count="2">
          <reference field="4294967294" count="1" selected="0">
            <x v="1"/>
          </reference>
          <reference field="1" count="1" selected="0">
            <x v="13"/>
          </reference>
        </references>
      </pivotArea>
    </chartFormat>
    <chartFormat chart="5" format="28">
      <pivotArea type="data" outline="0" fieldPosition="0">
        <references count="2">
          <reference field="4294967294" count="1" selected="0">
            <x v="2"/>
          </reference>
          <reference field="1" count="1" selected="0">
            <x v="0"/>
          </reference>
        </references>
      </pivotArea>
    </chartFormat>
    <chartFormat chart="5" format="29">
      <pivotArea type="data" outline="0" fieldPosition="0">
        <references count="2">
          <reference field="4294967294" count="1" selected="0">
            <x v="2"/>
          </reference>
          <reference field="1" count="1" selected="0">
            <x v="1"/>
          </reference>
        </references>
      </pivotArea>
    </chartFormat>
    <chartFormat chart="5" format="30">
      <pivotArea type="data" outline="0" fieldPosition="0">
        <references count="2">
          <reference field="4294967294" count="1" selected="0">
            <x v="2"/>
          </reference>
          <reference field="1" count="1" selected="0">
            <x v="2"/>
          </reference>
        </references>
      </pivotArea>
    </chartFormat>
    <chartFormat chart="5" format="31">
      <pivotArea type="data" outline="0" fieldPosition="0">
        <references count="2">
          <reference field="4294967294" count="1" selected="0">
            <x v="2"/>
          </reference>
          <reference field="1" count="1" selected="0">
            <x v="3"/>
          </reference>
        </references>
      </pivotArea>
    </chartFormat>
    <chartFormat chart="5" format="32">
      <pivotArea type="data" outline="0" fieldPosition="0">
        <references count="2">
          <reference field="4294967294" count="1" selected="0">
            <x v="2"/>
          </reference>
          <reference field="1" count="1" selected="0">
            <x v="5"/>
          </reference>
        </references>
      </pivotArea>
    </chartFormat>
    <chartFormat chart="5" format="33">
      <pivotArea type="data" outline="0" fieldPosition="0">
        <references count="2">
          <reference field="4294967294" count="1" selected="0">
            <x v="2"/>
          </reference>
          <reference field="1" count="1" selected="0">
            <x v="6"/>
          </reference>
        </references>
      </pivotArea>
    </chartFormat>
    <chartFormat chart="5" format="34">
      <pivotArea type="data" outline="0" fieldPosition="0">
        <references count="2">
          <reference field="4294967294" count="1" selected="0">
            <x v="2"/>
          </reference>
          <reference field="1" count="1" selected="0">
            <x v="7"/>
          </reference>
        </references>
      </pivotArea>
    </chartFormat>
    <chartFormat chart="5" format="35">
      <pivotArea type="data" outline="0" fieldPosition="0">
        <references count="2">
          <reference field="4294967294" count="1" selected="0">
            <x v="2"/>
          </reference>
          <reference field="1" count="1" selected="0">
            <x v="8"/>
          </reference>
        </references>
      </pivotArea>
    </chartFormat>
    <chartFormat chart="5" format="36">
      <pivotArea type="data" outline="0" fieldPosition="0">
        <references count="2">
          <reference field="4294967294" count="1" selected="0">
            <x v="2"/>
          </reference>
          <reference field="1" count="1" selected="0">
            <x v="9"/>
          </reference>
        </references>
      </pivotArea>
    </chartFormat>
    <chartFormat chart="5" format="37">
      <pivotArea type="data" outline="0" fieldPosition="0">
        <references count="2">
          <reference field="4294967294" count="1" selected="0">
            <x v="2"/>
          </reference>
          <reference field="1" count="1" selected="0">
            <x v="11"/>
          </reference>
        </references>
      </pivotArea>
    </chartFormat>
    <chartFormat chart="5" format="38">
      <pivotArea type="data" outline="0" fieldPosition="0">
        <references count="2">
          <reference field="4294967294" count="1" selected="0">
            <x v="2"/>
          </reference>
          <reference field="1" count="1" selected="0">
            <x v="12"/>
          </reference>
        </references>
      </pivotArea>
    </chartFormat>
    <chartFormat chart="5" format="39">
      <pivotArea type="data" outline="0" fieldPosition="0">
        <references count="2">
          <reference field="4294967294" count="1" selected="0">
            <x v="2"/>
          </reference>
          <reference field="1" count="1" selected="0">
            <x v="13"/>
          </reference>
        </references>
      </pivotArea>
    </chartFormat>
    <chartFormat chart="5" format="40">
      <pivotArea type="data" outline="0" fieldPosition="0">
        <references count="2">
          <reference field="4294967294" count="1" selected="0">
            <x v="0"/>
          </reference>
          <reference field="1" count="1" selected="0">
            <x v="4"/>
          </reference>
        </references>
      </pivotArea>
    </chartFormat>
    <chartFormat chart="5" format="41">
      <pivotArea type="data" outline="0" fieldPosition="0">
        <references count="2">
          <reference field="4294967294" count="1" selected="0">
            <x v="1"/>
          </reference>
          <reference field="1" count="1" selected="0">
            <x v="4"/>
          </reference>
        </references>
      </pivotArea>
    </chartFormat>
    <chartFormat chart="5" format="42">
      <pivotArea type="data" outline="0" fieldPosition="0">
        <references count="2">
          <reference field="4294967294" count="1" selected="0">
            <x v="2"/>
          </reference>
          <reference field="1" count="1" selected="0">
            <x v="4"/>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369E479-8C81-43E6-AB5B-6F7E903694F0}" name="PivotTable4" cacheId="10"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A105:E115" firstHeaderRow="0" firstDataRow="1" firstDataCol="2"/>
  <pivotFields count="34">
    <pivotField axis="axisRow" compact="0" outline="0" showAll="0">
      <items count="4">
        <item h="1" x="1"/>
        <item x="0"/>
        <item h="1" x="2"/>
        <item t="default"/>
      </items>
    </pivotField>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0"/>
    <field x="1"/>
  </rowFields>
  <rowItems count="10">
    <i>
      <x v="1"/>
      <x/>
    </i>
    <i r="1">
      <x v="1"/>
    </i>
    <i r="1">
      <x v="3"/>
    </i>
    <i r="1">
      <x v="5"/>
    </i>
    <i r="1">
      <x v="6"/>
    </i>
    <i r="1">
      <x v="8"/>
    </i>
    <i r="1">
      <x v="12"/>
    </i>
    <i r="1">
      <x v="13"/>
    </i>
    <i t="default">
      <x v="1"/>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373">
      <pivotArea outline="0" fieldPosition="0">
        <references count="1">
          <reference field="4294967294" count="1" selected="0">
            <x v="1"/>
          </reference>
        </references>
      </pivotArea>
    </format>
    <format dxfId="372">
      <pivotArea dataOnly="0" labelOnly="1" outline="0" fieldPosition="0">
        <references count="1">
          <reference field="4294967294" count="1">
            <x v="1"/>
          </reference>
        </references>
      </pivotArea>
    </format>
    <format dxfId="371">
      <pivotArea dataOnly="0" labelOnly="1" grandRow="1" outline="0" fieldPosition="0"/>
    </format>
    <format dxfId="370">
      <pivotArea field="2" type="button" dataOnly="0" labelOnly="1" outline="0"/>
    </format>
    <format dxfId="369">
      <pivotArea field="1" type="button" dataOnly="0" labelOnly="1" outline="0" axis="axisRow" fieldPosition="1"/>
    </format>
    <format dxfId="368">
      <pivotArea dataOnly="0" labelOnly="1" outline="0" fieldPosition="0">
        <references count="1">
          <reference field="4294967294" count="2">
            <x v="0"/>
            <x v="1"/>
          </reference>
        </references>
      </pivotArea>
    </format>
    <format dxfId="367">
      <pivotArea outline="0" fieldPosition="0">
        <references count="1">
          <reference field="4294967294" count="1">
            <x v="0"/>
          </reference>
        </references>
      </pivotArea>
    </format>
    <format dxfId="366">
      <pivotArea outline="0" fieldPosition="0">
        <references count="1">
          <reference field="4294967294" count="1" selected="0">
            <x v="2"/>
          </reference>
        </references>
      </pivotArea>
    </format>
    <format dxfId="365">
      <pivotArea dataOnly="0" labelOnly="1" outline="0" fieldPosition="0">
        <references count="1">
          <reference field="4294967294" count="1">
            <x v="2"/>
          </reference>
        </references>
      </pivotArea>
    </format>
    <format dxfId="364">
      <pivotArea outline="0" fieldPosition="0">
        <references count="1">
          <reference field="4294967294" count="1" selected="0">
            <x v="2"/>
          </reference>
        </references>
      </pivotArea>
    </format>
    <format dxfId="363">
      <pivotArea dataOnly="0" labelOnly="1" outline="0" fieldPosition="0">
        <references count="1">
          <reference field="4294967294" count="1">
            <x v="2"/>
          </reference>
        </references>
      </pivotArea>
    </format>
    <format dxfId="362">
      <pivotArea outline="0" fieldPosition="0">
        <references count="1">
          <reference field="4294967294" count="1">
            <x v="2"/>
          </reference>
        </references>
      </pivotArea>
    </format>
  </format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 chart="8" format="3">
      <pivotArea type="data" outline="0" fieldPosition="0">
        <references count="3">
          <reference field="4294967294" count="1" selected="0">
            <x v="0"/>
          </reference>
          <reference field="0" count="1" selected="0">
            <x v="1"/>
          </reference>
          <reference field="1" count="1" selected="0">
            <x v="13"/>
          </reference>
        </references>
      </pivotArea>
    </chartFormat>
    <chartFormat chart="8" format="4">
      <pivotArea type="data" outline="0" fieldPosition="0">
        <references count="3">
          <reference field="4294967294" count="1" selected="0">
            <x v="0"/>
          </reference>
          <reference field="0" count="1" selected="0">
            <x v="1"/>
          </reference>
          <reference field="1" count="1" selected="0">
            <x v="12"/>
          </reference>
        </references>
      </pivotArea>
    </chartFormat>
    <chartFormat chart="8" format="5">
      <pivotArea type="data" outline="0" fieldPosition="0">
        <references count="3">
          <reference field="4294967294" count="1" selected="0">
            <x v="0"/>
          </reference>
          <reference field="0" count="1" selected="0">
            <x v="1"/>
          </reference>
          <reference field="1" count="1" selected="0">
            <x v="0"/>
          </reference>
        </references>
      </pivotArea>
    </chartFormat>
    <chartFormat chart="8" format="6">
      <pivotArea type="data" outline="0" fieldPosition="0">
        <references count="3">
          <reference field="4294967294" count="1" selected="0">
            <x v="0"/>
          </reference>
          <reference field="0" count="1" selected="0">
            <x v="1"/>
          </reference>
          <reference field="1" count="1" selected="0">
            <x v="1"/>
          </reference>
        </references>
      </pivotArea>
    </chartFormat>
    <chartFormat chart="8" format="7">
      <pivotArea type="data" outline="0" fieldPosition="0">
        <references count="3">
          <reference field="4294967294" count="1" selected="0">
            <x v="0"/>
          </reference>
          <reference field="0" count="1" selected="0">
            <x v="1"/>
          </reference>
          <reference field="1" count="1" selected="0">
            <x v="3"/>
          </reference>
        </references>
      </pivotArea>
    </chartFormat>
    <chartFormat chart="8" format="8">
      <pivotArea type="data" outline="0" fieldPosition="0">
        <references count="3">
          <reference field="4294967294" count="1" selected="0">
            <x v="0"/>
          </reference>
          <reference field="0" count="1" selected="0">
            <x v="1"/>
          </reference>
          <reference field="1" count="1" selected="0">
            <x v="5"/>
          </reference>
        </references>
      </pivotArea>
    </chartFormat>
    <chartFormat chart="8" format="9">
      <pivotArea type="data" outline="0" fieldPosition="0">
        <references count="3">
          <reference field="4294967294" count="1" selected="0">
            <x v="0"/>
          </reference>
          <reference field="0" count="1" selected="0">
            <x v="1"/>
          </reference>
          <reference field="1" count="1" selected="0">
            <x v="6"/>
          </reference>
        </references>
      </pivotArea>
    </chartFormat>
    <chartFormat chart="8" format="10">
      <pivotArea type="data" outline="0" fieldPosition="0">
        <references count="3">
          <reference field="4294967294" count="1" selected="0">
            <x v="0"/>
          </reference>
          <reference field="0" count="1" selected="0">
            <x v="1"/>
          </reference>
          <reference field="1" count="1" selected="0">
            <x v="8"/>
          </reference>
        </references>
      </pivotArea>
    </chartFormat>
    <chartFormat chart="8" format="11">
      <pivotArea type="data" outline="0" fieldPosition="0">
        <references count="3">
          <reference field="4294967294" count="1" selected="0">
            <x v="1"/>
          </reference>
          <reference field="0" count="1" selected="0">
            <x v="1"/>
          </reference>
          <reference field="1" count="1" selected="0">
            <x v="0"/>
          </reference>
        </references>
      </pivotArea>
    </chartFormat>
    <chartFormat chart="8" format="12">
      <pivotArea type="data" outline="0" fieldPosition="0">
        <references count="3">
          <reference field="4294967294" count="1" selected="0">
            <x v="1"/>
          </reference>
          <reference field="0" count="1" selected="0">
            <x v="1"/>
          </reference>
          <reference field="1" count="1" selected="0">
            <x v="1"/>
          </reference>
        </references>
      </pivotArea>
    </chartFormat>
    <chartFormat chart="8" format="13">
      <pivotArea type="data" outline="0" fieldPosition="0">
        <references count="3">
          <reference field="4294967294" count="1" selected="0">
            <x v="1"/>
          </reference>
          <reference field="0" count="1" selected="0">
            <x v="1"/>
          </reference>
          <reference field="1" count="1" selected="0">
            <x v="3"/>
          </reference>
        </references>
      </pivotArea>
    </chartFormat>
    <chartFormat chart="8" format="14">
      <pivotArea type="data" outline="0" fieldPosition="0">
        <references count="3">
          <reference field="4294967294" count="1" selected="0">
            <x v="1"/>
          </reference>
          <reference field="0" count="1" selected="0">
            <x v="1"/>
          </reference>
          <reference field="1" count="1" selected="0">
            <x v="5"/>
          </reference>
        </references>
      </pivotArea>
    </chartFormat>
    <chartFormat chart="8" format="15">
      <pivotArea type="data" outline="0" fieldPosition="0">
        <references count="3">
          <reference field="4294967294" count="1" selected="0">
            <x v="1"/>
          </reference>
          <reference field="0" count="1" selected="0">
            <x v="1"/>
          </reference>
          <reference field="1" count="1" selected="0">
            <x v="6"/>
          </reference>
        </references>
      </pivotArea>
    </chartFormat>
    <chartFormat chart="8" format="16">
      <pivotArea type="data" outline="0" fieldPosition="0">
        <references count="3">
          <reference field="4294967294" count="1" selected="0">
            <x v="1"/>
          </reference>
          <reference field="0" count="1" selected="0">
            <x v="1"/>
          </reference>
          <reference field="1" count="1" selected="0">
            <x v="8"/>
          </reference>
        </references>
      </pivotArea>
    </chartFormat>
    <chartFormat chart="8" format="17">
      <pivotArea type="data" outline="0" fieldPosition="0">
        <references count="3">
          <reference field="4294967294" count="1" selected="0">
            <x v="1"/>
          </reference>
          <reference field="0" count="1" selected="0">
            <x v="1"/>
          </reference>
          <reference field="1" count="1" selected="0">
            <x v="12"/>
          </reference>
        </references>
      </pivotArea>
    </chartFormat>
    <chartFormat chart="8" format="18">
      <pivotArea type="data" outline="0" fieldPosition="0">
        <references count="3">
          <reference field="4294967294" count="1" selected="0">
            <x v="1"/>
          </reference>
          <reference field="0" count="1" selected="0">
            <x v="1"/>
          </reference>
          <reference field="1" count="1" selected="0">
            <x v="13"/>
          </reference>
        </references>
      </pivotArea>
    </chartFormat>
    <chartFormat chart="8" format="19">
      <pivotArea type="data" outline="0" fieldPosition="0">
        <references count="3">
          <reference field="4294967294" count="1" selected="0">
            <x v="2"/>
          </reference>
          <reference field="0" count="1" selected="0">
            <x v="1"/>
          </reference>
          <reference field="1" count="1" selected="0">
            <x v="0"/>
          </reference>
        </references>
      </pivotArea>
    </chartFormat>
    <chartFormat chart="8" format="20">
      <pivotArea type="data" outline="0" fieldPosition="0">
        <references count="3">
          <reference field="4294967294" count="1" selected="0">
            <x v="2"/>
          </reference>
          <reference field="0" count="1" selected="0">
            <x v="1"/>
          </reference>
          <reference field="1" count="1" selected="0">
            <x v="1"/>
          </reference>
        </references>
      </pivotArea>
    </chartFormat>
    <chartFormat chart="8" format="21">
      <pivotArea type="data" outline="0" fieldPosition="0">
        <references count="3">
          <reference field="4294967294" count="1" selected="0">
            <x v="2"/>
          </reference>
          <reference field="0" count="1" selected="0">
            <x v="1"/>
          </reference>
          <reference field="1" count="1" selected="0">
            <x v="3"/>
          </reference>
        </references>
      </pivotArea>
    </chartFormat>
    <chartFormat chart="8" format="22">
      <pivotArea type="data" outline="0" fieldPosition="0">
        <references count="3">
          <reference field="4294967294" count="1" selected="0">
            <x v="2"/>
          </reference>
          <reference field="0" count="1" selected="0">
            <x v="1"/>
          </reference>
          <reference field="1" count="1" selected="0">
            <x v="5"/>
          </reference>
        </references>
      </pivotArea>
    </chartFormat>
    <chartFormat chart="8" format="23">
      <pivotArea type="data" outline="0" fieldPosition="0">
        <references count="3">
          <reference field="4294967294" count="1" selected="0">
            <x v="2"/>
          </reference>
          <reference field="0" count="1" selected="0">
            <x v="1"/>
          </reference>
          <reference field="1" count="1" selected="0">
            <x v="6"/>
          </reference>
        </references>
      </pivotArea>
    </chartFormat>
    <chartFormat chart="8" format="24">
      <pivotArea type="data" outline="0" fieldPosition="0">
        <references count="3">
          <reference field="4294967294" count="1" selected="0">
            <x v="2"/>
          </reference>
          <reference field="0" count="1" selected="0">
            <x v="1"/>
          </reference>
          <reference field="1" count="1" selected="0">
            <x v="8"/>
          </reference>
        </references>
      </pivotArea>
    </chartFormat>
    <chartFormat chart="8" format="25">
      <pivotArea type="data" outline="0" fieldPosition="0">
        <references count="3">
          <reference field="4294967294" count="1" selected="0">
            <x v="2"/>
          </reference>
          <reference field="0" count="1" selected="0">
            <x v="1"/>
          </reference>
          <reference field="1" count="1" selected="0">
            <x v="12"/>
          </reference>
        </references>
      </pivotArea>
    </chartFormat>
    <chartFormat chart="8" format="26">
      <pivotArea type="data" outline="0" fieldPosition="0">
        <references count="3">
          <reference field="4294967294" count="1" selected="0">
            <x v="2"/>
          </reference>
          <reference field="0" count="1" selected="0">
            <x v="1"/>
          </reference>
          <reference field="1" count="1" selected="0">
            <x v="13"/>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0A8AC2-A0BA-4052-9B56-CFAA1646A54B}" name="PivotTable1" cacheId="1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11:G140" firstHeaderRow="0" firstDataRow="1" firstDataCol="3"/>
  <pivotFields count="34">
    <pivotField compact="0" outline="0" showAll="0"/>
    <pivotField axis="axisRow" compact="0" outline="0" showAll="0" defaultSubtotal="0">
      <items count="14">
        <item x="0"/>
        <item x="7"/>
        <item x="8"/>
        <item x="4"/>
        <item m="1" x="12"/>
        <item x="1"/>
        <item x="9"/>
        <item x="11"/>
        <item x="6"/>
        <item x="10"/>
        <item x="5"/>
        <item m="1" x="13"/>
        <item x="2"/>
        <item x="3"/>
      </items>
    </pivotField>
    <pivotField axis="axisRow"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axis="axisRow" compact="0" outline="0" showAll="0">
      <items count="122">
        <item x="46"/>
        <item x="49"/>
        <item x="50"/>
        <item x="4"/>
        <item x="5"/>
        <item x="51"/>
        <item x="16"/>
        <item x="6"/>
        <item x="7"/>
        <item x="52"/>
        <item x="8"/>
        <item x="17"/>
        <item x="25"/>
        <item x="26"/>
        <item x="18"/>
        <item x="9"/>
        <item x="19"/>
        <item x="20"/>
        <item x="27"/>
        <item x="37"/>
        <item x="38"/>
        <item x="21"/>
        <item x="13"/>
        <item x="28"/>
        <item x="36"/>
        <item x="14"/>
        <item x="10"/>
        <item x="44"/>
        <item x="11"/>
        <item x="45"/>
        <item x="15"/>
        <item x="0"/>
        <item x="29"/>
        <item x="43"/>
        <item x="30"/>
        <item x="22"/>
        <item x="23"/>
        <item x="47"/>
        <item x="1"/>
        <item x="31"/>
        <item x="48"/>
        <item x="2"/>
        <item x="3"/>
        <item x="32"/>
        <item x="33"/>
        <item x="39"/>
        <item x="40"/>
        <item x="12"/>
        <item x="34"/>
        <item x="24"/>
        <item x="41"/>
        <item x="35"/>
        <item x="42"/>
        <item x="86"/>
        <item x="87"/>
        <item x="93"/>
        <item x="77"/>
        <item x="104"/>
        <item x="105"/>
        <item x="106"/>
        <item x="111"/>
        <item x="62"/>
        <item x="54"/>
        <item x="59"/>
        <item x="56"/>
        <item x="60"/>
        <item x="57"/>
        <item x="61"/>
        <item x="65"/>
        <item x="53"/>
        <item x="66"/>
        <item x="63"/>
        <item x="64"/>
        <item x="81"/>
        <item x="71"/>
        <item x="84"/>
        <item x="75"/>
        <item x="85"/>
        <item x="82"/>
        <item x="76"/>
        <item x="83"/>
        <item x="72"/>
        <item x="73"/>
        <item x="91"/>
        <item x="96"/>
        <item x="95"/>
        <item x="102"/>
        <item x="103"/>
        <item x="92"/>
        <item x="109"/>
        <item x="110"/>
        <item x="58"/>
        <item x="79"/>
        <item x="78"/>
        <item x="94"/>
        <item x="100"/>
        <item x="101"/>
        <item x="113"/>
        <item x="70"/>
        <item x="88"/>
        <item x="74"/>
        <item x="90"/>
        <item x="80"/>
        <item x="97"/>
        <item x="107"/>
        <item x="108"/>
        <item x="98"/>
        <item x="99"/>
        <item x="114"/>
        <item x="117"/>
        <item x="120"/>
        <item x="55"/>
        <item x="67"/>
        <item x="118"/>
        <item x="115"/>
        <item x="116"/>
        <item x="112"/>
        <item x="119"/>
        <item x="68"/>
        <item x="89"/>
        <item x="6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2"/>
    <field x="1"/>
    <field x="11"/>
  </rowFields>
  <rowItems count="129">
    <i>
      <x/>
      <x/>
      <x v="31"/>
    </i>
    <i r="1">
      <x v="5"/>
      <x v="38"/>
    </i>
    <i r="2">
      <x v="41"/>
    </i>
    <i r="2">
      <x v="42"/>
    </i>
    <i r="1">
      <x v="12"/>
      <x v="3"/>
    </i>
    <i r="2">
      <x v="4"/>
    </i>
    <i r="2">
      <x v="7"/>
    </i>
    <i r="2">
      <x v="8"/>
    </i>
    <i r="1">
      <x v="13"/>
      <x v="10"/>
    </i>
    <i r="2">
      <x v="15"/>
    </i>
    <i r="2">
      <x v="26"/>
    </i>
    <i r="2">
      <x v="28"/>
    </i>
    <i r="2">
      <x v="47"/>
    </i>
    <i>
      <x v="1"/>
      <x v="1"/>
      <x v="32"/>
    </i>
    <i r="1">
      <x v="3"/>
      <x v="6"/>
    </i>
    <i r="2">
      <x v="11"/>
    </i>
    <i r="2">
      <x v="12"/>
    </i>
    <i r="2">
      <x v="13"/>
    </i>
    <i r="2">
      <x v="14"/>
    </i>
    <i r="2">
      <x v="15"/>
    </i>
    <i r="2">
      <x v="16"/>
    </i>
    <i r="2">
      <x v="17"/>
    </i>
    <i r="2">
      <x v="18"/>
    </i>
    <i r="2">
      <x v="19"/>
    </i>
    <i r="2">
      <x v="20"/>
    </i>
    <i r="2">
      <x v="21"/>
    </i>
    <i r="2">
      <x v="22"/>
    </i>
    <i r="2">
      <x v="23"/>
    </i>
    <i r="2">
      <x v="24"/>
    </i>
    <i r="2">
      <x v="25"/>
    </i>
    <i r="1">
      <x v="8"/>
      <x v="34"/>
    </i>
    <i r="2">
      <x v="35"/>
    </i>
    <i r="2">
      <x v="36"/>
    </i>
    <i r="2">
      <x v="39"/>
    </i>
    <i r="2">
      <x v="43"/>
    </i>
    <i r="2">
      <x v="44"/>
    </i>
    <i r="2">
      <x v="45"/>
    </i>
    <i r="2">
      <x v="46"/>
    </i>
    <i r="2">
      <x v="48"/>
    </i>
    <i r="2">
      <x v="49"/>
    </i>
    <i r="2">
      <x v="50"/>
    </i>
    <i r="2">
      <x v="51"/>
    </i>
    <i r="1">
      <x v="10"/>
      <x v="30"/>
    </i>
    <i>
      <x v="2"/>
      <x v="2"/>
      <x v="33"/>
    </i>
    <i r="2">
      <x v="52"/>
    </i>
    <i r="1">
      <x v="6"/>
      <x v="27"/>
    </i>
    <i r="2">
      <x v="29"/>
    </i>
    <i r="1">
      <x v="9"/>
      <x/>
    </i>
    <i r="2">
      <x v="1"/>
    </i>
    <i r="2">
      <x v="2"/>
    </i>
    <i r="2">
      <x v="5"/>
    </i>
    <i r="2">
      <x v="9"/>
    </i>
    <i r="2">
      <x v="37"/>
    </i>
    <i r="2">
      <x v="40"/>
    </i>
    <i>
      <x v="3"/>
      <x v="1"/>
      <x v="53"/>
    </i>
    <i r="2">
      <x v="54"/>
    </i>
    <i r="2">
      <x v="55"/>
    </i>
    <i r="2">
      <x v="56"/>
    </i>
    <i r="2">
      <x v="57"/>
    </i>
    <i r="2">
      <x v="58"/>
    </i>
    <i r="2">
      <x v="59"/>
    </i>
    <i r="2">
      <x v="60"/>
    </i>
    <i r="1">
      <x v="3"/>
      <x v="11"/>
    </i>
    <i r="2">
      <x v="14"/>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112"/>
    </i>
    <i r="2">
      <x v="116"/>
    </i>
    <i r="1">
      <x v="7"/>
      <x v="35"/>
    </i>
    <i r="2">
      <x v="91"/>
    </i>
    <i r="2">
      <x v="92"/>
    </i>
    <i r="2">
      <x v="93"/>
    </i>
    <i r="2">
      <x v="94"/>
    </i>
    <i r="2">
      <x v="95"/>
    </i>
    <i r="2">
      <x v="96"/>
    </i>
    <i r="2">
      <x v="97"/>
    </i>
    <i r="2">
      <x v="113"/>
    </i>
    <i r="2">
      <x v="114"/>
    </i>
    <i r="2">
      <x v="115"/>
    </i>
    <i r="2">
      <x v="117"/>
    </i>
    <i r="1">
      <x v="8"/>
      <x v="32"/>
    </i>
    <i r="2">
      <x v="36"/>
    </i>
    <i r="2">
      <x v="56"/>
    </i>
    <i r="2">
      <x v="98"/>
    </i>
    <i r="2">
      <x v="99"/>
    </i>
    <i r="2">
      <x v="100"/>
    </i>
    <i r="2">
      <x v="101"/>
    </i>
    <i r="2">
      <x v="102"/>
    </i>
    <i r="2">
      <x v="103"/>
    </i>
    <i r="2">
      <x v="104"/>
    </i>
    <i r="2">
      <x v="105"/>
    </i>
    <i r="2">
      <x v="106"/>
    </i>
    <i r="2">
      <x v="107"/>
    </i>
    <i r="2">
      <x v="108"/>
    </i>
    <i r="2">
      <x v="109"/>
    </i>
    <i r="2">
      <x v="110"/>
    </i>
    <i r="2">
      <x v="118"/>
    </i>
    <i r="2">
      <x v="119"/>
    </i>
    <i r="2">
      <x v="120"/>
    </i>
    <i r="1">
      <x v="10"/>
      <x v="111"/>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 fld="9" showDataAs="percentOfTotal" baseField="0" baseItem="0" numFmtId="10"/>
  </dataFields>
  <formats count="14">
    <format dxfId="230">
      <pivotArea outline="0" fieldPosition="0">
        <references count="1">
          <reference field="4294967294" count="1" selected="0">
            <x v="1"/>
          </reference>
        </references>
      </pivotArea>
    </format>
    <format dxfId="229">
      <pivotArea dataOnly="0" labelOnly="1" outline="0" fieldPosition="0">
        <references count="1">
          <reference field="4294967294" count="1">
            <x v="1"/>
          </reference>
        </references>
      </pivotArea>
    </format>
    <format dxfId="228">
      <pivotArea outline="0" fieldPosition="0">
        <references count="1">
          <reference field="4294967294" count="1">
            <x v="2"/>
          </reference>
        </references>
      </pivotArea>
    </format>
    <format dxfId="227">
      <pivotArea dataOnly="0" labelOnly="1" outline="0" fieldPosition="0">
        <references count="1">
          <reference field="4294967294" count="1">
            <x v="2"/>
          </reference>
        </references>
      </pivotArea>
    </format>
    <format dxfId="226">
      <pivotArea dataOnly="0" labelOnly="1" outline="0" fieldPosition="0">
        <references count="1">
          <reference field="2" count="0"/>
        </references>
      </pivotArea>
    </format>
    <format dxfId="225">
      <pivotArea dataOnly="0" labelOnly="1" grandRow="1" outline="0" fieldPosition="0"/>
    </format>
    <format dxfId="224">
      <pivotArea dataOnly="0" labelOnly="1" outline="0" fieldPosition="0">
        <references count="2">
          <reference field="1" count="4">
            <x v="0"/>
            <x v="5"/>
            <x v="12"/>
            <x v="13"/>
          </reference>
          <reference field="2" count="1" selected="0">
            <x v="0"/>
          </reference>
        </references>
      </pivotArea>
    </format>
    <format dxfId="223">
      <pivotArea dataOnly="0" labelOnly="1" outline="0" fieldPosition="0">
        <references count="2">
          <reference field="1" count="4">
            <x v="1"/>
            <x v="3"/>
            <x v="8"/>
            <x v="10"/>
          </reference>
          <reference field="2" count="1" selected="0">
            <x v="1"/>
          </reference>
        </references>
      </pivotArea>
    </format>
    <format dxfId="222">
      <pivotArea dataOnly="0" labelOnly="1" outline="0" fieldPosition="0">
        <references count="2">
          <reference field="1" count="3">
            <x v="2"/>
            <x v="6"/>
            <x v="9"/>
          </reference>
          <reference field="2" count="1" selected="0">
            <x v="2"/>
          </reference>
        </references>
      </pivotArea>
    </format>
    <format dxfId="221">
      <pivotArea dataOnly="0" labelOnly="1" outline="0" fieldPosition="0">
        <references count="2">
          <reference field="1" count="5">
            <x v="1"/>
            <x v="4"/>
            <x v="7"/>
            <x v="8"/>
            <x v="11"/>
          </reference>
          <reference field="2" count="1" selected="0">
            <x v="3"/>
          </reference>
        </references>
      </pivotArea>
    </format>
    <format dxfId="220">
      <pivotArea field="2" type="button" dataOnly="0" labelOnly="1" outline="0" axis="axisRow" fieldPosition="0"/>
    </format>
    <format dxfId="219">
      <pivotArea field="1" type="button" dataOnly="0" labelOnly="1" outline="0" axis="axisRow" fieldPosition="1"/>
    </format>
    <format dxfId="218">
      <pivotArea dataOnly="0" labelOnly="1" outline="0" fieldPosition="0">
        <references count="1">
          <reference field="4294967294" count="3">
            <x v="0"/>
            <x v="1"/>
            <x v="2"/>
          </reference>
        </references>
      </pivotArea>
    </format>
    <format dxfId="217">
      <pivotArea outline="0" fieldPosition="0">
        <references count="1">
          <reference field="4294967294" count="1">
            <x v="0"/>
          </reference>
        </references>
      </pivotArea>
    </format>
  </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B167013-946B-4ABD-AC4A-A7D823931B26}" name="PivotTable2" cacheId="1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2:F7" firstHeaderRow="0" firstDataRow="1" firstDataCol="2"/>
  <pivotFields count="34">
    <pivotField compact="0" outline="0" showAll="0"/>
    <pivotField axis="axisRow" compact="0" outline="0" showAll="0" defaultSubtotal="0">
      <items count="14">
        <item x="0"/>
        <item x="7"/>
        <item x="8"/>
        <item x="4"/>
        <item m="1" x="12"/>
        <item x="1"/>
        <item x="9"/>
        <item x="11"/>
        <item x="6"/>
        <item x="10"/>
        <item x="5"/>
        <item m="1" x="13"/>
        <item x="2"/>
        <item x="3"/>
      </items>
    </pivotField>
    <pivotField axis="axisRow" compact="0" outline="0" showAll="0" defaultSubtotal="0">
      <items count="4">
        <item sd="0" x="0"/>
        <item sd="0" x="1"/>
        <item sd="0" x="2"/>
        <item sd="0"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2"/>
    <field x="1"/>
  </rowFields>
  <rowItems count="5">
    <i>
      <x/>
    </i>
    <i>
      <x v="1"/>
    </i>
    <i>
      <x v="2"/>
    </i>
    <i>
      <x v="3"/>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 fld="9" showDataAs="percentOfTotal" baseField="0" baseItem="0" numFmtId="10"/>
  </dataFields>
  <formats count="14">
    <format dxfId="244">
      <pivotArea outline="0" fieldPosition="0">
        <references count="1">
          <reference field="4294967294" count="1" selected="0">
            <x v="1"/>
          </reference>
        </references>
      </pivotArea>
    </format>
    <format dxfId="243">
      <pivotArea dataOnly="0" labelOnly="1" outline="0" fieldPosition="0">
        <references count="1">
          <reference field="4294967294" count="1">
            <x v="1"/>
          </reference>
        </references>
      </pivotArea>
    </format>
    <format dxfId="242">
      <pivotArea outline="0" fieldPosition="0">
        <references count="1">
          <reference field="4294967294" count="1">
            <x v="2"/>
          </reference>
        </references>
      </pivotArea>
    </format>
    <format dxfId="241">
      <pivotArea dataOnly="0" labelOnly="1" outline="0" fieldPosition="0">
        <references count="1">
          <reference field="4294967294" count="1">
            <x v="2"/>
          </reference>
        </references>
      </pivotArea>
    </format>
    <format dxfId="240">
      <pivotArea dataOnly="0" labelOnly="1" outline="0" fieldPosition="0">
        <references count="1">
          <reference field="2" count="0"/>
        </references>
      </pivotArea>
    </format>
    <format dxfId="239">
      <pivotArea dataOnly="0" labelOnly="1" grandRow="1" outline="0" fieldPosition="0"/>
    </format>
    <format dxfId="238">
      <pivotArea dataOnly="0" labelOnly="1" outline="0" fieldPosition="0">
        <references count="2">
          <reference field="1" count="4">
            <x v="0"/>
            <x v="5"/>
            <x v="12"/>
            <x v="13"/>
          </reference>
          <reference field="2" count="1" selected="0">
            <x v="0"/>
          </reference>
        </references>
      </pivotArea>
    </format>
    <format dxfId="237">
      <pivotArea dataOnly="0" labelOnly="1" outline="0" fieldPosition="0">
        <references count="2">
          <reference field="1" count="4">
            <x v="1"/>
            <x v="3"/>
            <x v="8"/>
            <x v="10"/>
          </reference>
          <reference field="2" count="1" selected="0">
            <x v="1"/>
          </reference>
        </references>
      </pivotArea>
    </format>
    <format dxfId="236">
      <pivotArea dataOnly="0" labelOnly="1" outline="0" fieldPosition="0">
        <references count="2">
          <reference field="1" count="3">
            <x v="2"/>
            <x v="6"/>
            <x v="9"/>
          </reference>
          <reference field="2" count="1" selected="0">
            <x v="2"/>
          </reference>
        </references>
      </pivotArea>
    </format>
    <format dxfId="235">
      <pivotArea dataOnly="0" labelOnly="1" outline="0" fieldPosition="0">
        <references count="2">
          <reference field="1" count="5">
            <x v="1"/>
            <x v="4"/>
            <x v="7"/>
            <x v="8"/>
            <x v="11"/>
          </reference>
          <reference field="2" count="1" selected="0">
            <x v="3"/>
          </reference>
        </references>
      </pivotArea>
    </format>
    <format dxfId="234">
      <pivotArea field="2" type="button" dataOnly="0" labelOnly="1" outline="0" axis="axisRow" fieldPosition="0"/>
    </format>
    <format dxfId="233">
      <pivotArea field="1" type="button" dataOnly="0" labelOnly="1" outline="0" axis="axisRow" fieldPosition="1"/>
    </format>
    <format dxfId="232">
      <pivotArea dataOnly="0" labelOnly="1" outline="0" fieldPosition="0">
        <references count="1">
          <reference field="4294967294" count="3">
            <x v="0"/>
            <x v="1"/>
            <x v="2"/>
          </reference>
        </references>
      </pivotArea>
    </format>
    <format dxfId="231">
      <pivotArea outline="0" fieldPosition="0">
        <references count="1">
          <reference field="4294967294" count="1">
            <x v="0"/>
          </reference>
        </references>
      </pivotArea>
    </format>
  </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9D5A50-5A98-4A51-AD11-EB9AA713FE77}" name="Table1" displayName="Table1" ref="A2:Y137" totalsRowShown="0" headerRowDxfId="404" headerRowBorderDxfId="403" tableBorderDxfId="402">
  <autoFilter ref="A2:Y137" xr:uid="{A69D5A50-5A98-4A51-AD11-EB9AA713FE77}"/>
  <tableColumns count="25">
    <tableColumn id="1" xr3:uid="{2825F8CC-B4C1-402A-836E-753A9B06E7B1}" name="Island" dataDxfId="401"/>
    <tableColumn id="2" xr3:uid="{CFD5DE26-BCB0-48EB-A267-FA98C286002C}" name="RE Resources" dataDxfId="400"/>
    <tableColumn id="3" xr3:uid="{E14E20B6-FB2C-484B-8849-3D243CB04E2F}" name="FIT" dataDxfId="399"/>
    <tableColumn id="4" xr3:uid="{F7112791-02F5-4681-BB20-16E439E8837B}" name="Count" dataDxfId="398"/>
    <tableColumn id="5" xr3:uid="{1EBD962B-B1B2-43D9-B2DD-498054A9B2BF}" name="RE Developer"/>
    <tableColumn id="6" xr3:uid="{5142EAE8-D6FF-48A8-8AD9-2620EDF73DE4}" name="RE Plant" dataDxfId="397"/>
    <tableColumn id="7" xr3:uid="{3FB6388A-8F5F-4CE9-BA3E-C9838200FF0A}" name="Location" dataDxfId="396"/>
    <tableColumn id="8" xr3:uid="{07C71BC4-C0A3-4E19-82E2-3186CF883505}" name="Installed Capacity as per COC (MW) " dataDxfId="395"/>
    <tableColumn id="9" xr3:uid="{3A560FEA-D49E-459F-8097-4FD1BB93929F}" name="Installed Capacity as per COE (MW) " dataDxfId="394"/>
    <tableColumn id="10" xr3:uid="{5F71F51B-39E2-407B-9A56-D4B3F18B560E}" name="Subscribed FIT Capacity as per COE (MW)" dataDxfId="393"/>
    <tableColumn id="11" xr3:uid="{E46AC03E-7EAE-4345-9B94-5ACC077A1159}" name="0" dataDxfId="392"/>
    <tableColumn id="12" xr3:uid="{F15B30EB-C359-4334-8C91-C3547C88D355}" name="COD per COE" dataDxfId="391"/>
    <tableColumn id="13" xr3:uid="{A6ED3F5A-BB41-4F3E-9B52-F94829A3CECE}" name="Start of FIT Elibility per COC" dataDxfId="390"/>
    <tableColumn id="14" xr3:uid="{E8C9755C-BEF8-4062-BA90-6795D7B0E9E5}" name="FIT End Term per COC" dataDxfId="389"/>
    <tableColumn id="15" xr3:uid="{181938DA-D737-4390-B702-86752151F43D}" name="FIT Term_x000a_(Years)" dataDxfId="388"/>
    <tableColumn id="16" xr3:uid="{50A1F7D9-232E-4EE5-B810-670F13F5757C}" name="FIT Eligibility Period per COC" dataDxfId="387"/>
    <tableColumn id="17" xr3:uid="{45E70B73-56E4-409F-8B80-89CEB9DEC05C}" name="COC Date Approved" dataDxfId="386"/>
    <tableColumn id="18" xr3:uid="{7725A7FE-F9EE-434E-B66B-1B011647C709}" name="First FIT Adjustment " dataDxfId="385"/>
    <tableColumn id="19" xr3:uid="{4E2D7366-8555-4C24-9A38-75E5451036F6}" name="Original FIT Rate" dataDxfId="384"/>
    <tableColumn id="21" xr3:uid="{B9DD32F0-C165-4A92-BB05-B7926A967422}" name="Remarks"/>
    <tableColumn id="20" xr3:uid="{E451FAB7-43ED-4273-8847-C3E1821D126B}" name="Status" dataDxfId="383"/>
    <tableColumn id="25" xr3:uid="{647830E2-AADA-46C7-B70D-0EEAB5436754}" name="TransCo Plant Name"/>
    <tableColumn id="23" xr3:uid="{5A05A111-B816-437D-BEAF-8E1BC1E8D9F7}" name="Column2" dataDxfId="382">
      <calculatedColumnFormula>VLOOKUP(Table1[[#This Row],[RE Plant]],[1]FD!$B:$H,2,FALSE)</calculatedColumnFormula>
    </tableColumn>
    <tableColumn id="24" xr3:uid="{0E9EC708-9835-46A1-B170-4D0B0F9D41ED}" name="Column3" dataCellStyle="Comma">
      <calculatedColumnFormula>Table1[[#This Row],[Start of FIT Elibility per COC]]-Table1[[#This Row],[Column2]]</calculatedColumnFormula>
    </tableColumn>
    <tableColumn id="22" xr3:uid="{CD1695F1-44B5-44F3-B460-93D754C343B1}" name="Column1" dataDxfId="38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0619F5-4213-4B52-B315-628A83F3AE93}" name="Table3" displayName="Table3" ref="A3:AH263" totalsRowCount="1" headerRowDxfId="310" dataDxfId="309">
  <autoFilter ref="A3:AH262" xr:uid="{270619F5-4213-4B52-B315-628A83F3AE93}">
    <filterColumn colId="28">
      <customFilters>
        <customFilter operator="notEqual" val=" "/>
      </customFilters>
    </filterColumn>
  </autoFilter>
  <tableColumns count="34">
    <tableColumn id="1" xr3:uid="{03E98E2D-6878-46E2-B220-C841E1C0D5B7}" name="Grid" dataDxfId="308" totalsRowDxfId="307"/>
    <tableColumn id="2" xr3:uid="{BED66915-6A68-4666-97C7-7BD52B652D31}" name="Technology" dataDxfId="306" totalsRowDxfId="305"/>
    <tableColumn id="3" xr3:uid="{BAE01D86-71A1-48D0-B345-9F27F678F1DA}" name="GEA" dataDxfId="304" totalsRowDxfId="303"/>
    <tableColumn id="4" xr3:uid="{B8C6E2CA-D555-4EB8-B2B9-96EDB7D48C73}" name="No. " dataDxfId="302" totalsRowDxfId="301"/>
    <tableColumn id="5" xr3:uid="{44A46670-ADFE-45C3-965B-B83FBC118F97}" name="RE Developer" dataDxfId="300" totalsRowDxfId="299"/>
    <tableColumn id="6" xr3:uid="{FC380036-D454-43FA-BA44-6148EF85DB35}" name="Project Name " dataDxfId="298" totalsRowDxfId="297"/>
    <tableColumn id="13" xr3:uid="{84EC9023-E717-4135-AFEE-CEF8AA5FC216}" name="Address" dataDxfId="296" totalsRowDxfId="295"/>
    <tableColumn id="7" xr3:uid="{C4BBE7C9-6C51-4A76-BDED-856BA1FDBFE4}" name="Location" dataDxfId="294" totalsRowDxfId="293"/>
    <tableColumn id="26" xr3:uid="{6D63E82D-1007-480C-85CF-CAE2B75157F2}" name="Nameplate Capacity (kWp)" dataDxfId="292" totalsRowDxfId="291" dataCellStyle="Comma"/>
    <tableColumn id="8" xr3:uid="{D72BD816-3C90-4C98-86FC-B2895A442138}" name="Capacity _x000a_(MW)" totalsRowFunction="custom" dataDxfId="290" totalsRowDxfId="289" dataCellStyle="Comma">
      <totalsRowFormula>SUBTOTAL(109,J128:J139)</totalsRowFormula>
    </tableColumn>
    <tableColumn id="16" xr3:uid="{9A6122F7-389D-483D-8BF8-CD6846DCA9BB}" name="GEAR Price" dataDxfId="288" totalsRowDxfId="287" dataCellStyle="Comma"/>
    <tableColumn id="9" xr3:uid="{EC7137B3-66B4-41BA-B4D0-F138E2E5F73A}" name="Bid Price _x000a_(PhP/kWh)" dataDxfId="286" totalsRowDxfId="285"/>
    <tableColumn id="10" xr3:uid="{CD318DA4-60B8-475D-8C16-E2F700E2413E}" name="Expected COD" dataDxfId="284" totalsRowDxfId="283"/>
    <tableColumn id="20" xr3:uid="{02AE48CB-4346-43A1-8FC4-37C06A899B0B}" name="Delivery Commencement Date (DCD)" dataDxfId="282" totalsRowDxfId="281"/>
    <tableColumn id="17" xr3:uid="{1663B7D0-CA4E-4209-8A49-49D0949464B9}" name="Commitment Delivery Period" dataDxfId="280" totalsRowDxfId="279"/>
    <tableColumn id="18" xr3:uid="{F9C1CE18-10D5-44C7-981F-3BAC1C26E991}" name="Certificate of Award date" dataDxfId="278" totalsRowDxfId="277"/>
    <tableColumn id="19" xr3:uid="{99AE5D9C-C86D-4CD0-BF88-BECEE33470A2}" name="Actual COD/COC" dataDxfId="276" totalsRowDxfId="275"/>
    <tableColumn id="11" xr3:uid="{7DA09BA7-5EDA-4B15-9255-AE873FAF7732}" name="Remarks" dataDxfId="274" totalsRowDxfId="273"/>
    <tableColumn id="31" xr3:uid="{FB97DA97-576F-44BA-A560-146E96806C73}" name="COE-GET no." dataDxfId="272" totalsRowDxfId="271"/>
    <tableColumn id="21" xr3:uid="{65AC4E93-A7C3-4E62-AB80-148F967E9425}" name="COE-GET_x000a_(Date Signed)" dataDxfId="270" totalsRowDxfId="269"/>
    <tableColumn id="22" xr3:uid="{F5CAFCB7-DE0B-441D-856D-1765605A4013}" name="Status" dataDxfId="268" totalsRowDxfId="267"/>
    <tableColumn id="32" xr3:uid="{3ACE4119-A0DB-4A54-87CC-5189E8B50EA0}" name="COC no." dataDxfId="266" totalsRowDxfId="265"/>
    <tableColumn id="29" xr3:uid="{B7A18B1C-B30C-49FF-BF94-7A0D1B454B28}" name="Date Approved" dataDxfId="264" totalsRowDxfId="263"/>
    <tableColumn id="28" xr3:uid="{D53D4748-BFAA-4F97-8133-E87843A6869F}" name="Date issued" dataDxfId="262" totalsRowDxfId="261"/>
    <tableColumn id="23" xr3:uid="{6A036B06-2194-41CC-A679-3AD43C6BB55A}" name="Valid from" dataDxfId="260" totalsRowDxfId="259"/>
    <tableColumn id="24" xr3:uid="{0CDFB138-AB7B-43DF-923C-07E459244C40}" name="Valid to" dataDxfId="258" totalsRowDxfId="257">
      <calculatedColumnFormula>Table3[[#This Row],[Valid from]]+364</calculatedColumnFormula>
    </tableColumn>
    <tableColumn id="34" xr3:uid="{CB5212F1-6467-4B1C-970A-E6863263D179}" name="Capacity per COC / PAO (kW)" dataDxfId="256" totalsRowDxfId="255" dataCellStyle="Comma"/>
    <tableColumn id="12" xr3:uid="{AF855D1C-58B7-4CE2-A5D8-DC155FD3D603}" name="ERC/ DOE Status" dataDxfId="254" totalsRowDxfId="253"/>
    <tableColumn id="14" xr3:uid="{DEF194DE-9393-4784-9A8A-515FE5E32F9A}" name="REPA-GEAP No." dataDxfId="252" totalsRowDxfId="251"/>
    <tableColumn id="15" xr3:uid="{71056747-8287-4BD0-9534-8089A8DA4FCC}" name="REPA-GEAP Status" dataDxfId="250" totalsRowDxfId="249"/>
    <tableColumn id="25" xr3:uid="{20FC7565-4566-403F-8463-5F1E174EF372}" name="Start of GET eligibility" dataDxfId="248"/>
    <tableColumn id="30" xr3:uid="{E22D3A0E-5B72-43B8-B0AD-2E0DA800DC18}" name="release date" dataDxfId="247"/>
    <tableColumn id="27" xr3:uid="{B221CB6D-C0D6-4994-AF65-93F20C361B86}" name="REPA effectivity date" dataDxfId="246"/>
    <tableColumn id="33" xr3:uid="{A05DB820-2BE5-4B37-9E23-21C840169A3E}" name="Column1" dataDxfId="24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7F5002-240D-470B-8827-EBC5455EB42A}" name="Table2" displayName="Table2" ref="A2:S29" totalsRowShown="0" headerRowDxfId="216" headerRowBorderDxfId="215" tableBorderDxfId="214" totalsRowBorderDxfId="213">
  <autoFilter ref="A2:S29" xr:uid="{6B7F5002-240D-470B-8827-EBC5455EB42A}"/>
  <tableColumns count="19">
    <tableColumn id="1" xr3:uid="{E03D6633-DC25-4FA4-BDA8-20482E14FF92}" name="Island"/>
    <tableColumn id="2" xr3:uid="{A32FBC9B-FAAF-418B-8B56-5B1E8A47A8DB}" name="RE Resources"/>
    <tableColumn id="3" xr3:uid="{DDE47F1B-12A3-45FC-ABB0-F0A522EE9B8B}" name="FIT"/>
    <tableColumn id="4" xr3:uid="{01FEC69A-F089-4400-A056-62495C441EE9}" name="Count"/>
    <tableColumn id="5" xr3:uid="{10F41FFC-664D-4DEB-9BC5-0B3EC9FB6038}" name="RE Developer"/>
    <tableColumn id="6" xr3:uid="{69D37D2E-F6CB-47AB-865D-B1027650496D}" name="RE Plant"/>
    <tableColumn id="7" xr3:uid="{4A856B1C-57A2-4E55-9A7D-3951AB7AE74C}" name="Location"/>
    <tableColumn id="8" xr3:uid="{3503483F-2052-4E04-8887-B42AA67CD838}" name="Installed Capacity as per COC (MW) "/>
    <tableColumn id="9" xr3:uid="{2F5EBA3A-3E26-4FEC-B722-DD7B38618F28}" name="Installed Capacity as per COE (MW) "/>
    <tableColumn id="10" xr3:uid="{468A8925-9BC7-4AEA-94ED-FB58548685AB}" name="Subscribed FIT Capacity as per COE (MW)"/>
    <tableColumn id="11" xr3:uid="{D6AF8C3E-C5C0-42B8-BF62-80A8EA736584}" name="Column1" dataDxfId="212"/>
    <tableColumn id="12" xr3:uid="{E6B196C4-5C88-4683-A30A-D74A0502109B}" name="COD per COE"/>
    <tableColumn id="13" xr3:uid="{6E5935A5-78BB-41F9-8F39-D6FD8369E214}" name="Start of FIT Elibility per COC"/>
    <tableColumn id="14" xr3:uid="{46651916-5999-4B36-8106-72F0DEFF4806}" name="FIT End Term per COC"/>
    <tableColumn id="15" xr3:uid="{B57C3923-3C24-40E4-9DA1-16DADC0E4144}" name="FIT Term_x000a_(Years)"/>
    <tableColumn id="16" xr3:uid="{4CD88252-C781-489C-ACC9-DC903CB7FE40}" name="FIT Eligibility Period per COC"/>
    <tableColumn id="17" xr3:uid="{9FD75FDA-D529-436C-96A5-89EA94D5EE38}" name="COC Date Approved"/>
    <tableColumn id="18" xr3:uid="{04634815-3D86-4BA7-9E98-9EA2547BDB2C}" name="First FIT Adjustment "/>
    <tableColumn id="19" xr3:uid="{6FF9F23B-AFF7-46B8-A77E-BFA12FE9D223}" name="Original FIT Rate"/>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35" dT="2025-02-23T14:39:07.18" personId="{6B92E408-93D4-4862-B1C9-579DFC84CF9D}" id="{B0DBC471-9ED0-4B18-A441-5DC4ACD04F8E}">
    <text>PHINMA Renewable Energy Corp. (PREC) formerly Trans-Asia Renewable Energy Corporation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R3" dT="2025-11-24T04:28:14.89" personId="{6B92E408-93D4-4862-B1C9-579DFC84CF9D}" id="{3EF45171-7F9A-416E-8A22-60419E7AA675}">
    <text>TransCo: 
With REPA dtd. xxxxx</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drawing" Target="../drawings/drawing5.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sheetPr>
  <dimension ref="A1:N42"/>
  <sheetViews>
    <sheetView showGridLines="0" topLeftCell="A16" zoomScale="90" zoomScaleNormal="90" zoomScaleSheetLayoutView="130" workbookViewId="0">
      <selection activeCell="M41" sqref="M41"/>
    </sheetView>
  </sheetViews>
  <sheetFormatPr defaultColWidth="0" defaultRowHeight="15" zeroHeight="1" x14ac:dyDescent="0.25"/>
  <cols>
    <col min="1" max="1" width="78.28515625" customWidth="1"/>
    <col min="2" max="3" width="11.7109375" customWidth="1"/>
    <col min="4" max="4" width="11.28515625" customWidth="1"/>
    <col min="5" max="5" width="13.140625" style="482" customWidth="1"/>
    <col min="6" max="7" width="14.140625" customWidth="1"/>
    <col min="8" max="8" width="14.140625" style="565" customWidth="1"/>
    <col min="9" max="9" width="18" customWidth="1"/>
    <col min="10" max="11" width="8.7109375" hidden="1" customWidth="1"/>
    <col min="12" max="13" width="8.7109375" customWidth="1"/>
    <col min="14" max="14" width="1.28515625" customWidth="1"/>
    <col min="15" max="16384" width="8.7109375" hidden="1"/>
  </cols>
  <sheetData>
    <row r="1" spans="1:14" ht="15.75" thickBot="1" x14ac:dyDescent="0.3">
      <c r="A1" s="1005" t="s">
        <v>1793</v>
      </c>
      <c r="B1" s="1005"/>
      <c r="C1" s="1005"/>
      <c r="D1" s="1005"/>
      <c r="E1" s="1005"/>
      <c r="F1" s="1005"/>
      <c r="G1" s="1005"/>
      <c r="H1" s="1005"/>
      <c r="I1" s="1005"/>
      <c r="N1" s="744"/>
    </row>
    <row r="2" spans="1:14" ht="45.75" thickBot="1" x14ac:dyDescent="0.3">
      <c r="A2" s="626" t="s">
        <v>193</v>
      </c>
      <c r="B2" s="632" t="s">
        <v>52</v>
      </c>
      <c r="C2" s="624" t="s">
        <v>48</v>
      </c>
      <c r="D2" s="624" t="s">
        <v>53</v>
      </c>
      <c r="E2" s="625" t="s">
        <v>57</v>
      </c>
      <c r="F2" s="626" t="s">
        <v>54</v>
      </c>
      <c r="G2" s="627" t="s">
        <v>55</v>
      </c>
      <c r="H2" s="626" t="s">
        <v>354</v>
      </c>
      <c r="I2" s="626" t="s">
        <v>55</v>
      </c>
      <c r="J2" s="408"/>
      <c r="K2" s="55"/>
      <c r="N2" s="744"/>
    </row>
    <row r="3" spans="1:14" ht="18" customHeight="1" x14ac:dyDescent="0.25">
      <c r="A3" s="633" t="s">
        <v>205</v>
      </c>
      <c r="B3" s="1031" t="s">
        <v>9</v>
      </c>
      <c r="C3" s="609" t="s">
        <v>49</v>
      </c>
      <c r="D3" s="610">
        <v>9.68</v>
      </c>
      <c r="E3" s="611">
        <v>50</v>
      </c>
      <c r="F3" s="697">
        <f>GETPIVOTDATA(" Subscribed FIT Capacity as per COE (MW)",FIT.pvt!$B$6,"RE Resources","SOLAR","FIT","FIT I","Original FIT Rate",9.68)</f>
        <v>67.599999999999994</v>
      </c>
      <c r="G3" s="62">
        <f>GETPIVOTDATA("Count of Plants w/ COC",FIT.pvt!$B$6,"RE Resources","SOLAR","FIT","FIT I","Original FIT Rate",9.68)</f>
        <v>6</v>
      </c>
      <c r="H3" s="697">
        <f>GETPIVOTDATA(" Subscribed FIT Capacity as per COE (MW)",FIT.pvt!$K$6,"RE Resources","SOLAR","FIT","FIT I","Original FIT Rate",9.68)</f>
        <v>67.599999999999994</v>
      </c>
      <c r="I3" s="698">
        <f>GETPIVOTDATA("Count of Plants w/ COE",FIT.pvt!$K$6,"RE Resources","SOLAR","FIT","FIT I","Original FIT Rate",9.68)</f>
        <v>6</v>
      </c>
      <c r="J3" s="35">
        <f>SUM(F3:F4)</f>
        <v>543.63200000000006</v>
      </c>
      <c r="K3" s="293">
        <f>SUM(G3:G4)</f>
        <v>24</v>
      </c>
      <c r="N3" s="744"/>
    </row>
    <row r="4" spans="1:14" ht="18" customHeight="1" thickBot="1" x14ac:dyDescent="0.3">
      <c r="A4" s="634" t="s">
        <v>58</v>
      </c>
      <c r="B4" s="1033"/>
      <c r="C4" s="613" t="s">
        <v>50</v>
      </c>
      <c r="D4" s="614">
        <v>8.69</v>
      </c>
      <c r="E4" s="615">
        <v>450</v>
      </c>
      <c r="F4" s="699">
        <f>GETPIVOTDATA(" Subscribed FIT Capacity as per COE (MW)",FIT.pvt!$B$6,"RE Resources","SOLAR","FIT","FIT II","Original FIT Rate",8.69)</f>
        <v>476.03200000000004</v>
      </c>
      <c r="G4" s="700">
        <f>GETPIVOTDATA("Count of Plants w/ COC",FIT.pvt!$B$6,"RE Resources","SOLAR","FIT","FIT II","Original FIT Rate",8.69)</f>
        <v>18</v>
      </c>
      <c r="H4" s="701">
        <f>GETPIVOTDATA(" Subscribed FIT Capacity as per COE (MW)",FIT.pvt!$K$6,"RE Resources","SOLAR","FIT","FIT II","Original FIT Rate",8.69)</f>
        <v>476.03200000000004</v>
      </c>
      <c r="I4" s="702">
        <f>GETPIVOTDATA("Count of Plants w/ COE",FIT.pvt!$K$6,"RE Resources","SOLAR","FIT","FIT II","Original FIT Rate",8.69)</f>
        <v>18</v>
      </c>
      <c r="K4" s="117"/>
      <c r="N4" s="744"/>
    </row>
    <row r="5" spans="1:14" ht="18" customHeight="1" x14ac:dyDescent="0.25">
      <c r="A5" s="633" t="s">
        <v>205</v>
      </c>
      <c r="B5" s="1038" t="s">
        <v>10</v>
      </c>
      <c r="C5" s="616" t="s">
        <v>49</v>
      </c>
      <c r="D5" s="617">
        <v>8.5299999999999994</v>
      </c>
      <c r="E5" s="618">
        <v>200</v>
      </c>
      <c r="F5" s="703">
        <f>GETPIVOTDATA(" Subscribed FIT Capacity as per COE (MW)",FIT.pvt!$B$6,"RE Resources","WIND","FIT","FIT I","Original FIT Rate",8.53)</f>
        <v>234.54</v>
      </c>
      <c r="G5" s="704">
        <f>GETPIVOTDATA("Count of Plants w/ COC",FIT.pvt!$B$6,"RE Resources","WIND","FIT","FIT I","Original FIT Rate",8.53)</f>
        <v>3</v>
      </c>
      <c r="H5" s="703">
        <f>GETPIVOTDATA("Sum of Installed Capacity as per COE (MW) ",FIT.pvt!$K$6,"RE Resources","WIND","FIT","FIT I","Original FIT Rate",8.53)</f>
        <v>249.9</v>
      </c>
      <c r="I5" s="705">
        <f>GETPIVOTDATA("Count of Plants w/ COE",FIT.pvt!$K$6,"RE Resources","WIND","FIT","FIT I","Original FIT Rate",8.53)</f>
        <v>3</v>
      </c>
      <c r="J5" s="35">
        <f>SUM(F5:F8)</f>
        <v>375.53999999999996</v>
      </c>
      <c r="K5" s="294">
        <f>SUM(G5:G8)</f>
        <v>6</v>
      </c>
      <c r="N5" s="744"/>
    </row>
    <row r="6" spans="1:14" ht="18" customHeight="1" x14ac:dyDescent="0.25">
      <c r="A6" s="635" t="s">
        <v>206</v>
      </c>
      <c r="B6" s="1032"/>
      <c r="C6" s="1040" t="s">
        <v>50</v>
      </c>
      <c r="D6" s="1041">
        <v>7.4</v>
      </c>
      <c r="E6" s="1042">
        <v>200</v>
      </c>
      <c r="F6" s="1044">
        <f>GETPIVOTDATA(" Subscribed FIT Capacity as per COE (MW)",FIT.pvt!$B$6,"RE Resources","WIND","FIT","FIT II","Original FIT Rate",7.4)</f>
        <v>141</v>
      </c>
      <c r="G6" s="1045">
        <f>GETPIVOTDATA("Count of Plants w/ COC",FIT.pvt!$B$6,"RE Resources","WIND","FIT","FIT II","Original FIT Rate",7.4)</f>
        <v>3</v>
      </c>
      <c r="H6" s="1044">
        <f>GETPIVOTDATA("Sum of Installed Capacity as per COE (MW) ",FIT.pvt!$K$6,"RE Resources","WIND","FIT","FIT II","Original FIT Rate",7.4)</f>
        <v>144</v>
      </c>
      <c r="I6" s="1046">
        <f>GETPIVOTDATA("Count of Plants w/ COE",FIT.pvt!$K$6,"RE Resources","WIND","FIT","FIT II","Original FIT Rate",7.4)</f>
        <v>3</v>
      </c>
      <c r="K6" s="117"/>
      <c r="N6" s="744"/>
    </row>
    <row r="7" spans="1:14" ht="18" customHeight="1" thickBot="1" x14ac:dyDescent="0.3">
      <c r="A7" s="636" t="s">
        <v>207</v>
      </c>
      <c r="B7" s="1032"/>
      <c r="C7" s="1040"/>
      <c r="D7" s="1041"/>
      <c r="E7" s="1043"/>
      <c r="F7" s="1044"/>
      <c r="G7" s="1045"/>
      <c r="H7" s="1044"/>
      <c r="I7" s="1046"/>
      <c r="K7" s="117"/>
      <c r="N7" s="744"/>
    </row>
    <row r="8" spans="1:14" ht="18" customHeight="1" thickBot="1" x14ac:dyDescent="0.3">
      <c r="A8" s="641" t="s">
        <v>208</v>
      </c>
      <c r="B8" s="1039"/>
      <c r="C8" s="613" t="s">
        <v>138</v>
      </c>
      <c r="D8" s="620">
        <v>5.96</v>
      </c>
      <c r="E8" s="621" t="s">
        <v>189</v>
      </c>
      <c r="F8" s="707">
        <v>0</v>
      </c>
      <c r="G8" s="708">
        <v>0</v>
      </c>
      <c r="H8" s="709">
        <v>0</v>
      </c>
      <c r="I8" s="710">
        <v>0</v>
      </c>
      <c r="K8" s="117"/>
      <c r="N8" s="744"/>
    </row>
    <row r="9" spans="1:14" ht="18" customHeight="1" x14ac:dyDescent="0.25">
      <c r="A9" s="633" t="s">
        <v>211</v>
      </c>
      <c r="B9" s="1031" t="s">
        <v>44</v>
      </c>
      <c r="C9" s="616" t="s">
        <v>49</v>
      </c>
      <c r="D9" s="617">
        <v>6.63</v>
      </c>
      <c r="E9" s="1034">
        <v>250</v>
      </c>
      <c r="F9" s="697">
        <f>GETPIVOTDATA(" Subscribed FIT Capacity as per COE (MW)",FIT.pvt!$B$6,"RE Resources","BIOMASS","FIT","FIT I","Original FIT Rate",6.63)</f>
        <v>117.351</v>
      </c>
      <c r="G9" s="62">
        <f>GETPIVOTDATA("Count of Plants w/ COC",FIT.pvt!$B$6,"RE Resources","BIOMASS","FIT","FIT I","Original FIT Rate",6.63)</f>
        <v>12</v>
      </c>
      <c r="H9" s="697">
        <f>GETPIVOTDATA(" Subscribed FIT Capacity as per COE (MW)",FIT.pvt!$K$6,"RE Resources","BIOMASS","FIT","FIT I","Original FIT Rate",6.63)</f>
        <v>117.351</v>
      </c>
      <c r="I9" s="705">
        <f>GETPIVOTDATA("Count of Plants w/ COE",FIT.pvt!$K$6,"RE Resources","BIOMASS","FIT","FIT I","Original FIT Rate",6.63)</f>
        <v>12</v>
      </c>
      <c r="J9" s="116">
        <f>SUM(F9:F11)</f>
        <v>239.44499999999999</v>
      </c>
      <c r="K9" s="293">
        <f>SUM(G9:G11)</f>
        <v>27</v>
      </c>
      <c r="N9" s="744"/>
    </row>
    <row r="10" spans="1:14" ht="18" customHeight="1" x14ac:dyDescent="0.25">
      <c r="A10" s="637" t="s">
        <v>192</v>
      </c>
      <c r="B10" s="1032"/>
      <c r="C10" s="619" t="s">
        <v>51</v>
      </c>
      <c r="D10" s="552">
        <v>6.5968999999999998</v>
      </c>
      <c r="E10" s="1035"/>
      <c r="F10" s="711">
        <f>GETPIVOTDATA(" Subscribed FIT Capacity as per COE (MW)",FIT.pvt!$B$6,"RE Resources","BIOMASS","FIT","Degressed","Original FIT Rate",6.5969)</f>
        <v>18.064</v>
      </c>
      <c r="G10" s="2">
        <f>GETPIVOTDATA("Count of Plants w/ COC",FIT.pvt!$B$6,"RE Resources","BIOMASS","FIT","Degressed","Original FIT Rate",6.5969)</f>
        <v>5</v>
      </c>
      <c r="H10" s="711">
        <f>GETPIVOTDATA(" Subscribed FIT Capacity as per COE (MW)",FIT.pvt!$K$6,"RE Resources","BIOMASS","FIT","Degressed","Original FIT Rate",6.5969)</f>
        <v>18.064</v>
      </c>
      <c r="I10" s="706">
        <f>GETPIVOTDATA("Count of Plants w/ COE",FIT.pvt!$K$6,"RE Resources","BIOMASS","FIT","Degressed","Original FIT Rate",6.5969)</f>
        <v>5</v>
      </c>
      <c r="K10" s="117"/>
      <c r="N10" s="744"/>
    </row>
    <row r="11" spans="1:14" ht="18" customHeight="1" thickBot="1" x14ac:dyDescent="0.3">
      <c r="A11" s="638" t="s">
        <v>361</v>
      </c>
      <c r="B11" s="1033"/>
      <c r="C11" s="622" t="s">
        <v>50</v>
      </c>
      <c r="D11" s="623">
        <v>6.19</v>
      </c>
      <c r="E11" s="1036"/>
      <c r="F11" s="709">
        <f>GETPIVOTDATA(" Subscribed FIT Capacity as per COE (MW)",FIT.pvt!$B$6,"RE Resources","BIOMASS","FIT","FIT II","Original FIT Rate",6.19)</f>
        <v>104.03</v>
      </c>
      <c r="G11" s="621">
        <f>GETPIVOTDATA("Count of Plants w/ COC",FIT.pvt!$B$6,"RE Resources","BIOMASS","FIT","FIT II","Original FIT Rate",6.19)</f>
        <v>10</v>
      </c>
      <c r="H11" s="712">
        <f>GETPIVOTDATA(" Subscribed FIT Capacity as per COE (MW)",FIT.pvt!$K$6,"RE Resources","BIOMASS","FIT","FIT II","Original FIT Rate",6.19)</f>
        <v>119.63000000000002</v>
      </c>
      <c r="I11" s="713">
        <f>GETPIVOTDATA("Count of Plants w/ COE",FIT.pvt!$K$6,"RE Resources","BIOMASS","FIT","FIT II","Original FIT Rate",6.19)</f>
        <v>13</v>
      </c>
      <c r="K11" s="117"/>
      <c r="N11" s="744"/>
    </row>
    <row r="12" spans="1:14" ht="18" customHeight="1" x14ac:dyDescent="0.25">
      <c r="A12" s="898" t="s">
        <v>205</v>
      </c>
      <c r="B12" s="1047" t="s">
        <v>56</v>
      </c>
      <c r="C12" s="609" t="s">
        <v>49</v>
      </c>
      <c r="D12" s="612">
        <v>5.9</v>
      </c>
      <c r="E12" s="1034">
        <v>250</v>
      </c>
      <c r="F12" s="697">
        <f>GETPIVOTDATA(" Subscribed FIT Capacity as per COE (MW)",FIT.pvt!$B$6,"RE Resources","HYDRO","FIT","FIT I","Original FIT Rate",5.9)</f>
        <v>35.956000000000003</v>
      </c>
      <c r="G12" s="62">
        <f>GETPIVOTDATA("Count of Plants w/ COC",FIT.pvt!$B$6,"RE Resources","HYDRO","FIT","FIT I","Original FIT Rate",5.9)</f>
        <v>5</v>
      </c>
      <c r="H12" s="697">
        <f>GETPIVOTDATA(" Subscribed FIT Capacity as per COE (MW)",FIT.pvt!$K$6,"RE Resources","HYDRO","FIT","FIT I","Original FIT Rate",5.9)</f>
        <v>35.956000000000003</v>
      </c>
      <c r="I12" s="698">
        <f>GETPIVOTDATA("Count of Plants w/ COE",FIT.pvt!$K$6,"RE Resources","HYDRO","FIT","FIT I","Original FIT Rate",5.9)</f>
        <v>5</v>
      </c>
      <c r="J12" s="35">
        <f>SUM(F12:F20)</f>
        <v>331.67800000000005</v>
      </c>
      <c r="K12" s="295">
        <f>SUM(G12:G20)</f>
        <v>32</v>
      </c>
      <c r="N12" s="744"/>
    </row>
    <row r="13" spans="1:14" ht="18" customHeight="1" x14ac:dyDescent="0.25">
      <c r="A13" s="899" t="s">
        <v>192</v>
      </c>
      <c r="B13" s="1048"/>
      <c r="C13" s="619" t="s">
        <v>51</v>
      </c>
      <c r="D13" s="552">
        <v>5.8704999999999998</v>
      </c>
      <c r="E13" s="1035"/>
      <c r="F13" s="711">
        <f>GETPIVOTDATA(" Subscribed FIT Capacity as per COE (MW)",FIT.pvt!$B$6,"RE Resources","HYDRO","FIT","Degressed","Original FIT Rate",5.8705)</f>
        <v>8.5</v>
      </c>
      <c r="G13" s="2">
        <f>GETPIVOTDATA("Count of Plants w/ COC",FIT.pvt!$B$6,"RE Resources","HYDRO","FIT","Degressed","Original FIT Rate",5.8705)</f>
        <v>1</v>
      </c>
      <c r="H13" s="711">
        <f>GETPIVOTDATA(" Subscribed FIT Capacity as per COE (MW)",FIT.pvt!$K$6,"RE Resources","HYDRO","FIT","Degressed","Original FIT Rate",5.8705)</f>
        <v>8.5</v>
      </c>
      <c r="I13" s="706">
        <f>GETPIVOTDATA("Count of Plants w/ COE",FIT.pvt!$K$6,"RE Resources","HYDRO","FIT","Degressed","Original FIT Rate",5.8705)</f>
        <v>1</v>
      </c>
      <c r="J13" s="116">
        <f>E12-J12</f>
        <v>-81.678000000000054</v>
      </c>
      <c r="N13" s="744"/>
    </row>
    <row r="14" spans="1:14" ht="18" customHeight="1" x14ac:dyDescent="0.25">
      <c r="A14" s="900" t="s">
        <v>361</v>
      </c>
      <c r="B14" s="1048"/>
      <c r="C14" s="619" t="s">
        <v>50</v>
      </c>
      <c r="D14" s="552">
        <v>5.8704999999999998</v>
      </c>
      <c r="E14" s="1035"/>
      <c r="F14" s="711">
        <f>GETPIVOTDATA(" Subscribed FIT Capacity as per COE (MW)",FIT.pvt!$B$6,"RE Resources","HYDRO","FIT","FIT II","Original FIT Rate",5.8705)</f>
        <v>102.90100000000001</v>
      </c>
      <c r="G14" s="2">
        <f>GETPIVOTDATA("Count of Plants w/ COC",FIT.pvt!$B$6,"RE Resources","HYDRO","FIT","FIT II","Original FIT Rate",5.8705)</f>
        <v>8</v>
      </c>
      <c r="H14" s="711">
        <f>GETPIVOTDATA(" Subscribed FIT Capacity as per COE (MW)",FIT.pvt!$K$6,"RE Resources","HYDRO","FIT","FIT II","Original FIT Rate",5.8705)</f>
        <v>102.901</v>
      </c>
      <c r="I14" s="706">
        <f>GETPIVOTDATA("Count of Plants w/ COE",FIT.pvt!$K$6,"RE Resources","HYDRO","FIT","FIT II","Original FIT Rate",5.8705)</f>
        <v>8</v>
      </c>
      <c r="N14" s="744"/>
    </row>
    <row r="15" spans="1:14" ht="18" customHeight="1" x14ac:dyDescent="0.25">
      <c r="A15" s="901" t="s">
        <v>1743</v>
      </c>
      <c r="B15" s="1048"/>
      <c r="C15" s="619" t="s">
        <v>138</v>
      </c>
      <c r="D15" s="552">
        <v>5.6715</v>
      </c>
      <c r="E15" s="1035"/>
      <c r="F15" s="711">
        <f>GETPIVOTDATA(" Subscribed FIT Capacity as per COE (MW)",FIT.pvt!$B$6,"RE Resources","HYDRO","FIT","Special FIT","Original FIT Rate",5.6715)</f>
        <v>74.8</v>
      </c>
      <c r="G15" s="2">
        <f>GETPIVOTDATA("Count of Plants w/ COC",FIT.pvt!$B$6,"RE Resources","HYDRO","FIT","Special FIT","Original FIT Rate",5.6715)</f>
        <v>1</v>
      </c>
      <c r="H15" s="711">
        <f>GETPIVOTDATA(" Subscribed FIT Capacity as per COE (MW)",FIT.pvt!$K$6,"RE Resources","HYDRO","FIT","Special FIT","Original FIT Rate",5.6715)</f>
        <v>74.8</v>
      </c>
      <c r="I15" s="706">
        <f>GETPIVOTDATA("Count of Plants w/ COE",FIT.pvt!$K$6,"RE Resources","HYDRO","FIT","Special FIT","Original FIT Rate",5.6715)</f>
        <v>1</v>
      </c>
      <c r="N15" s="744"/>
    </row>
    <row r="16" spans="1:14" ht="18" customHeight="1" x14ac:dyDescent="0.25">
      <c r="A16" s="1053" t="s">
        <v>772</v>
      </c>
      <c r="B16" s="1048"/>
      <c r="C16" s="619" t="s">
        <v>761</v>
      </c>
      <c r="D16" s="552">
        <v>6.1109999999999998</v>
      </c>
      <c r="E16" s="1035"/>
      <c r="F16" s="711">
        <f>GETPIVOTDATA(" Subscribed FIT Capacity as per COE (MW)",FIT.pvt!$B$6,"RE Resources","HYDRO","FIT","FIT III","Original FIT Rate",6.111)</f>
        <v>3.7559999999999998</v>
      </c>
      <c r="G16" s="2">
        <f>GETPIVOTDATA("Count of Plants w/ COC",FIT.pvt!$B$6,"RE Resources","HYDRO","FIT","FIT III","Original FIT Rate",6.111)</f>
        <v>2</v>
      </c>
      <c r="H16" s="663">
        <f>GETPIVOTDATA(" Subscribed FIT Capacity as per COE (MW)",FIT.pvt!$K$6,"RE Resources","HYDRO","FIT","FIT III","Original FIT Rate",6.111)</f>
        <v>3.7559999999999998</v>
      </c>
      <c r="I16" s="706">
        <f>GETPIVOTDATA("Count of Plants w/ COE",FIT.pvt!$K$6,"RE Resources","HYDRO","FIT","FIT III","Original FIT Rate",6.111)</f>
        <v>2</v>
      </c>
      <c r="L16" s="1037"/>
      <c r="N16" s="744"/>
    </row>
    <row r="17" spans="1:14" ht="18" customHeight="1" x14ac:dyDescent="0.25">
      <c r="A17" s="1054"/>
      <c r="B17" s="1048"/>
      <c r="C17" s="1050" t="s">
        <v>838</v>
      </c>
      <c r="D17" s="552">
        <f>D16-(D16*0.005)</f>
        <v>6.0804450000000001</v>
      </c>
      <c r="E17" s="1035"/>
      <c r="F17" s="711">
        <f>GETPIVOTDATA(" Subscribed FIT Capacity as per COE (MW)",FIT.pvt!$B$6,"RE Resources","HYDRO","FIT","FIT III - degressed","Original FIT Rate",6.080445)</f>
        <v>21.669999999999998</v>
      </c>
      <c r="G17" s="2">
        <f>GETPIVOTDATA("Count of Plants w/ COC",FIT.pvt!$B$6,"RE Resources","HYDRO","FIT","FIT III - degressed","Original FIT Rate",6.080445)</f>
        <v>5</v>
      </c>
      <c r="H17" s="663">
        <f>GETPIVOTDATA(" Subscribed FIT Capacity as per COE (MW)",FIT.pvt!$K$6,"RE Resources","HYDRO","FIT","FIT III - degressed","Original FIT Rate",6.080445)</f>
        <v>21.669999999999998</v>
      </c>
      <c r="I17" s="706">
        <f>GETPIVOTDATA("Count of Plants w/ COE",FIT.pvt!$K$6,"RE Resources","HYDRO","FIT","FIT III - degressed","Original FIT Rate",6.080445)</f>
        <v>5</v>
      </c>
      <c r="L17" s="1037"/>
      <c r="N17" s="744"/>
    </row>
    <row r="18" spans="1:14" ht="18" customHeight="1" x14ac:dyDescent="0.25">
      <c r="A18" s="1054"/>
      <c r="B18" s="1048"/>
      <c r="C18" s="1051"/>
      <c r="D18" s="552">
        <f>D17-(D17*0.005)</f>
        <v>6.0500427750000005</v>
      </c>
      <c r="E18" s="1035"/>
      <c r="F18" s="711">
        <f>GETPIVOTDATA(" Subscribed FIT Capacity as per COE (MW)",FIT.pvt!$B$6,"RE Resources","HYDRO","FIT","FIT III - degressed","Original FIT Rate",6.05)</f>
        <v>8.3949999999999996</v>
      </c>
      <c r="G18" s="700">
        <f>GETPIVOTDATA("Count of Plants w/ COC",FIT.pvt!$B$6,"RE Resources","HYDRO","FIT","FIT III - degressed","Original FIT Rate",6.05)</f>
        <v>2</v>
      </c>
      <c r="H18" s="664">
        <f>GETPIVOTDATA(" Subscribed FIT Capacity as per COE (MW)",FIT.pvt!$K$6,"RE Resources","HYDRO","FIT","FIT III - degressed","Original FIT Rate",6.05)</f>
        <v>8.3949999999999996</v>
      </c>
      <c r="I18" s="710">
        <f>GETPIVOTDATA("Count of Plants w/ COE",FIT.pvt!$K$6,"RE Resources","HYDRO","FIT","FIT III - degressed","Original FIT Rate",6.05)</f>
        <v>2</v>
      </c>
      <c r="L18" s="1037"/>
      <c r="N18" s="744"/>
    </row>
    <row r="19" spans="1:14" ht="18" customHeight="1" x14ac:dyDescent="0.25">
      <c r="A19" s="1054"/>
      <c r="B19" s="1048"/>
      <c r="C19" s="1051"/>
      <c r="D19" s="552">
        <f>D18-(D18*0.005)</f>
        <v>6.0197925611250005</v>
      </c>
      <c r="E19" s="1035"/>
      <c r="F19" s="711">
        <f>GETPIVOTDATA(" Subscribed FIT Capacity as per COE (MW)",FIT.pvt!$B$6,"RE Resources","HYDRO","FIT","FIT III - degressed","Original FIT Rate",6.0198)</f>
        <v>59.82</v>
      </c>
      <c r="G19" s="2">
        <f>GETPIVOTDATA("Count of Plants w/ COC",FIT.pvt!$B$6,"RE Resources","HYDRO","FIT","FIT III - degressed","Original FIT Rate",6.0198)</f>
        <v>6</v>
      </c>
      <c r="H19" s="663">
        <f>GETPIVOTDATA(" Subscribed FIT Capacity as per COE (MW)",FIT.pvt!$K$6,"RE Resources","HYDRO","FIT","FIT III - degressed","Original FIT Rate",6.0198)</f>
        <v>59.82</v>
      </c>
      <c r="I19" s="706">
        <f>GETPIVOTDATA("Count of Plants w/ COE",FIT.pvt!$K$6,"RE Resources","HYDRO","FIT","FIT III - degressed","Original FIT Rate",6.0198)</f>
        <v>6</v>
      </c>
      <c r="L19" s="1037"/>
      <c r="N19" s="744"/>
    </row>
    <row r="20" spans="1:14" ht="18" customHeight="1" thickBot="1" x14ac:dyDescent="0.3">
      <c r="A20" s="1055"/>
      <c r="B20" s="1048"/>
      <c r="C20" s="1052"/>
      <c r="D20" s="552">
        <f>D19-(D19*0.005)</f>
        <v>5.9896935983193753</v>
      </c>
      <c r="E20" s="1043"/>
      <c r="F20" s="711">
        <f>GETPIVOTDATA(" Subscribed FIT Capacity as per COE (MW)",FIT.pvt!$B$6,"RE Resources","HYDRO","FIT","FIT III - degressed","Original FIT Rate",5.9897)</f>
        <v>15.88</v>
      </c>
      <c r="G20" s="2">
        <f>GETPIVOTDATA("Count of Plants w/ COC",FIT.pvt!$B$6,"RE Resources","HYDRO","FIT","FIT III - degressed","Original FIT Rate",5.9897)</f>
        <v>2</v>
      </c>
      <c r="H20" s="663">
        <f>GETPIVOTDATA(" Subscribed FIT Capacity as per COE (MW)",FIT.pvt!$K$6,"RE Resources","HYDRO","FIT","FIT III - degressed","Original FIT Rate",5.9897)</f>
        <v>15.88</v>
      </c>
      <c r="I20" s="706">
        <f>GETPIVOTDATA("Count of Plants w/ COE",FIT.pvt!$K$6,"RE Resources","HYDRO","FIT","FIT III - degressed","Original FIT Rate",5.9897)</f>
        <v>2</v>
      </c>
      <c r="L20" s="1"/>
      <c r="N20" s="744"/>
    </row>
    <row r="21" spans="1:14" ht="18" customHeight="1" thickBot="1" x14ac:dyDescent="0.3">
      <c r="A21" s="896" t="s">
        <v>1506</v>
      </c>
      <c r="B21" s="1049"/>
      <c r="C21" s="895" t="s">
        <v>771</v>
      </c>
      <c r="D21" s="897">
        <v>6.9282000000000004</v>
      </c>
      <c r="E21" s="894">
        <v>100</v>
      </c>
      <c r="F21" s="711">
        <f>GETPIVOTDATA(" Subscribed FIT Capacity as per COE (MW)",FIT.pvt!$B$6,"RE Resources","HYDRO","FIT","FIT IV","Original FIT Rate",6.9282)</f>
        <v>18.2</v>
      </c>
      <c r="G21" s="2">
        <f>GETPIVOTDATA("Count of Plants w/ COC",FIT.pvt!$B$6,"RE Resources","HYDRO","FIT","FIT IV","Original FIT Rate",6.9282)</f>
        <v>1</v>
      </c>
      <c r="H21" s="663">
        <f>GETPIVOTDATA(" Subscribed FIT Capacity as per COE (MW)",FIT.pvt!$K$6,"RE Resources","HYDRO","FIT","FIT IV","Original FIT Rate",6.9282)</f>
        <v>18.2</v>
      </c>
      <c r="I21" s="706">
        <f>GETPIVOTDATA("Count of Plants w/ COE",FIT.pvt!$K$6,"RE Resources","HYDRO","FIT","FIT IV","Original FIT Rate",6.9282)</f>
        <v>1</v>
      </c>
      <c r="L21" s="1"/>
      <c r="N21" s="744"/>
    </row>
    <row r="22" spans="1:14" ht="18" customHeight="1" thickBot="1" x14ac:dyDescent="0.3">
      <c r="A22" s="1029" t="s">
        <v>203</v>
      </c>
      <c r="B22" s="1030"/>
      <c r="C22" s="1030"/>
      <c r="D22" s="1030"/>
      <c r="E22" s="1030"/>
      <c r="F22" s="643">
        <f t="shared" ref="F22:H22" si="0">SUM(F3:F21)</f>
        <v>1508.4950000000003</v>
      </c>
      <c r="G22" s="643">
        <f t="shared" si="0"/>
        <v>90</v>
      </c>
      <c r="H22" s="643">
        <f t="shared" si="0"/>
        <v>1542.4550000000004</v>
      </c>
      <c r="I22" s="643">
        <f>SUM(I3:I21)</f>
        <v>93</v>
      </c>
      <c r="N22" s="744"/>
    </row>
    <row r="23" spans="1:14" x14ac:dyDescent="0.25">
      <c r="A23" s="628" t="s">
        <v>984</v>
      </c>
      <c r="B23" s="542"/>
      <c r="C23" s="542"/>
      <c r="D23" s="542"/>
      <c r="E23" s="542"/>
      <c r="F23" s="542"/>
      <c r="G23" s="645">
        <f>G31-G22+G30</f>
        <v>0</v>
      </c>
      <c r="I23" s="644">
        <f>G29+G27+G31-I22+G30</f>
        <v>0</v>
      </c>
      <c r="N23" s="744"/>
    </row>
    <row r="24" spans="1:14" x14ac:dyDescent="0.25">
      <c r="A24" s="628" t="s">
        <v>894</v>
      </c>
      <c r="B24" s="542"/>
      <c r="C24" s="542"/>
      <c r="D24" s="542"/>
      <c r="E24" s="542"/>
      <c r="F24" s="695"/>
      <c r="G24" s="654"/>
      <c r="H24" s="695"/>
      <c r="I24" s="543"/>
      <c r="N24" s="744"/>
    </row>
    <row r="25" spans="1:14" hidden="1" x14ac:dyDescent="0.25">
      <c r="A25" s="628" t="s">
        <v>1740</v>
      </c>
      <c r="F25" s="542"/>
      <c r="G25" s="654"/>
      <c r="H25" s="542"/>
      <c r="N25" s="744"/>
    </row>
    <row r="26" spans="1:14" ht="15" customHeight="1" x14ac:dyDescent="0.25">
      <c r="F26" s="57"/>
      <c r="H26" s="608"/>
      <c r="N26" s="744"/>
    </row>
    <row r="27" spans="1:14" ht="18.75" x14ac:dyDescent="0.3">
      <c r="A27" s="904"/>
      <c r="E27" s="566" t="str">
        <f>'Per RE'!B9</f>
        <v>Breakdown:</v>
      </c>
      <c r="F27" s="588">
        <f>'Per RE'!C9</f>
        <v>15.6</v>
      </c>
      <c r="G27" s="646">
        <f>'Per RE'!D9</f>
        <v>3</v>
      </c>
      <c r="H27" s="567" t="str">
        <f>'Per RE'!E9</f>
        <v>pending applications</v>
      </c>
      <c r="I27" s="568"/>
      <c r="N27" s="744"/>
    </row>
    <row r="28" spans="1:14" ht="18.75" x14ac:dyDescent="0.3">
      <c r="A28" s="904"/>
      <c r="E28" s="569"/>
      <c r="F28" s="589">
        <f>'Per RE'!C10</f>
        <v>77.900000000000006</v>
      </c>
      <c r="G28" s="573">
        <f>'Per RE'!D10</f>
        <v>4</v>
      </c>
      <c r="H28" s="570" t="str">
        <f>'Per RE'!E10</f>
        <v>non-operational plants</v>
      </c>
      <c r="I28" s="571"/>
      <c r="N28" s="744"/>
    </row>
    <row r="29" spans="1:14" ht="18.75" x14ac:dyDescent="0.3">
      <c r="A29" s="903"/>
      <c r="E29" s="572"/>
      <c r="F29" s="589">
        <f>'Per RE'!C11</f>
        <v>0</v>
      </c>
      <c r="G29" s="573">
        <f>'Per RE'!D11</f>
        <v>0</v>
      </c>
      <c r="H29" s="570" t="str">
        <f>'Per RE'!E11</f>
        <v>with COE, no COC application</v>
      </c>
      <c r="I29" s="571"/>
      <c r="N29" s="744"/>
    </row>
    <row r="30" spans="1:14" ht="18.75" x14ac:dyDescent="0.3">
      <c r="E30" s="572"/>
      <c r="F30" s="589">
        <f>'Per RE'!C12</f>
        <v>30.088999999999999</v>
      </c>
      <c r="G30" s="573">
        <f>'Per RE'!D12</f>
        <v>7</v>
      </c>
      <c r="H30" s="570" t="s">
        <v>873</v>
      </c>
      <c r="I30" s="571"/>
      <c r="N30" s="744"/>
    </row>
    <row r="31" spans="1:14" ht="18.75" x14ac:dyDescent="0.3">
      <c r="E31" s="574"/>
      <c r="F31" s="590">
        <f>'Per RE'!C13</f>
        <v>1478.4059999999995</v>
      </c>
      <c r="G31" s="575">
        <f>'Per RE'!D13</f>
        <v>83</v>
      </c>
      <c r="H31" s="576" t="str">
        <f>'Per RE'!E13</f>
        <v>active with FIT-COC/PAO-FIT</v>
      </c>
      <c r="I31" s="577"/>
      <c r="N31" s="744"/>
    </row>
    <row r="32" spans="1:14" x14ac:dyDescent="0.25">
      <c r="N32" s="744"/>
    </row>
    <row r="33" spans="5:14" x14ac:dyDescent="0.25">
      <c r="N33" s="744"/>
    </row>
    <row r="34" spans="5:14" x14ac:dyDescent="0.25">
      <c r="N34" s="744"/>
    </row>
    <row r="35" spans="5:14" x14ac:dyDescent="0.25">
      <c r="N35" s="744"/>
    </row>
    <row r="36" spans="5:14" x14ac:dyDescent="0.25">
      <c r="N36" s="744"/>
    </row>
    <row r="37" spans="5:14" x14ac:dyDescent="0.25">
      <c r="N37" s="744"/>
    </row>
    <row r="38" spans="5:14" x14ac:dyDescent="0.25">
      <c r="H38" s="649"/>
      <c r="N38" s="744"/>
    </row>
    <row r="39" spans="5:14" x14ac:dyDescent="0.25">
      <c r="N39" s="744"/>
    </row>
    <row r="40" spans="5:14" x14ac:dyDescent="0.25">
      <c r="N40" s="744"/>
    </row>
    <row r="41" spans="5:14" x14ac:dyDescent="0.25">
      <c r="N41" s="744"/>
    </row>
    <row r="42" spans="5:14" s="744" customFormat="1" ht="7.5" customHeight="1" x14ac:dyDescent="0.25">
      <c r="E42" s="748"/>
      <c r="H42" s="749"/>
    </row>
  </sheetData>
  <mergeCells count="18">
    <mergeCell ref="C17:C20"/>
    <mergeCell ref="A16:A20"/>
    <mergeCell ref="A22:E22"/>
    <mergeCell ref="B9:B11"/>
    <mergeCell ref="E9:E11"/>
    <mergeCell ref="L16:L19"/>
    <mergeCell ref="A1:I1"/>
    <mergeCell ref="B3:B4"/>
    <mergeCell ref="B5:B8"/>
    <mergeCell ref="C6:C7"/>
    <mergeCell ref="D6:D7"/>
    <mergeCell ref="E6:E7"/>
    <mergeCell ref="F6:F7"/>
    <mergeCell ref="G6:G7"/>
    <mergeCell ref="H6:H7"/>
    <mergeCell ref="I6:I7"/>
    <mergeCell ref="B12:B21"/>
    <mergeCell ref="E12:E20"/>
  </mergeCells>
  <printOptions horizontalCentered="1"/>
  <pageMargins left="0" right="0" top="1" bottom="0" header="0.3" footer="0.3"/>
  <pageSetup paperSize="9" scale="8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3C55C-E094-418D-A79A-AE618D85668E}">
  <sheetPr codeName="Sheet17">
    <tabColor rgb="FF66FF99"/>
  </sheetPr>
  <dimension ref="A1:P164"/>
  <sheetViews>
    <sheetView showGridLines="0" tabSelected="1" topLeftCell="A139" zoomScale="85" zoomScaleNormal="85" workbookViewId="0">
      <selection activeCell="Y163" sqref="Y163"/>
    </sheetView>
  </sheetViews>
  <sheetFormatPr defaultColWidth="9.140625" defaultRowHeight="15" zeroHeight="1" x14ac:dyDescent="0.25"/>
  <cols>
    <col min="1" max="1" width="22.7109375" customWidth="1"/>
    <col min="2" max="2" width="18.5703125" bestFit="1" customWidth="1"/>
    <col min="3" max="3" width="5" bestFit="1" customWidth="1"/>
    <col min="4" max="4" width="23.7109375" customWidth="1"/>
    <col min="5" max="5" width="28.140625" customWidth="1"/>
    <col min="6" max="6" width="15.140625" customWidth="1"/>
    <col min="7" max="8" width="14.140625" style="565" customWidth="1"/>
    <col min="9" max="9" width="11" customWidth="1"/>
    <col min="10" max="10" width="15.5703125" customWidth="1"/>
    <col min="11" max="11" width="1.85546875" customWidth="1"/>
    <col min="12" max="12" width="21.7109375" customWidth="1"/>
    <col min="13" max="13" width="9.140625" customWidth="1"/>
    <col min="14" max="14" width="9.85546875" customWidth="1"/>
    <col min="15" max="16" width="9.140625" customWidth="1"/>
  </cols>
  <sheetData>
    <row r="1" spans="1:15" ht="15.75" thickBot="1" x14ac:dyDescent="0.3">
      <c r="A1" s="1005" t="str">
        <f>'FIT Summary'!A1</f>
        <v>As of 30 June 2026</v>
      </c>
      <c r="B1" s="1005"/>
      <c r="C1" s="1005"/>
      <c r="D1" s="1005"/>
      <c r="E1" s="1005"/>
      <c r="F1" s="1005"/>
      <c r="G1" s="1005"/>
      <c r="H1" s="783"/>
      <c r="K1" s="744"/>
      <c r="L1" s="789"/>
    </row>
    <row r="2" spans="1:15" s="674" customFormat="1" ht="45.75" thickBot="1" x14ac:dyDescent="0.3">
      <c r="A2" s="784" t="s">
        <v>1421</v>
      </c>
      <c r="B2" s="785" t="s">
        <v>987</v>
      </c>
      <c r="C2" s="785" t="s">
        <v>52</v>
      </c>
      <c r="D2" s="786" t="s">
        <v>1438</v>
      </c>
      <c r="E2" s="786" t="s">
        <v>57</v>
      </c>
      <c r="F2" s="779" t="s">
        <v>1411</v>
      </c>
      <c r="G2" s="779" t="s">
        <v>55</v>
      </c>
      <c r="H2" s="779" t="s">
        <v>1424</v>
      </c>
      <c r="K2" s="837"/>
      <c r="L2" s="789"/>
    </row>
    <row r="3" spans="1:15" x14ac:dyDescent="0.25">
      <c r="A3" s="999" t="s">
        <v>1420</v>
      </c>
      <c r="B3" s="1002" t="s">
        <v>1415</v>
      </c>
      <c r="C3" s="790" t="s">
        <v>219</v>
      </c>
      <c r="D3" s="791">
        <v>5.07</v>
      </c>
      <c r="E3" s="792">
        <v>230</v>
      </c>
      <c r="F3" s="793">
        <f>GETPIVOTDATA("Sum of Capacity (MW)",GEA.pvt!$B$11,"Technology",$C3,"GEA","GEA1","Bid Price 
(PhP/kWh)",$D3)</f>
        <v>3.4</v>
      </c>
      <c r="G3" s="838">
        <f>GETPIVOTDATA("No. of Plants ",GEA.pvt!$B$11,"Technology","Biomass","GEA","GEA1","Bid Price 
(PhP/kWh)",D3)</f>
        <v>1</v>
      </c>
      <c r="H3" s="847">
        <f>E3-F3</f>
        <v>226.6</v>
      </c>
      <c r="K3" s="837"/>
      <c r="L3" s="789"/>
      <c r="M3" s="674"/>
      <c r="N3" s="674"/>
      <c r="O3" s="674"/>
    </row>
    <row r="4" spans="1:15" x14ac:dyDescent="0.25">
      <c r="A4" s="1000"/>
      <c r="B4" s="1003"/>
      <c r="C4" s="1008" t="s">
        <v>693</v>
      </c>
      <c r="D4" s="794">
        <v>5.3875999999999999</v>
      </c>
      <c r="E4" s="1006">
        <v>130</v>
      </c>
      <c r="F4" s="795">
        <f>GETPIVOTDATA("Sum of Capacity (MW)",GEA.pvt!$B$11,"Technology",$C4,"GEA","GEA1","Bid Price 
(PhP/kWh)",$D4)</f>
        <v>60</v>
      </c>
      <c r="G4" s="839">
        <f>GETPIVOTDATA("No. of Plants ",GEA.pvt!$B$11,"Technology","Hydro","GEA","GEA1","Bid Price 
(PhP/kWh)",$D4)</f>
        <v>1</v>
      </c>
      <c r="H4" s="848"/>
      <c r="K4" s="837"/>
      <c r="M4" s="674"/>
      <c r="N4" s="674"/>
      <c r="O4" s="674"/>
    </row>
    <row r="5" spans="1:15" x14ac:dyDescent="0.25">
      <c r="A5" s="1000"/>
      <c r="B5" s="1003"/>
      <c r="C5" s="1008"/>
      <c r="D5" s="794">
        <v>5.4714</v>
      </c>
      <c r="E5" s="1006"/>
      <c r="F5" s="795">
        <f>GETPIVOTDATA("Sum of Capacity (MW)",GEA.pvt!$B$11,"Technology",$C4,"GEA","GEA1","Bid Price 
(PhP/kWh)",$D5)</f>
        <v>20</v>
      </c>
      <c r="G5" s="839">
        <f>GETPIVOTDATA("No. of Plants ",GEA.pvt!$B$11,"Technology","Hydro","GEA","GEA1","Bid Price 
(PhP/kWh)",$D5)</f>
        <v>1</v>
      </c>
      <c r="H5" s="848"/>
      <c r="K5" s="837"/>
      <c r="L5" s="674"/>
      <c r="M5" s="674"/>
      <c r="N5" s="674"/>
      <c r="O5" s="674"/>
    </row>
    <row r="6" spans="1:15" x14ac:dyDescent="0.25">
      <c r="A6" s="1000"/>
      <c r="B6" s="1003"/>
      <c r="C6" s="1008"/>
      <c r="D6" s="794">
        <v>5.49</v>
      </c>
      <c r="E6" s="1006"/>
      <c r="F6" s="795">
        <f>GETPIVOTDATA("Sum of Capacity (MW)",GEA.pvt!$B$11,"Technology",$C4,"GEA","GEA1","Bid Price 
(PhP/kWh)",$D6)</f>
        <v>19.149999999999999</v>
      </c>
      <c r="G6" s="839">
        <f>GETPIVOTDATA("No. of Plants ",GEA.pvt!$B$11,"Technology","Hydro","GEA","GEA1","Bid Price 
(PhP/kWh)",$D6)</f>
        <v>4</v>
      </c>
      <c r="H6" s="848">
        <f>E4-SUM(F4:F6)</f>
        <v>30.849999999999994</v>
      </c>
      <c r="K6" s="837"/>
      <c r="M6" s="674"/>
      <c r="N6" s="674"/>
      <c r="O6" s="674"/>
    </row>
    <row r="7" spans="1:15" x14ac:dyDescent="0.25">
      <c r="A7" s="1000"/>
      <c r="B7" s="1003"/>
      <c r="C7" s="1008" t="s">
        <v>426</v>
      </c>
      <c r="D7" s="794">
        <v>3.4</v>
      </c>
      <c r="E7" s="1006">
        <v>1260</v>
      </c>
      <c r="F7" s="795">
        <f>GETPIVOTDATA("Sum of Capacity (MW)",GEA.pvt!$B$11,"Technology",$C7,"GEA","GEA1","Bid Price 
(PhP/kWh)",$D7)</f>
        <v>40.4</v>
      </c>
      <c r="G7" s="839">
        <f>GETPIVOTDATA("No. of Plants ",GEA.pvt!$B$11,"Technology",$C$7,"GEA","GEA1","Bid Price 
(PhP/kWh)",$D7)</f>
        <v>1</v>
      </c>
      <c r="H7" s="848"/>
      <c r="K7" s="837"/>
      <c r="M7" s="674"/>
      <c r="N7" s="674"/>
      <c r="O7" s="674"/>
    </row>
    <row r="8" spans="1:15" x14ac:dyDescent="0.25">
      <c r="A8" s="1000"/>
      <c r="B8" s="1003"/>
      <c r="C8" s="1008"/>
      <c r="D8" s="794">
        <v>3.41</v>
      </c>
      <c r="E8" s="1006"/>
      <c r="F8" s="795">
        <f>GETPIVOTDATA("Sum of Capacity (MW)",GEA.pvt!$B$11,"Technology",$C7,"GEA","GEA1","Bid Price 
(PhP/kWh)",$D8)</f>
        <v>99.98</v>
      </c>
      <c r="G8" s="839">
        <f>GETPIVOTDATA("No. of Plants ",GEA.pvt!$B$11,"Technology",$C$7,"GEA","GEA1","Bid Price 
(PhP/kWh)",$D8)</f>
        <v>1</v>
      </c>
      <c r="H8" s="848"/>
      <c r="K8" s="837"/>
      <c r="L8" s="674"/>
      <c r="M8" s="674"/>
      <c r="N8" s="674"/>
      <c r="O8" s="674"/>
    </row>
    <row r="9" spans="1:15" x14ac:dyDescent="0.25">
      <c r="A9" s="1000"/>
      <c r="B9" s="1003"/>
      <c r="C9" s="1008"/>
      <c r="D9" s="794">
        <v>3.67</v>
      </c>
      <c r="E9" s="1006"/>
      <c r="F9" s="795">
        <f>GETPIVOTDATA("Sum of Capacity (MW)",GEA.pvt!$B$11,"Technology",$C7,"GEA","GEA1","Bid Price 
(PhP/kWh)",$D9)</f>
        <v>930</v>
      </c>
      <c r="G9" s="839">
        <f>GETPIVOTDATA("No. of Plants ",GEA.pvt!$B$11,"Technology",$C$7,"GEA","GEA1","Bid Price 
(PhP/kWh)",$D9)</f>
        <v>3</v>
      </c>
      <c r="H9" s="848"/>
      <c r="K9" s="837"/>
      <c r="L9" s="674"/>
      <c r="M9" s="674"/>
      <c r="N9" s="674"/>
      <c r="O9" s="674"/>
    </row>
    <row r="10" spans="1:15" x14ac:dyDescent="0.25">
      <c r="A10" s="1000"/>
      <c r="B10" s="1003"/>
      <c r="C10" s="1008"/>
      <c r="D10" s="794">
        <v>3.6779000000000002</v>
      </c>
      <c r="E10" s="1006"/>
      <c r="F10" s="795">
        <f>GETPIVOTDATA("Sum of Capacity (MW)",GEA.pvt!$B$11,"Technology",$C7,"GEA","GEA1","Bid Price 
(PhP/kWh)",$D10)</f>
        <v>420</v>
      </c>
      <c r="G10" s="839">
        <f>GETPIVOTDATA("No. of Plants ",GEA.pvt!$B$11,"Technology",$C$7,"GEA","GEA1","Bid Price 
(PhP/kWh)",$D10)</f>
        <v>2</v>
      </c>
      <c r="H10" s="848">
        <f>E7-SUM(F7:F10)</f>
        <v>-230.38000000000011</v>
      </c>
      <c r="K10" s="837"/>
      <c r="L10" s="674"/>
      <c r="M10" s="674"/>
      <c r="N10" s="674"/>
      <c r="O10" s="674"/>
    </row>
    <row r="11" spans="1:15" x14ac:dyDescent="0.25">
      <c r="A11" s="1000"/>
      <c r="B11" s="1003"/>
      <c r="C11" s="1008" t="s">
        <v>392</v>
      </c>
      <c r="D11" s="794">
        <v>3.8582999999999998</v>
      </c>
      <c r="E11" s="1006">
        <v>380</v>
      </c>
      <c r="F11" s="795">
        <f>GETPIVOTDATA("Sum of Capacity (MW)",GEA.pvt!$B$11,"Technology",$C11,"GEA","GEA1","Bid Price 
(PhP/kWh)",$D11)</f>
        <v>70</v>
      </c>
      <c r="G11" s="839">
        <f>GETPIVOTDATA("No. of Plants ",GEA.pvt!$B$11,"Technology",$C$11,"GEA","GEA1","Bid Price 
(PhP/kWh)",$D11)</f>
        <v>1</v>
      </c>
      <c r="H11" s="848"/>
      <c r="K11" s="837"/>
      <c r="L11" s="674"/>
      <c r="M11" s="674"/>
      <c r="N11" s="674"/>
      <c r="O11" s="674"/>
    </row>
    <row r="12" spans="1:15" x14ac:dyDescent="0.25">
      <c r="A12" s="1000"/>
      <c r="B12" s="1003"/>
      <c r="C12" s="1008"/>
      <c r="D12" s="794">
        <v>4.1997999999999998</v>
      </c>
      <c r="E12" s="1006"/>
      <c r="F12" s="795">
        <f>GETPIVOTDATA("Sum of Capacity (MW)",GEA.pvt!$B$11,"Technology",$C11,"GEA","GEA1","Bid Price 
(PhP/kWh)",$D12)</f>
        <v>30</v>
      </c>
      <c r="G12" s="839">
        <f>GETPIVOTDATA("No. of Plants ",GEA.pvt!$B$11,"Technology",$C$11,"GEA","GEA1","Bid Price 
(PhP/kWh)",$D12)</f>
        <v>1</v>
      </c>
      <c r="H12" s="848"/>
      <c r="K12" s="837"/>
      <c r="L12" s="674"/>
      <c r="M12" s="674"/>
      <c r="N12" s="674"/>
      <c r="O12" s="674"/>
    </row>
    <row r="13" spans="1:15" x14ac:dyDescent="0.25">
      <c r="A13" s="1000"/>
      <c r="B13" s="1003"/>
      <c r="C13" s="1008"/>
      <c r="D13" s="794">
        <v>4.4386000000000001</v>
      </c>
      <c r="E13" s="1006"/>
      <c r="F13" s="795">
        <f>GETPIVOTDATA("Sum of Capacity (MW)",GEA.pvt!$B$11,"Technology",$C11,"GEA","GEA1","Bid Price 
(PhP/kWh)",$D13)</f>
        <v>160</v>
      </c>
      <c r="G13" s="839">
        <f>GETPIVOTDATA("No. of Plants ",GEA.pvt!$B$11,"Technology",$C$11,"GEA","GEA1","Bid Price 
(PhP/kWh)",$D13)</f>
        <v>1</v>
      </c>
      <c r="H13" s="848"/>
      <c r="K13" s="837"/>
      <c r="L13" s="674"/>
      <c r="M13" s="674"/>
      <c r="N13" s="674"/>
      <c r="O13" s="674"/>
    </row>
    <row r="14" spans="1:15" x14ac:dyDescent="0.25">
      <c r="A14" s="1000"/>
      <c r="B14" s="1003"/>
      <c r="C14" s="1008"/>
      <c r="D14" s="794">
        <v>4.6368</v>
      </c>
      <c r="E14" s="1006"/>
      <c r="F14" s="795">
        <f>GETPIVOTDATA("Sum of Capacity (MW)",GEA.pvt!$B$11,"Technology",$C11,"GEA","GEA1","Bid Price 
(PhP/kWh)",$D14)</f>
        <v>100.8</v>
      </c>
      <c r="G14" s="839">
        <f>GETPIVOTDATA("No. of Plants ",GEA.pvt!$B$11,"Technology",$C$11,"GEA","GEA1","Bid Price 
(PhP/kWh)",$D14)</f>
        <v>1</v>
      </c>
      <c r="H14" s="848"/>
      <c r="K14" s="837"/>
      <c r="L14" s="674"/>
      <c r="M14" s="674"/>
      <c r="N14" s="674"/>
      <c r="O14" s="674"/>
    </row>
    <row r="15" spans="1:15" ht="15.75" thickBot="1" x14ac:dyDescent="0.3">
      <c r="A15" s="1001"/>
      <c r="B15" s="1004"/>
      <c r="C15" s="1009"/>
      <c r="D15" s="796">
        <v>5.7554999999999996</v>
      </c>
      <c r="E15" s="1007"/>
      <c r="F15" s="797">
        <f>GETPIVOTDATA("Sum of Capacity (MW)",GEA.pvt!$B$11,"Technology",$C11,"GEA","GEA1","Bid Price 
(PhP/kWh)",$D15)</f>
        <v>13.2</v>
      </c>
      <c r="G15" s="840">
        <f>GETPIVOTDATA("No. of Plants ",GEA.pvt!$B$11,"Technology",$C$11,"GEA","GEA1","Bid Price 
(PhP/kWh)",$D15)</f>
        <v>1</v>
      </c>
      <c r="H15" s="849">
        <f>E11-SUM(F11:F15)</f>
        <v>6</v>
      </c>
      <c r="K15" s="837"/>
      <c r="L15" s="674"/>
      <c r="M15" s="674"/>
      <c r="N15" s="674"/>
      <c r="O15" s="674"/>
    </row>
    <row r="16" spans="1:15" s="674" customFormat="1" ht="15.75" thickBot="1" x14ac:dyDescent="0.3">
      <c r="E16" s="887">
        <f>SUM(E3:E15)</f>
        <v>2000</v>
      </c>
      <c r="F16" s="593">
        <f>SUM(F3:F15)</f>
        <v>1966.93</v>
      </c>
      <c r="G16" s="841">
        <f>SUM(G3:G15)</f>
        <v>19</v>
      </c>
      <c r="H16" s="850">
        <f>E16-F16</f>
        <v>33.069999999999936</v>
      </c>
      <c r="K16" s="837"/>
    </row>
    <row r="17" spans="1:15" x14ac:dyDescent="0.25">
      <c r="A17" s="999" t="s">
        <v>1407</v>
      </c>
      <c r="B17" s="1002" t="s">
        <v>1409</v>
      </c>
      <c r="C17" s="790" t="s">
        <v>1158</v>
      </c>
      <c r="D17" s="791">
        <v>5.0987999999999998</v>
      </c>
      <c r="E17" s="888">
        <v>300</v>
      </c>
      <c r="F17" s="793">
        <f>GETPIVOTDATA("Sum of Capacity (MW)",GEA.pvt!$B$11,"Technology",$C17,"GEA","GEA2","Bid Price 
(PhP/kWh)",$D17)</f>
        <v>90</v>
      </c>
      <c r="G17" s="838">
        <f>GETPIVOTDATA("No. of Plants ",GEA.pvt!$B$11,"Technology",$C17,"GEA","GEA2","Bid Price 
(PhP/kWh)",$D17)</f>
        <v>1</v>
      </c>
      <c r="H17" s="847">
        <f>E17-F17</f>
        <v>210</v>
      </c>
      <c r="K17" s="744"/>
      <c r="L17" s="674"/>
      <c r="M17" s="674"/>
      <c r="N17" s="674"/>
      <c r="O17" s="674"/>
    </row>
    <row r="18" spans="1:15" x14ac:dyDescent="0.25">
      <c r="A18" s="1000"/>
      <c r="B18" s="1003"/>
      <c r="C18" s="1008" t="s">
        <v>1035</v>
      </c>
      <c r="D18" s="794">
        <v>3.5950000000000002</v>
      </c>
      <c r="E18" s="1010">
        <v>6715</v>
      </c>
      <c r="F18" s="795">
        <f>GETPIVOTDATA("Sum of Capacity (MW)",GEA.pvt!$B$11,"Technology",$C$18,"GEA","GEA2","Bid Price 
(PhP/kWh)",$D18)</f>
        <v>200</v>
      </c>
      <c r="G18" s="839">
        <f>GETPIVOTDATA("No. of Plants ",GEA.pvt!$B$11,"Technology",$C$18,"GEA","GEA2","Bid Price 
(PhP/kWh)",$D18)</f>
        <v>1</v>
      </c>
      <c r="H18" s="848"/>
      <c r="K18" s="744"/>
      <c r="L18" s="674"/>
      <c r="M18" s="674"/>
      <c r="N18" s="674"/>
      <c r="O18" s="674"/>
    </row>
    <row r="19" spans="1:15" x14ac:dyDescent="0.25">
      <c r="A19" s="1000"/>
      <c r="B19" s="1003"/>
      <c r="C19" s="1008"/>
      <c r="D19" s="794">
        <v>3.8788</v>
      </c>
      <c r="E19" s="1010"/>
      <c r="F19" s="795">
        <f>GETPIVOTDATA("Sum of Capacity (MW)",GEA.pvt!$B$11,"Technology",$C$18,"GEA","GEA2","Bid Price 
(PhP/kWh)",$D19)</f>
        <v>49.9</v>
      </c>
      <c r="G19" s="839">
        <f>GETPIVOTDATA("No. of Plants ",GEA.pvt!$B$11,"Technology",$C$18,"GEA","GEA2","Bid Price 
(PhP/kWh)",$D19)</f>
        <v>1</v>
      </c>
      <c r="H19" s="848"/>
      <c r="K19" s="744"/>
      <c r="L19" s="674"/>
      <c r="M19" s="674"/>
      <c r="N19" s="674"/>
      <c r="O19" s="674"/>
    </row>
    <row r="20" spans="1:15" x14ac:dyDescent="0.25">
      <c r="A20" s="1000"/>
      <c r="B20" s="1003"/>
      <c r="C20" s="1008"/>
      <c r="D20" s="794">
        <v>3.9853000000000001</v>
      </c>
      <c r="E20" s="1010"/>
      <c r="F20" s="795">
        <f>GETPIVOTDATA("Sum of Capacity (MW)",GEA.pvt!$B$11,"Technology",$C$18,"GEA","GEA2","Bid Price 
(PhP/kWh)",$D20)</f>
        <v>149.94999999999999</v>
      </c>
      <c r="G20" s="839">
        <f>GETPIVOTDATA("No. of Plants ",GEA.pvt!$B$11,"Technology",$C$18,"GEA","GEA2","Bid Price 
(PhP/kWh)",$D20)</f>
        <v>1</v>
      </c>
      <c r="H20" s="848"/>
      <c r="K20" s="744"/>
      <c r="L20" s="674"/>
      <c r="M20" s="674"/>
      <c r="N20" s="674"/>
      <c r="O20" s="674"/>
    </row>
    <row r="21" spans="1:15" x14ac:dyDescent="0.25">
      <c r="A21" s="1000"/>
      <c r="B21" s="1003"/>
      <c r="C21" s="1008"/>
      <c r="D21" s="794">
        <v>4.0984999999999996</v>
      </c>
      <c r="E21" s="1010"/>
      <c r="F21" s="795">
        <f>GETPIVOTDATA("Sum of Capacity (MW)",GEA.pvt!$B$11,"Technology",$C$18,"GEA","GEA2","Bid Price 
(PhP/kWh)",$D21)</f>
        <v>274.73500000000001</v>
      </c>
      <c r="G21" s="839">
        <f>GETPIVOTDATA("No. of Plants ",GEA.pvt!$B$11,"Technology",$C$18,"GEA","GEA2","Bid Price 
(PhP/kWh)",$D21)</f>
        <v>1</v>
      </c>
      <c r="H21" s="848"/>
      <c r="K21" s="744"/>
      <c r="L21" s="674"/>
      <c r="M21" s="674"/>
      <c r="N21" s="674"/>
      <c r="O21" s="674"/>
    </row>
    <row r="22" spans="1:15" x14ac:dyDescent="0.25">
      <c r="A22" s="1000"/>
      <c r="B22" s="1003"/>
      <c r="C22" s="1008"/>
      <c r="D22" s="794">
        <v>4.0999999999999996</v>
      </c>
      <c r="E22" s="1010"/>
      <c r="F22" s="795">
        <f>GETPIVOTDATA("Sum of Capacity (MW)",GEA.pvt!$B$11,"Technology",$C$18,"GEA","GEA2","Bid Price 
(PhP/kWh)",$D22)</f>
        <v>50</v>
      </c>
      <c r="G22" s="839">
        <f>GETPIVOTDATA("No. of Plants ",GEA.pvt!$B$11,"Technology",$C$18,"GEA","GEA2","Bid Price 
(PhP/kWh)",$D22)</f>
        <v>1</v>
      </c>
      <c r="H22" s="848"/>
      <c r="K22" s="744"/>
      <c r="L22" s="674"/>
      <c r="M22" s="674"/>
      <c r="N22" s="674"/>
      <c r="O22" s="674"/>
    </row>
    <row r="23" spans="1:15" x14ac:dyDescent="0.25">
      <c r="A23" s="1000"/>
      <c r="B23" s="1003"/>
      <c r="C23" s="1008"/>
      <c r="D23" s="794">
        <v>4.1997999999999998</v>
      </c>
      <c r="E23" s="1010"/>
      <c r="F23" s="795">
        <f>GETPIVOTDATA("Sum of Capacity (MW)",GEA.pvt!$B$11,"Technology",$C$18,"GEA","GEA2","Bid Price 
(PhP/kWh)",$D23)</f>
        <v>128.44</v>
      </c>
      <c r="G23" s="839">
        <f>GETPIVOTDATA("No. of Plants ",GEA.pvt!$B$11,"Technology",$C$18,"GEA","GEA2","Bid Price 
(PhP/kWh)",$D23)</f>
        <v>2</v>
      </c>
      <c r="H23" s="848"/>
      <c r="K23" s="744"/>
      <c r="L23" s="674"/>
      <c r="M23" s="674"/>
      <c r="N23" s="674"/>
      <c r="O23" s="674"/>
    </row>
    <row r="24" spans="1:15" x14ac:dyDescent="0.25">
      <c r="A24" s="1000"/>
      <c r="B24" s="1003"/>
      <c r="C24" s="1008"/>
      <c r="D24" s="794">
        <v>4.2346000000000004</v>
      </c>
      <c r="E24" s="1010"/>
      <c r="F24" s="795">
        <f>GETPIVOTDATA("Sum of Capacity (MW)",GEA.pvt!$B$11,"Technology",$C$18,"GEA","GEA2","Bid Price 
(PhP/kWh)",$D24)</f>
        <v>49</v>
      </c>
      <c r="G24" s="839">
        <f>GETPIVOTDATA("No. of Plants ",GEA.pvt!$B$11,"Technology",$C$18,"GEA","GEA2","Bid Price 
(PhP/kWh)",$D24)</f>
        <v>1</v>
      </c>
      <c r="H24" s="848"/>
      <c r="K24" s="744"/>
      <c r="L24" s="674"/>
      <c r="M24" s="674"/>
      <c r="N24" s="674"/>
      <c r="O24" s="674"/>
    </row>
    <row r="25" spans="1:15" x14ac:dyDescent="0.25">
      <c r="A25" s="1000"/>
      <c r="B25" s="1003"/>
      <c r="C25" s="1008"/>
      <c r="D25" s="794">
        <v>4.2380000000000004</v>
      </c>
      <c r="E25" s="1010"/>
      <c r="F25" s="795">
        <f>GETPIVOTDATA("Sum of Capacity (MW)",GEA.pvt!$B$11,"Technology",$C$18,"GEA","GEA2","Bid Price 
(PhP/kWh)",$D25)</f>
        <v>18.75</v>
      </c>
      <c r="G25" s="839">
        <f>GETPIVOTDATA("No. of Plants ",GEA.pvt!$B$11,"Technology",$C$18,"GEA","GEA2","Bid Price 
(PhP/kWh)",$D25)</f>
        <v>1</v>
      </c>
      <c r="H25" s="848"/>
      <c r="K25" s="744"/>
      <c r="L25" s="674"/>
      <c r="M25" s="674"/>
      <c r="N25" s="674"/>
      <c r="O25" s="674"/>
    </row>
    <row r="26" spans="1:15" x14ac:dyDescent="0.25">
      <c r="A26" s="1000"/>
      <c r="B26" s="1003"/>
      <c r="C26" s="1008"/>
      <c r="D26" s="794">
        <v>4.2999000000000001</v>
      </c>
      <c r="E26" s="1010"/>
      <c r="F26" s="795">
        <f>GETPIVOTDATA("Sum of Capacity (MW)",GEA.pvt!$B$11,"Technology",$C$18,"GEA","GEA2","Bid Price 
(PhP/kWh)",$D26)</f>
        <v>20</v>
      </c>
      <c r="G26" s="839">
        <f>GETPIVOTDATA("No. of Plants ",GEA.pvt!$B$11,"Technology",$C$18,"GEA","GEA2","Bid Price 
(PhP/kWh)",$D26)</f>
        <v>1</v>
      </c>
      <c r="H26" s="848"/>
      <c r="K26" s="744"/>
      <c r="L26" s="674"/>
      <c r="M26" s="674"/>
      <c r="N26" s="674"/>
      <c r="O26" s="674"/>
    </row>
    <row r="27" spans="1:15" x14ac:dyDescent="0.25">
      <c r="A27" s="1000"/>
      <c r="B27" s="1003"/>
      <c r="C27" s="1008"/>
      <c r="D27" s="794">
        <v>4.3543000000000003</v>
      </c>
      <c r="E27" s="1010"/>
      <c r="F27" s="795">
        <f>GETPIVOTDATA("Sum of Capacity (MW)",GEA.pvt!$B$11,"Technology",$C$18,"GEA","GEA2","Bid Price 
(PhP/kWh)",$D27)</f>
        <v>14</v>
      </c>
      <c r="G27" s="839">
        <f>GETPIVOTDATA("No. of Plants ",GEA.pvt!$B$11,"Technology",$C$18,"GEA","GEA2","Bid Price 
(PhP/kWh)",$D27)</f>
        <v>1</v>
      </c>
      <c r="H27" s="848"/>
      <c r="K27" s="744"/>
      <c r="L27" s="674"/>
      <c r="M27" s="674"/>
      <c r="N27" s="674"/>
      <c r="O27" s="674"/>
    </row>
    <row r="28" spans="1:15" x14ac:dyDescent="0.25">
      <c r="A28" s="1000"/>
      <c r="B28" s="1003"/>
      <c r="C28" s="1008"/>
      <c r="D28" s="794">
        <v>4.3552999999999997</v>
      </c>
      <c r="E28" s="1010"/>
      <c r="F28" s="795">
        <f>GETPIVOTDATA("Sum of Capacity (MW)",GEA.pvt!$B$11,"Technology",$C$18,"GEA","GEA2","Bid Price 
(PhP/kWh)",$D28)</f>
        <v>40</v>
      </c>
      <c r="G28" s="839">
        <f>GETPIVOTDATA("No. of Plants ",GEA.pvt!$B$11,"Technology",$C$18,"GEA","GEA2","Bid Price 
(PhP/kWh)",$D28)</f>
        <v>1</v>
      </c>
      <c r="H28" s="848"/>
      <c r="K28" s="744"/>
      <c r="L28" s="674"/>
      <c r="M28" s="674"/>
      <c r="N28" s="674"/>
      <c r="O28" s="674"/>
    </row>
    <row r="29" spans="1:15" x14ac:dyDescent="0.25">
      <c r="A29" s="1000"/>
      <c r="B29" s="1003"/>
      <c r="C29" s="1008"/>
      <c r="D29" s="794">
        <v>4.3898000000000001</v>
      </c>
      <c r="E29" s="1010"/>
      <c r="F29" s="795">
        <f>GETPIVOTDATA("Sum of Capacity (MW)",GEA.pvt!$B$11,"Technology",$C$18,"GEA","GEA2","Bid Price 
(PhP/kWh)",$D29)</f>
        <v>43.75</v>
      </c>
      <c r="G29" s="839">
        <f>GETPIVOTDATA("No. of Plants ",GEA.pvt!$B$11,"Technology",$C$18,"GEA","GEA2","Bid Price 
(PhP/kWh)",$D29)</f>
        <v>1</v>
      </c>
      <c r="H29" s="848"/>
      <c r="K29" s="744"/>
      <c r="L29" s="674"/>
      <c r="M29" s="674"/>
      <c r="N29" s="674"/>
      <c r="O29" s="674"/>
    </row>
    <row r="30" spans="1:15" x14ac:dyDescent="0.25">
      <c r="A30" s="1000"/>
      <c r="B30" s="1003"/>
      <c r="C30" s="1008"/>
      <c r="D30" s="794">
        <v>4.3998999999999997</v>
      </c>
      <c r="E30" s="1010"/>
      <c r="F30" s="795">
        <f>GETPIVOTDATA("Sum of Capacity (MW)",GEA.pvt!$B$11,"Technology",$C$18,"GEA","GEA2","Bid Price 
(PhP/kWh)",$D30)</f>
        <v>72.176999999999992</v>
      </c>
      <c r="G30" s="839">
        <f>GETPIVOTDATA("No. of Plants ",GEA.pvt!$B$11,"Technology",$C$18,"GEA","GEA2","Bid Price 
(PhP/kWh)",$D30)</f>
        <v>2</v>
      </c>
      <c r="H30" s="848"/>
      <c r="K30" s="744"/>
      <c r="L30" s="674"/>
      <c r="M30" s="674"/>
      <c r="N30" s="674"/>
      <c r="O30" s="674"/>
    </row>
    <row r="31" spans="1:15" x14ac:dyDescent="0.25">
      <c r="A31" s="1000"/>
      <c r="B31" s="1003"/>
      <c r="C31" s="1008"/>
      <c r="D31" s="794">
        <v>4.4000000000000004</v>
      </c>
      <c r="E31" s="1010"/>
      <c r="F31" s="795">
        <f>GETPIVOTDATA("Sum of Capacity (MW)",GEA.pvt!$B$11,"Technology",$C$18,"GEA","GEA2","Bid Price 
(PhP/kWh)",$D31)</f>
        <v>57</v>
      </c>
      <c r="G31" s="839">
        <f>GETPIVOTDATA("No. of Plants ",GEA.pvt!$B$11,"Technology",$C$18,"GEA","GEA2","Bid Price 
(PhP/kWh)",$D31)</f>
        <v>2</v>
      </c>
      <c r="H31" s="848"/>
      <c r="K31" s="744"/>
      <c r="L31" s="674"/>
      <c r="M31" s="674"/>
      <c r="N31" s="674"/>
      <c r="O31" s="674"/>
    </row>
    <row r="32" spans="1:15" x14ac:dyDescent="0.25">
      <c r="A32" s="1000"/>
      <c r="B32" s="1003"/>
      <c r="C32" s="1008"/>
      <c r="D32" s="794">
        <v>4.4032999999999998</v>
      </c>
      <c r="E32" s="1010"/>
      <c r="F32" s="795">
        <f>GETPIVOTDATA("Sum of Capacity (MW)",GEA.pvt!$B$11,"Technology",$C$18,"GEA","GEA2","Bid Price 
(PhP/kWh)",$D32)</f>
        <v>40</v>
      </c>
      <c r="G32" s="839">
        <f>GETPIVOTDATA("No. of Plants ",GEA.pvt!$B$11,"Technology",$C$18,"GEA","GEA2","Bid Price 
(PhP/kWh)",$D32)</f>
        <v>1</v>
      </c>
      <c r="H32" s="848"/>
      <c r="I32" s="483"/>
      <c r="K32" s="744"/>
      <c r="L32" s="674"/>
      <c r="M32" s="674"/>
      <c r="N32" s="674"/>
      <c r="O32" s="674"/>
    </row>
    <row r="33" spans="1:15" x14ac:dyDescent="0.25">
      <c r="A33" s="1000"/>
      <c r="B33" s="1003"/>
      <c r="C33" s="1008"/>
      <c r="D33" s="794">
        <v>4.4043000000000001</v>
      </c>
      <c r="E33" s="1010"/>
      <c r="F33" s="795">
        <f>GETPIVOTDATA("Sum of Capacity (MW)",GEA.pvt!$B$11,"Technology",$C$18,"GEA","GEA2","Bid Price 
(PhP/kWh)",$D33)</f>
        <v>701.28000000000009</v>
      </c>
      <c r="G33" s="839">
        <f>GETPIVOTDATA("No. of Plants ",GEA.pvt!$B$11,"Technology",$C$18,"GEA","GEA2","Bid Price 
(PhP/kWh)",$D33)</f>
        <v>16</v>
      </c>
      <c r="H33" s="848">
        <f>E18-SUM(F18:F33)</f>
        <v>4806.018</v>
      </c>
      <c r="I33" s="116"/>
      <c r="J33" s="116"/>
      <c r="K33" s="744"/>
      <c r="L33" s="674"/>
      <c r="M33" s="674"/>
      <c r="N33" s="674"/>
      <c r="O33" s="674"/>
    </row>
    <row r="34" spans="1:15" x14ac:dyDescent="0.25">
      <c r="A34" s="1000"/>
      <c r="B34" s="1003"/>
      <c r="C34" s="1008" t="s">
        <v>1139</v>
      </c>
      <c r="D34" s="794">
        <v>5.2512999999999996</v>
      </c>
      <c r="E34" s="1010">
        <v>3720</v>
      </c>
      <c r="F34" s="795">
        <f>GETPIVOTDATA("Sum of Capacity (MW)",GEA.pvt!$B$11,"Technology",$C$34,"GEA","GEA2","Bid Price 
(PhP/kWh)",$D34)</f>
        <v>239.98500000000001</v>
      </c>
      <c r="G34" s="839">
        <f>GETPIVOTDATA("No. of Plants ",GEA.pvt!$B$11,"Technology",$C$34,"GEA","GEA2","Bid Price 
(PhP/kWh)",$D34)</f>
        <v>1</v>
      </c>
      <c r="H34" s="848"/>
      <c r="K34" s="744"/>
      <c r="L34" s="674"/>
      <c r="M34" s="674"/>
      <c r="N34" s="674"/>
      <c r="O34" s="674"/>
    </row>
    <row r="35" spans="1:15" x14ac:dyDescent="0.25">
      <c r="A35" s="1000"/>
      <c r="B35" s="1003"/>
      <c r="C35" s="1008"/>
      <c r="D35" s="794">
        <v>5.2888000000000002</v>
      </c>
      <c r="E35" s="1010"/>
      <c r="F35" s="795">
        <f>GETPIVOTDATA("Sum of Capacity (MW)",GEA.pvt!$B$11,"Technology",$C$34,"GEA","GEA2","Bid Price 
(PhP/kWh)",$D35)</f>
        <v>54.6</v>
      </c>
      <c r="G35" s="839">
        <f>GETPIVOTDATA("No. of Plants ",GEA.pvt!$B$11,"Technology",$C$34,"GEA","GEA2","Bid Price 
(PhP/kWh)",$D35)</f>
        <v>1</v>
      </c>
      <c r="H35" s="848"/>
      <c r="K35" s="744"/>
    </row>
    <row r="36" spans="1:15" x14ac:dyDescent="0.25">
      <c r="A36" s="1000"/>
      <c r="B36" s="1003"/>
      <c r="C36" s="1008"/>
      <c r="D36" s="794">
        <v>5.3087999999999997</v>
      </c>
      <c r="E36" s="1010"/>
      <c r="F36" s="795">
        <f>GETPIVOTDATA("Sum of Capacity (MW)",GEA.pvt!$B$11,"Technology",$C$34,"GEA","GEA2","Bid Price 
(PhP/kWh)",$D36)</f>
        <v>85.8</v>
      </c>
      <c r="G36" s="839">
        <f>GETPIVOTDATA("No. of Plants ",GEA.pvt!$B$11,"Technology",$C$34,"GEA","GEA2","Bid Price 
(PhP/kWh)",$D36)</f>
        <v>1</v>
      </c>
      <c r="H36" s="848"/>
      <c r="K36" s="744"/>
    </row>
    <row r="37" spans="1:15" x14ac:dyDescent="0.25">
      <c r="A37" s="1000"/>
      <c r="B37" s="1003"/>
      <c r="C37" s="1008"/>
      <c r="D37" s="794">
        <v>5.4387999999999996</v>
      </c>
      <c r="E37" s="1010"/>
      <c r="F37" s="795">
        <f>GETPIVOTDATA("Sum of Capacity (MW)",GEA.pvt!$B$11,"Technology",$C$34,"GEA","GEA2","Bid Price 
(PhP/kWh)",$D37)</f>
        <v>49.999000000000002</v>
      </c>
      <c r="G37" s="839">
        <f>GETPIVOTDATA("No. of Plants ",GEA.pvt!$B$11,"Technology",$C$34,"GEA","GEA2","Bid Price 
(PhP/kWh)",$D37)</f>
        <v>1</v>
      </c>
      <c r="H37" s="848"/>
      <c r="K37" s="744"/>
    </row>
    <row r="38" spans="1:15" x14ac:dyDescent="0.25">
      <c r="A38" s="1000"/>
      <c r="B38" s="1003"/>
      <c r="C38" s="1008"/>
      <c r="D38" s="794">
        <v>5.5587999999999997</v>
      </c>
      <c r="E38" s="1010"/>
      <c r="F38" s="795">
        <f>GETPIVOTDATA("Sum of Capacity (MW)",GEA.pvt!$B$11,"Technology",$C$34,"GEA","GEA2","Bid Price 
(PhP/kWh)",$D38)</f>
        <v>80</v>
      </c>
      <c r="G38" s="839">
        <f>GETPIVOTDATA("No. of Plants ",GEA.pvt!$B$11,"Technology",$C$34,"GEA","GEA2","Bid Price 
(PhP/kWh)",$D38)</f>
        <v>1</v>
      </c>
      <c r="H38" s="848"/>
      <c r="K38" s="744"/>
    </row>
    <row r="39" spans="1:15" x14ac:dyDescent="0.25">
      <c r="A39" s="1000"/>
      <c r="B39" s="1003"/>
      <c r="C39" s="1008"/>
      <c r="D39" s="794">
        <v>5.6588000000000003</v>
      </c>
      <c r="E39" s="1010"/>
      <c r="F39" s="795">
        <f>GETPIVOTDATA("Sum of Capacity (MW)",GEA.pvt!$B$11,"Technology",$C$34,"GEA","GEA2","Bid Price 
(PhP/kWh)",$D39)</f>
        <v>100</v>
      </c>
      <c r="G39" s="839">
        <f>GETPIVOTDATA("No. of Plants ",GEA.pvt!$B$11,"Technology",$C$34,"GEA","GEA2","Bid Price 
(PhP/kWh)",$D39)</f>
        <v>1</v>
      </c>
      <c r="H39" s="848"/>
      <c r="K39" s="744"/>
    </row>
    <row r="40" spans="1:15" x14ac:dyDescent="0.25">
      <c r="A40" s="1000"/>
      <c r="B40" s="1003"/>
      <c r="C40" s="1008"/>
      <c r="D40" s="794">
        <v>5.6887999999999996</v>
      </c>
      <c r="E40" s="1010"/>
      <c r="F40" s="795">
        <f>GETPIVOTDATA("Sum of Capacity (MW)",GEA.pvt!$B$11,"Technology",$C$34,"GEA","GEA2","Bid Price 
(PhP/kWh)",$D40)</f>
        <v>152</v>
      </c>
      <c r="G40" s="839">
        <f>GETPIVOTDATA("No. of Plants ",GEA.pvt!$B$11,"Technology",$C$34,"GEA","GEA2","Bid Price 
(PhP/kWh)",$D40)</f>
        <v>1</v>
      </c>
      <c r="H40" s="848"/>
      <c r="K40" s="744"/>
    </row>
    <row r="41" spans="1:15" x14ac:dyDescent="0.25">
      <c r="A41" s="1000"/>
      <c r="B41" s="1003"/>
      <c r="C41" s="1008"/>
      <c r="D41" s="794">
        <v>5.7530999999999999</v>
      </c>
      <c r="E41" s="1010"/>
      <c r="F41" s="795">
        <f>GETPIVOTDATA("Sum of Capacity (MW)",GEA.pvt!$B$11,"Technology",$C$34,"GEA","GEA2","Bid Price 
(PhP/kWh)",$D41)</f>
        <v>200</v>
      </c>
      <c r="G41" s="839">
        <f>GETPIVOTDATA("No. of Plants ",GEA.pvt!$B$11,"Technology",$C$34,"GEA","GEA2","Bid Price 
(PhP/kWh)",$D41)</f>
        <v>1</v>
      </c>
      <c r="H41" s="848"/>
      <c r="K41" s="744"/>
    </row>
    <row r="42" spans="1:15" x14ac:dyDescent="0.25">
      <c r="A42" s="1000"/>
      <c r="B42" s="1003"/>
      <c r="C42" s="1008"/>
      <c r="D42" s="794">
        <v>5.7885999999999997</v>
      </c>
      <c r="E42" s="1010"/>
      <c r="F42" s="795">
        <f>GETPIVOTDATA("Sum of Capacity (MW)",GEA.pvt!$B$11,"Technology",$C$34,"GEA","GEA2","Bid Price 
(PhP/kWh)",$D42)</f>
        <v>230</v>
      </c>
      <c r="G42" s="839">
        <f>GETPIVOTDATA("No. of Plants ",GEA.pvt!$B$11,"Technology",$C$34,"GEA","GEA2","Bid Price 
(PhP/kWh)",$D42)</f>
        <v>1</v>
      </c>
      <c r="H42" s="848"/>
      <c r="K42" s="744"/>
    </row>
    <row r="43" spans="1:15" x14ac:dyDescent="0.25">
      <c r="A43" s="1000"/>
      <c r="B43" s="1003"/>
      <c r="C43" s="1008"/>
      <c r="D43" s="794">
        <v>5.8051000000000004</v>
      </c>
      <c r="E43" s="1010"/>
      <c r="F43" s="795">
        <f>GETPIVOTDATA("Sum of Capacity (MW)",GEA.pvt!$B$11,"Technology",$C$34,"GEA","GEA2","Bid Price 
(PhP/kWh)",$D43)</f>
        <v>90</v>
      </c>
      <c r="G43" s="839">
        <f>GETPIVOTDATA("No. of Plants ",GEA.pvt!$B$11,"Technology",$C$34,"GEA","GEA2","Bid Price 
(PhP/kWh)",$D43)</f>
        <v>1</v>
      </c>
      <c r="H43" s="848"/>
      <c r="K43" s="744"/>
    </row>
    <row r="44" spans="1:15" x14ac:dyDescent="0.25">
      <c r="A44" s="1000"/>
      <c r="B44" s="1003"/>
      <c r="C44" s="1008"/>
      <c r="D44" s="794">
        <v>5.8479999999999999</v>
      </c>
      <c r="E44" s="1010"/>
      <c r="F44" s="795">
        <f>GETPIVOTDATA("Sum of Capacity (MW)",GEA.pvt!$B$11,"Technology",$C$34,"GEA","GEA2","Bid Price 
(PhP/kWh)",$D44)</f>
        <v>150</v>
      </c>
      <c r="G44" s="839">
        <f>GETPIVOTDATA("No. of Plants ",GEA.pvt!$B$11,"Technology",$C$34,"GEA","GEA2","Bid Price 
(PhP/kWh)",$D44)</f>
        <v>1</v>
      </c>
      <c r="H44" s="848"/>
      <c r="K44" s="744"/>
    </row>
    <row r="45" spans="1:15" x14ac:dyDescent="0.25">
      <c r="A45" s="1000"/>
      <c r="B45" s="1003"/>
      <c r="C45" s="1008"/>
      <c r="D45" s="794">
        <v>5.8480999999999996</v>
      </c>
      <c r="E45" s="1010"/>
      <c r="F45" s="795">
        <f>GETPIVOTDATA("Sum of Capacity (MW)",GEA.pvt!$B$11,"Technology",$C$34,"GEA","GEA2","Bid Price 
(PhP/kWh)",$D45)</f>
        <v>30</v>
      </c>
      <c r="G45" s="839">
        <f>GETPIVOTDATA("No. of Plants ",GEA.pvt!$B$11,"Technology",$C$34,"GEA","GEA2","Bid Price 
(PhP/kWh)",$D45)</f>
        <v>1</v>
      </c>
      <c r="H45" s="848">
        <f>E34-SUM(F34:F45)</f>
        <v>2257.616</v>
      </c>
      <c r="K45" s="744"/>
    </row>
    <row r="46" spans="1:15" x14ac:dyDescent="0.25">
      <c r="A46" s="1000"/>
      <c r="B46" s="1003"/>
      <c r="C46" s="798" t="s">
        <v>1062</v>
      </c>
      <c r="D46" s="794">
        <v>4.8738000000000001</v>
      </c>
      <c r="E46" s="889">
        <v>605</v>
      </c>
      <c r="F46" s="795">
        <f>GETPIVOTDATA("Sum of Capacity (MW)",GEA.pvt!$B$11,"Technology",$C$46,"GEA","GEA2","Bid Price 
(PhP/kWh)",$D46)</f>
        <v>9.3899999999999988</v>
      </c>
      <c r="G46" s="839">
        <f>GETPIVOTDATA("No. of Plants ",GEA.pvt!$B$11,"Technology",$C$46,"GEA","GEA2","Bid Price 
(PhP/kWh)",$D46)</f>
        <v>58</v>
      </c>
      <c r="H46" s="848">
        <f>E46-F46</f>
        <v>595.61</v>
      </c>
      <c r="K46" s="744"/>
    </row>
    <row r="47" spans="1:15" x14ac:dyDescent="0.25">
      <c r="A47" s="1000"/>
      <c r="B47" s="1003"/>
      <c r="C47" s="798" t="s">
        <v>219</v>
      </c>
      <c r="D47" s="794">
        <v>5.4024000000000001</v>
      </c>
      <c r="E47" s="889">
        <v>230</v>
      </c>
      <c r="F47" s="795">
        <f>IFERROR(GETPIVOTDATA("Sum of Capacity (MW)",GEA.pvt!$B$11,"Technology",$C$47,"GEA","GEA2","Bid Price 
(PhP/kWh)",$D47),0)</f>
        <v>0</v>
      </c>
      <c r="G47" s="839">
        <f>IFERROR(GETPIVOTDATA("No. of Plants ",GEA.pvt!$B$11,"Technology",$C$47,"GEA","GEA2","Bid Price 
(PhP/kWh)",$D47),0)</f>
        <v>0</v>
      </c>
      <c r="H47" s="848">
        <f>E47-F47</f>
        <v>230</v>
      </c>
      <c r="K47" s="744"/>
    </row>
    <row r="48" spans="1:15" ht="15.75" thickBot="1" x14ac:dyDescent="0.3">
      <c r="A48" s="1001"/>
      <c r="B48" s="1004"/>
      <c r="C48" s="799" t="s">
        <v>1408</v>
      </c>
      <c r="D48" s="796">
        <v>6.2683</v>
      </c>
      <c r="E48" s="890">
        <v>30</v>
      </c>
      <c r="F48" s="797">
        <f>IFERROR(GETPIVOTDATA("Sum of Capacity (MW)",GEA.pvt!$B$11,"Technology",$C$48,"GEA","GEA2","Bid Price 
(PhP/kWh)",$D48),0)</f>
        <v>0</v>
      </c>
      <c r="G48" s="840">
        <f>IFERROR(GETPIVOTDATA("No. of Plants ",GEA.pvt!$B$11,"Technology",$C$48,"GEA","GEA2","Bid Price 
(PhP/kWh)",$D48),0)</f>
        <v>0</v>
      </c>
      <c r="H48" s="849">
        <f>E48-F48</f>
        <v>30</v>
      </c>
      <c r="K48" s="744"/>
    </row>
    <row r="49" spans="1:16" s="674" customFormat="1" ht="15.75" thickBot="1" x14ac:dyDescent="0.3">
      <c r="E49" s="887">
        <f>SUM(E17:E48)</f>
        <v>11600</v>
      </c>
      <c r="F49" s="593">
        <f>SUM(F17:F48)</f>
        <v>3470.7559999999999</v>
      </c>
      <c r="G49" s="841">
        <f>SUM(G17:G48)</f>
        <v>105</v>
      </c>
      <c r="H49" s="850">
        <f>E49-F49</f>
        <v>8129.2440000000006</v>
      </c>
      <c r="I49" s="593"/>
      <c r="J49" s="775"/>
      <c r="K49" s="837"/>
      <c r="L49"/>
      <c r="M49"/>
      <c r="N49"/>
      <c r="O49"/>
      <c r="P49"/>
    </row>
    <row r="50" spans="1:16" x14ac:dyDescent="0.25">
      <c r="A50" s="999" t="s">
        <v>1418</v>
      </c>
      <c r="B50" s="1002" t="s">
        <v>1413</v>
      </c>
      <c r="C50" s="1023" t="s">
        <v>1202</v>
      </c>
      <c r="D50" s="791">
        <v>5.1092000000000004</v>
      </c>
      <c r="E50" s="1011">
        <v>27</v>
      </c>
      <c r="F50" s="800">
        <f>GETPIVOTDATA("Sum of Capacity (MW)",GEA.pvt!$B$11,"Technology",$C$50,"GEA","GEA3","Bid Price 
(PhP/kWh)",$D50)</f>
        <v>3.669</v>
      </c>
      <c r="G50" s="838">
        <f>GETPIVOTDATA("No. of Plants ",GEA.pvt!$B$11,"Technology",$C$50,"GEA","GEA3","Bid Price 
(PhP/kWh)",$D50)</f>
        <v>1</v>
      </c>
      <c r="H50" s="847"/>
      <c r="K50" s="744"/>
    </row>
    <row r="51" spans="1:16" x14ac:dyDescent="0.25">
      <c r="A51" s="1000"/>
      <c r="B51" s="1003"/>
      <c r="C51" s="1024"/>
      <c r="D51" s="794">
        <v>7.6440999999999999</v>
      </c>
      <c r="E51" s="1010"/>
      <c r="F51" s="801">
        <f>GETPIVOTDATA("Sum of Capacity (MW)",GEA.pvt!$B$11,"Technology",$C$50,"GEA","GEA3","Bid Price 
(PhP/kWh)",$D51)</f>
        <v>27.218</v>
      </c>
      <c r="G51" s="839">
        <f>GETPIVOTDATA("No. of Plants ",GEA.pvt!$B$11,"Technology",$C$50,"GEA","GEA3","Bid Price 
(PhP/kWh)",$D51)</f>
        <v>2</v>
      </c>
      <c r="H51" s="848">
        <f>E50-SUM(F50:F51)</f>
        <v>-3.8870000000000005</v>
      </c>
      <c r="K51" s="744"/>
    </row>
    <row r="52" spans="1:16" x14ac:dyDescent="0.25">
      <c r="A52" s="1000"/>
      <c r="B52" s="1003"/>
      <c r="C52" s="1008" t="s">
        <v>1210</v>
      </c>
      <c r="D52" s="794">
        <v>4.5</v>
      </c>
      <c r="E52" s="1010">
        <v>300</v>
      </c>
      <c r="F52" s="801">
        <f>GETPIVOTDATA("Sum of Capacity (MW)",GEA.pvt!$B$11,"Technology",$C$52,"GEA","GEA3","Bid Price 
(PhP/kWh)",$D52)</f>
        <v>150</v>
      </c>
      <c r="G52" s="839">
        <f>GETPIVOTDATA("No. of Plants ",GEA.pvt!$B$11,"Technology",$C$52,"GEA","GEA3","Bid Price 
(PhP/kWh)",$D52)</f>
        <v>1</v>
      </c>
      <c r="H52" s="848"/>
      <c r="K52" s="744"/>
    </row>
    <row r="53" spans="1:16" x14ac:dyDescent="0.25">
      <c r="A53" s="1000"/>
      <c r="B53" s="1003"/>
      <c r="C53" s="1008"/>
      <c r="D53" s="794">
        <v>4.75</v>
      </c>
      <c r="E53" s="1010"/>
      <c r="F53" s="801">
        <f>GETPIVOTDATA("Sum of Capacity (MW)",GEA.pvt!$B$11,"Technology",$C$52,"GEA","GEA3","Bid Price 
(PhP/kWh)",$D53)</f>
        <v>150</v>
      </c>
      <c r="G53" s="839">
        <f>GETPIVOTDATA("No. of Plants ",GEA.pvt!$B$11,"Technology",$C$52,"GEA","GEA3","Bid Price 
(PhP/kWh)",$D53)</f>
        <v>1</v>
      </c>
      <c r="H53" s="848">
        <f>E52-SUM(F52:F53)</f>
        <v>0</v>
      </c>
      <c r="K53" s="744"/>
    </row>
    <row r="54" spans="1:16" x14ac:dyDescent="0.25">
      <c r="A54" s="1000"/>
      <c r="B54" s="1003"/>
      <c r="C54" s="1008" t="s">
        <v>1215</v>
      </c>
      <c r="D54" s="794">
        <v>2.5787</v>
      </c>
      <c r="E54" s="1010">
        <v>6350</v>
      </c>
      <c r="F54" s="801">
        <f>GETPIVOTDATA("Sum of Capacity (MW)",GEA.pvt!$B$11,"Technology",$C$54,"GEA","GEA3","Bid Price 
(PhP/kWh)",$D54)</f>
        <v>500</v>
      </c>
      <c r="G54" s="839">
        <f>GETPIVOTDATA("No. of Plants ",GEA.pvt!$B$11,"Technology",$C$54,"GEA","GEA3","Bid Price 
(PhP/kWh)",$D54)</f>
        <v>1</v>
      </c>
      <c r="H54" s="848"/>
      <c r="K54" s="744"/>
    </row>
    <row r="55" spans="1:16" x14ac:dyDescent="0.25">
      <c r="A55" s="1000"/>
      <c r="B55" s="1003"/>
      <c r="C55" s="1008"/>
      <c r="D55" s="794">
        <v>3.25</v>
      </c>
      <c r="E55" s="1010"/>
      <c r="F55" s="801">
        <f>GETPIVOTDATA("Sum of Capacity (MW)",GEA.pvt!$B$11,"Technology",$C$54,"GEA","GEA3","Bid Price 
(PhP/kWh)",$D55)</f>
        <v>800</v>
      </c>
      <c r="G55" s="839">
        <f>GETPIVOTDATA("No. of Plants ",GEA.pvt!$B$11,"Technology",$C$54,"GEA","GEA3","Bid Price 
(PhP/kWh)",$D55)</f>
        <v>1</v>
      </c>
      <c r="H55" s="848"/>
      <c r="K55" s="744"/>
    </row>
    <row r="56" spans="1:16" x14ac:dyDescent="0.25">
      <c r="A56" s="1000"/>
      <c r="B56" s="1003"/>
      <c r="C56" s="1008"/>
      <c r="D56" s="794">
        <v>3.35</v>
      </c>
      <c r="E56" s="1010"/>
      <c r="F56" s="801">
        <f>GETPIVOTDATA("Sum of Capacity (MW)",GEA.pvt!$B$11,"Technology",$C$54,"GEA","GEA3","Bid Price 
(PhP/kWh)",$D56)</f>
        <v>800</v>
      </c>
      <c r="G56" s="839">
        <f>GETPIVOTDATA("No. of Plants ",GEA.pvt!$B$11,"Technology",$C$54,"GEA","GEA3","Bid Price 
(PhP/kWh)",$D56)</f>
        <v>1</v>
      </c>
      <c r="H56" s="848"/>
      <c r="K56" s="744"/>
    </row>
    <row r="57" spans="1:16" x14ac:dyDescent="0.25">
      <c r="A57" s="1000"/>
      <c r="B57" s="1003"/>
      <c r="C57" s="1008"/>
      <c r="D57" s="794">
        <v>3.5</v>
      </c>
      <c r="E57" s="1010"/>
      <c r="F57" s="801">
        <f>GETPIVOTDATA("Sum of Capacity (MW)",GEA.pvt!$B$11,"Technology",$C$54,"GEA","GEA3","Bid Price 
(PhP/kWh)",$D57)</f>
        <v>2000</v>
      </c>
      <c r="G57" s="839">
        <f>GETPIVOTDATA("No. of Plants ",GEA.pvt!$B$11,"Technology",$C$54,"GEA","GEA3","Bid Price 
(PhP/kWh)",$D57)</f>
        <v>1</v>
      </c>
      <c r="H57" s="848"/>
      <c r="K57" s="744"/>
    </row>
    <row r="58" spans="1:16" x14ac:dyDescent="0.25">
      <c r="A58" s="1000"/>
      <c r="B58" s="1003"/>
      <c r="C58" s="1008"/>
      <c r="D58" s="794">
        <v>3.7319</v>
      </c>
      <c r="E58" s="1010"/>
      <c r="F58" s="801">
        <f>GETPIVOTDATA("Sum of Capacity (MW)",GEA.pvt!$B$11,"Technology",$C$54,"GEA","GEA3","Bid Price 
(PhP/kWh)",$D58)</f>
        <v>250</v>
      </c>
      <c r="G58" s="839">
        <f>GETPIVOTDATA("No. of Plants ",GEA.pvt!$B$11,"Technology",$C$54,"GEA","GEA3","Bid Price 
(PhP/kWh)",$D58)</f>
        <v>1</v>
      </c>
      <c r="H58" s="848"/>
      <c r="K58" s="744"/>
    </row>
    <row r="59" spans="1:16" x14ac:dyDescent="0.25">
      <c r="A59" s="1000"/>
      <c r="B59" s="1003"/>
      <c r="C59" s="1008"/>
      <c r="D59" s="794">
        <v>5.3560999999999996</v>
      </c>
      <c r="E59" s="1010"/>
      <c r="F59" s="801">
        <f>GETPIVOTDATA("Sum of Capacity (MW)",GEA.pvt!$B$11,"Technology",$C$54,"GEA","GEA3","Bid Price 
(PhP/kWh)",$D59)</f>
        <v>600</v>
      </c>
      <c r="G59" s="839">
        <f>GETPIVOTDATA("No. of Plants ",GEA.pvt!$B$11,"Technology",$C$54,"GEA","GEA3","Bid Price 
(PhP/kWh)",$D59)</f>
        <v>1</v>
      </c>
      <c r="H59" s="848"/>
      <c r="K59" s="744"/>
    </row>
    <row r="60" spans="1:16" ht="15.75" thickBot="1" x14ac:dyDescent="0.3">
      <c r="A60" s="1001"/>
      <c r="B60" s="1004"/>
      <c r="C60" s="1009"/>
      <c r="D60" s="796">
        <v>5.4596999999999998</v>
      </c>
      <c r="E60" s="1012"/>
      <c r="F60" s="802">
        <f>GETPIVOTDATA("Sum of Capacity (MW)",GEA.pvt!$B$11,"Technology",$C$54,"GEA","GEA3","Bid Price 
(PhP/kWh)",$D60)</f>
        <v>1400</v>
      </c>
      <c r="G60" s="840">
        <f>GETPIVOTDATA("No. of Plants ",GEA.pvt!$B$11,"Technology",$C$54,"GEA","GEA3","Bid Price 
(PhP/kWh)",$D60)</f>
        <v>1</v>
      </c>
      <c r="H60" s="849">
        <f>E54-SUM(F54:F60)</f>
        <v>0</v>
      </c>
      <c r="K60" s="744"/>
    </row>
    <row r="61" spans="1:16" ht="15.75" thickBot="1" x14ac:dyDescent="0.3">
      <c r="E61" s="891">
        <f>SUM(E50:E60)</f>
        <v>6677</v>
      </c>
      <c r="F61" s="775">
        <f>SUM(F50:F60)</f>
        <v>6680.8869999999997</v>
      </c>
      <c r="G61" s="842">
        <f>SUM(G50:G60)</f>
        <v>12</v>
      </c>
      <c r="H61" s="850">
        <f t="shared" ref="H61:H135" si="0">E61-F61</f>
        <v>-3.8869999999997162</v>
      </c>
      <c r="J61" s="669"/>
      <c r="K61" s="744"/>
    </row>
    <row r="62" spans="1:16" x14ac:dyDescent="0.25">
      <c r="A62" s="1013" t="s">
        <v>1417</v>
      </c>
      <c r="B62" s="1018" t="s">
        <v>1414</v>
      </c>
      <c r="C62" s="806" t="s">
        <v>1158</v>
      </c>
      <c r="D62" s="803">
        <v>5.9469000000000003</v>
      </c>
      <c r="E62" s="1025">
        <v>3175</v>
      </c>
      <c r="F62" s="908">
        <f>GETPIVOTDATA("Sum of Capacity (MW)",GEA.pvt!$B$11,"Technology","Floating Solar","GEA","GEA4","Bid Price 
(PhP/kWh)",D62)</f>
        <v>50</v>
      </c>
      <c r="G62" s="843">
        <f>GETPIVOTDATA("No. of Plants ",GEA.pvt!$B$11,"Technology","Floating Solar","GEA","GEA4","Bid Price 
(PhP/kWh)",D62)</f>
        <v>1</v>
      </c>
      <c r="H62" s="851"/>
      <c r="K62" s="744"/>
    </row>
    <row r="63" spans="1:16" x14ac:dyDescent="0.25">
      <c r="A63" s="1014"/>
      <c r="B63" s="1019"/>
      <c r="C63" s="913"/>
      <c r="D63" s="914">
        <v>6.5258000000000003</v>
      </c>
      <c r="E63" s="1026"/>
      <c r="F63" s="915">
        <f>GETPIVOTDATA("Sum of Capacity (MW)",GEA.pvt!$B$11,"Technology","Floating Solar","GEA","GEA4","Bid Price 
(PhP/kWh)",D63)</f>
        <v>949</v>
      </c>
      <c r="G63" s="916">
        <f>GETPIVOTDATA("No. of Plants ",GEA.pvt!$B$11,"Technology","Floating Solar","GEA","GEA4","Bid Price 
(PhP/kWh)",D63)</f>
        <v>13</v>
      </c>
      <c r="H63" s="917"/>
      <c r="K63" s="744"/>
    </row>
    <row r="64" spans="1:16" x14ac:dyDescent="0.25">
      <c r="A64" s="1014"/>
      <c r="B64" s="1019"/>
      <c r="C64" s="913"/>
      <c r="D64" s="914">
        <v>5.2511000000000001</v>
      </c>
      <c r="E64" s="1026"/>
      <c r="F64" s="915">
        <f>GETPIVOTDATA("Sum of Capacity (MW)",GEA.pvt!$B$11,"Technology","Floating Solar","GEA","GEA4","Bid Price 
(PhP/kWh)",D64)</f>
        <v>540</v>
      </c>
      <c r="G64" s="916">
        <f>GETPIVOTDATA("No. of Plants ",GEA.pvt!$B$11,"Technology","Floating Solar","GEA","GEA4","Bid Price 
(PhP/kWh)",D64)</f>
        <v>1</v>
      </c>
      <c r="H64" s="917"/>
      <c r="K64" s="744"/>
    </row>
    <row r="65" spans="1:11" x14ac:dyDescent="0.25">
      <c r="A65" s="1014"/>
      <c r="B65" s="1019"/>
      <c r="C65" s="913"/>
      <c r="D65" s="914">
        <v>5.3887999999999998</v>
      </c>
      <c r="E65" s="1026"/>
      <c r="F65" s="915">
        <f>GETPIVOTDATA("Sum of Capacity (MW)",GEA.pvt!$B$11,"Technology","Floating Solar","GEA","GEA4","Bid Price 
(PhP/kWh)",D65)</f>
        <v>130</v>
      </c>
      <c r="G65" s="916">
        <f>GETPIVOTDATA("No. of Plants ",GEA.pvt!$B$11,"Technology","Floating Solar","GEA","GEA4","Bid Price 
(PhP/kWh)",D65)</f>
        <v>1</v>
      </c>
      <c r="H65" s="917"/>
      <c r="K65" s="744"/>
    </row>
    <row r="66" spans="1:11" x14ac:dyDescent="0.25">
      <c r="A66" s="1014"/>
      <c r="B66" s="1019"/>
      <c r="C66" s="913"/>
      <c r="D66" s="914">
        <v>6.3886000000000003</v>
      </c>
      <c r="E66" s="1026"/>
      <c r="F66" s="915">
        <f>GETPIVOTDATA("Sum of Capacity (MW)",GEA.pvt!$B$11,"Technology","Floating Solar","GEA","GEA4","Bid Price 
(PhP/kWh)",D66)</f>
        <v>34</v>
      </c>
      <c r="G66" s="916">
        <f>GETPIVOTDATA("No. of Plants ",GEA.pvt!$B$11,"Technology","Floating Solar","GEA","GEA4","Bid Price 
(PhP/kWh)",D66)</f>
        <v>1</v>
      </c>
      <c r="H66" s="917"/>
      <c r="K66" s="744"/>
    </row>
    <row r="67" spans="1:11" x14ac:dyDescent="0.25">
      <c r="A67" s="1014"/>
      <c r="B67" s="1019"/>
      <c r="C67" s="913"/>
      <c r="D67" s="914">
        <v>6.4</v>
      </c>
      <c r="E67" s="1026"/>
      <c r="F67" s="915">
        <f>GETPIVOTDATA("Sum of Capacity (MW)",GEA.pvt!$B$11,"Technology","Floating Solar","GEA","GEA4","Bid Price 
(PhP/kWh)",D67)</f>
        <v>34</v>
      </c>
      <c r="G67" s="916">
        <f>GETPIVOTDATA("No. of Plants ",GEA.pvt!$B$11,"Technology","Floating Solar","GEA","GEA4","Bid Price 
(PhP/kWh)",D67)</f>
        <v>1</v>
      </c>
      <c r="H67" s="917"/>
      <c r="K67" s="744"/>
    </row>
    <row r="68" spans="1:11" x14ac:dyDescent="0.25">
      <c r="A68" s="1014"/>
      <c r="B68" s="1019"/>
      <c r="C68" s="913"/>
      <c r="D68" s="914">
        <v>6.5251999999999999</v>
      </c>
      <c r="E68" s="1026"/>
      <c r="F68" s="915">
        <f>GETPIVOTDATA("Sum of Capacity (MW)",GEA.pvt!$B$11,"Technology","Floating Solar","GEA","GEA4","Bid Price 
(PhP/kWh)",D68)</f>
        <v>47</v>
      </c>
      <c r="G68" s="916">
        <f>GETPIVOTDATA("No. of Plants ",GEA.pvt!$B$11,"Technology","Floating Solar","GEA","GEA4","Bid Price 
(PhP/kWh)",D68)</f>
        <v>1</v>
      </c>
      <c r="H68" s="917"/>
      <c r="K68" s="744"/>
    </row>
    <row r="69" spans="1:11" x14ac:dyDescent="0.25">
      <c r="A69" s="1014"/>
      <c r="B69" s="1019"/>
      <c r="C69" s="913"/>
      <c r="D69" s="914">
        <v>5.5549999999999997</v>
      </c>
      <c r="E69" s="1027"/>
      <c r="F69" s="915">
        <f>GETPIVOTDATA("Sum of Capacity (MW)",GEA.pvt!$B$11,"Technology","Floating Solar","GEA","GEA4","Bid Price 
(PhP/kWh)",D69)</f>
        <v>500</v>
      </c>
      <c r="G69" s="916">
        <f>GETPIVOTDATA("No. of Plants ",GEA.pvt!$B$11,"Technology","Floating Solar","GEA","GEA4","Bid Price 
(PhP/kWh)",D69)</f>
        <v>1</v>
      </c>
      <c r="H69" s="917">
        <f>E62-SUM(F62:F69)</f>
        <v>891</v>
      </c>
      <c r="K69" s="744"/>
    </row>
    <row r="70" spans="1:11" x14ac:dyDescent="0.25">
      <c r="A70" s="1015"/>
      <c r="B70" s="1020"/>
      <c r="C70" s="807" t="s">
        <v>1035</v>
      </c>
      <c r="D70" s="804">
        <f>GEA.pvt!D74</f>
        <v>3.8788</v>
      </c>
      <c r="E70" s="1028">
        <v>3970</v>
      </c>
      <c r="F70" s="915">
        <f>GETPIVOTDATA("Sum of Capacity (MW)",GEA.pvt!$B$11,"Technology","Ground mounted Solar","GEA","GEA4","Bid Price 
(PhP/kWh)",D70)</f>
        <v>85</v>
      </c>
      <c r="G70" s="916">
        <f>GETPIVOTDATA("No. of Plants ",GEA.pvt!$B$11,"Technology","Ground mounted Solar","GEA","GEA4","Bid Price 
(PhP/kWh)",D70)</f>
        <v>1</v>
      </c>
      <c r="H70" s="852"/>
      <c r="K70" s="744"/>
    </row>
    <row r="71" spans="1:11" x14ac:dyDescent="0.25">
      <c r="A71" s="1015"/>
      <c r="B71" s="1020"/>
      <c r="C71" s="807"/>
      <c r="D71" s="804">
        <f>GEA.pvt!D75</f>
        <v>4.0999999999999996</v>
      </c>
      <c r="E71" s="1026"/>
      <c r="F71" s="915">
        <f>GETPIVOTDATA("Sum of Capacity (MW)",GEA.pvt!$B$11,"Technology","Ground mounted Solar","GEA","GEA4","Bid Price 
(PhP/kWh)",D71)</f>
        <v>154.9</v>
      </c>
      <c r="G71" s="916">
        <f>GETPIVOTDATA("No. of Plants ",GEA.pvt!$B$11,"Technology","Ground mounted Solar","GEA","GEA4","Bid Price 
(PhP/kWh)",D71)</f>
        <v>4</v>
      </c>
      <c r="H71" s="852"/>
      <c r="K71" s="744"/>
    </row>
    <row r="72" spans="1:11" x14ac:dyDescent="0.25">
      <c r="A72" s="1015"/>
      <c r="B72" s="1020"/>
      <c r="C72" s="807"/>
      <c r="D72" s="804">
        <f>GEA.pvt!D76</f>
        <v>3.76</v>
      </c>
      <c r="E72" s="1026"/>
      <c r="F72" s="915">
        <f>GETPIVOTDATA("Sum of Capacity (MW)",GEA.pvt!$B$11,"Technology","Ground mounted Solar","GEA","GEA4","Bid Price 
(PhP/kWh)",D72)</f>
        <v>39.984000000000002</v>
      </c>
      <c r="G72" s="916">
        <f>GETPIVOTDATA("No. of Plants ",GEA.pvt!$B$11,"Technology","Ground mounted Solar","GEA","GEA4","Bid Price 
(PhP/kWh)",D72)</f>
        <v>1</v>
      </c>
      <c r="H72" s="852"/>
      <c r="K72" s="744"/>
    </row>
    <row r="73" spans="1:11" x14ac:dyDescent="0.25">
      <c r="A73" s="1015"/>
      <c r="B73" s="1020"/>
      <c r="C73" s="807"/>
      <c r="D73" s="804">
        <f>GEA.pvt!D77</f>
        <v>3.98</v>
      </c>
      <c r="E73" s="1026"/>
      <c r="F73" s="915">
        <f>GETPIVOTDATA("Sum of Capacity (MW)",GEA.pvt!$B$11,"Technology","Ground mounted Solar","GEA","GEA4","Bid Price 
(PhP/kWh)",D73)</f>
        <v>56.619</v>
      </c>
      <c r="G73" s="916">
        <f>GETPIVOTDATA("No. of Plants ",GEA.pvt!$B$11,"Technology","Ground mounted Solar","GEA","GEA4","Bid Price 
(PhP/kWh)",D73)</f>
        <v>3</v>
      </c>
      <c r="H73" s="852"/>
      <c r="K73" s="744"/>
    </row>
    <row r="74" spans="1:11" x14ac:dyDescent="0.25">
      <c r="A74" s="1015"/>
      <c r="B74" s="1020"/>
      <c r="C74" s="807"/>
      <c r="D74" s="804">
        <f>GEA.pvt!D78</f>
        <v>4.1727999999999996</v>
      </c>
      <c r="E74" s="1026"/>
      <c r="F74" s="915">
        <f>GETPIVOTDATA("Sum of Capacity (MW)",GEA.pvt!$B$11,"Technology","Ground mounted Solar","GEA","GEA4","Bid Price 
(PhP/kWh)",D74)</f>
        <v>42</v>
      </c>
      <c r="G74" s="916">
        <f>GETPIVOTDATA("No. of Plants ",GEA.pvt!$B$11,"Technology","Ground mounted Solar","GEA","GEA4","Bid Price 
(PhP/kWh)",D74)</f>
        <v>1</v>
      </c>
      <c r="H74" s="852"/>
      <c r="K74" s="744"/>
    </row>
    <row r="75" spans="1:11" x14ac:dyDescent="0.25">
      <c r="A75" s="1015"/>
      <c r="B75" s="1020"/>
      <c r="C75" s="807"/>
      <c r="D75" s="804">
        <f>GEA.pvt!D79</f>
        <v>4.1982999999999997</v>
      </c>
      <c r="E75" s="1026"/>
      <c r="F75" s="915">
        <f>GETPIVOTDATA("Sum of Capacity (MW)",GEA.pvt!$B$11,"Technology","Ground mounted Solar","GEA","GEA4","Bid Price 
(PhP/kWh)",D75)</f>
        <v>170</v>
      </c>
      <c r="G75" s="916">
        <f>GETPIVOTDATA("No. of Plants ",GEA.pvt!$B$11,"Technology","Ground mounted Solar","GEA","GEA4","Bid Price 
(PhP/kWh)",D75)</f>
        <v>1</v>
      </c>
      <c r="H75" s="852"/>
      <c r="K75" s="744"/>
    </row>
    <row r="76" spans="1:11" x14ac:dyDescent="0.25">
      <c r="A76" s="1015"/>
      <c r="B76" s="1020"/>
      <c r="C76" s="807"/>
      <c r="D76" s="804">
        <f>GEA.pvt!D80</f>
        <v>4.2</v>
      </c>
      <c r="E76" s="1026"/>
      <c r="F76" s="915">
        <f>GETPIVOTDATA("Sum of Capacity (MW)",GEA.pvt!$B$11,"Technology","Ground mounted Solar","GEA","GEA4","Bid Price 
(PhP/kWh)",D76)</f>
        <v>456.5</v>
      </c>
      <c r="G76" s="916">
        <f>GETPIVOTDATA("No. of Plants ",GEA.pvt!$B$11,"Technology","Ground mounted Solar","GEA","GEA4","Bid Price 
(PhP/kWh)",D76)</f>
        <v>9</v>
      </c>
      <c r="H76" s="852"/>
      <c r="K76" s="744"/>
    </row>
    <row r="77" spans="1:11" x14ac:dyDescent="0.25">
      <c r="A77" s="1015"/>
      <c r="B77" s="1020"/>
      <c r="C77" s="807"/>
      <c r="D77" s="804">
        <f>GEA.pvt!D81</f>
        <v>4.25</v>
      </c>
      <c r="E77" s="1026"/>
      <c r="F77" s="915">
        <f>GETPIVOTDATA("Sum of Capacity (MW)",GEA.pvt!$B$11,"Technology","Ground mounted Solar","GEA","GEA4","Bid Price 
(PhP/kWh)",D77)</f>
        <v>33</v>
      </c>
      <c r="G77" s="916">
        <f>GETPIVOTDATA("No. of Plants ",GEA.pvt!$B$11,"Technology","Ground mounted Solar","GEA","GEA4","Bid Price 
(PhP/kWh)",D77)</f>
        <v>1</v>
      </c>
      <c r="H77" s="852"/>
      <c r="K77" s="744"/>
    </row>
    <row r="78" spans="1:11" x14ac:dyDescent="0.25">
      <c r="A78" s="1015"/>
      <c r="B78" s="1020"/>
      <c r="C78" s="807"/>
      <c r="D78" s="804">
        <f>GEA.pvt!D82</f>
        <v>4.3</v>
      </c>
      <c r="E78" s="1026"/>
      <c r="F78" s="915">
        <f>GETPIVOTDATA("Sum of Capacity (MW)",GEA.pvt!$B$11,"Technology","Ground mounted Solar","GEA","GEA4","Bid Price 
(PhP/kWh)",D78)</f>
        <v>110.16</v>
      </c>
      <c r="G78" s="916">
        <f>GETPIVOTDATA("No. of Plants ",GEA.pvt!$B$11,"Technology","Ground mounted Solar","GEA","GEA4","Bid Price 
(PhP/kWh)",D78)</f>
        <v>2</v>
      </c>
      <c r="H78" s="852"/>
      <c r="K78" s="744"/>
    </row>
    <row r="79" spans="1:11" x14ac:dyDescent="0.25">
      <c r="A79" s="1015"/>
      <c r="B79" s="1020"/>
      <c r="C79" s="807"/>
      <c r="D79" s="804">
        <f>GEA.pvt!D83</f>
        <v>4.3498000000000001</v>
      </c>
      <c r="E79" s="1026"/>
      <c r="F79" s="915">
        <f>GETPIVOTDATA("Sum of Capacity (MW)",GEA.pvt!$B$11,"Technology","Ground mounted Solar","GEA","GEA4","Bid Price 
(PhP/kWh)",D79)</f>
        <v>96.472999999999999</v>
      </c>
      <c r="G79" s="916">
        <f>GETPIVOTDATA("No. of Plants ",GEA.pvt!$B$11,"Technology","Ground mounted Solar","GEA","GEA4","Bid Price 
(PhP/kWh)",D79)</f>
        <v>1</v>
      </c>
      <c r="H79" s="852"/>
      <c r="K79" s="744"/>
    </row>
    <row r="80" spans="1:11" x14ac:dyDescent="0.25">
      <c r="A80" s="1015"/>
      <c r="B80" s="1020"/>
      <c r="C80" s="807"/>
      <c r="D80" s="804">
        <f>GEA.pvt!D84</f>
        <v>4.43</v>
      </c>
      <c r="E80" s="1026"/>
      <c r="F80" s="915">
        <f>GETPIVOTDATA("Sum of Capacity (MW)",GEA.pvt!$B$11,"Technology","Ground mounted Solar","GEA","GEA4","Bid Price 
(PhP/kWh)",D80)</f>
        <v>50.1</v>
      </c>
      <c r="G80" s="916">
        <f>GETPIVOTDATA("No. of Plants ",GEA.pvt!$B$11,"Technology","Ground mounted Solar","GEA","GEA4","Bid Price 
(PhP/kWh)",D80)</f>
        <v>1</v>
      </c>
      <c r="H80" s="852"/>
      <c r="K80" s="744"/>
    </row>
    <row r="81" spans="1:11" x14ac:dyDescent="0.25">
      <c r="A81" s="1015"/>
      <c r="B81" s="1020"/>
      <c r="C81" s="807"/>
      <c r="D81" s="804">
        <f>GEA.pvt!D85</f>
        <v>4.45</v>
      </c>
      <c r="E81" s="1026"/>
      <c r="F81" s="915">
        <f>GETPIVOTDATA("Sum of Capacity (MW)",GEA.pvt!$B$11,"Technology","Ground mounted Solar","GEA","GEA4","Bid Price 
(PhP/kWh)",D81)</f>
        <v>150</v>
      </c>
      <c r="G81" s="916">
        <f>GETPIVOTDATA("No. of Plants ",GEA.pvt!$B$11,"Technology","Ground mounted Solar","GEA","GEA4","Bid Price 
(PhP/kWh)",D81)</f>
        <v>1</v>
      </c>
      <c r="H81" s="852"/>
      <c r="K81" s="744"/>
    </row>
    <row r="82" spans="1:11" x14ac:dyDescent="0.25">
      <c r="A82" s="1015"/>
      <c r="B82" s="1020"/>
      <c r="C82" s="807"/>
      <c r="D82" s="804">
        <f>GEA.pvt!D86</f>
        <v>3.87</v>
      </c>
      <c r="E82" s="1026"/>
      <c r="F82" s="915">
        <f>GETPIVOTDATA("Sum of Capacity (MW)",GEA.pvt!$B$11,"Technology","Ground mounted Solar","GEA","GEA4","Bid Price 
(PhP/kWh)",D82)</f>
        <v>20</v>
      </c>
      <c r="G82" s="916">
        <f>GETPIVOTDATA("No. of Plants ",GEA.pvt!$B$11,"Technology","Ground mounted Solar","GEA","GEA4","Bid Price 
(PhP/kWh)",D82)</f>
        <v>1</v>
      </c>
      <c r="H82" s="852"/>
      <c r="K82" s="744"/>
    </row>
    <row r="83" spans="1:11" x14ac:dyDescent="0.25">
      <c r="A83" s="1015"/>
      <c r="B83" s="1020"/>
      <c r="C83" s="807"/>
      <c r="D83" s="804">
        <f>GEA.pvt!D87</f>
        <v>3.9001999999999999</v>
      </c>
      <c r="E83" s="1026"/>
      <c r="F83" s="915">
        <f>GETPIVOTDATA("Sum of Capacity (MW)",GEA.pvt!$B$11,"Technology","Ground mounted Solar","GEA","GEA4","Bid Price 
(PhP/kWh)",D83)</f>
        <v>108</v>
      </c>
      <c r="G83" s="916">
        <f>GETPIVOTDATA("No. of Plants ",GEA.pvt!$B$11,"Technology","Ground mounted Solar","GEA","GEA4","Bid Price 
(PhP/kWh)",D83)</f>
        <v>1</v>
      </c>
      <c r="H83" s="852"/>
      <c r="K83" s="744"/>
    </row>
    <row r="84" spans="1:11" x14ac:dyDescent="0.25">
      <c r="A84" s="1015"/>
      <c r="B84" s="1020"/>
      <c r="C84" s="807"/>
      <c r="D84" s="804">
        <f>GEA.pvt!D88</f>
        <v>3.577</v>
      </c>
      <c r="E84" s="1026"/>
      <c r="F84" s="915">
        <f>GETPIVOTDATA("Sum of Capacity (MW)",GEA.pvt!$B$11,"Technology","Ground mounted Solar","GEA","GEA4","Bid Price 
(PhP/kWh)",D84)</f>
        <v>118</v>
      </c>
      <c r="G84" s="916">
        <f>GETPIVOTDATA("No. of Plants ",GEA.pvt!$B$11,"Technology","Ground mounted Solar","GEA","GEA4","Bid Price 
(PhP/kWh)",D84)</f>
        <v>2</v>
      </c>
      <c r="H84" s="852"/>
      <c r="K84" s="744"/>
    </row>
    <row r="85" spans="1:11" x14ac:dyDescent="0.25">
      <c r="A85" s="1015"/>
      <c r="B85" s="1020"/>
      <c r="C85" s="807"/>
      <c r="D85" s="804">
        <f>GEA.pvt!D89</f>
        <v>3.7507999999999999</v>
      </c>
      <c r="E85" s="1026"/>
      <c r="F85" s="915">
        <f>GETPIVOTDATA("Sum of Capacity (MW)",GEA.pvt!$B$11,"Technology","Ground mounted Solar","GEA","GEA4","Bid Price 
(PhP/kWh)",D85)</f>
        <v>270</v>
      </c>
      <c r="G85" s="916">
        <f>GETPIVOTDATA("No. of Plants ",GEA.pvt!$B$11,"Technology","Ground mounted Solar","GEA","GEA4","Bid Price 
(PhP/kWh)",D85)</f>
        <v>1</v>
      </c>
      <c r="H85" s="852"/>
      <c r="K85" s="744"/>
    </row>
    <row r="86" spans="1:11" x14ac:dyDescent="0.25">
      <c r="A86" s="1015"/>
      <c r="B86" s="1020"/>
      <c r="C86" s="807"/>
      <c r="D86" s="804">
        <f>GEA.pvt!D90</f>
        <v>3.8839999999999999</v>
      </c>
      <c r="E86" s="1026"/>
      <c r="F86" s="915">
        <f>GETPIVOTDATA("Sum of Capacity (MW)",GEA.pvt!$B$11,"Technology","Ground mounted Solar","GEA","GEA4","Bid Price 
(PhP/kWh)",D86)</f>
        <v>140</v>
      </c>
      <c r="G86" s="916">
        <f>GETPIVOTDATA("No. of Plants ",GEA.pvt!$B$11,"Technology","Ground mounted Solar","GEA","GEA4","Bid Price 
(PhP/kWh)",D86)</f>
        <v>1</v>
      </c>
      <c r="H86" s="852"/>
      <c r="K86" s="744"/>
    </row>
    <row r="87" spans="1:11" x14ac:dyDescent="0.25">
      <c r="A87" s="1015"/>
      <c r="B87" s="1020"/>
      <c r="C87" s="807"/>
      <c r="D87" s="804">
        <f>GEA.pvt!D91</f>
        <v>4.0979999999999999</v>
      </c>
      <c r="E87" s="1026"/>
      <c r="F87" s="915">
        <f>GETPIVOTDATA("Sum of Capacity (MW)",GEA.pvt!$B$11,"Technology","Ground mounted Solar","GEA","GEA4","Bid Price 
(PhP/kWh)",D87)</f>
        <v>11.84</v>
      </c>
      <c r="G87" s="916">
        <f>GETPIVOTDATA("No. of Plants ",GEA.pvt!$B$11,"Technology","Ground mounted Solar","GEA","GEA4","Bid Price 
(PhP/kWh)",D87)</f>
        <v>1</v>
      </c>
      <c r="H87" s="852"/>
      <c r="K87" s="744"/>
    </row>
    <row r="88" spans="1:11" x14ac:dyDescent="0.25">
      <c r="A88" s="1015"/>
      <c r="B88" s="1020"/>
      <c r="C88" s="807"/>
      <c r="D88" s="804">
        <f>GEA.pvt!D92</f>
        <v>4.2000999999999999</v>
      </c>
      <c r="E88" s="1026"/>
      <c r="F88" s="915">
        <f>GETPIVOTDATA("Sum of Capacity (MW)",GEA.pvt!$B$11,"Technology","Ground mounted Solar","GEA","GEA4","Bid Price 
(PhP/kWh)",D88)</f>
        <v>18</v>
      </c>
      <c r="G88" s="916">
        <f>GETPIVOTDATA("No. of Plants ",GEA.pvt!$B$11,"Technology","Ground mounted Solar","GEA","GEA4","Bid Price 
(PhP/kWh)",D88)</f>
        <v>1</v>
      </c>
      <c r="H88" s="852"/>
      <c r="K88" s="744"/>
    </row>
    <row r="89" spans="1:11" x14ac:dyDescent="0.25">
      <c r="A89" s="1015"/>
      <c r="B89" s="1020"/>
      <c r="C89" s="807"/>
      <c r="D89" s="804">
        <f>GEA.pvt!D93</f>
        <v>3.9988999999999999</v>
      </c>
      <c r="E89" s="1026"/>
      <c r="F89" s="915">
        <f>GETPIVOTDATA("Sum of Capacity (MW)",GEA.pvt!$B$11,"Technology","Ground mounted Solar","GEA","GEA4","Bid Price 
(PhP/kWh)",D89)</f>
        <v>165.36700000000002</v>
      </c>
      <c r="G89" s="916">
        <f>GETPIVOTDATA("No. of Plants ",GEA.pvt!$B$11,"Technology","Ground mounted Solar","GEA","GEA4","Bid Price 
(PhP/kWh)",D89)</f>
        <v>4</v>
      </c>
      <c r="H89" s="852"/>
      <c r="K89" s="744"/>
    </row>
    <row r="90" spans="1:11" x14ac:dyDescent="0.25">
      <c r="A90" s="1015"/>
      <c r="B90" s="1020"/>
      <c r="C90" s="807"/>
      <c r="D90" s="804">
        <f>GEA.pvt!D94</f>
        <v>4.3499999999999996</v>
      </c>
      <c r="E90" s="1026"/>
      <c r="F90" s="915">
        <f>GETPIVOTDATA("Sum of Capacity (MW)",GEA.pvt!$B$11,"Technology","Ground mounted Solar","GEA","GEA4","Bid Price 
(PhP/kWh)",D90)</f>
        <v>50</v>
      </c>
      <c r="G90" s="916">
        <f>GETPIVOTDATA("No. of Plants ",GEA.pvt!$B$11,"Technology","Ground mounted Solar","GEA","GEA4","Bid Price 
(PhP/kWh)",D90)</f>
        <v>1</v>
      </c>
      <c r="H90" s="852"/>
      <c r="K90" s="744"/>
    </row>
    <row r="91" spans="1:11" x14ac:dyDescent="0.25">
      <c r="A91" s="1015"/>
      <c r="B91" s="1020"/>
      <c r="C91" s="807"/>
      <c r="D91" s="804">
        <f>GEA.pvt!D95</f>
        <v>4.37</v>
      </c>
      <c r="E91" s="1026"/>
      <c r="F91" s="915">
        <f>GETPIVOTDATA("Sum of Capacity (MW)",GEA.pvt!$B$11,"Technology","Ground mounted Solar","GEA","GEA4","Bid Price 
(PhP/kWh)",D91)</f>
        <v>150</v>
      </c>
      <c r="G91" s="916">
        <f>GETPIVOTDATA("No. of Plants ",GEA.pvt!$B$11,"Technology","Ground mounted Solar","GEA","GEA4","Bid Price 
(PhP/kWh)",D91)</f>
        <v>1</v>
      </c>
      <c r="H91" s="852"/>
      <c r="K91" s="744"/>
    </row>
    <row r="92" spans="1:11" x14ac:dyDescent="0.25">
      <c r="A92" s="1015"/>
      <c r="B92" s="1020"/>
      <c r="C92" s="807"/>
      <c r="D92" s="804">
        <f>GEA.pvt!D96</f>
        <v>3.9533</v>
      </c>
      <c r="E92" s="1026"/>
      <c r="F92" s="915">
        <f>GETPIVOTDATA("Sum of Capacity (MW)",GEA.pvt!$B$11,"Technology","Ground mounted Solar","GEA","GEA4","Bid Price 
(PhP/kWh)",D92)</f>
        <v>27</v>
      </c>
      <c r="G92" s="916">
        <f>GETPIVOTDATA("No. of Plants ",GEA.pvt!$B$11,"Technology","Ground mounted Solar","GEA","GEA4","Bid Price 
(PhP/kWh)",D92)</f>
        <v>1</v>
      </c>
      <c r="H92" s="852"/>
      <c r="K92" s="744"/>
    </row>
    <row r="93" spans="1:11" x14ac:dyDescent="0.25">
      <c r="A93" s="1015"/>
      <c r="B93" s="1020"/>
      <c r="C93" s="807"/>
      <c r="D93" s="804">
        <f>GEA.pvt!D97</f>
        <v>4.2843</v>
      </c>
      <c r="E93" s="1026"/>
      <c r="F93" s="915">
        <f>GETPIVOTDATA("Sum of Capacity (MW)",GEA.pvt!$B$11,"Technology","Ground mounted Solar","GEA","GEA4","Bid Price 
(PhP/kWh)",D93)</f>
        <v>30</v>
      </c>
      <c r="G93" s="916">
        <f>GETPIVOTDATA("No. of Plants ",GEA.pvt!$B$11,"Technology","Ground mounted Solar","GEA","GEA4","Bid Price 
(PhP/kWh)",D93)</f>
        <v>1</v>
      </c>
      <c r="H93" s="852"/>
      <c r="K93" s="744"/>
    </row>
    <row r="94" spans="1:11" x14ac:dyDescent="0.25">
      <c r="A94" s="1015"/>
      <c r="B94" s="1020"/>
      <c r="C94" s="807"/>
      <c r="D94" s="804">
        <f>GEA.pvt!D98</f>
        <v>3.7012999999999998</v>
      </c>
      <c r="E94" s="1026"/>
      <c r="F94" s="915">
        <f>GETPIVOTDATA("Sum of Capacity (MW)",GEA.pvt!$B$11,"Technology","Ground mounted Solar","GEA","GEA4","Bid Price 
(PhP/kWh)",D94)</f>
        <v>630</v>
      </c>
      <c r="G94" s="916">
        <f>GETPIVOTDATA("No. of Plants ",GEA.pvt!$B$11,"Technology","Ground mounted Solar","GEA","GEA4","Bid Price 
(PhP/kWh)",D94)</f>
        <v>1</v>
      </c>
      <c r="H94" s="852"/>
      <c r="K94" s="744"/>
    </row>
    <row r="95" spans="1:11" x14ac:dyDescent="0.25">
      <c r="A95" s="1015"/>
      <c r="B95" s="1020"/>
      <c r="C95" s="807"/>
      <c r="D95" s="804">
        <f>GEA.pvt!D99</f>
        <v>4</v>
      </c>
      <c r="E95" s="1026"/>
      <c r="F95" s="915">
        <f>GETPIVOTDATA("Sum of Capacity (MW)",GEA.pvt!$B$11,"Technology","Ground mounted Solar","GEA","GEA4","Bid Price 
(PhP/kWh)",D95)</f>
        <v>340</v>
      </c>
      <c r="G95" s="916">
        <f>GETPIVOTDATA("No. of Plants ",GEA.pvt!$B$11,"Technology","Ground mounted Solar","GEA","GEA4","Bid Price 
(PhP/kWh)",D95)</f>
        <v>7</v>
      </c>
      <c r="H95" s="852"/>
      <c r="K95" s="744"/>
    </row>
    <row r="96" spans="1:11" x14ac:dyDescent="0.25">
      <c r="A96" s="1015"/>
      <c r="B96" s="1020"/>
      <c r="C96" s="807"/>
      <c r="D96" s="804">
        <f>GEA.pvt!D100</f>
        <v>4.0599999999999996</v>
      </c>
      <c r="E96" s="1026"/>
      <c r="F96" s="915">
        <f>GETPIVOTDATA("Sum of Capacity (MW)",GEA.pvt!$B$11,"Technology","Ground mounted Solar","GEA","GEA4","Bid Price 
(PhP/kWh)",D96)</f>
        <v>158.4</v>
      </c>
      <c r="G96" s="916">
        <f>GETPIVOTDATA("No. of Plants ",GEA.pvt!$B$11,"Technology","Ground mounted Solar","GEA","GEA4","Bid Price 
(PhP/kWh)",D96)</f>
        <v>1</v>
      </c>
      <c r="H96" s="852"/>
      <c r="K96" s="744"/>
    </row>
    <row r="97" spans="1:11" x14ac:dyDescent="0.25">
      <c r="A97" s="1015"/>
      <c r="B97" s="1020"/>
      <c r="C97" s="807"/>
      <c r="D97" s="804">
        <f>GEA.pvt!D101</f>
        <v>4.0823999999999998</v>
      </c>
      <c r="E97" s="1026"/>
      <c r="F97" s="915">
        <f>GETPIVOTDATA("Sum of Capacity (MW)",GEA.pvt!$B$11,"Technology","Ground mounted Solar","GEA","GEA4","Bid Price 
(PhP/kWh)",D97)</f>
        <v>140.1</v>
      </c>
      <c r="G97" s="916">
        <f>GETPIVOTDATA("No. of Plants ",GEA.pvt!$B$11,"Technology","Ground mounted Solar","GEA","GEA4","Bid Price 
(PhP/kWh)",D97)</f>
        <v>1</v>
      </c>
      <c r="H97" s="852"/>
      <c r="K97" s="744"/>
    </row>
    <row r="98" spans="1:11" x14ac:dyDescent="0.25">
      <c r="A98" s="1015"/>
      <c r="B98" s="1020"/>
      <c r="C98" s="807"/>
      <c r="D98" s="804">
        <f>GEA.pvt!D102</f>
        <v>4.1089000000000002</v>
      </c>
      <c r="E98" s="1026"/>
      <c r="F98" s="915">
        <f>GETPIVOTDATA("Sum of Capacity (MW)",GEA.pvt!$B$11,"Technology","Ground mounted Solar","GEA","GEA4","Bid Price 
(PhP/kWh)",D98)</f>
        <v>17.5</v>
      </c>
      <c r="G98" s="916">
        <f>GETPIVOTDATA("No. of Plants ",GEA.pvt!$B$11,"Technology","Ground mounted Solar","GEA","GEA4","Bid Price 
(PhP/kWh)",D98)</f>
        <v>1</v>
      </c>
      <c r="H98" s="852"/>
      <c r="K98" s="744"/>
    </row>
    <row r="99" spans="1:11" x14ac:dyDescent="0.25">
      <c r="A99" s="1015"/>
      <c r="B99" s="1020"/>
      <c r="C99" s="807"/>
      <c r="D99" s="804">
        <f>GEA.pvt!D103</f>
        <v>3.8201000000000001</v>
      </c>
      <c r="E99" s="1026"/>
      <c r="F99" s="915">
        <f>GETPIVOTDATA("Sum of Capacity (MW)",GEA.pvt!$B$11,"Technology","Ground mounted Solar","GEA","GEA4","Bid Price 
(PhP/kWh)",D99)</f>
        <v>30</v>
      </c>
      <c r="G99" s="916">
        <f>GETPIVOTDATA("No. of Plants ",GEA.pvt!$B$11,"Technology","Ground mounted Solar","GEA","GEA4","Bid Price 
(PhP/kWh)",D99)</f>
        <v>1</v>
      </c>
      <c r="H99" s="852"/>
      <c r="K99" s="744"/>
    </row>
    <row r="100" spans="1:11" x14ac:dyDescent="0.25">
      <c r="A100" s="1015"/>
      <c r="B100" s="1020"/>
      <c r="C100" s="807"/>
      <c r="D100" s="804">
        <f>GEA.pvt!D104</f>
        <v>4.4832000000000001</v>
      </c>
      <c r="E100" s="1026"/>
      <c r="F100" s="915">
        <f>GETPIVOTDATA("Sum of Capacity (MW)",GEA.pvt!$B$11,"Technology","Ground mounted Solar","GEA","GEA4","Bid Price 
(PhP/kWh)",D100)</f>
        <v>70.08</v>
      </c>
      <c r="G100" s="916">
        <f>GETPIVOTDATA("No. of Plants ",GEA.pvt!$B$11,"Technology","Ground mounted Solar","GEA","GEA4","Bid Price 
(PhP/kWh)",D100)</f>
        <v>1</v>
      </c>
      <c r="H100" s="852"/>
      <c r="K100" s="744"/>
    </row>
    <row r="101" spans="1:11" x14ac:dyDescent="0.25">
      <c r="A101" s="1015"/>
      <c r="B101" s="1020"/>
      <c r="C101" s="807"/>
      <c r="D101" s="804">
        <f>GEA.pvt!D105</f>
        <v>3.9514999999999998</v>
      </c>
      <c r="E101" s="1026"/>
      <c r="F101" s="915">
        <f>GETPIVOTDATA("Sum of Capacity (MW)",GEA.pvt!$B$11,"Technology","Ground mounted Solar","GEA","GEA4","Bid Price 
(PhP/kWh)",D101)</f>
        <v>120</v>
      </c>
      <c r="G101" s="916">
        <f>GETPIVOTDATA("No. of Plants ",GEA.pvt!$B$11,"Technology","Ground mounted Solar","GEA","GEA4","Bid Price 
(PhP/kWh)",D101)</f>
        <v>1</v>
      </c>
      <c r="H101" s="852"/>
      <c r="K101" s="744"/>
    </row>
    <row r="102" spans="1:11" x14ac:dyDescent="0.25">
      <c r="A102" s="1015"/>
      <c r="B102" s="1020"/>
      <c r="C102" s="807"/>
      <c r="D102" s="804">
        <f>GEA.pvt!D106</f>
        <v>4.3855000000000004</v>
      </c>
      <c r="E102" s="1026"/>
      <c r="F102" s="915">
        <f>GETPIVOTDATA("Sum of Capacity (MW)",GEA.pvt!$B$11,"Technology","Ground mounted Solar","GEA","GEA4","Bid Price 
(PhP/kWh)",D102)</f>
        <v>43.41</v>
      </c>
      <c r="G102" s="916">
        <f>GETPIVOTDATA("No. of Plants ",GEA.pvt!$B$11,"Technology","Ground mounted Solar","GEA","GEA4","Bid Price 
(PhP/kWh)",D102)</f>
        <v>1</v>
      </c>
      <c r="H102" s="852"/>
      <c r="K102" s="744"/>
    </row>
    <row r="103" spans="1:11" x14ac:dyDescent="0.25">
      <c r="A103" s="1015"/>
      <c r="B103" s="1020"/>
      <c r="C103" s="807"/>
      <c r="D103" s="804">
        <f>GEA.pvt!D107</f>
        <v>4.3487999999999998</v>
      </c>
      <c r="E103" s="1027"/>
      <c r="F103" s="915">
        <f>GETPIVOTDATA("Sum of Capacity (MW)",GEA.pvt!$B$11,"Technology","Ground mounted Solar","GEA","GEA4","Bid Price 
(PhP/kWh)",D103)</f>
        <v>76.650000000000006</v>
      </c>
      <c r="G103" s="916">
        <f>GETPIVOTDATA("No. of Plants ",GEA.pvt!$B$11,"Technology","Ground mounted Solar","GEA","GEA4","Bid Price 
(PhP/kWh)",D103)</f>
        <v>1</v>
      </c>
      <c r="H103" s="852">
        <f>E70-SUM(F70:F103)</f>
        <v>-209.08299999999963</v>
      </c>
      <c r="K103" s="744"/>
    </row>
    <row r="104" spans="1:11" x14ac:dyDescent="0.25">
      <c r="A104" s="1015"/>
      <c r="B104" s="1020"/>
      <c r="C104" s="807" t="s">
        <v>1334</v>
      </c>
      <c r="D104" s="804">
        <f>GEA.pvt!D108</f>
        <v>5.2888000000000002</v>
      </c>
      <c r="E104" s="1028">
        <v>1100</v>
      </c>
      <c r="F104" s="909">
        <f>GETPIVOTDATA("Sum of Capacity (MW)",GEA.pvt!$B$11,"Technology","IRESS","GEA","GEA4","Bid Price 
(PhP/kWh)",D104)</f>
        <v>120</v>
      </c>
      <c r="G104" s="844">
        <f>GETPIVOTDATA("No. of Plants ",GEA.pvt!$B$11,"Technology","IRESS","GEA","GEA4","Bid Price 
(PhP/kWh)",D104)</f>
        <v>1</v>
      </c>
      <c r="H104" s="852"/>
      <c r="K104" s="744"/>
    </row>
    <row r="105" spans="1:11" x14ac:dyDescent="0.25">
      <c r="A105" s="1015"/>
      <c r="B105" s="1020"/>
      <c r="C105" s="807"/>
      <c r="D105" s="804">
        <f>GEA.pvt!D109</f>
        <v>5.4028</v>
      </c>
      <c r="E105" s="1026"/>
      <c r="F105" s="909">
        <f>GETPIVOTDATA("Sum of Capacity (MW)",GEA.pvt!$B$11,"Technology","IRESS","GEA","GEA4","Bid Price 
(PhP/kWh)",D105)</f>
        <v>228.79000000000002</v>
      </c>
      <c r="G105" s="844">
        <f>GETPIVOTDATA("No. of Plants ",GEA.pvt!$B$11,"Technology","IRESS","GEA","GEA4","Bid Price 
(PhP/kWh)",D105)</f>
        <v>5</v>
      </c>
      <c r="H105" s="852"/>
      <c r="K105" s="744"/>
    </row>
    <row r="106" spans="1:11" x14ac:dyDescent="0.25">
      <c r="A106" s="1015"/>
      <c r="B106" s="1020"/>
      <c r="C106" s="807"/>
      <c r="D106" s="804">
        <f>GEA.pvt!D110</f>
        <v>4.3194999999999997</v>
      </c>
      <c r="E106" s="1026"/>
      <c r="F106" s="909">
        <f>GETPIVOTDATA("Sum of Capacity (MW)",GEA.pvt!$B$11,"Technology","IRESS","GEA","GEA4","Bid Price 
(PhP/kWh)",D106)</f>
        <v>67</v>
      </c>
      <c r="G106" s="844">
        <f>GETPIVOTDATA("No. of Plants ",GEA.pvt!$B$11,"Technology","IRESS","GEA","GEA4","Bid Price 
(PhP/kWh)",D106)</f>
        <v>1</v>
      </c>
      <c r="H106" s="852"/>
      <c r="K106" s="744"/>
    </row>
    <row r="107" spans="1:11" x14ac:dyDescent="0.25">
      <c r="A107" s="1015"/>
      <c r="B107" s="1020"/>
      <c r="C107" s="807"/>
      <c r="D107" s="804">
        <f>GEA.pvt!D111</f>
        <v>4.9999000000000002</v>
      </c>
      <c r="E107" s="1026"/>
      <c r="F107" s="909">
        <f>GETPIVOTDATA("Sum of Capacity (MW)",GEA.pvt!$B$11,"Technology","IRESS","GEA","GEA4","Bid Price 
(PhP/kWh)",D107)</f>
        <v>121.42</v>
      </c>
      <c r="G107" s="844">
        <f>GETPIVOTDATA("No. of Plants ",GEA.pvt!$B$11,"Technology","IRESS","GEA","GEA4","Bid Price 
(PhP/kWh)",D107)</f>
        <v>3</v>
      </c>
      <c r="H107" s="852"/>
      <c r="K107" s="744"/>
    </row>
    <row r="108" spans="1:11" x14ac:dyDescent="0.25">
      <c r="A108" s="1015"/>
      <c r="B108" s="1020"/>
      <c r="C108" s="807"/>
      <c r="D108" s="804">
        <f>GEA.pvt!D112</f>
        <v>4.6387999999999998</v>
      </c>
      <c r="E108" s="1026"/>
      <c r="F108" s="909">
        <f>GETPIVOTDATA("Sum of Capacity (MW)",GEA.pvt!$B$11,"Technology","IRESS","GEA","GEA4","Bid Price 
(PhP/kWh)",D108)</f>
        <v>100</v>
      </c>
      <c r="G108" s="844">
        <f>GETPIVOTDATA("No. of Plants ",GEA.pvt!$B$11,"Technology","IRESS","GEA","GEA4","Bid Price 
(PhP/kWh)",D108)</f>
        <v>1</v>
      </c>
      <c r="H108" s="852"/>
      <c r="K108" s="744"/>
    </row>
    <row r="109" spans="1:11" x14ac:dyDescent="0.25">
      <c r="A109" s="1015"/>
      <c r="B109" s="1020"/>
      <c r="C109" s="807"/>
      <c r="D109" s="804">
        <f>GEA.pvt!D113</f>
        <v>5.1886000000000001</v>
      </c>
      <c r="E109" s="1026"/>
      <c r="F109" s="909">
        <f>GETPIVOTDATA("Sum of Capacity (MW)",GEA.pvt!$B$11,"Technology","IRESS","GEA","GEA4","Bid Price 
(PhP/kWh)",D109)</f>
        <v>54</v>
      </c>
      <c r="G109" s="844">
        <f>GETPIVOTDATA("No. of Plants ",GEA.pvt!$B$11,"Technology","IRESS","GEA","GEA4","Bid Price 
(PhP/kWh)",D109)</f>
        <v>1</v>
      </c>
      <c r="H109" s="852"/>
      <c r="K109" s="744"/>
    </row>
    <row r="110" spans="1:11" x14ac:dyDescent="0.25">
      <c r="A110" s="1015"/>
      <c r="B110" s="1020"/>
      <c r="C110" s="807"/>
      <c r="D110" s="804">
        <f>GEA.pvt!D114</f>
        <v>5.3758999999999997</v>
      </c>
      <c r="E110" s="1026"/>
      <c r="F110" s="909">
        <f>GETPIVOTDATA("Sum of Capacity (MW)",GEA.pvt!$B$11,"Technology","IRESS","GEA","GEA4","Bid Price 
(PhP/kWh)",D110)</f>
        <v>49.7</v>
      </c>
      <c r="G110" s="844">
        <f>GETPIVOTDATA("No. of Plants ",GEA.pvt!$B$11,"Technology","IRESS","GEA","GEA4","Bid Price 
(PhP/kWh)",D110)</f>
        <v>1</v>
      </c>
      <c r="H110" s="852"/>
      <c r="K110" s="744"/>
    </row>
    <row r="111" spans="1:11" x14ac:dyDescent="0.25">
      <c r="A111" s="1015"/>
      <c r="B111" s="1020"/>
      <c r="C111" s="807"/>
      <c r="D111" s="804">
        <f>GEA.pvt!D115</f>
        <v>4.2888000000000002</v>
      </c>
      <c r="E111" s="1026"/>
      <c r="F111" s="909">
        <f>GETPIVOTDATA("Sum of Capacity (MW)",GEA.pvt!$B$11,"Technology","IRESS","GEA","GEA4","Bid Price 
(PhP/kWh)",D111)</f>
        <v>190</v>
      </c>
      <c r="G111" s="844">
        <f>GETPIVOTDATA("No. of Plants ",GEA.pvt!$B$11,"Technology","IRESS","GEA","GEA4","Bid Price 
(PhP/kWh)",D111)</f>
        <v>1</v>
      </c>
      <c r="H111" s="852"/>
      <c r="K111" s="744"/>
    </row>
    <row r="112" spans="1:11" x14ac:dyDescent="0.25">
      <c r="A112" s="1015"/>
      <c r="B112" s="1020"/>
      <c r="C112" s="807"/>
      <c r="D112" s="804">
        <f>GEA.pvt!D116</f>
        <v>5.1087999999999996</v>
      </c>
      <c r="E112" s="1026"/>
      <c r="F112" s="909">
        <f>GETPIVOTDATA("Sum of Capacity (MW)",GEA.pvt!$B$11,"Technology","IRESS","GEA","GEA4","Bid Price 
(PhP/kWh)",D112)</f>
        <v>40</v>
      </c>
      <c r="G112" s="844">
        <f>GETPIVOTDATA("No. of Plants ",GEA.pvt!$B$11,"Technology","IRESS","GEA","GEA4","Bid Price 
(PhP/kWh)",D112)</f>
        <v>1</v>
      </c>
      <c r="H112" s="852"/>
      <c r="K112" s="744"/>
    </row>
    <row r="113" spans="1:11" x14ac:dyDescent="0.25">
      <c r="A113" s="1015"/>
      <c r="B113" s="1020"/>
      <c r="C113" s="807"/>
      <c r="D113" s="804">
        <f>GEA.pvt!D117</f>
        <v>4.9000000000000004</v>
      </c>
      <c r="E113" s="1026"/>
      <c r="F113" s="909">
        <f>GETPIVOTDATA("Sum of Capacity (MW)",GEA.pvt!$B$11,"Technology","IRESS","GEA","GEA4","Bid Price 
(PhP/kWh)",D113)</f>
        <v>125</v>
      </c>
      <c r="G113" s="844">
        <f>GETPIVOTDATA("No. of Plants ",GEA.pvt!$B$11,"Technology","IRESS","GEA","GEA4","Bid Price 
(PhP/kWh)",D113)</f>
        <v>3</v>
      </c>
      <c r="H113" s="852"/>
      <c r="K113" s="744"/>
    </row>
    <row r="114" spans="1:11" x14ac:dyDescent="0.25">
      <c r="A114" s="1015"/>
      <c r="B114" s="1020"/>
      <c r="C114" s="807"/>
      <c r="D114" s="804">
        <f>GEA.pvt!D118</f>
        <v>5.15</v>
      </c>
      <c r="E114" s="1026"/>
      <c r="F114" s="909">
        <f>GETPIVOTDATA("Sum of Capacity (MW)",GEA.pvt!$B$11,"Technology","IRESS","GEA","GEA4","Bid Price 
(PhP/kWh)",D114)</f>
        <v>80</v>
      </c>
      <c r="G114" s="844">
        <f>GETPIVOTDATA("No. of Plants ",GEA.pvt!$B$11,"Technology","IRESS","GEA","GEA4","Bid Price 
(PhP/kWh)",D114)</f>
        <v>1</v>
      </c>
      <c r="H114" s="852"/>
      <c r="K114" s="744"/>
    </row>
    <row r="115" spans="1:11" x14ac:dyDescent="0.25">
      <c r="A115" s="1015"/>
      <c r="B115" s="1020"/>
      <c r="C115" s="807"/>
      <c r="D115" s="804">
        <f>GEA.pvt!D119</f>
        <v>5.3928000000000003</v>
      </c>
      <c r="E115" s="1027"/>
      <c r="F115" s="909">
        <f>GETPIVOTDATA("Sum of Capacity (MW)",GEA.pvt!$B$11,"Technology","IRESS","GEA","GEA4","Bid Price 
(PhP/kWh)",D115)</f>
        <v>13.38</v>
      </c>
      <c r="G115" s="844">
        <f>GETPIVOTDATA("No. of Plants ",GEA.pvt!$B$11,"Technology","IRESS","GEA","GEA4","Bid Price 
(PhP/kWh)",D115)</f>
        <v>1</v>
      </c>
      <c r="H115" s="852">
        <f>E104-SUM(F104:F115)</f>
        <v>-89.290000000000191</v>
      </c>
      <c r="K115" s="744"/>
    </row>
    <row r="116" spans="1:11" x14ac:dyDescent="0.25">
      <c r="A116" s="1015"/>
      <c r="B116" s="1020"/>
      <c r="C116" s="807" t="s">
        <v>1139</v>
      </c>
      <c r="D116" s="804">
        <f>GEA.pvt!D120</f>
        <v>5.0987999999999998</v>
      </c>
      <c r="E116" s="1028">
        <v>2390</v>
      </c>
      <c r="F116" s="909">
        <f>GETPIVOTDATA("Sum of Capacity (MW)",GEA.pvt!$B$11,"Technology","Onshore Wind","GEA","GEA4","Bid Price 
(PhP/kWh)",D116)</f>
        <v>200</v>
      </c>
      <c r="G116" s="844">
        <f>GETPIVOTDATA("No. of Plants ",GEA.pvt!$B$11,"Technology","Onshore Wind","GEA","GEA4","Bid Price 
(PhP/kWh)",D116)</f>
        <v>1</v>
      </c>
      <c r="H116" s="852"/>
      <c r="K116" s="744"/>
    </row>
    <row r="117" spans="1:11" x14ac:dyDescent="0.25">
      <c r="A117" s="1016"/>
      <c r="B117" s="1021"/>
      <c r="C117" s="918"/>
      <c r="D117" s="804">
        <f>GEA.pvt!D121</f>
        <v>5.3087999999999997</v>
      </c>
      <c r="E117" s="1026"/>
      <c r="F117" s="909">
        <f>GETPIVOTDATA("Sum of Capacity (MW)",GEA.pvt!$B$11,"Technology","Onshore Wind","GEA","GEA4","Bid Price 
(PhP/kWh)",D117)</f>
        <v>200</v>
      </c>
      <c r="G117" s="844">
        <f>GETPIVOTDATA("No. of Plants ",GEA.pvt!$B$11,"Technology","Onshore Wind","GEA","GEA4","Bid Price 
(PhP/kWh)",D117)</f>
        <v>1</v>
      </c>
      <c r="H117" s="919"/>
      <c r="K117" s="744"/>
    </row>
    <row r="118" spans="1:11" x14ac:dyDescent="0.25">
      <c r="A118" s="1016"/>
      <c r="B118" s="1021"/>
      <c r="C118" s="918"/>
      <c r="D118" s="804">
        <f>GEA.pvt!D122</f>
        <v>5.3887999999999998</v>
      </c>
      <c r="E118" s="1026"/>
      <c r="F118" s="909">
        <f>GETPIVOTDATA("Sum of Capacity (MW)",GEA.pvt!$B$11,"Technology","Onshore Wind","GEA","GEA4","Bid Price 
(PhP/kWh)",D118)</f>
        <v>49.5</v>
      </c>
      <c r="G118" s="844">
        <f>GETPIVOTDATA("No. of Plants ",GEA.pvt!$B$11,"Technology","Onshore Wind","GEA","GEA4","Bid Price 
(PhP/kWh)",D118)</f>
        <v>1</v>
      </c>
      <c r="H118" s="919"/>
      <c r="K118" s="744"/>
    </row>
    <row r="119" spans="1:11" x14ac:dyDescent="0.25">
      <c r="A119" s="1016"/>
      <c r="B119" s="1021"/>
      <c r="C119" s="918"/>
      <c r="D119" s="804">
        <f>GEA.pvt!D123</f>
        <v>6.0559000000000003</v>
      </c>
      <c r="E119" s="1026"/>
      <c r="F119" s="909">
        <f>GETPIVOTDATA("Sum of Capacity (MW)",GEA.pvt!$B$11,"Technology","Onshore Wind","GEA","GEA4","Bid Price 
(PhP/kWh)",D119)</f>
        <v>49.99</v>
      </c>
      <c r="G119" s="844">
        <f>GETPIVOTDATA("No. of Plants ",GEA.pvt!$B$11,"Technology","Onshore Wind","GEA","GEA4","Bid Price 
(PhP/kWh)",D119)</f>
        <v>1</v>
      </c>
      <c r="H119" s="919"/>
      <c r="K119" s="744"/>
    </row>
    <row r="120" spans="1:11" x14ac:dyDescent="0.25">
      <c r="A120" s="1016"/>
      <c r="B120" s="1021"/>
      <c r="C120" s="918"/>
      <c r="D120" s="804">
        <f>GEA.pvt!D124</f>
        <v>5.1798000000000002</v>
      </c>
      <c r="E120" s="1026"/>
      <c r="F120" s="909">
        <f>GETPIVOTDATA("Sum of Capacity (MW)",GEA.pvt!$B$11,"Technology","Onshore Wind","GEA","GEA4","Bid Price 
(PhP/kWh)",D120)</f>
        <v>200</v>
      </c>
      <c r="G120" s="844">
        <f>GETPIVOTDATA("No. of Plants ",GEA.pvt!$B$11,"Technology","Onshore Wind","GEA","GEA4","Bid Price 
(PhP/kWh)",D120)</f>
        <v>1</v>
      </c>
      <c r="H120" s="919"/>
      <c r="K120" s="744"/>
    </row>
    <row r="121" spans="1:11" x14ac:dyDescent="0.25">
      <c r="A121" s="1016"/>
      <c r="B121" s="1021"/>
      <c r="C121" s="918"/>
      <c r="D121" s="804">
        <f>GEA.pvt!D125</f>
        <v>5.4999000000000002</v>
      </c>
      <c r="E121" s="1026"/>
      <c r="F121" s="909">
        <f>GETPIVOTDATA("Sum of Capacity (MW)",GEA.pvt!$B$11,"Technology","Onshore Wind","GEA","GEA4","Bid Price 
(PhP/kWh)",D121)</f>
        <v>208</v>
      </c>
      <c r="G121" s="844">
        <f>GETPIVOTDATA("No. of Plants ",GEA.pvt!$B$11,"Technology","Onshore Wind","GEA","GEA4","Bid Price 
(PhP/kWh)",D121)</f>
        <v>1</v>
      </c>
      <c r="H121" s="919"/>
      <c r="K121" s="744"/>
    </row>
    <row r="122" spans="1:11" x14ac:dyDescent="0.25">
      <c r="A122" s="1016"/>
      <c r="B122" s="1021"/>
      <c r="C122" s="918"/>
      <c r="D122" s="804">
        <f>GEA.pvt!D126</f>
        <v>6.0678999999999998</v>
      </c>
      <c r="E122" s="1026"/>
      <c r="F122" s="909">
        <f>GETPIVOTDATA("Sum of Capacity (MW)",GEA.pvt!$B$11,"Technology","Onshore Wind","GEA","GEA4","Bid Price 
(PhP/kWh)",D122)</f>
        <v>100</v>
      </c>
      <c r="G122" s="844">
        <f>GETPIVOTDATA("No. of Plants ",GEA.pvt!$B$11,"Technology","Onshore Wind","GEA","GEA4","Bid Price 
(PhP/kWh)",D122)</f>
        <v>1</v>
      </c>
      <c r="H122" s="919"/>
      <c r="K122" s="744"/>
    </row>
    <row r="123" spans="1:11" x14ac:dyDescent="0.25">
      <c r="A123" s="1016"/>
      <c r="B123" s="1021"/>
      <c r="C123" s="918"/>
      <c r="D123" s="804">
        <f>GEA.pvt!D127</f>
        <v>6.0758999999999999</v>
      </c>
      <c r="E123" s="1026"/>
      <c r="F123" s="909">
        <f>GETPIVOTDATA("Sum of Capacity (MW)",GEA.pvt!$B$11,"Technology","Onshore Wind","GEA","GEA4","Bid Price 
(PhP/kWh)",D123)</f>
        <v>50</v>
      </c>
      <c r="G123" s="844">
        <f>GETPIVOTDATA("No. of Plants ",GEA.pvt!$B$11,"Technology","Onshore Wind","GEA","GEA4","Bid Price 
(PhP/kWh)",D123)</f>
        <v>1</v>
      </c>
      <c r="H123" s="919"/>
      <c r="K123" s="744"/>
    </row>
    <row r="124" spans="1:11" x14ac:dyDescent="0.25">
      <c r="A124" s="1016"/>
      <c r="B124" s="1021"/>
      <c r="C124" s="918"/>
      <c r="D124" s="804">
        <f>GEA.pvt!D128</f>
        <v>4.8776999999999999</v>
      </c>
      <c r="E124" s="1026"/>
      <c r="F124" s="909">
        <f>GETPIVOTDATA("Sum of Capacity (MW)",GEA.pvt!$B$11,"Technology","Onshore Wind","GEA","GEA4","Bid Price 
(PhP/kWh)",D124)</f>
        <v>200</v>
      </c>
      <c r="G124" s="844">
        <f>GETPIVOTDATA("No. of Plants ",GEA.pvt!$B$11,"Technology","Onshore Wind","GEA","GEA4","Bid Price 
(PhP/kWh)",D124)</f>
        <v>1</v>
      </c>
      <c r="H124" s="919"/>
      <c r="K124" s="744"/>
    </row>
    <row r="125" spans="1:11" x14ac:dyDescent="0.25">
      <c r="A125" s="1016"/>
      <c r="B125" s="1021"/>
      <c r="C125" s="918"/>
      <c r="D125" s="804">
        <f>GEA.pvt!D129</f>
        <v>5.3886000000000003</v>
      </c>
      <c r="E125" s="1026"/>
      <c r="F125" s="909">
        <f>GETPIVOTDATA("Sum of Capacity (MW)",GEA.pvt!$B$11,"Technology","Onshore Wind","GEA","GEA4","Bid Price 
(PhP/kWh)",D125)</f>
        <v>152</v>
      </c>
      <c r="G125" s="844">
        <f>GETPIVOTDATA("No. of Plants ",GEA.pvt!$B$11,"Technology","Onshore Wind","GEA","GEA4","Bid Price 
(PhP/kWh)",D125)</f>
        <v>2</v>
      </c>
      <c r="H125" s="919"/>
      <c r="K125" s="744"/>
    </row>
    <row r="126" spans="1:11" x14ac:dyDescent="0.25">
      <c r="A126" s="1016"/>
      <c r="B126" s="1021"/>
      <c r="C126" s="918"/>
      <c r="D126" s="804">
        <f>GEA.pvt!D130</f>
        <v>5.4001000000000001</v>
      </c>
      <c r="E126" s="1026"/>
      <c r="F126" s="909">
        <f>GETPIVOTDATA("Sum of Capacity (MW)",GEA.pvt!$B$11,"Technology","Onshore Wind","GEA","GEA4","Bid Price 
(PhP/kWh)",D126)</f>
        <v>200</v>
      </c>
      <c r="G126" s="844">
        <f>GETPIVOTDATA("No. of Plants ",GEA.pvt!$B$11,"Technology","Onshore Wind","GEA","GEA4","Bid Price 
(PhP/kWh)",D126)</f>
        <v>1</v>
      </c>
      <c r="H126" s="919"/>
      <c r="K126" s="744"/>
    </row>
    <row r="127" spans="1:11" x14ac:dyDescent="0.25">
      <c r="A127" s="1016"/>
      <c r="B127" s="1021"/>
      <c r="C127" s="918"/>
      <c r="D127" s="804">
        <f>GEA.pvt!D131</f>
        <v>5.5777999999999999</v>
      </c>
      <c r="E127" s="1026"/>
      <c r="F127" s="909">
        <f>GETPIVOTDATA("Sum of Capacity (MW)",GEA.pvt!$B$11,"Technology","Onshore Wind","GEA","GEA4","Bid Price 
(PhP/kWh)",D127)</f>
        <v>50</v>
      </c>
      <c r="G127" s="844">
        <f>GETPIVOTDATA("No. of Plants ",GEA.pvt!$B$11,"Technology","Onshore Wind","GEA","GEA4","Bid Price 
(PhP/kWh)",D127)</f>
        <v>1</v>
      </c>
      <c r="H127" s="919"/>
      <c r="K127" s="744"/>
    </row>
    <row r="128" spans="1:11" x14ac:dyDescent="0.25">
      <c r="A128" s="1016"/>
      <c r="B128" s="1021"/>
      <c r="C128" s="918"/>
      <c r="D128" s="804">
        <f>GEA.pvt!D132</f>
        <v>6.0259</v>
      </c>
      <c r="E128" s="1026"/>
      <c r="F128" s="909">
        <f>GETPIVOTDATA("Sum of Capacity (MW)",GEA.pvt!$B$11,"Technology","Onshore Wind","GEA","GEA4","Bid Price 
(PhP/kWh)",D128)</f>
        <v>110</v>
      </c>
      <c r="G128" s="844">
        <f>GETPIVOTDATA("No. of Plants ",GEA.pvt!$B$11,"Technology","Onshore Wind","GEA","GEA4","Bid Price 
(PhP/kWh)",D128)</f>
        <v>1</v>
      </c>
      <c r="H128" s="919"/>
      <c r="K128" s="744"/>
    </row>
    <row r="129" spans="1:11" x14ac:dyDescent="0.25">
      <c r="A129" s="1016"/>
      <c r="B129" s="1021"/>
      <c r="C129" s="918"/>
      <c r="D129" s="804">
        <f>GEA.pvt!D133</f>
        <v>5.1485000000000003</v>
      </c>
      <c r="E129" s="1026"/>
      <c r="F129" s="909">
        <f>GETPIVOTDATA("Sum of Capacity (MW)",GEA.pvt!$B$11,"Technology","Onshore Wind","GEA","GEA4","Bid Price 
(PhP/kWh)",D129)</f>
        <v>67</v>
      </c>
      <c r="G129" s="844">
        <f>GETPIVOTDATA("No. of Plants ",GEA.pvt!$B$11,"Technology","Onshore Wind","GEA","GEA4","Bid Price 
(PhP/kWh)",D129)</f>
        <v>1</v>
      </c>
      <c r="H129" s="919"/>
      <c r="K129" s="744"/>
    </row>
    <row r="130" spans="1:11" x14ac:dyDescent="0.25">
      <c r="A130" s="1016"/>
      <c r="B130" s="1021"/>
      <c r="C130" s="918"/>
      <c r="D130" s="804">
        <f>GEA.pvt!D134</f>
        <v>6.0778999999999996</v>
      </c>
      <c r="E130" s="1026"/>
      <c r="F130" s="909">
        <f>GETPIVOTDATA("Sum of Capacity (MW)",GEA.pvt!$B$11,"Technology","Onshore Wind","GEA","GEA4","Bid Price 
(PhP/kWh)",D130)</f>
        <v>150</v>
      </c>
      <c r="G130" s="844">
        <f>GETPIVOTDATA("No. of Plants ",GEA.pvt!$B$11,"Technology","Onshore Wind","GEA","GEA4","Bid Price 
(PhP/kWh)",D130)</f>
        <v>1</v>
      </c>
      <c r="H130" s="919"/>
      <c r="K130" s="744"/>
    </row>
    <row r="131" spans="1:11" x14ac:dyDescent="0.25">
      <c r="A131" s="1016"/>
      <c r="B131" s="1021"/>
      <c r="C131" s="918"/>
      <c r="D131" s="804">
        <f>GEA.pvt!D135</f>
        <v>6.0858999999999996</v>
      </c>
      <c r="E131" s="1026"/>
      <c r="F131" s="909">
        <f>GETPIVOTDATA("Sum of Capacity (MW)",GEA.pvt!$B$11,"Technology","Onshore Wind","GEA","GEA4","Bid Price 
(PhP/kWh)",D131)</f>
        <v>151</v>
      </c>
      <c r="G131" s="844">
        <f>GETPIVOTDATA("No. of Plants ",GEA.pvt!$B$11,"Technology","Onshore Wind","GEA","GEA4","Bid Price 
(PhP/kWh)",D131)</f>
        <v>2</v>
      </c>
      <c r="H131" s="919"/>
      <c r="K131" s="744"/>
    </row>
    <row r="132" spans="1:11" x14ac:dyDescent="0.25">
      <c r="A132" s="1016"/>
      <c r="B132" s="1021"/>
      <c r="C132" s="918"/>
      <c r="D132" s="804">
        <f>GEA.pvt!D136</f>
        <v>5.95</v>
      </c>
      <c r="E132" s="1026"/>
      <c r="F132" s="909">
        <f>GETPIVOTDATA("Sum of Capacity (MW)",GEA.pvt!$B$11,"Technology","Onshore Wind","GEA","GEA4","Bid Price 
(PhP/kWh)",D132)</f>
        <v>230</v>
      </c>
      <c r="G132" s="844">
        <f>GETPIVOTDATA("No. of Plants ",GEA.pvt!$B$11,"Technology","Onshore Wind","GEA","GEA4","Bid Price 
(PhP/kWh)",D132)</f>
        <v>1</v>
      </c>
      <c r="H132" s="919"/>
      <c r="K132" s="744"/>
    </row>
    <row r="133" spans="1:11" x14ac:dyDescent="0.25">
      <c r="A133" s="1016"/>
      <c r="B133" s="1021"/>
      <c r="C133" s="918"/>
      <c r="D133" s="804">
        <f>GEA.pvt!D137</f>
        <v>6.0585000000000004</v>
      </c>
      <c r="E133" s="1026"/>
      <c r="F133" s="909">
        <f>GETPIVOTDATA("Sum of Capacity (MW)",GEA.pvt!$B$11,"Technology","Onshore Wind","GEA","GEA4","Bid Price 
(PhP/kWh)",D133)</f>
        <v>50</v>
      </c>
      <c r="G133" s="844">
        <f>GETPIVOTDATA("No. of Plants ",GEA.pvt!$B$11,"Technology","Onshore Wind","GEA","GEA4","Bid Price 
(PhP/kWh)",D133)</f>
        <v>1</v>
      </c>
      <c r="H133" s="919"/>
      <c r="K133" s="744"/>
    </row>
    <row r="134" spans="1:11" x14ac:dyDescent="0.25">
      <c r="A134" s="1016"/>
      <c r="B134" s="1021"/>
      <c r="C134" s="918"/>
      <c r="D134" s="804">
        <f>GEA.pvt!D138</f>
        <v>5.99</v>
      </c>
      <c r="E134" s="1027"/>
      <c r="F134" s="909">
        <f>GETPIVOTDATA("Sum of Capacity (MW)",GEA.pvt!$B$11,"Technology","Onshore Wind","GEA","GEA4","Bid Price 
(PhP/kWh)",D134)</f>
        <v>100.8</v>
      </c>
      <c r="G134" s="844">
        <f>GETPIVOTDATA("No. of Plants ",GEA.pvt!$B$11,"Technology","Onshore Wind","GEA","GEA4","Bid Price 
(PhP/kWh)",D134)</f>
        <v>1</v>
      </c>
      <c r="H134" s="919">
        <f>E116-SUM(F116:F134)</f>
        <v>-128.28999999999996</v>
      </c>
      <c r="K134" s="744"/>
    </row>
    <row r="135" spans="1:11" ht="15.75" thickBot="1" x14ac:dyDescent="0.3">
      <c r="A135" s="1017"/>
      <c r="B135" s="1022"/>
      <c r="C135" s="808" t="s">
        <v>1062</v>
      </c>
      <c r="D135" s="805">
        <v>5.68</v>
      </c>
      <c r="E135" s="892">
        <v>48</v>
      </c>
      <c r="F135" s="910">
        <f>GETPIVOTDATA("Sum of Capacity (MW)",GEA.pvt!$B$11,"Technology","Roof Mounted Solar","GEA","GEA4","Bid Price 
(PhP/kWh)",5.68)</f>
        <v>24.819000000000003</v>
      </c>
      <c r="G135" s="845">
        <f>GETPIVOTDATA("No. of Plants ",GEA.pvt!$B$11,"Technology","Roof Mounted Solar","GEA","GEA4","Bid Price 
(PhP/kWh)",5.68)</f>
        <v>4</v>
      </c>
      <c r="H135" s="853">
        <f t="shared" si="0"/>
        <v>23.180999999999997</v>
      </c>
      <c r="K135" s="744"/>
    </row>
    <row r="136" spans="1:11" ht="15.75" thickBot="1" x14ac:dyDescent="0.3">
      <c r="E136" s="891">
        <f>SUM(E62:E135)</f>
        <v>10683</v>
      </c>
      <c r="F136" s="775">
        <f>SUM(F62:F135)</f>
        <v>10195.481999999998</v>
      </c>
      <c r="G136" s="842">
        <f>SUM(G62:G135)</f>
        <v>123</v>
      </c>
      <c r="H136" s="593"/>
      <c r="K136" s="744"/>
    </row>
    <row r="137" spans="1:11" ht="15.75" thickBot="1" x14ac:dyDescent="0.3">
      <c r="A137" s="927" t="s">
        <v>1697</v>
      </c>
      <c r="B137" s="780" t="s">
        <v>1416</v>
      </c>
      <c r="C137" s="781" t="s">
        <v>1412</v>
      </c>
      <c r="D137" s="782"/>
      <c r="E137" s="893">
        <v>3300</v>
      </c>
      <c r="F137" s="782">
        <f>IFERROR(GETPIVOTDATA("Sum of Capacity (MW)",GEA.pvt!$B$11,"Technology",$C$137,"GEA","GEA5","GEAR Price 
(PhP/kWh)",$D137),0)</f>
        <v>0</v>
      </c>
      <c r="G137" s="846">
        <f>IFERROR(GETPIVOTDATA("No. of Plants ",GEA.pvt!$B$11,"Technology",$C$137,"GEA","GEA5","GEAR Price 
(PhP/kWh)",$D137),0)</f>
        <v>0</v>
      </c>
      <c r="H137" s="854">
        <f>E137-F137</f>
        <v>3300</v>
      </c>
      <c r="K137" s="744"/>
    </row>
    <row r="138" spans="1:11" x14ac:dyDescent="0.25">
      <c r="D138" s="884" t="s">
        <v>1483</v>
      </c>
      <c r="E138" s="891">
        <f>SUM(E137)</f>
        <v>3300</v>
      </c>
      <c r="F138" s="775">
        <f t="shared" ref="F138:G138" si="1">SUM(F137)</f>
        <v>0</v>
      </c>
      <c r="G138" s="842">
        <f t="shared" si="1"/>
        <v>0</v>
      </c>
      <c r="H138" s="593"/>
      <c r="K138" s="744"/>
    </row>
    <row r="139" spans="1:11" ht="15.75" thickBot="1" x14ac:dyDescent="0.3">
      <c r="D139" s="885" t="s">
        <v>877</v>
      </c>
      <c r="E139" s="886">
        <f>SUM(E138,E136,E61,E49,E16)</f>
        <v>34260</v>
      </c>
      <c r="F139" s="886">
        <f>SUM(F138,F136,F61,F49,F16)</f>
        <v>22314.055</v>
      </c>
      <c r="G139" s="886">
        <f>SUM(G138,G136,G61,G49,G16)</f>
        <v>259</v>
      </c>
      <c r="K139" s="744"/>
    </row>
    <row r="140" spans="1:11" ht="15.75" hidden="1" thickTop="1" x14ac:dyDescent="0.25">
      <c r="A140" s="836" t="s">
        <v>1482</v>
      </c>
      <c r="K140" s="744"/>
    </row>
    <row r="141" spans="1:11" ht="15.75" thickTop="1" x14ac:dyDescent="0.25">
      <c r="G141"/>
      <c r="H141"/>
      <c r="K141" s="744"/>
    </row>
    <row r="142" spans="1:11" ht="17.25" customHeight="1" x14ac:dyDescent="0.25">
      <c r="K142" s="744"/>
    </row>
    <row r="143" spans="1:11" s="744" customFormat="1" ht="10.5" customHeight="1" x14ac:dyDescent="0.25">
      <c r="G143" s="749"/>
      <c r="H143" s="749"/>
    </row>
    <row r="144" spans="1:11" x14ac:dyDescent="0.25"/>
    <row r="145" spans="1:13" x14ac:dyDescent="0.25"/>
    <row r="146" spans="1:13" x14ac:dyDescent="0.25">
      <c r="A146" s="902" t="str">
        <f>'FIT Summary'!A1</f>
        <v>As of 30 June 2026</v>
      </c>
      <c r="B146" s="902"/>
      <c r="C146" s="902"/>
      <c r="D146" s="902"/>
      <c r="E146" s="902"/>
      <c r="F146" s="902"/>
      <c r="G146" s="902"/>
      <c r="H146" s="942"/>
      <c r="I146" s="902"/>
      <c r="J146" s="902"/>
    </row>
    <row r="147" spans="1:13" ht="38.25" x14ac:dyDescent="0.25">
      <c r="A147" s="944" t="s">
        <v>202</v>
      </c>
      <c r="B147" s="944" t="s">
        <v>339</v>
      </c>
      <c r="C147" s="944" t="s">
        <v>987</v>
      </c>
      <c r="D147" s="944" t="s">
        <v>3</v>
      </c>
      <c r="E147" s="944" t="s">
        <v>1381</v>
      </c>
      <c r="F147" s="944" t="s">
        <v>63</v>
      </c>
      <c r="G147" s="944" t="s">
        <v>1382</v>
      </c>
      <c r="H147" s="945" t="s">
        <v>1478</v>
      </c>
      <c r="I147" s="945" t="s">
        <v>1691</v>
      </c>
      <c r="J147" s="945" t="s">
        <v>1693</v>
      </c>
      <c r="K147" s="794"/>
      <c r="L147" s="946" t="s">
        <v>1710</v>
      </c>
      <c r="M147" s="946" t="s">
        <v>1519</v>
      </c>
    </row>
    <row r="148" spans="1:13" x14ac:dyDescent="0.25">
      <c r="A148" s="947" t="s">
        <v>7</v>
      </c>
      <c r="B148" s="947" t="s">
        <v>1035</v>
      </c>
      <c r="C148" s="947" t="s">
        <v>1034</v>
      </c>
      <c r="D148" s="948" t="s">
        <v>1033</v>
      </c>
      <c r="E148" s="948" t="s">
        <v>1032</v>
      </c>
      <c r="F148" s="947" t="s">
        <v>262</v>
      </c>
      <c r="G148" s="949">
        <v>30.933</v>
      </c>
      <c r="H148" s="950">
        <v>4.3998999999999997</v>
      </c>
      <c r="I148" s="952" t="s">
        <v>1692</v>
      </c>
      <c r="J148" s="951" t="s">
        <v>1708</v>
      </c>
      <c r="K148" s="794"/>
      <c r="L148" s="948" t="s">
        <v>1714</v>
      </c>
      <c r="M148" s="951">
        <v>45730</v>
      </c>
    </row>
    <row r="149" spans="1:13" x14ac:dyDescent="0.25">
      <c r="A149" s="947" t="s">
        <v>7</v>
      </c>
      <c r="B149" s="947" t="s">
        <v>1035</v>
      </c>
      <c r="C149" s="947" t="s">
        <v>1034</v>
      </c>
      <c r="D149" s="948" t="s">
        <v>1037</v>
      </c>
      <c r="E149" s="948" t="s">
        <v>1036</v>
      </c>
      <c r="F149" s="947" t="s">
        <v>1038</v>
      </c>
      <c r="G149" s="949">
        <v>41.244</v>
      </c>
      <c r="H149" s="950">
        <v>4.3998999999999997</v>
      </c>
      <c r="I149" s="953">
        <v>1002</v>
      </c>
      <c r="J149" s="951" t="s">
        <v>1708</v>
      </c>
      <c r="K149" s="794"/>
      <c r="L149" s="948" t="s">
        <v>1716</v>
      </c>
      <c r="M149" s="951">
        <v>45750</v>
      </c>
    </row>
    <row r="150" spans="1:13" x14ac:dyDescent="0.25">
      <c r="A150" s="947" t="s">
        <v>7</v>
      </c>
      <c r="B150" s="947" t="s">
        <v>1035</v>
      </c>
      <c r="C150" s="947" t="s">
        <v>1034</v>
      </c>
      <c r="D150" s="948" t="s">
        <v>1040</v>
      </c>
      <c r="E150" s="948" t="s">
        <v>1039</v>
      </c>
      <c r="F150" s="947" t="s">
        <v>1012</v>
      </c>
      <c r="G150" s="949">
        <v>5.88</v>
      </c>
      <c r="H150" s="950">
        <v>4.4043000000000001</v>
      </c>
      <c r="I150" s="953" t="s">
        <v>1694</v>
      </c>
      <c r="J150" s="951" t="s">
        <v>1708</v>
      </c>
      <c r="K150" s="794"/>
      <c r="L150" s="948" t="s">
        <v>1711</v>
      </c>
      <c r="M150" s="951"/>
    </row>
    <row r="151" spans="1:13" x14ac:dyDescent="0.25">
      <c r="A151" s="947" t="s">
        <v>7</v>
      </c>
      <c r="B151" s="947" t="s">
        <v>1035</v>
      </c>
      <c r="C151" s="947" t="s">
        <v>1034</v>
      </c>
      <c r="D151" s="948" t="s">
        <v>1042</v>
      </c>
      <c r="E151" s="948" t="s">
        <v>1041</v>
      </c>
      <c r="F151" s="947" t="s">
        <v>1012</v>
      </c>
      <c r="G151" s="949">
        <v>7.1</v>
      </c>
      <c r="H151" s="950">
        <v>4.4043000000000001</v>
      </c>
      <c r="I151" s="953" t="s">
        <v>1695</v>
      </c>
      <c r="J151" s="951" t="s">
        <v>1708</v>
      </c>
      <c r="K151" s="794"/>
      <c r="L151" s="948" t="s">
        <v>1713</v>
      </c>
      <c r="M151" s="951"/>
    </row>
    <row r="152" spans="1:13" x14ac:dyDescent="0.25">
      <c r="A152" s="947" t="s">
        <v>7</v>
      </c>
      <c r="B152" s="947" t="s">
        <v>1035</v>
      </c>
      <c r="C152" s="947" t="s">
        <v>1034</v>
      </c>
      <c r="D152" s="948" t="s">
        <v>1081</v>
      </c>
      <c r="E152" s="948" t="s">
        <v>1032</v>
      </c>
      <c r="F152" s="947" t="s">
        <v>262</v>
      </c>
      <c r="G152" s="949">
        <v>18.75</v>
      </c>
      <c r="H152" s="950">
        <v>4.2380000000000004</v>
      </c>
      <c r="I152" s="953" t="s">
        <v>1696</v>
      </c>
      <c r="J152" s="951" t="s">
        <v>1708</v>
      </c>
      <c r="K152" s="794"/>
      <c r="L152" s="948" t="s">
        <v>1719</v>
      </c>
      <c r="M152" s="951"/>
    </row>
    <row r="153" spans="1:13" x14ac:dyDescent="0.25">
      <c r="A153" s="947" t="s">
        <v>7</v>
      </c>
      <c r="B153" s="947" t="s">
        <v>1035</v>
      </c>
      <c r="C153" s="947" t="s">
        <v>1228</v>
      </c>
      <c r="D153" s="948" t="s">
        <v>1264</v>
      </c>
      <c r="E153" s="948" t="s">
        <v>1263</v>
      </c>
      <c r="F153" s="947" t="s">
        <v>1063</v>
      </c>
      <c r="G153" s="949">
        <v>4.0350000000000001</v>
      </c>
      <c r="H153" s="950">
        <v>3.98</v>
      </c>
      <c r="I153" s="953">
        <v>1008</v>
      </c>
      <c r="J153" s="951" t="s">
        <v>1708</v>
      </c>
      <c r="K153" s="794"/>
      <c r="L153" s="948"/>
      <c r="M153" s="951"/>
    </row>
    <row r="154" spans="1:13" x14ac:dyDescent="0.25">
      <c r="A154" s="947" t="s">
        <v>7</v>
      </c>
      <c r="B154" s="947" t="s">
        <v>1035</v>
      </c>
      <c r="C154" s="947" t="s">
        <v>1228</v>
      </c>
      <c r="D154" s="948" t="s">
        <v>1264</v>
      </c>
      <c r="E154" s="948" t="s">
        <v>1265</v>
      </c>
      <c r="F154" s="947" t="s">
        <v>1063</v>
      </c>
      <c r="G154" s="949">
        <v>14.7</v>
      </c>
      <c r="H154" s="950">
        <v>3.98</v>
      </c>
      <c r="I154" s="953">
        <v>1009</v>
      </c>
      <c r="J154" s="951" t="s">
        <v>1708</v>
      </c>
      <c r="K154" s="794"/>
      <c r="L154" s="948"/>
      <c r="M154" s="951"/>
    </row>
    <row r="155" spans="1:13" x14ac:dyDescent="0.25">
      <c r="A155" s="947" t="s">
        <v>7</v>
      </c>
      <c r="B155" s="947" t="s">
        <v>1062</v>
      </c>
      <c r="C155" s="947" t="s">
        <v>1228</v>
      </c>
      <c r="D155" s="948" t="s">
        <v>1745</v>
      </c>
      <c r="E155" s="948" t="s">
        <v>1378</v>
      </c>
      <c r="F155" s="947" t="s">
        <v>1633</v>
      </c>
      <c r="G155" s="949">
        <v>4.95</v>
      </c>
      <c r="H155" s="950">
        <v>5.68</v>
      </c>
      <c r="I155" s="953" t="s">
        <v>1744</v>
      </c>
      <c r="J155" s="951" t="s">
        <v>1708</v>
      </c>
      <c r="K155" s="794"/>
      <c r="L155" s="948" t="s">
        <v>1724</v>
      </c>
      <c r="M155" s="951"/>
    </row>
    <row r="156" spans="1:13" x14ac:dyDescent="0.25">
      <c r="A156" s="947" t="str">
        <f>_xlfn.XLOOKUP($I156,'GEA Plants'!$AC:$AC,'GEA Plants'!A:A,0)</f>
        <v>Luzon</v>
      </c>
      <c r="B156" s="947" t="str">
        <f>_xlfn.XLOOKUP($I156,'GEA Plants'!$AC:$AC,'GEA Plants'!B:B,0)</f>
        <v>Ground Mounted Solar</v>
      </c>
      <c r="C156" s="947" t="str">
        <f>_xlfn.XLOOKUP($I156,'GEA Plants'!$AC:$AC,'GEA Plants'!C:C,0)</f>
        <v>GEA2</v>
      </c>
      <c r="D156" s="948" t="str">
        <f>_xlfn.XLOOKUP($I156,'GEA Plants'!$AC:$AC,'GEA Plants'!E:E,0)</f>
        <v>Citicore Solar Pampanga 1, Inc.</v>
      </c>
      <c r="E156" s="948" t="str">
        <f>_xlfn.XLOOKUP($I156,'GEA Plants'!$AC:$AC,'GEA Plants'!F:F,0)</f>
        <v>Arayat 3A Solar Power Project</v>
      </c>
      <c r="F156" s="947" t="str">
        <f>_xlfn.XLOOKUP($I156,'GEA Plants'!$AC:$AC,'GEA Plants'!H:H,0)</f>
        <v>Pampanga</v>
      </c>
      <c r="G156" s="949">
        <f>_xlfn.XLOOKUP($I156,'GEA Plants'!$AC:$AC,'GEA Plants'!J:J,0)</f>
        <v>30</v>
      </c>
      <c r="H156" s="950">
        <f>_xlfn.XLOOKUP($I156,'GEA Plants'!$AC:$AC,'GEA Plants'!L:L,0)</f>
        <v>4.4043000000000001</v>
      </c>
      <c r="I156" s="953" t="s">
        <v>1791</v>
      </c>
      <c r="J156" s="951" t="str">
        <f>_xlfn.XLOOKUP($I156,'GEA Plants'!$AC:$AC,'GEA Plants'!AD:AD,0)</f>
        <v>not yet effective</v>
      </c>
      <c r="K156" s="794"/>
      <c r="L156" s="1174">
        <f>_xlfn.XLOOKUP($I156,'GEA Plants'!$AC:$AC,'GEA Plants'!S:S,"")</f>
        <v>0</v>
      </c>
      <c r="M156" s="1173">
        <f>_xlfn.XLOOKUP($I156,'GEA Plants'!$AC:$AC,'GEA Plants'!T:T,"-")</f>
        <v>0</v>
      </c>
    </row>
    <row r="157" spans="1:13" x14ac:dyDescent="0.25">
      <c r="A157" s="947" t="str">
        <f>_xlfn.XLOOKUP($I157,'GEA Plants'!$AC:$AC,'GEA Plants'!A:A,0)</f>
        <v>Luzon</v>
      </c>
      <c r="B157" s="947" t="str">
        <f>_xlfn.XLOOKUP($I157,'GEA Plants'!$AC:$AC,'GEA Plants'!B:B,0)</f>
        <v>Ground Mounted Solar</v>
      </c>
      <c r="C157" s="947" t="str">
        <f>_xlfn.XLOOKUP($I157,'GEA Plants'!$AC:$AC,'GEA Plants'!C:C,0)</f>
        <v>GEA2</v>
      </c>
      <c r="D157" s="948" t="str">
        <f>_xlfn.XLOOKUP($I157,'GEA Plants'!$AC:$AC,'GEA Plants'!E:E,0)</f>
        <v>Greenergy For Global, Inc. Doing Business Under G4G</v>
      </c>
      <c r="E157" s="948" t="str">
        <f>_xlfn.XLOOKUP($I157,'GEA Plants'!$AC:$AC,'GEA Plants'!F:F,0)</f>
        <v>Cordon Solar Power Project</v>
      </c>
      <c r="F157" s="947" t="str">
        <f>_xlfn.XLOOKUP($I157,'GEA Plants'!$AC:$AC,'GEA Plants'!H:H,0)</f>
        <v>Isabela</v>
      </c>
      <c r="G157" s="949">
        <f>_xlfn.XLOOKUP($I157,'GEA Plants'!$AC:$AC,'GEA Plants'!J:J,0)</f>
        <v>49</v>
      </c>
      <c r="H157" s="950">
        <f>_xlfn.XLOOKUP($I157,'GEA Plants'!$AC:$AC,'GEA Plants'!L:L,0)</f>
        <v>4.2346000000000004</v>
      </c>
      <c r="I157" s="953" t="s">
        <v>1790</v>
      </c>
      <c r="J157" s="951" t="str">
        <f>_xlfn.XLOOKUP($I157,'GEA Plants'!$AC:$AC,'GEA Plants'!AD:AD,0)</f>
        <v>Effective</v>
      </c>
      <c r="K157" s="794"/>
      <c r="L157" s="948" t="str">
        <f>_xlfn.XLOOKUP($I157,'GEA Plants'!$AC:$AC,'GEA Plants'!S:S,"")</f>
        <v>S-2025-08-006</v>
      </c>
      <c r="M157" s="1173">
        <f>_xlfn.XLOOKUP($I157,'GEA Plants'!$AC:$AC,'GEA Plants'!T:T," ")</f>
        <v>0</v>
      </c>
    </row>
    <row r="158" spans="1:13" x14ac:dyDescent="0.25">
      <c r="A158" s="947" t="str">
        <f>_xlfn.XLOOKUP($I158,'GEA Plants'!$AC:$AC,'GEA Plants'!A:A,0)</f>
        <v>Visayas</v>
      </c>
      <c r="B158" s="947" t="str">
        <f>_xlfn.XLOOKUP($I158,'GEA Plants'!$AC:$AC,'GEA Plants'!B:B,0)</f>
        <v>Ground Mounted Solar</v>
      </c>
      <c r="C158" s="947" t="str">
        <f>_xlfn.XLOOKUP($I158,'GEA Plants'!$AC:$AC,'GEA Plants'!C:C,0)</f>
        <v>GEA4</v>
      </c>
      <c r="D158" s="948" t="str">
        <f>_xlfn.XLOOKUP($I158,'GEA Plants'!$AC:$AC,'GEA Plants'!E:E,0)</f>
        <v>Amatera Renewable Energy
Corporation</v>
      </c>
      <c r="E158" s="948" t="str">
        <f>_xlfn.XLOOKUP($I158,'GEA Plants'!$AC:$AC,'GEA Plants'!F:F,0)</f>
        <v>Vista Alegre Solar Power Project</v>
      </c>
      <c r="F158" s="947" t="str">
        <f>_xlfn.XLOOKUP($I158,'GEA Plants'!$AC:$AC,'GEA Plants'!H:H,0)</f>
        <v>Negros Occidental</v>
      </c>
      <c r="G158" s="949">
        <f>_xlfn.XLOOKUP($I158,'GEA Plants'!$AC:$AC,'GEA Plants'!J:J,0)</f>
        <v>50.1</v>
      </c>
      <c r="H158" s="950">
        <f>_xlfn.XLOOKUP($I158,'GEA Plants'!$AC:$AC,'GEA Plants'!L:L,0)</f>
        <v>4.43</v>
      </c>
      <c r="I158" s="953">
        <v>1010</v>
      </c>
      <c r="J158" s="951" t="str">
        <f>_xlfn.XLOOKUP($I158,'GEA Plants'!$AC:$AC,'GEA Plants'!AD:AD,0)</f>
        <v>not yet effective</v>
      </c>
      <c r="K158" s="794"/>
      <c r="L158" s="948" t="str">
        <f>_xlfn.XLOOKUP($I158,'GEA Plants'!$AC:$AC,'GEA Plants'!S:S,"")</f>
        <v>S2026-03-008</v>
      </c>
      <c r="M158" s="1173">
        <f>_xlfn.XLOOKUP($I158,'GEA Plants'!$AC:$AC,'GEA Plants'!T:T," ")</f>
        <v>0</v>
      </c>
    </row>
    <row r="159" spans="1:13" x14ac:dyDescent="0.25">
      <c r="A159" s="1167"/>
      <c r="B159" s="1167"/>
      <c r="C159" s="1167"/>
      <c r="D159" s="1168"/>
      <c r="E159" s="1168"/>
      <c r="F159" s="1167"/>
      <c r="G159" s="1169"/>
      <c r="I159" s="1170"/>
      <c r="J159" s="1171"/>
      <c r="K159" s="1172"/>
      <c r="L159" s="1168"/>
      <c r="M159" s="1171"/>
    </row>
    <row r="160" spans="1:13" ht="15.75" thickBot="1" x14ac:dyDescent="0.3">
      <c r="G160" s="954">
        <f>SUM(G148:G158)</f>
        <v>256.69200000000001</v>
      </c>
      <c r="H160"/>
    </row>
    <row r="161" spans="7:8" ht="15.75" thickTop="1" x14ac:dyDescent="0.25">
      <c r="G161" s="902"/>
    </row>
    <row r="162" spans="7:8" x14ac:dyDescent="0.25"/>
    <row r="163" spans="7:8" x14ac:dyDescent="0.25"/>
    <row r="164" spans="7:8" s="744" customFormat="1" ht="10.5" customHeight="1" x14ac:dyDescent="0.25">
      <c r="G164" s="749"/>
      <c r="H164" s="749"/>
    </row>
  </sheetData>
  <mergeCells count="29">
    <mergeCell ref="E50:E51"/>
    <mergeCell ref="E52:E53"/>
    <mergeCell ref="E54:E60"/>
    <mergeCell ref="A62:A135"/>
    <mergeCell ref="B62:B135"/>
    <mergeCell ref="B50:B60"/>
    <mergeCell ref="A50:A60"/>
    <mergeCell ref="C50:C51"/>
    <mergeCell ref="C52:C53"/>
    <mergeCell ref="C54:C60"/>
    <mergeCell ref="E62:E69"/>
    <mergeCell ref="E70:E103"/>
    <mergeCell ref="E104:E115"/>
    <mergeCell ref="E116:E134"/>
    <mergeCell ref="A3:A15"/>
    <mergeCell ref="B3:B15"/>
    <mergeCell ref="A17:A48"/>
    <mergeCell ref="B17:B48"/>
    <mergeCell ref="A1:G1"/>
    <mergeCell ref="E4:E6"/>
    <mergeCell ref="E7:E10"/>
    <mergeCell ref="E11:E15"/>
    <mergeCell ref="C4:C6"/>
    <mergeCell ref="C7:C10"/>
    <mergeCell ref="C11:C15"/>
    <mergeCell ref="E18:E33"/>
    <mergeCell ref="C18:C33"/>
    <mergeCell ref="E34:E45"/>
    <mergeCell ref="C34:C4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6D400-005B-4620-B2F0-FE09F46207C8}">
  <sheetPr codeName="Sheet4"/>
  <dimension ref="B3:R76"/>
  <sheetViews>
    <sheetView showGridLines="0" zoomScale="85" zoomScaleNormal="85" workbookViewId="0">
      <selection activeCell="J20" sqref="J20"/>
    </sheetView>
  </sheetViews>
  <sheetFormatPr defaultRowHeight="15" x14ac:dyDescent="0.25"/>
  <cols>
    <col min="2" max="2" width="14" bestFit="1" customWidth="1"/>
    <col min="3" max="3" width="19" bestFit="1" customWidth="1"/>
    <col min="4" max="4" width="17.28515625" style="595" bestFit="1" customWidth="1"/>
    <col min="5" max="5" width="17.5703125" bestFit="1" customWidth="1"/>
    <col min="6" max="6" width="38.42578125" bestFit="1" customWidth="1"/>
    <col min="7" max="7" width="17.5703125" bestFit="1" customWidth="1"/>
    <col min="8" max="8" width="28.28515625" bestFit="1" customWidth="1"/>
    <col min="9" max="9" width="16.5703125" bestFit="1" customWidth="1"/>
    <col min="10" max="10" width="22.28515625" bestFit="1" customWidth="1"/>
    <col min="11" max="12" width="16.5703125" customWidth="1"/>
    <col min="13" max="13" width="18" bestFit="1" customWidth="1"/>
    <col min="14" max="14" width="23.140625" bestFit="1" customWidth="1"/>
    <col min="15" max="15" width="41.42578125" style="556" bestFit="1" customWidth="1"/>
    <col min="16" max="16" width="20.7109375" bestFit="1" customWidth="1"/>
    <col min="17" max="17" width="28.28515625" bestFit="1" customWidth="1"/>
    <col min="18" max="18" width="16.5703125" bestFit="1" customWidth="1"/>
    <col min="19" max="19" width="16.5703125" customWidth="1"/>
  </cols>
  <sheetData>
    <row r="3" spans="2:18" ht="23.25" x14ac:dyDescent="0.35">
      <c r="B3" s="1057" t="s">
        <v>887</v>
      </c>
      <c r="C3" s="1057"/>
      <c r="D3" s="1057"/>
      <c r="E3" s="1057"/>
      <c r="F3" s="1057"/>
      <c r="G3" s="1057"/>
      <c r="H3" s="1057"/>
      <c r="I3" s="694"/>
      <c r="K3" s="1056" t="s">
        <v>830</v>
      </c>
      <c r="L3" s="1056"/>
      <c r="M3" s="1056"/>
      <c r="N3" s="1056"/>
      <c r="O3" s="1056"/>
      <c r="P3" s="1056"/>
      <c r="Q3" s="1056"/>
    </row>
    <row r="4" spans="2:18" x14ac:dyDescent="0.25">
      <c r="B4" s="559" t="s">
        <v>796</v>
      </c>
      <c r="C4" t="s">
        <v>837</v>
      </c>
      <c r="K4" s="559" t="s">
        <v>796</v>
      </c>
      <c r="L4" t="s">
        <v>837</v>
      </c>
      <c r="M4" s="595"/>
    </row>
    <row r="5" spans="2:18" x14ac:dyDescent="0.25">
      <c r="M5" s="595"/>
    </row>
    <row r="6" spans="2:18" s="483" customFormat="1" ht="30" x14ac:dyDescent="0.25">
      <c r="B6" s="550" t="s">
        <v>1</v>
      </c>
      <c r="C6" s="550" t="s">
        <v>48</v>
      </c>
      <c r="D6" s="631" t="s">
        <v>330</v>
      </c>
      <c r="E6" s="483" t="s">
        <v>779</v>
      </c>
      <c r="F6" t="s">
        <v>904</v>
      </c>
      <c r="G6" s="483" t="s">
        <v>780</v>
      </c>
      <c r="H6" s="483" t="s">
        <v>778</v>
      </c>
      <c r="I6" s="483" t="s">
        <v>781</v>
      </c>
      <c r="K6" s="550" t="s">
        <v>1</v>
      </c>
      <c r="L6" s="550" t="s">
        <v>48</v>
      </c>
      <c r="M6" s="631" t="s">
        <v>330</v>
      </c>
      <c r="N6" s="483" t="s">
        <v>779</v>
      </c>
      <c r="O6" s="669" t="s">
        <v>904</v>
      </c>
      <c r="P6" s="483" t="s">
        <v>780</v>
      </c>
      <c r="Q6" s="483" t="s">
        <v>778</v>
      </c>
      <c r="R6" s="483" t="s">
        <v>781</v>
      </c>
    </row>
    <row r="7" spans="2:18" x14ac:dyDescent="0.25">
      <c r="B7" t="s">
        <v>9</v>
      </c>
      <c r="C7" t="s">
        <v>49</v>
      </c>
      <c r="D7" s="630">
        <v>9.68</v>
      </c>
      <c r="E7" s="486">
        <v>68.099000000000004</v>
      </c>
      <c r="F7" s="1175">
        <v>68.05</v>
      </c>
      <c r="G7" s="1175">
        <v>6</v>
      </c>
      <c r="H7" s="486">
        <v>67.599999999999994</v>
      </c>
      <c r="I7" s="1175">
        <v>6</v>
      </c>
      <c r="K7" t="s">
        <v>9</v>
      </c>
      <c r="L7" t="s">
        <v>49</v>
      </c>
      <c r="M7" s="630">
        <v>9.68</v>
      </c>
      <c r="N7" s="486">
        <v>68.099000000000004</v>
      </c>
      <c r="O7" s="669">
        <v>68.05</v>
      </c>
      <c r="P7" s="1175">
        <v>6</v>
      </c>
      <c r="Q7" s="486">
        <v>67.599999999999994</v>
      </c>
      <c r="R7" s="1175">
        <v>6</v>
      </c>
    </row>
    <row r="8" spans="2:18" x14ac:dyDescent="0.25">
      <c r="C8" t="s">
        <v>50</v>
      </c>
      <c r="D8" s="630">
        <v>8.69</v>
      </c>
      <c r="E8" s="486">
        <v>476.02499999999998</v>
      </c>
      <c r="F8" s="1175">
        <v>476.03200000000004</v>
      </c>
      <c r="G8" s="1175">
        <v>18</v>
      </c>
      <c r="H8" s="486">
        <v>476.03200000000004</v>
      </c>
      <c r="I8" s="1175">
        <v>18</v>
      </c>
      <c r="L8" t="s">
        <v>50</v>
      </c>
      <c r="M8" s="630">
        <v>8.69</v>
      </c>
      <c r="N8" s="486">
        <v>476.02499999999998</v>
      </c>
      <c r="O8" s="669">
        <v>476.03200000000004</v>
      </c>
      <c r="P8" s="1175">
        <v>18</v>
      </c>
      <c r="Q8" s="486">
        <v>476.03200000000004</v>
      </c>
      <c r="R8" s="1175">
        <v>18</v>
      </c>
    </row>
    <row r="9" spans="2:18" x14ac:dyDescent="0.25">
      <c r="B9" s="630" t="s">
        <v>774</v>
      </c>
      <c r="C9" s="630"/>
      <c r="D9" s="630"/>
      <c r="E9" s="486">
        <v>544.12400000000002</v>
      </c>
      <c r="F9" s="1175">
        <v>544.08199999999999</v>
      </c>
      <c r="G9" s="1175">
        <v>24</v>
      </c>
      <c r="H9" s="486">
        <v>543.63199999999995</v>
      </c>
      <c r="I9" s="1175">
        <v>24</v>
      </c>
      <c r="K9" s="630" t="s">
        <v>774</v>
      </c>
      <c r="L9" s="630"/>
      <c r="M9" s="630"/>
      <c r="N9" s="486">
        <v>544.12400000000002</v>
      </c>
      <c r="O9" s="669">
        <v>544.08199999999999</v>
      </c>
      <c r="P9" s="1175">
        <v>24</v>
      </c>
      <c r="Q9" s="486">
        <v>543.63199999999995</v>
      </c>
      <c r="R9" s="1175">
        <v>24</v>
      </c>
    </row>
    <row r="10" spans="2:18" x14ac:dyDescent="0.25">
      <c r="B10" t="s">
        <v>10</v>
      </c>
      <c r="C10" t="s">
        <v>49</v>
      </c>
      <c r="D10" s="630">
        <v>8.5299999999999994</v>
      </c>
      <c r="E10" s="486">
        <v>249.9</v>
      </c>
      <c r="F10" s="1175">
        <v>249.9</v>
      </c>
      <c r="G10" s="1175">
        <v>3</v>
      </c>
      <c r="H10" s="486">
        <v>234.54</v>
      </c>
      <c r="I10" s="1175">
        <v>3</v>
      </c>
      <c r="K10" t="s">
        <v>10</v>
      </c>
      <c r="L10" t="s">
        <v>49</v>
      </c>
      <c r="M10" s="630">
        <v>8.5299999999999994</v>
      </c>
      <c r="N10" s="486">
        <v>249.9</v>
      </c>
      <c r="O10" s="669">
        <v>249.9</v>
      </c>
      <c r="P10" s="1175">
        <v>3</v>
      </c>
      <c r="Q10" s="486">
        <v>234.54</v>
      </c>
      <c r="R10" s="1175">
        <v>3</v>
      </c>
    </row>
    <row r="11" spans="2:18" x14ac:dyDescent="0.25">
      <c r="C11" t="s">
        <v>50</v>
      </c>
      <c r="D11" s="630">
        <v>7.4</v>
      </c>
      <c r="E11" s="486">
        <v>144</v>
      </c>
      <c r="F11" s="1175">
        <v>144</v>
      </c>
      <c r="G11" s="1175">
        <v>3</v>
      </c>
      <c r="H11" s="486">
        <v>141</v>
      </c>
      <c r="I11" s="1175">
        <v>3</v>
      </c>
      <c r="L11" t="s">
        <v>50</v>
      </c>
      <c r="M11" s="630">
        <v>7.4</v>
      </c>
      <c r="N11" s="486">
        <v>144</v>
      </c>
      <c r="O11" s="669">
        <v>144</v>
      </c>
      <c r="P11" s="1175">
        <v>3</v>
      </c>
      <c r="Q11" s="486">
        <v>141</v>
      </c>
      <c r="R11" s="1175">
        <v>3</v>
      </c>
    </row>
    <row r="12" spans="2:18" x14ac:dyDescent="0.25">
      <c r="B12" s="630" t="s">
        <v>775</v>
      </c>
      <c r="C12" s="630"/>
      <c r="D12" s="630"/>
      <c r="E12" s="486">
        <v>393.9</v>
      </c>
      <c r="F12" s="1175">
        <v>393.9</v>
      </c>
      <c r="G12" s="1175">
        <v>6</v>
      </c>
      <c r="H12" s="486">
        <v>375.53999999999996</v>
      </c>
      <c r="I12" s="1175">
        <v>6</v>
      </c>
      <c r="K12" s="630" t="s">
        <v>775</v>
      </c>
      <c r="L12" s="630"/>
      <c r="M12" s="630"/>
      <c r="N12" s="486">
        <v>393.9</v>
      </c>
      <c r="O12" s="669">
        <v>393.9</v>
      </c>
      <c r="P12" s="1175">
        <v>6</v>
      </c>
      <c r="Q12" s="486">
        <v>375.53999999999996</v>
      </c>
      <c r="R12" s="1175">
        <v>6</v>
      </c>
    </row>
    <row r="13" spans="2:18" x14ac:dyDescent="0.25">
      <c r="B13" t="s">
        <v>44</v>
      </c>
      <c r="C13" t="s">
        <v>49</v>
      </c>
      <c r="D13" s="630">
        <v>6.63</v>
      </c>
      <c r="E13" s="486">
        <v>194.08</v>
      </c>
      <c r="F13" s="1175">
        <v>205.63600000000002</v>
      </c>
      <c r="G13" s="1175">
        <v>12</v>
      </c>
      <c r="H13" s="486">
        <v>117.351</v>
      </c>
      <c r="I13" s="1175">
        <v>12</v>
      </c>
      <c r="K13" t="s">
        <v>44</v>
      </c>
      <c r="L13" t="s">
        <v>49</v>
      </c>
      <c r="M13" s="630">
        <v>6.63</v>
      </c>
      <c r="N13" s="486">
        <v>194.08</v>
      </c>
      <c r="O13" s="669">
        <v>205.63600000000002</v>
      </c>
      <c r="P13" s="1175">
        <v>12</v>
      </c>
      <c r="Q13" s="486">
        <v>117.351</v>
      </c>
      <c r="R13" s="1175">
        <v>12</v>
      </c>
    </row>
    <row r="14" spans="2:18" x14ac:dyDescent="0.25">
      <c r="C14" t="s">
        <v>51</v>
      </c>
      <c r="D14" s="630">
        <v>6.5968999999999998</v>
      </c>
      <c r="E14" s="486">
        <v>23.731000000000002</v>
      </c>
      <c r="F14" s="1175">
        <v>24.1</v>
      </c>
      <c r="G14" s="1175">
        <v>5</v>
      </c>
      <c r="H14" s="486">
        <v>18.064</v>
      </c>
      <c r="I14" s="1175">
        <v>5</v>
      </c>
      <c r="L14" t="s">
        <v>51</v>
      </c>
      <c r="M14" s="630">
        <v>6.5968999999999998</v>
      </c>
      <c r="N14" s="486">
        <v>23.731000000000002</v>
      </c>
      <c r="O14" s="669">
        <v>24.1</v>
      </c>
      <c r="P14" s="1175">
        <v>5</v>
      </c>
      <c r="Q14" s="486">
        <v>18.064</v>
      </c>
      <c r="R14" s="1175">
        <v>5</v>
      </c>
    </row>
    <row r="15" spans="2:18" x14ac:dyDescent="0.25">
      <c r="C15" t="s">
        <v>50</v>
      </c>
      <c r="D15" s="630">
        <v>6.19</v>
      </c>
      <c r="E15" s="486">
        <v>178.93</v>
      </c>
      <c r="F15" s="1175">
        <v>195.07999999999998</v>
      </c>
      <c r="G15" s="1175">
        <v>10</v>
      </c>
      <c r="H15" s="486">
        <v>104.03</v>
      </c>
      <c r="I15" s="1175">
        <v>10</v>
      </c>
      <c r="L15" t="s">
        <v>50</v>
      </c>
      <c r="M15" s="630">
        <v>6.19</v>
      </c>
      <c r="N15" s="486">
        <v>178.93</v>
      </c>
      <c r="O15" s="669">
        <v>228.46999999999997</v>
      </c>
      <c r="P15" s="1175">
        <v>10</v>
      </c>
      <c r="Q15" s="486">
        <v>119.63000000000002</v>
      </c>
      <c r="R15" s="1175">
        <v>13</v>
      </c>
    </row>
    <row r="16" spans="2:18" x14ac:dyDescent="0.25">
      <c r="B16" s="630" t="s">
        <v>776</v>
      </c>
      <c r="C16" s="630"/>
      <c r="D16" s="630"/>
      <c r="E16" s="486">
        <v>396.74099999999999</v>
      </c>
      <c r="F16" s="1175">
        <v>424.81599999999997</v>
      </c>
      <c r="G16" s="1175">
        <v>27</v>
      </c>
      <c r="H16" s="486">
        <v>239.44499999999999</v>
      </c>
      <c r="I16" s="1175">
        <v>27</v>
      </c>
      <c r="K16" s="630" t="s">
        <v>776</v>
      </c>
      <c r="L16" s="630"/>
      <c r="M16" s="630"/>
      <c r="N16" s="486">
        <v>396.74099999999999</v>
      </c>
      <c r="O16" s="669">
        <v>458.20599999999996</v>
      </c>
      <c r="P16" s="1175">
        <v>27</v>
      </c>
      <c r="Q16" s="486">
        <v>255.04499999999999</v>
      </c>
      <c r="R16" s="1175">
        <v>30</v>
      </c>
    </row>
    <row r="17" spans="2:18" x14ac:dyDescent="0.25">
      <c r="B17" t="s">
        <v>6</v>
      </c>
      <c r="C17" t="s">
        <v>49</v>
      </c>
      <c r="D17" s="630">
        <v>5.9</v>
      </c>
      <c r="E17" s="486">
        <v>36.055</v>
      </c>
      <c r="F17" s="1175">
        <v>36.055999999999997</v>
      </c>
      <c r="G17" s="1175">
        <v>5</v>
      </c>
      <c r="H17" s="486">
        <v>35.956000000000003</v>
      </c>
      <c r="I17" s="1175">
        <v>5</v>
      </c>
      <c r="K17" t="s">
        <v>6</v>
      </c>
      <c r="L17" t="s">
        <v>49</v>
      </c>
      <c r="M17" s="630">
        <v>5.9</v>
      </c>
      <c r="N17" s="486">
        <v>36.055</v>
      </c>
      <c r="O17" s="669">
        <v>36.055999999999997</v>
      </c>
      <c r="P17" s="1175">
        <v>5</v>
      </c>
      <c r="Q17" s="486">
        <v>35.956000000000003</v>
      </c>
      <c r="R17" s="1175">
        <v>5</v>
      </c>
    </row>
    <row r="18" spans="2:18" x14ac:dyDescent="0.25">
      <c r="C18" t="s">
        <v>51</v>
      </c>
      <c r="D18" s="630">
        <v>5.8704999999999998</v>
      </c>
      <c r="E18" s="486">
        <v>8.5</v>
      </c>
      <c r="F18" s="1175">
        <v>8.5</v>
      </c>
      <c r="G18" s="1175">
        <v>1</v>
      </c>
      <c r="H18" s="486">
        <v>8.5</v>
      </c>
      <c r="I18" s="1175">
        <v>1</v>
      </c>
      <c r="L18" t="s">
        <v>51</v>
      </c>
      <c r="M18" s="630">
        <v>5.8704999999999998</v>
      </c>
      <c r="N18" s="486">
        <v>8.5</v>
      </c>
      <c r="O18" s="669">
        <v>8.5</v>
      </c>
      <c r="P18" s="1175">
        <v>1</v>
      </c>
      <c r="Q18" s="486">
        <v>8.5</v>
      </c>
      <c r="R18" s="1175">
        <v>1</v>
      </c>
    </row>
    <row r="19" spans="2:18" x14ac:dyDescent="0.25">
      <c r="C19" t="s">
        <v>50</v>
      </c>
      <c r="D19" s="630">
        <v>5.8704999999999998</v>
      </c>
      <c r="E19" s="486">
        <v>103.03100000000001</v>
      </c>
      <c r="F19" s="1175">
        <v>103.03100000000001</v>
      </c>
      <c r="G19" s="1175">
        <v>8</v>
      </c>
      <c r="H19" s="486">
        <v>102.90100000000001</v>
      </c>
      <c r="I19" s="1175">
        <v>8</v>
      </c>
      <c r="L19" t="s">
        <v>50</v>
      </c>
      <c r="M19" s="630">
        <v>5.8704999999999998</v>
      </c>
      <c r="N19" s="486">
        <v>103.03100000000001</v>
      </c>
      <c r="O19" s="669">
        <v>103.03100000000001</v>
      </c>
      <c r="P19" s="1175">
        <v>8</v>
      </c>
      <c r="Q19" s="486">
        <v>102.901</v>
      </c>
      <c r="R19" s="1175">
        <v>8</v>
      </c>
    </row>
    <row r="20" spans="2:18" x14ac:dyDescent="0.25">
      <c r="C20" t="s">
        <v>138</v>
      </c>
      <c r="D20" s="630">
        <v>5.6715</v>
      </c>
      <c r="E20" s="486">
        <v>74.8</v>
      </c>
      <c r="F20" s="1175">
        <v>74.8</v>
      </c>
      <c r="G20" s="1175">
        <v>1</v>
      </c>
      <c r="H20" s="486">
        <v>74.8</v>
      </c>
      <c r="I20" s="1175">
        <v>1</v>
      </c>
      <c r="L20" t="s">
        <v>138</v>
      </c>
      <c r="M20" s="630">
        <v>5.6715</v>
      </c>
      <c r="N20" s="486">
        <v>74.8</v>
      </c>
      <c r="O20" s="669">
        <v>74.8</v>
      </c>
      <c r="P20" s="1175">
        <v>1</v>
      </c>
      <c r="Q20" s="486">
        <v>74.8</v>
      </c>
      <c r="R20" s="1175">
        <v>1</v>
      </c>
    </row>
    <row r="21" spans="2:18" x14ac:dyDescent="0.25">
      <c r="C21" t="s">
        <v>761</v>
      </c>
      <c r="D21" s="630">
        <v>6.1109999999999998</v>
      </c>
      <c r="E21" s="486">
        <v>3.7559999999999998</v>
      </c>
      <c r="F21" s="1175">
        <v>3.7559999999999998</v>
      </c>
      <c r="G21" s="1175">
        <v>2</v>
      </c>
      <c r="H21" s="486">
        <v>3.7559999999999998</v>
      </c>
      <c r="I21" s="1175">
        <v>2</v>
      </c>
      <c r="L21" t="s">
        <v>761</v>
      </c>
      <c r="M21" s="630">
        <v>6.1109999999999998</v>
      </c>
      <c r="N21" s="486">
        <v>3.7559999999999998</v>
      </c>
      <c r="O21" s="669">
        <v>3.7559999999999998</v>
      </c>
      <c r="P21" s="1175">
        <v>2</v>
      </c>
      <c r="Q21" s="486">
        <v>3.7559999999999998</v>
      </c>
      <c r="R21" s="1175">
        <v>2</v>
      </c>
    </row>
    <row r="22" spans="2:18" x14ac:dyDescent="0.25">
      <c r="C22" t="s">
        <v>838</v>
      </c>
      <c r="D22">
        <v>6.0804450000000001</v>
      </c>
      <c r="E22" s="486">
        <v>22.908000000000001</v>
      </c>
      <c r="F22" s="1175">
        <v>21.669999999999998</v>
      </c>
      <c r="G22" s="1175">
        <v>5</v>
      </c>
      <c r="H22" s="486">
        <v>21.669999999999998</v>
      </c>
      <c r="I22" s="1175">
        <v>5</v>
      </c>
      <c r="L22" t="s">
        <v>838</v>
      </c>
      <c r="M22">
        <v>6.0804450000000001</v>
      </c>
      <c r="N22" s="486">
        <v>22.908000000000001</v>
      </c>
      <c r="O22" s="669">
        <v>21.669999999999998</v>
      </c>
      <c r="P22" s="1175">
        <v>5</v>
      </c>
      <c r="Q22" s="486">
        <v>21.669999999999998</v>
      </c>
      <c r="R22" s="1175">
        <v>5</v>
      </c>
    </row>
    <row r="23" spans="2:18" x14ac:dyDescent="0.25">
      <c r="D23">
        <v>6.05</v>
      </c>
      <c r="E23" s="486">
        <v>6.8079999999999998</v>
      </c>
      <c r="F23" s="1175">
        <v>8.3949999999999996</v>
      </c>
      <c r="G23" s="1175">
        <v>2</v>
      </c>
      <c r="H23" s="486">
        <v>8.3949999999999996</v>
      </c>
      <c r="I23" s="1175">
        <v>2</v>
      </c>
      <c r="M23" s="630">
        <v>6.05</v>
      </c>
      <c r="N23" s="486">
        <v>6.8079999999999998</v>
      </c>
      <c r="O23" s="669">
        <v>8.3949999999999996</v>
      </c>
      <c r="P23" s="1175">
        <v>2</v>
      </c>
      <c r="Q23" s="486">
        <v>8.3949999999999996</v>
      </c>
      <c r="R23" s="1175">
        <v>2</v>
      </c>
    </row>
    <row r="24" spans="2:18" x14ac:dyDescent="0.25">
      <c r="D24">
        <v>6.0198</v>
      </c>
      <c r="E24" s="486">
        <v>60.73</v>
      </c>
      <c r="F24" s="1175">
        <v>60.73</v>
      </c>
      <c r="G24" s="1175">
        <v>6</v>
      </c>
      <c r="H24" s="486">
        <v>59.82</v>
      </c>
      <c r="I24" s="1175">
        <v>6</v>
      </c>
      <c r="M24">
        <v>6.0198</v>
      </c>
      <c r="N24" s="486">
        <v>60.73</v>
      </c>
      <c r="O24" s="669">
        <v>60.73</v>
      </c>
      <c r="P24" s="1175">
        <v>6</v>
      </c>
      <c r="Q24" s="486">
        <v>59.82</v>
      </c>
      <c r="R24" s="1175">
        <v>6</v>
      </c>
    </row>
    <row r="25" spans="2:18" x14ac:dyDescent="0.25">
      <c r="D25">
        <v>5.9897</v>
      </c>
      <c r="E25" s="486">
        <v>15.88</v>
      </c>
      <c r="F25" s="1175">
        <v>15.88</v>
      </c>
      <c r="G25" s="1175">
        <v>2</v>
      </c>
      <c r="H25" s="486">
        <v>15.88</v>
      </c>
      <c r="I25" s="1175">
        <v>2</v>
      </c>
      <c r="M25">
        <v>5.9897</v>
      </c>
      <c r="N25" s="486">
        <v>15.88</v>
      </c>
      <c r="O25" s="669">
        <v>15.88</v>
      </c>
      <c r="P25" s="1175">
        <v>2</v>
      </c>
      <c r="Q25" s="486">
        <v>15.88</v>
      </c>
      <c r="R25" s="1175">
        <v>2</v>
      </c>
    </row>
    <row r="26" spans="2:18" x14ac:dyDescent="0.25">
      <c r="C26" t="s">
        <v>771</v>
      </c>
      <c r="D26">
        <v>6.9282000000000004</v>
      </c>
      <c r="E26" s="486">
        <v>18.2</v>
      </c>
      <c r="F26" s="1175">
        <v>18.2</v>
      </c>
      <c r="G26" s="1175">
        <v>1</v>
      </c>
      <c r="H26" s="486">
        <v>18.2</v>
      </c>
      <c r="I26" s="1175">
        <v>1</v>
      </c>
      <c r="L26" t="s">
        <v>771</v>
      </c>
      <c r="M26">
        <v>6.9282000000000004</v>
      </c>
      <c r="N26" s="486">
        <v>18.2</v>
      </c>
      <c r="O26" s="669">
        <v>18.2</v>
      </c>
      <c r="P26" s="1175">
        <v>1</v>
      </c>
      <c r="Q26" s="486">
        <v>18.2</v>
      </c>
      <c r="R26" s="1175">
        <v>1</v>
      </c>
    </row>
    <row r="27" spans="2:18" x14ac:dyDescent="0.25">
      <c r="B27" s="630" t="s">
        <v>777</v>
      </c>
      <c r="C27" s="630"/>
      <c r="D27" s="630"/>
      <c r="E27" s="486">
        <v>350.66800000000001</v>
      </c>
      <c r="F27" s="1175">
        <v>351.01800000000003</v>
      </c>
      <c r="G27" s="1175">
        <v>33</v>
      </c>
      <c r="H27" s="486">
        <v>349.87800000000004</v>
      </c>
      <c r="I27" s="1175">
        <v>33</v>
      </c>
      <c r="K27" s="630" t="s">
        <v>777</v>
      </c>
      <c r="L27" s="630"/>
      <c r="M27" s="630"/>
      <c r="N27" s="486">
        <v>350.66800000000006</v>
      </c>
      <c r="O27" s="669">
        <v>351.01800000000003</v>
      </c>
      <c r="P27" s="1175">
        <v>33</v>
      </c>
      <c r="Q27" s="486">
        <v>349.8780000000001</v>
      </c>
      <c r="R27" s="1175">
        <v>33</v>
      </c>
    </row>
    <row r="28" spans="2:18" x14ac:dyDescent="0.25">
      <c r="B28" s="630" t="s">
        <v>204</v>
      </c>
      <c r="C28" s="630"/>
      <c r="D28" s="630"/>
      <c r="E28" s="486">
        <v>1685.4329999999998</v>
      </c>
      <c r="F28" s="1175">
        <v>1713.8159999999996</v>
      </c>
      <c r="G28" s="1175">
        <v>90</v>
      </c>
      <c r="H28" s="486">
        <v>1508.4949999999994</v>
      </c>
      <c r="I28" s="1175">
        <v>90</v>
      </c>
      <c r="K28" s="630" t="s">
        <v>204</v>
      </c>
      <c r="L28" s="630"/>
      <c r="M28" s="630"/>
      <c r="N28" s="486">
        <v>1685.4329999999998</v>
      </c>
      <c r="O28" s="669">
        <v>1747.2059999999997</v>
      </c>
      <c r="P28" s="1175">
        <v>90</v>
      </c>
      <c r="Q28" s="486">
        <v>1524.0949999999996</v>
      </c>
      <c r="R28" s="1175">
        <v>93</v>
      </c>
    </row>
    <row r="29" spans="2:18" x14ac:dyDescent="0.25">
      <c r="D29"/>
      <c r="O29"/>
    </row>
    <row r="30" spans="2:18" x14ac:dyDescent="0.25">
      <c r="D30"/>
      <c r="O30"/>
    </row>
    <row r="31" spans="2:18" x14ac:dyDescent="0.25">
      <c r="D31"/>
      <c r="O31"/>
    </row>
    <row r="32" spans="2:18" x14ac:dyDescent="0.25">
      <c r="D32"/>
      <c r="O32"/>
    </row>
    <row r="33" spans="2:18" x14ac:dyDescent="0.25">
      <c r="D33"/>
      <c r="O33"/>
    </row>
    <row r="34" spans="2:18" x14ac:dyDescent="0.25">
      <c r="D34"/>
      <c r="O34"/>
    </row>
    <row r="35" spans="2:18" x14ac:dyDescent="0.25">
      <c r="B35" s="559" t="s">
        <v>796</v>
      </c>
      <c r="C35" t="s">
        <v>837</v>
      </c>
    </row>
    <row r="37" spans="2:18" s="483" customFormat="1" ht="30" x14ac:dyDescent="0.25">
      <c r="B37" s="550" t="s">
        <v>0</v>
      </c>
      <c r="C37" s="550" t="s">
        <v>1</v>
      </c>
      <c r="D37" s="483" t="s">
        <v>779</v>
      </c>
      <c r="E37" s="483" t="s">
        <v>780</v>
      </c>
      <c r="F37" s="483" t="s">
        <v>778</v>
      </c>
      <c r="G37" s="483" t="s">
        <v>781</v>
      </c>
      <c r="H37"/>
      <c r="I37"/>
      <c r="J37"/>
      <c r="K37"/>
      <c r="L37"/>
      <c r="M37" s="595"/>
      <c r="N37"/>
      <c r="O37" s="556"/>
      <c r="P37"/>
      <c r="Q37"/>
      <c r="R37"/>
    </row>
    <row r="38" spans="2:18" x14ac:dyDescent="0.25">
      <c r="B38" t="s">
        <v>7</v>
      </c>
      <c r="C38" s="595" t="s">
        <v>9</v>
      </c>
      <c r="D38" s="486">
        <v>242.52999999999997</v>
      </c>
      <c r="E38" s="1175">
        <v>15</v>
      </c>
      <c r="F38" s="486">
        <v>242.43099999999995</v>
      </c>
      <c r="G38" s="1175">
        <v>15</v>
      </c>
      <c r="M38" s="595"/>
    </row>
    <row r="39" spans="2:18" x14ac:dyDescent="0.25">
      <c r="C39" s="595" t="s">
        <v>10</v>
      </c>
      <c r="D39" s="486">
        <v>303.89999999999998</v>
      </c>
      <c r="E39" s="1175">
        <v>4</v>
      </c>
      <c r="F39" s="486">
        <v>288.53999999999996</v>
      </c>
      <c r="G39" s="1175">
        <v>4</v>
      </c>
      <c r="O39"/>
    </row>
    <row r="40" spans="2:18" x14ac:dyDescent="0.25">
      <c r="C40" s="595" t="s">
        <v>44</v>
      </c>
      <c r="D40" s="486">
        <v>141.96099999999998</v>
      </c>
      <c r="E40" s="1175">
        <v>15</v>
      </c>
      <c r="F40" s="486">
        <v>121.37500000000001</v>
      </c>
      <c r="G40" s="1175">
        <v>15</v>
      </c>
      <c r="O40"/>
    </row>
    <row r="41" spans="2:18" x14ac:dyDescent="0.25">
      <c r="C41" s="595" t="s">
        <v>6</v>
      </c>
      <c r="D41" s="486">
        <v>220.822</v>
      </c>
      <c r="E41" s="1175">
        <v>23</v>
      </c>
      <c r="F41" s="486">
        <v>219.53000000000003</v>
      </c>
      <c r="G41" s="1175">
        <v>23</v>
      </c>
      <c r="O41"/>
    </row>
    <row r="42" spans="2:18" x14ac:dyDescent="0.25">
      <c r="B42" s="595" t="s">
        <v>790</v>
      </c>
      <c r="C42" s="595"/>
      <c r="D42" s="486">
        <v>909.21299999999985</v>
      </c>
      <c r="E42" s="1175">
        <v>57</v>
      </c>
      <c r="F42" s="486">
        <v>871.87599999999964</v>
      </c>
      <c r="G42" s="1175">
        <v>57</v>
      </c>
      <c r="O42"/>
    </row>
    <row r="43" spans="2:18" x14ac:dyDescent="0.25">
      <c r="B43" t="s">
        <v>32</v>
      </c>
      <c r="C43" s="595" t="s">
        <v>9</v>
      </c>
      <c r="D43" s="486">
        <v>284.87400000000002</v>
      </c>
      <c r="E43" s="1175">
        <v>7</v>
      </c>
      <c r="F43" s="486">
        <v>284.48099999999999</v>
      </c>
      <c r="G43" s="1175">
        <v>7</v>
      </c>
      <c r="O43"/>
    </row>
    <row r="44" spans="2:18" x14ac:dyDescent="0.25">
      <c r="C44" s="595" t="s">
        <v>10</v>
      </c>
      <c r="D44" s="486">
        <v>90</v>
      </c>
      <c r="E44" s="1175">
        <v>2</v>
      </c>
      <c r="F44" s="486">
        <v>87</v>
      </c>
      <c r="G44" s="1175">
        <v>2</v>
      </c>
      <c r="O44"/>
    </row>
    <row r="45" spans="2:18" x14ac:dyDescent="0.25">
      <c r="C45" s="595" t="s">
        <v>44</v>
      </c>
      <c r="D45" s="486">
        <v>224.34</v>
      </c>
      <c r="E45" s="1175">
        <v>8</v>
      </c>
      <c r="F45" s="486">
        <v>94.15</v>
      </c>
      <c r="G45" s="1175">
        <v>8</v>
      </c>
      <c r="O45"/>
    </row>
    <row r="46" spans="2:18" x14ac:dyDescent="0.25">
      <c r="C46" s="595" t="s">
        <v>6</v>
      </c>
      <c r="D46" s="486">
        <v>25.209999999999997</v>
      </c>
      <c r="E46" s="1175">
        <v>3</v>
      </c>
      <c r="F46" s="486">
        <v>24.459999999999997</v>
      </c>
      <c r="G46" s="1175">
        <v>3</v>
      </c>
      <c r="O46"/>
    </row>
    <row r="47" spans="2:18" x14ac:dyDescent="0.25">
      <c r="B47" s="595" t="s">
        <v>791</v>
      </c>
      <c r="C47" s="595"/>
      <c r="D47" s="486">
        <v>624.42399999999998</v>
      </c>
      <c r="E47" s="1175">
        <v>20</v>
      </c>
      <c r="F47" s="486">
        <v>490.09099999999995</v>
      </c>
      <c r="G47" s="1175">
        <v>20</v>
      </c>
      <c r="O47"/>
    </row>
    <row r="48" spans="2:18" x14ac:dyDescent="0.25">
      <c r="B48" t="s">
        <v>8</v>
      </c>
      <c r="C48" s="595" t="s">
        <v>9</v>
      </c>
      <c r="D48" s="486">
        <v>16.72</v>
      </c>
      <c r="E48" s="1175">
        <v>2</v>
      </c>
      <c r="F48" s="486">
        <v>16.72</v>
      </c>
      <c r="G48" s="1175">
        <v>2</v>
      </c>
      <c r="O48"/>
    </row>
    <row r="49" spans="2:15" x14ac:dyDescent="0.25">
      <c r="C49" s="595" t="s">
        <v>44</v>
      </c>
      <c r="D49" s="486">
        <v>30.439999999999998</v>
      </c>
      <c r="E49" s="1175">
        <v>4</v>
      </c>
      <c r="F49" s="486">
        <v>23.92</v>
      </c>
      <c r="G49" s="1175">
        <v>4</v>
      </c>
      <c r="O49"/>
    </row>
    <row r="50" spans="2:15" x14ac:dyDescent="0.25">
      <c r="C50" s="595" t="s">
        <v>6</v>
      </c>
      <c r="D50" s="486">
        <v>104.636</v>
      </c>
      <c r="E50" s="1175">
        <v>7</v>
      </c>
      <c r="F50" s="486">
        <v>105.88800000000001</v>
      </c>
      <c r="G50" s="1175">
        <v>7</v>
      </c>
      <c r="O50"/>
    </row>
    <row r="51" spans="2:15" x14ac:dyDescent="0.25">
      <c r="B51" s="595" t="s">
        <v>792</v>
      </c>
      <c r="C51" s="595"/>
      <c r="D51" s="486">
        <v>151.79599999999999</v>
      </c>
      <c r="E51" s="1175">
        <v>13</v>
      </c>
      <c r="F51" s="486">
        <v>146.52800000000002</v>
      </c>
      <c r="G51" s="1175">
        <v>13</v>
      </c>
      <c r="O51"/>
    </row>
    <row r="52" spans="2:15" x14ac:dyDescent="0.25">
      <c r="B52" s="595" t="s">
        <v>204</v>
      </c>
      <c r="C52" s="595"/>
      <c r="D52" s="486">
        <v>1685.4329999999998</v>
      </c>
      <c r="E52" s="1175">
        <v>90</v>
      </c>
      <c r="F52" s="486">
        <v>1508.4949999999999</v>
      </c>
      <c r="G52" s="1175">
        <v>90</v>
      </c>
      <c r="O52"/>
    </row>
    <row r="53" spans="2:15" x14ac:dyDescent="0.25">
      <c r="O53"/>
    </row>
    <row r="54" spans="2:15" x14ac:dyDescent="0.25">
      <c r="O54"/>
    </row>
    <row r="55" spans="2:15" x14ac:dyDescent="0.25">
      <c r="O55"/>
    </row>
    <row r="56" spans="2:15" x14ac:dyDescent="0.25">
      <c r="O56"/>
    </row>
    <row r="57" spans="2:15" x14ac:dyDescent="0.25">
      <c r="O57"/>
    </row>
    <row r="58" spans="2:15" x14ac:dyDescent="0.25">
      <c r="O58"/>
    </row>
    <row r="59" spans="2:15" x14ac:dyDescent="0.25">
      <c r="B59" s="559" t="s">
        <v>796</v>
      </c>
      <c r="C59" t="s">
        <v>837</v>
      </c>
      <c r="O59"/>
    </row>
    <row r="61" spans="2:15" ht="30" x14ac:dyDescent="0.25">
      <c r="B61" s="550" t="s">
        <v>0</v>
      </c>
      <c r="C61" s="550" t="s">
        <v>1</v>
      </c>
      <c r="D61" s="483" t="s">
        <v>779</v>
      </c>
      <c r="E61" s="483" t="s">
        <v>780</v>
      </c>
      <c r="F61" s="483" t="s">
        <v>778</v>
      </c>
      <c r="G61" s="483" t="s">
        <v>781</v>
      </c>
    </row>
    <row r="62" spans="2:15" x14ac:dyDescent="0.25">
      <c r="B62" t="s">
        <v>7</v>
      </c>
      <c r="C62" s="595" t="s">
        <v>9</v>
      </c>
      <c r="D62" s="486">
        <v>242.52999999999997</v>
      </c>
      <c r="E62" s="1175">
        <v>15</v>
      </c>
      <c r="F62" s="486">
        <v>242.43099999999995</v>
      </c>
      <c r="G62" s="1175">
        <v>15</v>
      </c>
    </row>
    <row r="63" spans="2:15" x14ac:dyDescent="0.25">
      <c r="C63" s="595" t="s">
        <v>10</v>
      </c>
      <c r="D63" s="486">
        <v>303.89999999999998</v>
      </c>
      <c r="E63" s="1175">
        <v>4</v>
      </c>
      <c r="F63" s="486">
        <v>288.53999999999996</v>
      </c>
      <c r="G63" s="1175">
        <v>4</v>
      </c>
    </row>
    <row r="64" spans="2:15" x14ac:dyDescent="0.25">
      <c r="C64" s="595" t="s">
        <v>44</v>
      </c>
      <c r="D64" s="486">
        <v>141.96099999999998</v>
      </c>
      <c r="E64" s="1175">
        <v>15</v>
      </c>
      <c r="F64" s="486">
        <v>121.37500000000001</v>
      </c>
      <c r="G64" s="1175">
        <v>15</v>
      </c>
    </row>
    <row r="65" spans="2:7" x14ac:dyDescent="0.25">
      <c r="C65" s="595" t="s">
        <v>6</v>
      </c>
      <c r="D65" s="486">
        <v>220.822</v>
      </c>
      <c r="E65" s="1175">
        <v>23</v>
      </c>
      <c r="F65" s="486">
        <v>219.53000000000003</v>
      </c>
      <c r="G65" s="1175">
        <v>23</v>
      </c>
    </row>
    <row r="66" spans="2:7" x14ac:dyDescent="0.25">
      <c r="B66" s="595" t="s">
        <v>790</v>
      </c>
      <c r="C66" s="595"/>
      <c r="D66" s="486">
        <v>909.21299999999985</v>
      </c>
      <c r="E66" s="1175">
        <v>57</v>
      </c>
      <c r="F66" s="486">
        <v>871.87599999999964</v>
      </c>
      <c r="G66" s="1175">
        <v>57</v>
      </c>
    </row>
    <row r="67" spans="2:7" x14ac:dyDescent="0.25">
      <c r="B67" t="s">
        <v>32</v>
      </c>
      <c r="C67" s="595" t="s">
        <v>9</v>
      </c>
      <c r="D67" s="486">
        <v>284.87400000000002</v>
      </c>
      <c r="E67" s="1175">
        <v>7</v>
      </c>
      <c r="F67" s="486">
        <v>284.48099999999999</v>
      </c>
      <c r="G67" s="1175">
        <v>7</v>
      </c>
    </row>
    <row r="68" spans="2:7" x14ac:dyDescent="0.25">
      <c r="C68" s="595" t="s">
        <v>10</v>
      </c>
      <c r="D68" s="486">
        <v>90</v>
      </c>
      <c r="E68" s="1175">
        <v>2</v>
      </c>
      <c r="F68" s="486">
        <v>87</v>
      </c>
      <c r="G68" s="1175">
        <v>2</v>
      </c>
    </row>
    <row r="69" spans="2:7" x14ac:dyDescent="0.25">
      <c r="C69" s="595" t="s">
        <v>44</v>
      </c>
      <c r="D69" s="486">
        <v>224.34</v>
      </c>
      <c r="E69" s="1175">
        <v>8</v>
      </c>
      <c r="F69" s="486">
        <v>94.15</v>
      </c>
      <c r="G69" s="1175">
        <v>8</v>
      </c>
    </row>
    <row r="70" spans="2:7" x14ac:dyDescent="0.25">
      <c r="C70" s="595" t="s">
        <v>6</v>
      </c>
      <c r="D70" s="486">
        <v>25.209999999999997</v>
      </c>
      <c r="E70" s="1175">
        <v>3</v>
      </c>
      <c r="F70" s="486">
        <v>24.459999999999997</v>
      </c>
      <c r="G70" s="1175">
        <v>3</v>
      </c>
    </row>
    <row r="71" spans="2:7" x14ac:dyDescent="0.25">
      <c r="B71" s="595" t="s">
        <v>791</v>
      </c>
      <c r="C71" s="595"/>
      <c r="D71" s="486">
        <v>624.42399999999998</v>
      </c>
      <c r="E71" s="1175">
        <v>20</v>
      </c>
      <c r="F71" s="486">
        <v>490.09099999999995</v>
      </c>
      <c r="G71" s="1175">
        <v>20</v>
      </c>
    </row>
    <row r="72" spans="2:7" x14ac:dyDescent="0.25">
      <c r="B72" t="s">
        <v>8</v>
      </c>
      <c r="C72" s="595" t="s">
        <v>9</v>
      </c>
      <c r="D72" s="486">
        <v>16.72</v>
      </c>
      <c r="E72" s="1175">
        <v>2</v>
      </c>
      <c r="F72" s="486">
        <v>16.72</v>
      </c>
      <c r="G72" s="1175">
        <v>2</v>
      </c>
    </row>
    <row r="73" spans="2:7" x14ac:dyDescent="0.25">
      <c r="C73" s="595" t="s">
        <v>44</v>
      </c>
      <c r="D73" s="486">
        <v>30.439999999999998</v>
      </c>
      <c r="E73" s="1175">
        <v>4</v>
      </c>
      <c r="F73" s="486">
        <v>23.92</v>
      </c>
      <c r="G73" s="1175">
        <v>4</v>
      </c>
    </row>
    <row r="74" spans="2:7" x14ac:dyDescent="0.25">
      <c r="C74" s="595" t="s">
        <v>6</v>
      </c>
      <c r="D74" s="486">
        <v>104.636</v>
      </c>
      <c r="E74" s="1175">
        <v>7</v>
      </c>
      <c r="F74" s="486">
        <v>105.88800000000001</v>
      </c>
      <c r="G74" s="1175">
        <v>7</v>
      </c>
    </row>
    <row r="75" spans="2:7" x14ac:dyDescent="0.25">
      <c r="B75" s="595" t="s">
        <v>792</v>
      </c>
      <c r="C75" s="595"/>
      <c r="D75" s="486">
        <v>151.79599999999999</v>
      </c>
      <c r="E75" s="1175">
        <v>13</v>
      </c>
      <c r="F75" s="486">
        <v>146.52800000000002</v>
      </c>
      <c r="G75" s="1175">
        <v>13</v>
      </c>
    </row>
    <row r="76" spans="2:7" x14ac:dyDescent="0.25">
      <c r="B76" s="595" t="s">
        <v>204</v>
      </c>
      <c r="C76" s="595"/>
      <c r="D76" s="486">
        <v>1685.4329999999998</v>
      </c>
      <c r="E76" s="1175">
        <v>90</v>
      </c>
      <c r="F76" s="486">
        <v>1508.4949999999999</v>
      </c>
      <c r="G76" s="1175">
        <v>90</v>
      </c>
    </row>
  </sheetData>
  <mergeCells count="2">
    <mergeCell ref="K3:Q3"/>
    <mergeCell ref="B3:H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876FF-2D1E-4680-B941-8A32E51254B8}">
  <sheetPr codeName="Sheet5"/>
  <dimension ref="C5:E14"/>
  <sheetViews>
    <sheetView workbookViewId="0">
      <selection activeCell="B19" sqref="B19"/>
    </sheetView>
  </sheetViews>
  <sheetFormatPr defaultRowHeight="15" x14ac:dyDescent="0.25"/>
  <sheetData>
    <row r="5" spans="3:5" x14ac:dyDescent="0.25">
      <c r="C5" s="619" t="s">
        <v>761</v>
      </c>
      <c r="D5" s="552">
        <v>6.1109999999999998</v>
      </c>
      <c r="E5">
        <v>2021</v>
      </c>
    </row>
    <row r="6" spans="3:5" x14ac:dyDescent="0.25">
      <c r="C6" s="1058" t="s">
        <v>838</v>
      </c>
      <c r="D6" s="552">
        <f>D5-(D5*0.005)</f>
        <v>6.0804450000000001</v>
      </c>
      <c r="E6">
        <v>2022</v>
      </c>
    </row>
    <row r="7" spans="3:5" x14ac:dyDescent="0.25">
      <c r="C7" s="1058"/>
      <c r="D7" s="552">
        <f t="shared" ref="D7:D14" si="0">D6-(D6*0.005)</f>
        <v>6.0500427750000005</v>
      </c>
      <c r="E7">
        <v>2023</v>
      </c>
    </row>
    <row r="8" spans="3:5" x14ac:dyDescent="0.25">
      <c r="C8" s="1058"/>
      <c r="D8" s="552">
        <f t="shared" si="0"/>
        <v>6.0197925611250005</v>
      </c>
      <c r="E8">
        <v>2024</v>
      </c>
    </row>
    <row r="9" spans="3:5" x14ac:dyDescent="0.25">
      <c r="D9" s="552">
        <f t="shared" si="0"/>
        <v>5.9896935983193753</v>
      </c>
      <c r="E9">
        <v>2025</v>
      </c>
    </row>
    <row r="10" spans="3:5" x14ac:dyDescent="0.25">
      <c r="D10" s="552">
        <f t="shared" si="0"/>
        <v>5.9597451303277786</v>
      </c>
      <c r="E10">
        <v>2026</v>
      </c>
    </row>
    <row r="11" spans="3:5" x14ac:dyDescent="0.25">
      <c r="D11" s="552">
        <f t="shared" si="0"/>
        <v>5.9299464046761399</v>
      </c>
      <c r="E11">
        <v>2027</v>
      </c>
    </row>
    <row r="12" spans="3:5" x14ac:dyDescent="0.25">
      <c r="D12" s="552">
        <f t="shared" si="0"/>
        <v>5.9002966726527593</v>
      </c>
      <c r="E12">
        <v>2028</v>
      </c>
    </row>
    <row r="13" spans="3:5" x14ac:dyDescent="0.25">
      <c r="D13" s="552">
        <f t="shared" si="0"/>
        <v>5.8707951892894954</v>
      </c>
      <c r="E13">
        <v>2029</v>
      </c>
    </row>
    <row r="14" spans="3:5" x14ac:dyDescent="0.25">
      <c r="D14" s="552">
        <f t="shared" si="0"/>
        <v>5.8414412133430478</v>
      </c>
      <c r="E14">
        <v>2030</v>
      </c>
    </row>
  </sheetData>
  <mergeCells count="1">
    <mergeCell ref="C6:C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0" tint="-0.499984740745262"/>
  </sheetPr>
  <dimension ref="A1:AO194"/>
  <sheetViews>
    <sheetView showGridLines="0" topLeftCell="C100" zoomScale="80" zoomScaleNormal="80" zoomScaleSheetLayoutView="100" workbookViewId="0">
      <selection activeCell="R113" sqref="R113"/>
    </sheetView>
  </sheetViews>
  <sheetFormatPr defaultColWidth="0" defaultRowHeight="15" zeroHeight="1" x14ac:dyDescent="0.25"/>
  <cols>
    <col min="1" max="1" width="12.7109375" customWidth="1"/>
    <col min="2" max="2" width="14.7109375" customWidth="1"/>
    <col min="3" max="3" width="11.28515625" customWidth="1"/>
    <col min="4" max="4" width="8.42578125" customWidth="1"/>
    <col min="5" max="5" width="46.5703125" customWidth="1"/>
    <col min="6" max="7" width="28.42578125" customWidth="1"/>
    <col min="8" max="10" width="14.28515625" customWidth="1"/>
    <col min="11" max="11" width="4.140625" hidden="1" customWidth="1"/>
    <col min="12" max="12" width="14.7109375" customWidth="1"/>
    <col min="13" max="14" width="16.42578125" customWidth="1"/>
    <col min="15" max="15" width="14.7109375" hidden="1" customWidth="1"/>
    <col min="16" max="16" width="12.28515625" customWidth="1"/>
    <col min="17" max="17" width="24.7109375" hidden="1" customWidth="1"/>
    <col min="18" max="18" width="21.28515625" customWidth="1"/>
    <col min="19" max="19" width="17.5703125" customWidth="1"/>
    <col min="20" max="20" width="34.28515625" customWidth="1"/>
    <col min="21" max="21" width="17.5703125" customWidth="1"/>
    <col min="22" max="22" width="17.5703125" hidden="1" customWidth="1"/>
    <col min="23" max="23" width="17.5703125" style="738" hidden="1" customWidth="1"/>
    <col min="24" max="24" width="17.5703125" style="556" hidden="1" customWidth="1"/>
    <col min="25" max="25" width="9.28515625" hidden="1" customWidth="1"/>
    <col min="26" max="26" width="50.5703125" hidden="1" customWidth="1"/>
    <col min="27" max="27" width="0" style="13" hidden="1" customWidth="1"/>
    <col min="28" max="16384" width="9.28515625" style="13" hidden="1"/>
  </cols>
  <sheetData>
    <row r="1" spans="1:26" ht="15.75" thickBot="1" x14ac:dyDescent="0.3">
      <c r="A1" s="1059" t="str">
        <f>'Per Island'!A1:D1</f>
        <v>As of 30 June 2026</v>
      </c>
      <c r="B1" s="1059"/>
      <c r="C1" s="1059"/>
      <c r="D1" s="1059"/>
      <c r="E1" s="1059"/>
      <c r="F1" s="1059"/>
      <c r="G1" s="1059"/>
      <c r="H1" s="1059"/>
      <c r="I1" s="1059"/>
      <c r="J1" s="1059"/>
      <c r="K1" s="109"/>
      <c r="L1" s="109"/>
      <c r="M1" s="109"/>
      <c r="N1" s="629">
        <f ca="1">NOW()</f>
        <v>46216.753311805558</v>
      </c>
      <c r="O1" s="111"/>
      <c r="P1" s="111"/>
      <c r="Q1" s="109"/>
      <c r="R1" s="109"/>
      <c r="S1" s="110"/>
      <c r="T1" s="110"/>
      <c r="U1" s="110"/>
      <c r="V1" s="715"/>
      <c r="W1" s="734"/>
      <c r="X1" s="740"/>
      <c r="Y1" s="13"/>
      <c r="Z1" s="13"/>
    </row>
    <row r="2" spans="1:26" s="76" customFormat="1" ht="60" x14ac:dyDescent="0.25">
      <c r="A2" s="544" t="s">
        <v>0</v>
      </c>
      <c r="B2" s="545" t="s">
        <v>1</v>
      </c>
      <c r="C2" s="545" t="s">
        <v>48</v>
      </c>
      <c r="D2" s="545" t="s">
        <v>2</v>
      </c>
      <c r="E2" s="545" t="s">
        <v>3</v>
      </c>
      <c r="F2" s="545" t="s">
        <v>4</v>
      </c>
      <c r="G2" s="545" t="s">
        <v>63</v>
      </c>
      <c r="H2" s="545" t="s">
        <v>64</v>
      </c>
      <c r="I2" s="545" t="s">
        <v>65</v>
      </c>
      <c r="J2" s="545" t="s">
        <v>194</v>
      </c>
      <c r="K2" s="487" t="s">
        <v>782</v>
      </c>
      <c r="L2" s="545" t="s">
        <v>66</v>
      </c>
      <c r="M2" s="545" t="s">
        <v>332</v>
      </c>
      <c r="N2" s="545" t="s">
        <v>286</v>
      </c>
      <c r="O2" s="545" t="s">
        <v>210</v>
      </c>
      <c r="P2" s="545" t="s">
        <v>283</v>
      </c>
      <c r="Q2" s="545" t="s">
        <v>67</v>
      </c>
      <c r="R2" s="546" t="s">
        <v>331</v>
      </c>
      <c r="S2" s="547" t="s">
        <v>330</v>
      </c>
      <c r="T2" s="548" t="s">
        <v>379</v>
      </c>
      <c r="U2" s="548" t="s">
        <v>796</v>
      </c>
      <c r="V2" s="716" t="s">
        <v>922</v>
      </c>
      <c r="W2" s="735" t="s">
        <v>916</v>
      </c>
      <c r="X2" s="741" t="s">
        <v>917</v>
      </c>
      <c r="Y2" s="667" t="s">
        <v>786</v>
      </c>
    </row>
    <row r="3" spans="1:26" s="4" customFormat="1" ht="135" x14ac:dyDescent="0.25">
      <c r="A3" s="58" t="s">
        <v>7</v>
      </c>
      <c r="B3" s="21" t="s">
        <v>9</v>
      </c>
      <c r="C3" s="18" t="s">
        <v>49</v>
      </c>
      <c r="D3" s="18">
        <v>1</v>
      </c>
      <c r="E3" s="5" t="s">
        <v>72</v>
      </c>
      <c r="F3" s="19" t="s">
        <v>73</v>
      </c>
      <c r="G3" s="5" t="s">
        <v>74</v>
      </c>
      <c r="H3" s="551">
        <v>10.045999999999999</v>
      </c>
      <c r="I3" s="551">
        <v>10</v>
      </c>
      <c r="J3" s="551">
        <v>10</v>
      </c>
      <c r="K3" s="115">
        <v>42080</v>
      </c>
      <c r="L3" s="8">
        <v>42040</v>
      </c>
      <c r="M3" s="8">
        <v>42040</v>
      </c>
      <c r="N3" s="8">
        <v>49344</v>
      </c>
      <c r="O3" s="52">
        <v>20</v>
      </c>
      <c r="P3" s="52" t="s">
        <v>281</v>
      </c>
      <c r="Q3" s="9">
        <v>42100</v>
      </c>
      <c r="R3" s="8">
        <v>42405</v>
      </c>
      <c r="S3" s="59">
        <v>9.68</v>
      </c>
      <c r="T3" s="59" t="s">
        <v>851</v>
      </c>
      <c r="U3" s="549" t="s">
        <v>797</v>
      </c>
      <c r="V3" s="717" t="s">
        <v>940</v>
      </c>
      <c r="W3" s="725">
        <f>VLOOKUP(Table1[[#This Row],[TransCo Plant Name]],[1]FD!$B:$H,2,FALSE)</f>
        <v>42040</v>
      </c>
      <c r="X3" s="727">
        <f>Table1[[#This Row],[Start of FIT Elibility per COC]]-Table1[[#This Row],[Column2]]</f>
        <v>0</v>
      </c>
      <c r="Z3" s="113">
        <v>41794</v>
      </c>
    </row>
    <row r="4" spans="1:26" s="4" customFormat="1" ht="135" x14ac:dyDescent="0.25">
      <c r="A4" s="58" t="s">
        <v>7</v>
      </c>
      <c r="B4" s="21" t="s">
        <v>9</v>
      </c>
      <c r="C4" s="18" t="s">
        <v>49</v>
      </c>
      <c r="D4" s="18">
        <v>2</v>
      </c>
      <c r="E4" s="5" t="s">
        <v>75</v>
      </c>
      <c r="F4" s="19" t="s">
        <v>1484</v>
      </c>
      <c r="G4" s="5" t="s">
        <v>77</v>
      </c>
      <c r="H4" s="551">
        <v>4.16</v>
      </c>
      <c r="I4" s="551">
        <v>4.16</v>
      </c>
      <c r="J4" s="551">
        <v>4.0999999999999996</v>
      </c>
      <c r="K4" s="115">
        <v>42081</v>
      </c>
      <c r="L4" s="8">
        <v>42068</v>
      </c>
      <c r="M4" s="8">
        <v>42068</v>
      </c>
      <c r="N4" s="8">
        <v>49403</v>
      </c>
      <c r="O4" s="52">
        <v>20</v>
      </c>
      <c r="P4" s="52" t="s">
        <v>282</v>
      </c>
      <c r="Q4" s="9">
        <v>42100</v>
      </c>
      <c r="R4" s="8">
        <v>42434</v>
      </c>
      <c r="S4" s="59">
        <v>9.68</v>
      </c>
      <c r="T4" s="59" t="s">
        <v>1489</v>
      </c>
      <c r="U4" s="549" t="s">
        <v>797</v>
      </c>
      <c r="V4" s="717" t="s">
        <v>941</v>
      </c>
      <c r="W4" s="725">
        <f>VLOOKUP(Table1[[#This Row],[TransCo Plant Name]],[1]FD!$B:$H,2,FALSE)</f>
        <v>42068</v>
      </c>
      <c r="X4" s="727">
        <f>Table1[[#This Row],[Start of FIT Elibility per COC]]-Table1[[#This Row],[Column2]]</f>
        <v>0</v>
      </c>
      <c r="Z4" s="113">
        <v>41919</v>
      </c>
    </row>
    <row r="5" spans="1:26" s="4" customFormat="1" ht="75" x14ac:dyDescent="0.25">
      <c r="A5" s="58" t="s">
        <v>7</v>
      </c>
      <c r="B5" s="21" t="s">
        <v>9</v>
      </c>
      <c r="C5" s="18" t="s">
        <v>49</v>
      </c>
      <c r="D5" s="18">
        <v>3</v>
      </c>
      <c r="E5" s="5" t="s">
        <v>352</v>
      </c>
      <c r="F5" s="19" t="s">
        <v>80</v>
      </c>
      <c r="G5" s="5" t="s">
        <v>81</v>
      </c>
      <c r="H5" s="551">
        <v>1.5</v>
      </c>
      <c r="I5" s="551">
        <v>1.5</v>
      </c>
      <c r="J5" s="551">
        <v>1.5</v>
      </c>
      <c r="K5" s="115">
        <v>42123</v>
      </c>
      <c r="L5" s="8">
        <v>42101</v>
      </c>
      <c r="M5" s="8">
        <v>42101</v>
      </c>
      <c r="N5" s="8">
        <v>49406</v>
      </c>
      <c r="O5" s="52">
        <v>20</v>
      </c>
      <c r="P5" s="52" t="s">
        <v>284</v>
      </c>
      <c r="Q5" s="9">
        <v>42177</v>
      </c>
      <c r="R5" s="8">
        <v>42467</v>
      </c>
      <c r="S5" s="59">
        <v>9.68</v>
      </c>
      <c r="T5" s="59" t="s">
        <v>865</v>
      </c>
      <c r="U5" s="549" t="s">
        <v>864</v>
      </c>
      <c r="V5" s="717" t="s">
        <v>942</v>
      </c>
      <c r="W5" s="725">
        <f>VLOOKUP(Table1[[#This Row],[TransCo Plant Name]],[1]FD!$B:$H,2,FALSE)</f>
        <v>42101</v>
      </c>
      <c r="X5" s="727">
        <f>Table1[[#This Row],[Start of FIT Elibility per COC]]-Table1[[#This Row],[Column2]]</f>
        <v>0</v>
      </c>
      <c r="Z5" s="113">
        <v>42080</v>
      </c>
    </row>
    <row r="6" spans="1:26" s="4" customFormat="1" ht="105" x14ac:dyDescent="0.25">
      <c r="A6" s="58" t="s">
        <v>32</v>
      </c>
      <c r="B6" s="21" t="s">
        <v>9</v>
      </c>
      <c r="C6" s="18" t="s">
        <v>49</v>
      </c>
      <c r="D6" s="18">
        <v>4</v>
      </c>
      <c r="E6" s="5" t="s">
        <v>68</v>
      </c>
      <c r="F6" s="5" t="s">
        <v>69</v>
      </c>
      <c r="G6" s="5" t="s">
        <v>70</v>
      </c>
      <c r="H6" s="551">
        <v>13.013</v>
      </c>
      <c r="I6" s="551">
        <v>13.01</v>
      </c>
      <c r="J6" s="551">
        <v>13</v>
      </c>
      <c r="K6" s="115">
        <v>41794</v>
      </c>
      <c r="L6" s="8">
        <v>41774</v>
      </c>
      <c r="M6" s="8">
        <v>41774</v>
      </c>
      <c r="N6" s="8">
        <v>49078</v>
      </c>
      <c r="O6" s="52">
        <v>20</v>
      </c>
      <c r="P6" s="52" t="s">
        <v>279</v>
      </c>
      <c r="Q6" s="9">
        <v>42044</v>
      </c>
      <c r="R6" s="8">
        <v>42370</v>
      </c>
      <c r="S6" s="59">
        <v>9.68</v>
      </c>
      <c r="T6" s="59" t="s">
        <v>1768</v>
      </c>
      <c r="U6" s="549" t="s">
        <v>797</v>
      </c>
      <c r="V6" s="717" t="s">
        <v>943</v>
      </c>
      <c r="W6" s="725">
        <f>VLOOKUP(Table1[[#This Row],[TransCo Plant Name]],[1]FD!$B:$H,2,FALSE)</f>
        <v>41774</v>
      </c>
      <c r="X6" s="727">
        <f>Table1[[#This Row],[Start of FIT Elibility per COC]]-Table1[[#This Row],[Column2]]</f>
        <v>0</v>
      </c>
      <c r="Z6" s="113">
        <v>42081</v>
      </c>
    </row>
    <row r="7" spans="1:26" s="4" customFormat="1" ht="60" x14ac:dyDescent="0.25">
      <c r="A7" s="58" t="s">
        <v>32</v>
      </c>
      <c r="B7" s="21" t="s">
        <v>9</v>
      </c>
      <c r="C7" s="18" t="s">
        <v>49</v>
      </c>
      <c r="D7" s="18">
        <v>5</v>
      </c>
      <c r="E7" s="5" t="s">
        <v>68</v>
      </c>
      <c r="F7" s="5" t="s">
        <v>71</v>
      </c>
      <c r="G7" s="5" t="s">
        <v>70</v>
      </c>
      <c r="H7" s="551">
        <v>9</v>
      </c>
      <c r="I7" s="551">
        <v>9</v>
      </c>
      <c r="J7" s="551">
        <v>9</v>
      </c>
      <c r="K7" s="115">
        <v>41919</v>
      </c>
      <c r="L7" s="8">
        <v>41867</v>
      </c>
      <c r="M7" s="8">
        <v>41867</v>
      </c>
      <c r="N7" s="8">
        <v>49079</v>
      </c>
      <c r="O7" s="52">
        <v>20</v>
      </c>
      <c r="P7" s="52" t="s">
        <v>280</v>
      </c>
      <c r="Q7" s="9">
        <v>42044</v>
      </c>
      <c r="R7" s="8">
        <v>42370</v>
      </c>
      <c r="S7" s="59">
        <v>9.68</v>
      </c>
      <c r="T7" s="59" t="s">
        <v>844</v>
      </c>
      <c r="U7" s="549" t="s">
        <v>797</v>
      </c>
      <c r="V7" s="717" t="s">
        <v>944</v>
      </c>
      <c r="W7" s="725">
        <f>VLOOKUP(Table1[[#This Row],[TransCo Plant Name]],[1]FD!$B:$H,2,FALSE)</f>
        <v>41867</v>
      </c>
      <c r="X7" s="727">
        <f>Table1[[#This Row],[Start of FIT Elibility per COC]]-Table1[[#This Row],[Column2]]</f>
        <v>0</v>
      </c>
      <c r="Z7" s="113">
        <v>42123</v>
      </c>
    </row>
    <row r="8" spans="1:26" s="4" customFormat="1" ht="150" x14ac:dyDescent="0.25">
      <c r="A8" s="58" t="s">
        <v>32</v>
      </c>
      <c r="B8" s="21" t="s">
        <v>9</v>
      </c>
      <c r="C8" s="18" t="s">
        <v>49</v>
      </c>
      <c r="D8" s="18">
        <v>6</v>
      </c>
      <c r="E8" s="5" t="s">
        <v>362</v>
      </c>
      <c r="F8" s="19" t="s">
        <v>78</v>
      </c>
      <c r="G8" s="5" t="s">
        <v>79</v>
      </c>
      <c r="H8" s="551">
        <v>30.38</v>
      </c>
      <c r="I8" s="551">
        <v>30.38</v>
      </c>
      <c r="J8" s="551">
        <v>30</v>
      </c>
      <c r="K8" s="115">
        <v>42123</v>
      </c>
      <c r="L8" s="8">
        <v>42098</v>
      </c>
      <c r="M8" s="8">
        <v>42098</v>
      </c>
      <c r="N8" s="8">
        <v>49403</v>
      </c>
      <c r="O8" s="52">
        <v>20</v>
      </c>
      <c r="P8" s="52" t="s">
        <v>285</v>
      </c>
      <c r="Q8" s="9">
        <v>42163</v>
      </c>
      <c r="R8" s="8">
        <v>42464</v>
      </c>
      <c r="S8" s="59">
        <v>9.68</v>
      </c>
      <c r="T8" s="59" t="s">
        <v>1490</v>
      </c>
      <c r="U8" s="549" t="s">
        <v>797</v>
      </c>
      <c r="V8" s="717" t="s">
        <v>951</v>
      </c>
      <c r="W8" s="725">
        <f>VLOOKUP(Table1[[#This Row],[TransCo Plant Name]],[1]FD!$B:$H,2,FALSE)</f>
        <v>42098</v>
      </c>
      <c r="X8" s="727">
        <f>Table1[[#This Row],[Start of FIT Elibility per COC]]-Table1[[#This Row],[Column2]]</f>
        <v>0</v>
      </c>
      <c r="Z8" s="113">
        <v>42123</v>
      </c>
    </row>
    <row r="9" spans="1:26" ht="15.75" x14ac:dyDescent="0.25">
      <c r="A9" s="5"/>
      <c r="B9" s="5"/>
      <c r="C9" s="18"/>
      <c r="D9" s="308">
        <f>D8</f>
        <v>6</v>
      </c>
      <c r="E9" s="19"/>
      <c r="F9" s="19"/>
      <c r="G9" s="19"/>
      <c r="H9" s="596"/>
      <c r="I9" s="596"/>
      <c r="J9" s="596"/>
      <c r="K9" s="7"/>
      <c r="L9" s="18"/>
      <c r="M9" s="18"/>
      <c r="N9" s="18"/>
      <c r="O9" s="52"/>
      <c r="P9" s="52"/>
      <c r="Q9" s="5"/>
      <c r="R9" s="18"/>
      <c r="S9" s="7"/>
      <c r="T9" s="7"/>
      <c r="U9" s="7"/>
      <c r="V9" s="718"/>
      <c r="W9" s="736">
        <f>VLOOKUP(Table1[[#This Row],[RE Plant]],[1]FD!$B:$H,2,FALSE)</f>
        <v>0</v>
      </c>
      <c r="X9" s="729">
        <f>Table1[[#This Row],[Start of FIT Elibility per COC]]-Table1[[#This Row],[Column2]]</f>
        <v>0</v>
      </c>
      <c r="Y9" s="4"/>
      <c r="Z9" s="13"/>
    </row>
    <row r="10" spans="1:26" s="4" customFormat="1" ht="105" x14ac:dyDescent="0.25">
      <c r="A10" s="58" t="s">
        <v>7</v>
      </c>
      <c r="B10" s="5" t="s">
        <v>9</v>
      </c>
      <c r="C10" s="18" t="s">
        <v>50</v>
      </c>
      <c r="D10" s="18">
        <v>7</v>
      </c>
      <c r="E10" s="5" t="s">
        <v>109</v>
      </c>
      <c r="F10" s="19" t="s">
        <v>110</v>
      </c>
      <c r="G10" s="5" t="s">
        <v>111</v>
      </c>
      <c r="H10" s="551">
        <v>8.5</v>
      </c>
      <c r="I10" s="551">
        <v>8.5</v>
      </c>
      <c r="J10" s="551">
        <v>8.5</v>
      </c>
      <c r="K10" s="7"/>
      <c r="L10" s="8">
        <v>42437</v>
      </c>
      <c r="M10" s="8">
        <v>42437</v>
      </c>
      <c r="N10" s="8">
        <v>49741</v>
      </c>
      <c r="O10" s="52">
        <v>20</v>
      </c>
      <c r="P10" s="52" t="s">
        <v>293</v>
      </c>
      <c r="Q10" s="9">
        <v>42712</v>
      </c>
      <c r="R10" s="8">
        <v>42802</v>
      </c>
      <c r="S10" s="59">
        <v>8.69</v>
      </c>
      <c r="T10" s="59" t="s">
        <v>1751</v>
      </c>
      <c r="U10" s="549" t="s">
        <v>797</v>
      </c>
      <c r="V10" s="717"/>
      <c r="W10" s="725">
        <f>VLOOKUP(Table1[[#This Row],[RE Plant]],[1]FD!$B:$H,2,FALSE)</f>
        <v>42437</v>
      </c>
      <c r="X10" s="727">
        <f>Table1[[#This Row],[Start of FIT Elibility per COC]]-Table1[[#This Row],[Column2]]</f>
        <v>0</v>
      </c>
    </row>
    <row r="11" spans="1:26" s="4" customFormat="1" ht="75" x14ac:dyDescent="0.25">
      <c r="A11" s="58" t="s">
        <v>7</v>
      </c>
      <c r="B11" s="5" t="s">
        <v>9</v>
      </c>
      <c r="C11" s="18" t="s">
        <v>50</v>
      </c>
      <c r="D11" s="18">
        <v>8</v>
      </c>
      <c r="E11" s="5" t="s">
        <v>121</v>
      </c>
      <c r="F11" s="19" t="s">
        <v>122</v>
      </c>
      <c r="G11" s="5" t="s">
        <v>123</v>
      </c>
      <c r="H11" s="551">
        <v>5.0199999999999996</v>
      </c>
      <c r="I11" s="551">
        <v>5.0199999999999996</v>
      </c>
      <c r="J11" s="551">
        <v>5.0199999999999996</v>
      </c>
      <c r="K11" s="7"/>
      <c r="L11" s="8">
        <v>42442</v>
      </c>
      <c r="M11" s="8">
        <v>42442</v>
      </c>
      <c r="N11" s="8">
        <v>49746</v>
      </c>
      <c r="O11" s="52">
        <v>20</v>
      </c>
      <c r="P11" s="52" t="s">
        <v>295</v>
      </c>
      <c r="Q11" s="9">
        <v>42772</v>
      </c>
      <c r="R11" s="8">
        <v>42807</v>
      </c>
      <c r="S11" s="59">
        <v>8.69</v>
      </c>
      <c r="T11" s="59" t="s">
        <v>1681</v>
      </c>
      <c r="U11" s="549" t="s">
        <v>797</v>
      </c>
      <c r="V11" s="717" t="s">
        <v>939</v>
      </c>
      <c r="W11" s="725">
        <f>VLOOKUP(Table1[[#This Row],[TransCo Plant Name]],[1]FD!$B:$H,2,FALSE)</f>
        <v>42442</v>
      </c>
      <c r="X11" s="727">
        <f>Table1[[#This Row],[Start of FIT Elibility per COC]]-Table1[[#This Row],[Column2]]</f>
        <v>0</v>
      </c>
    </row>
    <row r="12" spans="1:26" s="4" customFormat="1" ht="75" x14ac:dyDescent="0.25">
      <c r="A12" s="58" t="s">
        <v>7</v>
      </c>
      <c r="B12" s="5" t="s">
        <v>9</v>
      </c>
      <c r="C12" s="18" t="s">
        <v>50</v>
      </c>
      <c r="D12" s="18">
        <v>9</v>
      </c>
      <c r="E12" s="5" t="s">
        <v>100</v>
      </c>
      <c r="F12" s="19" t="s">
        <v>101</v>
      </c>
      <c r="G12" s="5" t="s">
        <v>102</v>
      </c>
      <c r="H12" s="551">
        <v>63.3</v>
      </c>
      <c r="I12" s="551">
        <v>63.3</v>
      </c>
      <c r="J12" s="551">
        <v>63.3</v>
      </c>
      <c r="K12" s="7"/>
      <c r="L12" s="8">
        <v>42440</v>
      </c>
      <c r="M12" s="8">
        <v>42440</v>
      </c>
      <c r="N12" s="8">
        <v>49744</v>
      </c>
      <c r="O12" s="52">
        <v>20</v>
      </c>
      <c r="P12" s="52" t="s">
        <v>290</v>
      </c>
      <c r="Q12" s="9">
        <v>42549</v>
      </c>
      <c r="R12" s="8">
        <v>42805</v>
      </c>
      <c r="S12" s="59">
        <v>8.69</v>
      </c>
      <c r="T12" s="59" t="s">
        <v>1755</v>
      </c>
      <c r="U12" s="549" t="s">
        <v>797</v>
      </c>
      <c r="V12" s="717"/>
      <c r="W12" s="725">
        <f>VLOOKUP(Table1[[#This Row],[RE Plant]],[1]FD!$B:$H,2,FALSE)</f>
        <v>42440</v>
      </c>
      <c r="X12" s="727">
        <f>Table1[[#This Row],[Start of FIT Elibility per COC]]-Table1[[#This Row],[Column2]]</f>
        <v>0</v>
      </c>
    </row>
    <row r="13" spans="1:26" s="4" customFormat="1" ht="135" x14ac:dyDescent="0.25">
      <c r="A13" s="58" t="s">
        <v>7</v>
      </c>
      <c r="B13" s="21" t="s">
        <v>9</v>
      </c>
      <c r="C13" s="18" t="s">
        <v>50</v>
      </c>
      <c r="D13" s="18">
        <v>10</v>
      </c>
      <c r="E13" s="5" t="s">
        <v>72</v>
      </c>
      <c r="F13" s="19" t="s">
        <v>87</v>
      </c>
      <c r="G13" s="5" t="s">
        <v>74</v>
      </c>
      <c r="H13" s="551">
        <v>13.14</v>
      </c>
      <c r="I13" s="551">
        <v>13.14</v>
      </c>
      <c r="J13" s="551">
        <v>13.14</v>
      </c>
      <c r="K13" s="7"/>
      <c r="L13" s="8">
        <v>42361</v>
      </c>
      <c r="M13" s="8">
        <v>42361</v>
      </c>
      <c r="N13" s="8">
        <v>49665</v>
      </c>
      <c r="O13" s="52">
        <v>20</v>
      </c>
      <c r="P13" s="52" t="s">
        <v>287</v>
      </c>
      <c r="Q13" s="9">
        <v>42429</v>
      </c>
      <c r="R13" s="8">
        <v>42727</v>
      </c>
      <c r="S13" s="59">
        <v>8.69</v>
      </c>
      <c r="T13" s="59" t="s">
        <v>852</v>
      </c>
      <c r="U13" s="549" t="s">
        <v>797</v>
      </c>
      <c r="V13" s="717" t="s">
        <v>945</v>
      </c>
      <c r="W13" s="725">
        <f>VLOOKUP(Table1[[#This Row],[TransCo Plant Name]],[1]FD!$B:$H,2,FALSE)</f>
        <v>42361</v>
      </c>
      <c r="X13" s="727">
        <f>Table1[[#This Row],[Start of FIT Elibility per COC]]-Table1[[#This Row],[Column2]]</f>
        <v>0</v>
      </c>
    </row>
    <row r="14" spans="1:26" s="4" customFormat="1" ht="165" x14ac:dyDescent="0.25">
      <c r="A14" s="58" t="s">
        <v>7</v>
      </c>
      <c r="B14" s="21" t="s">
        <v>9</v>
      </c>
      <c r="C14" s="18" t="s">
        <v>50</v>
      </c>
      <c r="D14" s="18">
        <v>11</v>
      </c>
      <c r="E14" s="5" t="s">
        <v>88</v>
      </c>
      <c r="F14" s="5" t="s">
        <v>89</v>
      </c>
      <c r="G14" s="5" t="s">
        <v>90</v>
      </c>
      <c r="H14" s="551">
        <v>2.66</v>
      </c>
      <c r="I14" s="551">
        <v>2.66</v>
      </c>
      <c r="J14" s="551">
        <v>2.66</v>
      </c>
      <c r="K14" s="7"/>
      <c r="L14" s="8">
        <v>42388</v>
      </c>
      <c r="M14" s="8">
        <v>42388</v>
      </c>
      <c r="N14" s="8">
        <v>49692</v>
      </c>
      <c r="O14" s="52">
        <v>20</v>
      </c>
      <c r="P14" s="52" t="s">
        <v>288</v>
      </c>
      <c r="Q14" s="9">
        <v>42430</v>
      </c>
      <c r="R14" s="8">
        <v>42754</v>
      </c>
      <c r="S14" s="59">
        <v>8.69</v>
      </c>
      <c r="T14" s="59" t="s">
        <v>1485</v>
      </c>
      <c r="U14" s="549" t="s">
        <v>797</v>
      </c>
      <c r="V14" s="717" t="s">
        <v>946</v>
      </c>
      <c r="W14" s="725">
        <f>VLOOKUP(Table1[[#This Row],[TransCo Plant Name]],[1]FD!$B:$H,2,FALSE)</f>
        <v>42388</v>
      </c>
      <c r="X14" s="727">
        <f>Table1[[#This Row],[Start of FIT Elibility per COC]]-Table1[[#This Row],[Column2]]</f>
        <v>0</v>
      </c>
    </row>
    <row r="15" spans="1:26" s="4" customFormat="1" ht="120" x14ac:dyDescent="0.25">
      <c r="A15" s="112" t="s">
        <v>7</v>
      </c>
      <c r="B15" s="21" t="s">
        <v>9</v>
      </c>
      <c r="C15" s="18" t="s">
        <v>50</v>
      </c>
      <c r="D15" s="18">
        <v>12</v>
      </c>
      <c r="E15" s="5" t="s">
        <v>91</v>
      </c>
      <c r="F15" s="19" t="s">
        <v>92</v>
      </c>
      <c r="G15" s="5" t="s">
        <v>93</v>
      </c>
      <c r="H15" s="551">
        <v>50.069000000000003</v>
      </c>
      <c r="I15" s="551">
        <v>50.07</v>
      </c>
      <c r="J15" s="551">
        <v>50.07</v>
      </c>
      <c r="K15" s="7"/>
      <c r="L15" s="8">
        <v>42410</v>
      </c>
      <c r="M15" s="8">
        <v>42410</v>
      </c>
      <c r="N15" s="8">
        <v>49714</v>
      </c>
      <c r="O15" s="52">
        <v>20</v>
      </c>
      <c r="P15" s="52" t="s">
        <v>292</v>
      </c>
      <c r="Q15" s="9">
        <v>45746</v>
      </c>
      <c r="R15" s="8">
        <v>42776</v>
      </c>
      <c r="S15" s="59">
        <v>8.69</v>
      </c>
      <c r="T15" s="59" t="s">
        <v>896</v>
      </c>
      <c r="U15" s="549" t="s">
        <v>797</v>
      </c>
      <c r="V15" s="717"/>
      <c r="W15" s="725">
        <f>VLOOKUP(Table1[[#This Row],[RE Plant]],[1]FD!$B:$H,2,FALSE)</f>
        <v>42410</v>
      </c>
      <c r="X15" s="727">
        <f>Table1[[#This Row],[Start of FIT Elibility per COC]]-Table1[[#This Row],[Column2]]</f>
        <v>0</v>
      </c>
    </row>
    <row r="16" spans="1:26" s="4" customFormat="1" ht="105" x14ac:dyDescent="0.25">
      <c r="A16" s="58" t="s">
        <v>7</v>
      </c>
      <c r="B16" s="21" t="s">
        <v>9</v>
      </c>
      <c r="C16" s="18" t="s">
        <v>50</v>
      </c>
      <c r="D16" s="18">
        <v>13</v>
      </c>
      <c r="E16" s="5" t="s">
        <v>95</v>
      </c>
      <c r="F16" s="19" t="s">
        <v>96</v>
      </c>
      <c r="G16" s="5" t="s">
        <v>97</v>
      </c>
      <c r="H16" s="551">
        <v>14.505000000000001</v>
      </c>
      <c r="I16" s="551">
        <v>14.51</v>
      </c>
      <c r="J16" s="551">
        <v>14.51</v>
      </c>
      <c r="K16" s="7"/>
      <c r="L16" s="8">
        <v>42412</v>
      </c>
      <c r="M16" s="8">
        <v>42412</v>
      </c>
      <c r="N16" s="8">
        <v>49716</v>
      </c>
      <c r="O16" s="52">
        <v>20</v>
      </c>
      <c r="P16" s="52" t="s">
        <v>289</v>
      </c>
      <c r="Q16" s="9">
        <v>45746</v>
      </c>
      <c r="R16" s="8">
        <v>42778</v>
      </c>
      <c r="S16" s="59">
        <v>8.69</v>
      </c>
      <c r="T16" s="59" t="s">
        <v>1698</v>
      </c>
      <c r="U16" s="549" t="s">
        <v>797</v>
      </c>
      <c r="V16" s="717"/>
      <c r="W16" s="725">
        <f>VLOOKUP(Table1[[#This Row],[RE Plant]],[1]FD!$B:$H,2,FALSE)</f>
        <v>42412</v>
      </c>
      <c r="X16" s="727">
        <f>Table1[[#This Row],[Start of FIT Elibility per COC]]-Table1[[#This Row],[Column2]]</f>
        <v>0</v>
      </c>
    </row>
    <row r="17" spans="1:24" s="4" customFormat="1" ht="60" x14ac:dyDescent="0.25">
      <c r="A17" s="58" t="s">
        <v>7</v>
      </c>
      <c r="B17" s="5" t="s">
        <v>9</v>
      </c>
      <c r="C17" s="18" t="s">
        <v>50</v>
      </c>
      <c r="D17" s="18">
        <v>14</v>
      </c>
      <c r="E17" s="5" t="s">
        <v>47</v>
      </c>
      <c r="F17" s="19" t="s">
        <v>98</v>
      </c>
      <c r="G17" s="5" t="s">
        <v>99</v>
      </c>
      <c r="H17" s="551">
        <v>10.26</v>
      </c>
      <c r="I17" s="551">
        <v>10.26</v>
      </c>
      <c r="J17" s="551">
        <v>10.26</v>
      </c>
      <c r="K17" s="7"/>
      <c r="L17" s="8">
        <v>42440</v>
      </c>
      <c r="M17" s="8">
        <v>42440</v>
      </c>
      <c r="N17" s="8">
        <v>49744</v>
      </c>
      <c r="O17" s="52">
        <v>20</v>
      </c>
      <c r="P17" s="52" t="s">
        <v>290</v>
      </c>
      <c r="Q17" s="9">
        <v>42473</v>
      </c>
      <c r="R17" s="8">
        <v>42805</v>
      </c>
      <c r="S17" s="59">
        <v>8.69</v>
      </c>
      <c r="T17" s="59" t="s">
        <v>1754</v>
      </c>
      <c r="U17" s="549" t="s">
        <v>797</v>
      </c>
      <c r="V17" s="717"/>
      <c r="W17" s="725">
        <f>VLOOKUP(Table1[[#This Row],[RE Plant]],[1]FD!$B:$H,2,FALSE)</f>
        <v>42440</v>
      </c>
      <c r="X17" s="727">
        <f>Table1[[#This Row],[Start of FIT Elibility per COC]]-Table1[[#This Row],[Column2]]</f>
        <v>0</v>
      </c>
    </row>
    <row r="18" spans="1:24" s="4" customFormat="1" ht="105" x14ac:dyDescent="0.25">
      <c r="A18" s="58" t="s">
        <v>7</v>
      </c>
      <c r="B18" s="5" t="s">
        <v>9</v>
      </c>
      <c r="C18" s="18" t="s">
        <v>50</v>
      </c>
      <c r="D18" s="18">
        <v>15</v>
      </c>
      <c r="E18" s="5" t="s">
        <v>103</v>
      </c>
      <c r="F18" s="19" t="s">
        <v>104</v>
      </c>
      <c r="G18" s="5" t="s">
        <v>105</v>
      </c>
      <c r="H18" s="551">
        <v>20</v>
      </c>
      <c r="I18" s="551">
        <v>20</v>
      </c>
      <c r="J18" s="551">
        <v>20</v>
      </c>
      <c r="K18" s="7"/>
      <c r="L18" s="8">
        <v>42429</v>
      </c>
      <c r="M18" s="8">
        <v>42429</v>
      </c>
      <c r="N18" s="8">
        <v>49733</v>
      </c>
      <c r="O18" s="52">
        <v>20</v>
      </c>
      <c r="P18" s="52" t="s">
        <v>297</v>
      </c>
      <c r="Q18" s="9">
        <v>42712</v>
      </c>
      <c r="R18" s="8">
        <v>42794</v>
      </c>
      <c r="S18" s="59">
        <v>8.69</v>
      </c>
      <c r="T18" s="59" t="s">
        <v>1491</v>
      </c>
      <c r="U18" s="549" t="s">
        <v>797</v>
      </c>
      <c r="V18" s="717"/>
      <c r="W18" s="725">
        <f>VLOOKUP(Table1[[#This Row],[RE Plant]],[1]FD!$B:$H,2,FALSE)</f>
        <v>42429</v>
      </c>
      <c r="X18" s="727">
        <f>Table1[[#This Row],[Start of FIT Elibility per COC]]-Table1[[#This Row],[Column2]]</f>
        <v>0</v>
      </c>
    </row>
    <row r="19" spans="1:24" s="4" customFormat="1" ht="90" x14ac:dyDescent="0.25">
      <c r="A19" s="58" t="s">
        <v>7</v>
      </c>
      <c r="B19" s="5" t="s">
        <v>9</v>
      </c>
      <c r="C19" s="18" t="s">
        <v>50</v>
      </c>
      <c r="D19" s="18">
        <v>16</v>
      </c>
      <c r="E19" s="5" t="s">
        <v>106</v>
      </c>
      <c r="F19" s="19" t="s">
        <v>107</v>
      </c>
      <c r="G19" s="5" t="s">
        <v>108</v>
      </c>
      <c r="H19" s="551">
        <v>2.04</v>
      </c>
      <c r="I19" s="551">
        <v>2.04</v>
      </c>
      <c r="J19" s="551">
        <v>2.04</v>
      </c>
      <c r="K19" s="7"/>
      <c r="L19" s="8">
        <v>42437</v>
      </c>
      <c r="M19" s="8">
        <v>42437</v>
      </c>
      <c r="N19" s="8">
        <v>49741</v>
      </c>
      <c r="O19" s="52">
        <v>20</v>
      </c>
      <c r="P19" s="52" t="s">
        <v>293</v>
      </c>
      <c r="Q19" s="9">
        <v>42712</v>
      </c>
      <c r="R19" s="8">
        <v>42802</v>
      </c>
      <c r="S19" s="59">
        <v>8.69</v>
      </c>
      <c r="T19" s="59" t="s">
        <v>982</v>
      </c>
      <c r="U19" s="549" t="s">
        <v>797</v>
      </c>
      <c r="V19" s="717" t="s">
        <v>948</v>
      </c>
      <c r="W19" s="725">
        <f>VLOOKUP(Table1[[#This Row],[TransCo Plant Name]],[1]FD!$B:$H,2,FALSE)</f>
        <v>42437</v>
      </c>
      <c r="X19" s="727">
        <f>Table1[[#This Row],[Start of FIT Elibility per COC]]-Table1[[#This Row],[Column2]]</f>
        <v>0</v>
      </c>
    </row>
    <row r="20" spans="1:24" s="4" customFormat="1" ht="90" x14ac:dyDescent="0.25">
      <c r="A20" s="58" t="s">
        <v>7</v>
      </c>
      <c r="B20" s="5" t="s">
        <v>9</v>
      </c>
      <c r="C20" s="18" t="s">
        <v>50</v>
      </c>
      <c r="D20" s="18">
        <v>17</v>
      </c>
      <c r="E20" s="5" t="s">
        <v>798</v>
      </c>
      <c r="F20" s="19" t="s">
        <v>116</v>
      </c>
      <c r="G20" s="5" t="s">
        <v>117</v>
      </c>
      <c r="H20" s="551">
        <v>22.33</v>
      </c>
      <c r="I20" s="551">
        <v>22.33</v>
      </c>
      <c r="J20" s="551">
        <v>22.33</v>
      </c>
      <c r="K20" s="7"/>
      <c r="L20" s="8">
        <v>42441</v>
      </c>
      <c r="M20" s="8">
        <v>42441</v>
      </c>
      <c r="N20" s="8">
        <v>49745</v>
      </c>
      <c r="O20" s="52">
        <v>20</v>
      </c>
      <c r="P20" s="52" t="s">
        <v>294</v>
      </c>
      <c r="Q20" s="9">
        <v>45744</v>
      </c>
      <c r="R20" s="8">
        <v>42806</v>
      </c>
      <c r="S20" s="59">
        <v>8.69</v>
      </c>
      <c r="T20" s="59" t="s">
        <v>1699</v>
      </c>
      <c r="U20" s="549" t="s">
        <v>797</v>
      </c>
      <c r="V20" s="717" t="s">
        <v>949</v>
      </c>
      <c r="W20" s="725">
        <f>VLOOKUP(Table1[[#This Row],[TransCo Plant Name]],[1]FD!$B:$H,2,FALSE)</f>
        <v>42441</v>
      </c>
      <c r="X20" s="727">
        <f>Table1[[#This Row],[Start of FIT Elibility per COC]]-Table1[[#This Row],[Column2]]</f>
        <v>0</v>
      </c>
    </row>
    <row r="21" spans="1:24" s="4" customFormat="1" ht="75" x14ac:dyDescent="0.25">
      <c r="A21" s="58" t="s">
        <v>7</v>
      </c>
      <c r="B21" s="5" t="s">
        <v>9</v>
      </c>
      <c r="C21" s="18" t="s">
        <v>50</v>
      </c>
      <c r="D21" s="18">
        <v>18</v>
      </c>
      <c r="E21" s="5" t="s">
        <v>870</v>
      </c>
      <c r="F21" s="19" t="s">
        <v>840</v>
      </c>
      <c r="G21" s="5" t="s">
        <v>839</v>
      </c>
      <c r="H21" s="551">
        <v>15</v>
      </c>
      <c r="I21" s="551">
        <v>15.000999999999999</v>
      </c>
      <c r="J21" s="551">
        <v>15.000999999999999</v>
      </c>
      <c r="K21" s="7"/>
      <c r="L21" s="8">
        <v>42443</v>
      </c>
      <c r="M21" s="8">
        <v>42443</v>
      </c>
      <c r="N21" s="8">
        <v>49747</v>
      </c>
      <c r="O21" s="52">
        <v>20</v>
      </c>
      <c r="P21" s="52" t="s">
        <v>296</v>
      </c>
      <c r="Q21" s="9">
        <v>42724</v>
      </c>
      <c r="R21" s="8">
        <v>42808</v>
      </c>
      <c r="S21" s="59">
        <v>8.69</v>
      </c>
      <c r="T21" s="59" t="s">
        <v>1770</v>
      </c>
      <c r="U21" s="549" t="s">
        <v>797</v>
      </c>
      <c r="V21" s="717" t="s">
        <v>125</v>
      </c>
      <c r="W21" s="725">
        <f>VLOOKUP(Table1[[#This Row],[TransCo Plant Name]],[1]FD!$B:$H,2,FALSE)</f>
        <v>42443</v>
      </c>
      <c r="X21" s="727">
        <f>Table1[[#This Row],[Start of FIT Elibility per COC]]-Table1[[#This Row],[Column2]]</f>
        <v>0</v>
      </c>
    </row>
    <row r="22" spans="1:24" s="4" customFormat="1" ht="150" x14ac:dyDescent="0.25">
      <c r="A22" s="58" t="s">
        <v>32</v>
      </c>
      <c r="B22" s="21" t="s">
        <v>9</v>
      </c>
      <c r="C22" s="18" t="s">
        <v>50</v>
      </c>
      <c r="D22" s="18">
        <v>19</v>
      </c>
      <c r="E22" s="5" t="s">
        <v>68</v>
      </c>
      <c r="F22" s="19" t="s">
        <v>82</v>
      </c>
      <c r="G22" s="5" t="s">
        <v>70</v>
      </c>
      <c r="H22" s="551">
        <v>23</v>
      </c>
      <c r="I22" s="551">
        <v>23</v>
      </c>
      <c r="J22" s="551">
        <v>23</v>
      </c>
      <c r="K22" s="7"/>
      <c r="L22" s="8">
        <v>42253</v>
      </c>
      <c r="M22" s="8">
        <v>42253</v>
      </c>
      <c r="N22" s="8">
        <v>49557</v>
      </c>
      <c r="O22" s="52">
        <v>20</v>
      </c>
      <c r="P22" s="52" t="s">
        <v>291</v>
      </c>
      <c r="Q22" s="20" t="s">
        <v>909</v>
      </c>
      <c r="R22" s="8">
        <v>42619</v>
      </c>
      <c r="S22" s="59">
        <v>8.69</v>
      </c>
      <c r="T22" s="59" t="s">
        <v>1525</v>
      </c>
      <c r="U22" s="549" t="s">
        <v>797</v>
      </c>
      <c r="V22" s="717" t="s">
        <v>947</v>
      </c>
      <c r="W22" s="725">
        <f>VLOOKUP(Table1[[#This Row],[TransCo Plant Name]],[1]FD!$B:$H,2,FALSE)</f>
        <v>42253</v>
      </c>
      <c r="X22" s="727">
        <f>Table1[[#This Row],[Start of FIT Elibility per COC]]-Table1[[#This Row],[Column2]]</f>
        <v>0</v>
      </c>
    </row>
    <row r="23" spans="1:24" s="4" customFormat="1" ht="60" x14ac:dyDescent="0.25">
      <c r="A23" s="58" t="s">
        <v>32</v>
      </c>
      <c r="B23" s="5" t="s">
        <v>9</v>
      </c>
      <c r="C23" s="18" t="s">
        <v>50</v>
      </c>
      <c r="D23" s="18">
        <v>20</v>
      </c>
      <c r="E23" s="5" t="s">
        <v>112</v>
      </c>
      <c r="F23" s="19" t="s">
        <v>113</v>
      </c>
      <c r="G23" s="5" t="s">
        <v>114</v>
      </c>
      <c r="H23" s="551">
        <v>18</v>
      </c>
      <c r="I23" s="551">
        <v>18</v>
      </c>
      <c r="J23" s="551">
        <v>18</v>
      </c>
      <c r="K23" s="7"/>
      <c r="L23" s="8">
        <v>42440</v>
      </c>
      <c r="M23" s="8">
        <v>42440</v>
      </c>
      <c r="N23" s="8">
        <v>49744</v>
      </c>
      <c r="O23" s="52">
        <v>20</v>
      </c>
      <c r="P23" s="52" t="s">
        <v>290</v>
      </c>
      <c r="Q23" s="9">
        <v>42772</v>
      </c>
      <c r="R23" s="8">
        <v>42805</v>
      </c>
      <c r="S23" s="59">
        <v>8.69</v>
      </c>
      <c r="T23" s="59" t="s">
        <v>1690</v>
      </c>
      <c r="U23" s="549" t="s">
        <v>797</v>
      </c>
      <c r="V23" s="717"/>
      <c r="W23" s="725">
        <f>VLOOKUP(Table1[[#This Row],[RE Plant]],[1]FD!$B:$H,2,FALSE)</f>
        <v>42440</v>
      </c>
      <c r="X23" s="727">
        <f>Table1[[#This Row],[Start of FIT Elibility per COC]]-Table1[[#This Row],[Column2]]</f>
        <v>0</v>
      </c>
    </row>
    <row r="24" spans="1:24" s="4" customFormat="1" ht="120" x14ac:dyDescent="0.25">
      <c r="A24" s="58" t="s">
        <v>32</v>
      </c>
      <c r="B24" s="5" t="s">
        <v>9</v>
      </c>
      <c r="C24" s="18" t="s">
        <v>50</v>
      </c>
      <c r="D24" s="18">
        <v>21</v>
      </c>
      <c r="E24" s="5" t="s">
        <v>128</v>
      </c>
      <c r="F24" s="19" t="s">
        <v>129</v>
      </c>
      <c r="G24" s="5" t="s">
        <v>130</v>
      </c>
      <c r="H24" s="551">
        <v>132.5</v>
      </c>
      <c r="I24" s="551">
        <v>132.5</v>
      </c>
      <c r="J24" s="551">
        <v>132.5</v>
      </c>
      <c r="K24" s="7"/>
      <c r="L24" s="8">
        <v>42443</v>
      </c>
      <c r="M24" s="8">
        <v>42443</v>
      </c>
      <c r="N24" s="8">
        <v>49747</v>
      </c>
      <c r="O24" s="52">
        <v>20</v>
      </c>
      <c r="P24" s="52" t="s">
        <v>296</v>
      </c>
      <c r="Q24" s="9">
        <v>42712</v>
      </c>
      <c r="R24" s="8">
        <v>42808</v>
      </c>
      <c r="S24" s="59">
        <v>8.69</v>
      </c>
      <c r="T24" s="59" t="s">
        <v>1493</v>
      </c>
      <c r="U24" s="549" t="s">
        <v>797</v>
      </c>
      <c r="V24" s="717"/>
      <c r="W24" s="725">
        <f>VLOOKUP(Table1[[#This Row],[RE Plant]],[1]FD!$B:$H,2,FALSE)</f>
        <v>42443</v>
      </c>
      <c r="X24" s="727">
        <f>Table1[[#This Row],[Start of FIT Elibility per COC]]-Table1[[#This Row],[Column2]]</f>
        <v>0</v>
      </c>
    </row>
    <row r="25" spans="1:24" s="4" customFormat="1" ht="120" x14ac:dyDescent="0.25">
      <c r="A25" s="58" t="s">
        <v>32</v>
      </c>
      <c r="B25" s="5" t="s">
        <v>9</v>
      </c>
      <c r="C25" s="18" t="s">
        <v>50</v>
      </c>
      <c r="D25" s="18">
        <v>22</v>
      </c>
      <c r="E25" s="24" t="s">
        <v>768</v>
      </c>
      <c r="F25" s="70" t="s">
        <v>769</v>
      </c>
      <c r="G25" s="484" t="s">
        <v>770</v>
      </c>
      <c r="H25" s="551">
        <v>58.981000000000002</v>
      </c>
      <c r="I25" s="551">
        <v>58.981000000000002</v>
      </c>
      <c r="J25" s="551">
        <v>58.981000000000002</v>
      </c>
      <c r="K25" s="412"/>
      <c r="L25" s="8">
        <v>42444</v>
      </c>
      <c r="M25" s="8">
        <v>44800</v>
      </c>
      <c r="N25" s="8">
        <v>49748</v>
      </c>
      <c r="O25" s="502">
        <f>YEAR(N25)-YEAR(M25)</f>
        <v>14</v>
      </c>
      <c r="P25" s="52" t="str">
        <f>DAY(M25)&amp;" "&amp;TEXT(M25,"mmmm")&amp;" "&amp;YEAR(M25)&amp;" - "&amp;DAY(N25)&amp;" "&amp;TEXT(N25,"mmmm")&amp;" "&amp;YEAR(N25)</f>
        <v>27 August 2022 - 14 March 2036</v>
      </c>
      <c r="Q25" s="9">
        <v>46160</v>
      </c>
      <c r="R25" s="8"/>
      <c r="S25" s="59">
        <v>8.69</v>
      </c>
      <c r="T25" s="59" t="s">
        <v>1771</v>
      </c>
      <c r="U25" s="549" t="s">
        <v>797</v>
      </c>
      <c r="V25" s="717" t="s">
        <v>953</v>
      </c>
      <c r="W25" s="725">
        <f>VLOOKUP(Table1[[#This Row],[TransCo Plant Name]],[1]FD!$B:$H,2,FALSE)</f>
        <v>44800</v>
      </c>
      <c r="X25" s="727">
        <f>Table1[[#This Row],[Start of FIT Elibility per COC]]-Table1[[#This Row],[Column2]]</f>
        <v>0</v>
      </c>
    </row>
    <row r="26" spans="1:24" s="4" customFormat="1" ht="60" x14ac:dyDescent="0.25">
      <c r="A26" s="112" t="s">
        <v>8</v>
      </c>
      <c r="B26" s="21" t="s">
        <v>9</v>
      </c>
      <c r="C26" s="18" t="s">
        <v>50</v>
      </c>
      <c r="D26" s="18">
        <v>23</v>
      </c>
      <c r="E26" s="5" t="s">
        <v>799</v>
      </c>
      <c r="F26" s="19" t="s">
        <v>85</v>
      </c>
      <c r="G26" s="5" t="s">
        <v>86</v>
      </c>
      <c r="H26" s="551">
        <v>6.23</v>
      </c>
      <c r="I26" s="551">
        <v>6.23</v>
      </c>
      <c r="J26" s="551">
        <v>6.23</v>
      </c>
      <c r="K26" s="7"/>
      <c r="L26" s="8">
        <v>42286</v>
      </c>
      <c r="M26" s="8">
        <v>42668</v>
      </c>
      <c r="N26" s="8">
        <v>49651</v>
      </c>
      <c r="O26" s="52">
        <v>19</v>
      </c>
      <c r="P26" s="52" t="s">
        <v>298</v>
      </c>
      <c r="Q26" s="9">
        <v>42794</v>
      </c>
      <c r="R26" s="8">
        <v>42668</v>
      </c>
      <c r="S26" s="59">
        <v>8.69</v>
      </c>
      <c r="T26" s="59" t="s">
        <v>1769</v>
      </c>
      <c r="U26" s="549" t="s">
        <v>797</v>
      </c>
      <c r="V26" s="717" t="s">
        <v>952</v>
      </c>
      <c r="W26" s="725">
        <f>VLOOKUP(Table1[[#This Row],[TransCo Plant Name]],[1]FD!$B:$H,2,FALSE)</f>
        <v>42668</v>
      </c>
      <c r="X26" s="727">
        <f>Table1[[#This Row],[Start of FIT Elibility per COC]]-Table1[[#This Row],[Column2]]</f>
        <v>0</v>
      </c>
    </row>
    <row r="27" spans="1:24" s="4" customFormat="1" ht="105" x14ac:dyDescent="0.25">
      <c r="A27" s="58" t="s">
        <v>8</v>
      </c>
      <c r="B27" s="5" t="s">
        <v>9</v>
      </c>
      <c r="C27" s="18" t="s">
        <v>50</v>
      </c>
      <c r="D27" s="18">
        <v>24</v>
      </c>
      <c r="E27" s="5" t="s">
        <v>216</v>
      </c>
      <c r="F27" s="19" t="s">
        <v>119</v>
      </c>
      <c r="G27" s="5" t="s">
        <v>120</v>
      </c>
      <c r="H27" s="551">
        <v>10.49</v>
      </c>
      <c r="I27" s="551">
        <v>10.49</v>
      </c>
      <c r="J27" s="551">
        <v>10.49</v>
      </c>
      <c r="K27" s="7"/>
      <c r="L27" s="8">
        <v>42442</v>
      </c>
      <c r="M27" s="8">
        <v>42442</v>
      </c>
      <c r="N27" s="8">
        <v>49746</v>
      </c>
      <c r="O27" s="52">
        <v>20</v>
      </c>
      <c r="P27" s="52" t="s">
        <v>295</v>
      </c>
      <c r="Q27" s="9">
        <v>42955</v>
      </c>
      <c r="R27" s="8">
        <v>42807</v>
      </c>
      <c r="S27" s="59">
        <v>8.69</v>
      </c>
      <c r="T27" s="59" t="s">
        <v>1492</v>
      </c>
      <c r="U27" s="549" t="s">
        <v>797</v>
      </c>
      <c r="V27" s="717" t="s">
        <v>950</v>
      </c>
      <c r="W27" s="725">
        <f>VLOOKUP(Table1[[#This Row],[TransCo Plant Name]],[1]FD!$B:$H,2,FALSE)</f>
        <v>42442</v>
      </c>
      <c r="X27" s="727">
        <f>Table1[[#This Row],[Start of FIT Elibility per COC]]-Table1[[#This Row],[Column2]]</f>
        <v>0</v>
      </c>
    </row>
    <row r="28" spans="1:24" s="4" customFormat="1" ht="30" customHeight="1" x14ac:dyDescent="0.25">
      <c r="A28" s="58"/>
      <c r="B28" s="5"/>
      <c r="C28" s="18"/>
      <c r="D28" s="18"/>
      <c r="E28" s="5"/>
      <c r="F28" s="19"/>
      <c r="G28" s="5"/>
      <c r="H28" s="551"/>
      <c r="I28" s="551"/>
      <c r="J28" s="551"/>
      <c r="K28" s="7"/>
      <c r="L28" s="8"/>
      <c r="M28" s="8"/>
      <c r="N28" s="8"/>
      <c r="O28" s="52"/>
      <c r="P28" s="52"/>
      <c r="Q28" s="9"/>
      <c r="R28" s="8"/>
      <c r="S28" s="59"/>
      <c r="T28" s="59"/>
      <c r="U28" s="549"/>
      <c r="V28" s="717"/>
      <c r="W28" s="725">
        <f>VLOOKUP(Table1[[#This Row],[RE Plant]],[1]FD!$B:$H,2,FALSE)</f>
        <v>0</v>
      </c>
      <c r="X28" s="727">
        <f>Table1[[#This Row],[Start of FIT Elibility per COC]]-Table1[[#This Row],[Column2]]</f>
        <v>0</v>
      </c>
    </row>
    <row r="29" spans="1:24" s="4" customFormat="1" ht="30" customHeight="1" x14ac:dyDescent="0.25">
      <c r="A29" s="58"/>
      <c r="B29" s="5"/>
      <c r="C29" s="18"/>
      <c r="D29" s="18"/>
      <c r="E29" s="5"/>
      <c r="F29" s="19"/>
      <c r="G29" s="5"/>
      <c r="H29" s="551"/>
      <c r="I29" s="551"/>
      <c r="J29" s="551"/>
      <c r="K29" s="7"/>
      <c r="L29" s="8"/>
      <c r="M29" s="8"/>
      <c r="N29" s="8"/>
      <c r="O29" s="52"/>
      <c r="P29" s="52"/>
      <c r="Q29" s="9"/>
      <c r="R29" s="8"/>
      <c r="S29" s="59"/>
      <c r="T29" s="59"/>
      <c r="U29" s="549"/>
      <c r="V29" s="717"/>
      <c r="W29" s="725">
        <f>VLOOKUP(Table1[[#This Row],[RE Plant]],[1]FD!$B:$H,2,FALSE)</f>
        <v>0</v>
      </c>
      <c r="X29" s="727">
        <f>Table1[[#This Row],[Start of FIT Elibility per COC]]-Table1[[#This Row],[Column2]]</f>
        <v>0</v>
      </c>
    </row>
    <row r="30" spans="1:24" s="4" customFormat="1" ht="30" customHeight="1" x14ac:dyDescent="0.25">
      <c r="A30" s="58" t="s">
        <v>7</v>
      </c>
      <c r="B30" s="5" t="s">
        <v>10</v>
      </c>
      <c r="C30" s="18" t="s">
        <v>49</v>
      </c>
      <c r="D30" s="18">
        <v>1</v>
      </c>
      <c r="E30" s="19" t="s">
        <v>13</v>
      </c>
      <c r="F30" s="19" t="s">
        <v>14</v>
      </c>
      <c r="G30" s="19" t="s">
        <v>131</v>
      </c>
      <c r="H30" s="551">
        <v>18.899999999999999</v>
      </c>
      <c r="I30" s="551">
        <v>18.899999999999999</v>
      </c>
      <c r="J30" s="551">
        <v>18.899999999999999</v>
      </c>
      <c r="K30" s="7"/>
      <c r="L30" s="8">
        <v>41922</v>
      </c>
      <c r="M30" s="8">
        <v>41922</v>
      </c>
      <c r="N30" s="8">
        <v>49226</v>
      </c>
      <c r="O30" s="52">
        <v>20</v>
      </c>
      <c r="P30" s="52" t="s">
        <v>299</v>
      </c>
      <c r="Q30" s="9">
        <v>42107</v>
      </c>
      <c r="R30" s="8">
        <v>42370</v>
      </c>
      <c r="S30" s="59">
        <v>8.5299999999999994</v>
      </c>
      <c r="T30" s="59" t="s">
        <v>1504</v>
      </c>
      <c r="U30" s="549" t="s">
        <v>797</v>
      </c>
      <c r="V30" s="717" t="s">
        <v>932</v>
      </c>
      <c r="W30" s="725">
        <f>VLOOKUP(Table1[[#This Row],[TransCo Plant Name]],[1]FD!$B:$H,2,FALSE)</f>
        <v>41922</v>
      </c>
      <c r="X30" s="727">
        <f>Table1[[#This Row],[Start of FIT Elibility per COC]]-Table1[[#This Row],[Column2]]</f>
        <v>0</v>
      </c>
    </row>
    <row r="31" spans="1:24" s="4" customFormat="1" ht="150" x14ac:dyDescent="0.25">
      <c r="A31" s="58" t="s">
        <v>7</v>
      </c>
      <c r="B31" s="5" t="s">
        <v>10</v>
      </c>
      <c r="C31" s="18" t="s">
        <v>49</v>
      </c>
      <c r="D31" s="18">
        <v>2</v>
      </c>
      <c r="E31" s="19" t="s">
        <v>11</v>
      </c>
      <c r="F31" s="19" t="s">
        <v>12</v>
      </c>
      <c r="G31" s="19" t="s">
        <v>132</v>
      </c>
      <c r="H31" s="551">
        <f>87+63</f>
        <v>150</v>
      </c>
      <c r="I31" s="551">
        <f>87+63</f>
        <v>150</v>
      </c>
      <c r="J31" s="551">
        <v>134.63999999999999</v>
      </c>
      <c r="K31" s="7"/>
      <c r="L31" s="8">
        <v>41954</v>
      </c>
      <c r="M31" s="8">
        <v>41954</v>
      </c>
      <c r="N31" s="8">
        <v>49258</v>
      </c>
      <c r="O31" s="52">
        <v>20</v>
      </c>
      <c r="P31" s="52" t="s">
        <v>300</v>
      </c>
      <c r="Q31" s="9">
        <v>42107</v>
      </c>
      <c r="R31" s="8">
        <v>42370</v>
      </c>
      <c r="S31" s="59">
        <v>8.5299999999999994</v>
      </c>
      <c r="T31" s="59" t="s">
        <v>1777</v>
      </c>
      <c r="U31" s="549" t="s">
        <v>797</v>
      </c>
      <c r="V31" s="717" t="s">
        <v>933</v>
      </c>
      <c r="W31" s="725">
        <f>VLOOKUP(Table1[[#This Row],[TransCo Plant Name]],[1]FD!$B:$H,2,FALSE)</f>
        <v>41954</v>
      </c>
      <c r="X31" s="727">
        <f>Table1[[#This Row],[Start of FIT Elibility per COC]]-Table1[[#This Row],[Column2]]</f>
        <v>0</v>
      </c>
    </row>
    <row r="32" spans="1:24" s="4" customFormat="1" ht="30" customHeight="1" x14ac:dyDescent="0.25">
      <c r="A32" s="58" t="s">
        <v>7</v>
      </c>
      <c r="B32" s="5" t="s">
        <v>10</v>
      </c>
      <c r="C32" s="18" t="s">
        <v>49</v>
      </c>
      <c r="D32" s="18">
        <v>3</v>
      </c>
      <c r="E32" s="19" t="s">
        <v>398</v>
      </c>
      <c r="F32" s="19" t="s">
        <v>15</v>
      </c>
      <c r="G32" s="19" t="s">
        <v>134</v>
      </c>
      <c r="H32" s="551">
        <v>81</v>
      </c>
      <c r="I32" s="551">
        <v>81</v>
      </c>
      <c r="J32" s="551">
        <v>81</v>
      </c>
      <c r="K32" s="7"/>
      <c r="L32" s="8">
        <v>41954</v>
      </c>
      <c r="M32" s="8">
        <v>41954</v>
      </c>
      <c r="N32" s="8">
        <v>49258</v>
      </c>
      <c r="O32" s="52">
        <v>20</v>
      </c>
      <c r="P32" s="52" t="s">
        <v>300</v>
      </c>
      <c r="Q32" s="9">
        <v>42107</v>
      </c>
      <c r="R32" s="8">
        <v>42370</v>
      </c>
      <c r="S32" s="59">
        <v>8.5299999999999994</v>
      </c>
      <c r="T32" s="59" t="s">
        <v>1689</v>
      </c>
      <c r="U32" s="549" t="s">
        <v>797</v>
      </c>
      <c r="V32" s="717" t="s">
        <v>934</v>
      </c>
      <c r="W32" s="725">
        <f>VLOOKUP(Table1[[#This Row],[TransCo Plant Name]],[1]FD!$B:$H,2,FALSE)</f>
        <v>41954</v>
      </c>
      <c r="X32" s="727">
        <f>Table1[[#This Row],[Start of FIT Elibility per COC]]-Table1[[#This Row],[Column2]]</f>
        <v>0</v>
      </c>
    </row>
    <row r="33" spans="1:26" s="4" customFormat="1" ht="30" customHeight="1" x14ac:dyDescent="0.25">
      <c r="A33" s="58"/>
      <c r="B33" s="5"/>
      <c r="C33" s="18"/>
      <c r="D33" s="18"/>
      <c r="E33" s="19"/>
      <c r="F33" s="19"/>
      <c r="G33" s="19"/>
      <c r="H33" s="551"/>
      <c r="I33" s="551"/>
      <c r="J33" s="551"/>
      <c r="K33" s="7"/>
      <c r="L33" s="8"/>
      <c r="M33" s="8"/>
      <c r="N33" s="8"/>
      <c r="O33" s="52"/>
      <c r="P33" s="52"/>
      <c r="Q33" s="9"/>
      <c r="R33" s="8"/>
      <c r="S33" s="59"/>
      <c r="T33" s="59"/>
      <c r="U33" s="549"/>
      <c r="V33" s="717"/>
      <c r="W33" s="725">
        <f>VLOOKUP(Table1[[#This Row],[RE Plant]],[1]FD!$B:$H,2,FALSE)</f>
        <v>0</v>
      </c>
      <c r="X33" s="727">
        <f>Table1[[#This Row],[Start of FIT Elibility per COC]]-Table1[[#This Row],[Column2]]</f>
        <v>0</v>
      </c>
    </row>
    <row r="34" spans="1:26" s="4" customFormat="1" ht="30" customHeight="1" x14ac:dyDescent="0.25">
      <c r="A34" s="58" t="s">
        <v>7</v>
      </c>
      <c r="B34" s="5" t="s">
        <v>10</v>
      </c>
      <c r="C34" s="18" t="s">
        <v>50</v>
      </c>
      <c r="D34" s="18">
        <v>6</v>
      </c>
      <c r="E34" s="19" t="s">
        <v>850</v>
      </c>
      <c r="F34" s="19" t="s">
        <v>19</v>
      </c>
      <c r="G34" s="19" t="s">
        <v>137</v>
      </c>
      <c r="H34" s="551">
        <v>54</v>
      </c>
      <c r="I34" s="551">
        <v>54</v>
      </c>
      <c r="J34" s="551">
        <v>54</v>
      </c>
      <c r="K34" s="7"/>
      <c r="L34" s="8">
        <v>42164</v>
      </c>
      <c r="M34" s="8">
        <v>42164</v>
      </c>
      <c r="N34" s="8">
        <v>49468</v>
      </c>
      <c r="O34" s="52">
        <v>20</v>
      </c>
      <c r="P34" s="52" t="s">
        <v>303</v>
      </c>
      <c r="Q34" s="9">
        <v>42339</v>
      </c>
      <c r="R34" s="8">
        <v>42530</v>
      </c>
      <c r="S34" s="59">
        <v>7.4</v>
      </c>
      <c r="T34" s="59" t="s">
        <v>849</v>
      </c>
      <c r="U34" s="549" t="s">
        <v>797</v>
      </c>
      <c r="V34" s="717" t="s">
        <v>937</v>
      </c>
      <c r="W34" s="725">
        <f>VLOOKUP(Table1[[#This Row],[TransCo Plant Name]],[1]FD!$B:$H,2,FALSE)</f>
        <v>42164</v>
      </c>
      <c r="X34" s="727">
        <f>Table1[[#This Row],[Start of FIT Elibility per COC]]-Table1[[#This Row],[Column2]]</f>
        <v>0</v>
      </c>
    </row>
    <row r="35" spans="1:26" s="4" customFormat="1" ht="30" customHeight="1" x14ac:dyDescent="0.25">
      <c r="A35" s="58" t="s">
        <v>32</v>
      </c>
      <c r="B35" s="5" t="s">
        <v>10</v>
      </c>
      <c r="C35" s="18" t="s">
        <v>50</v>
      </c>
      <c r="D35" s="18">
        <v>4</v>
      </c>
      <c r="E35" s="19" t="s">
        <v>867</v>
      </c>
      <c r="F35" s="19" t="s">
        <v>17</v>
      </c>
      <c r="G35" s="19" t="s">
        <v>135</v>
      </c>
      <c r="H35" s="551">
        <v>54</v>
      </c>
      <c r="I35" s="551">
        <v>54</v>
      </c>
      <c r="J35" s="551">
        <v>51</v>
      </c>
      <c r="K35" s="7"/>
      <c r="L35" s="8">
        <v>42000</v>
      </c>
      <c r="M35" s="8">
        <v>42000</v>
      </c>
      <c r="N35" s="8">
        <v>49304</v>
      </c>
      <c r="O35" s="52">
        <v>20</v>
      </c>
      <c r="P35" s="52" t="s">
        <v>301</v>
      </c>
      <c r="Q35" s="9">
        <v>45688</v>
      </c>
      <c r="R35" s="8">
        <v>42370</v>
      </c>
      <c r="S35" s="59">
        <v>7.4</v>
      </c>
      <c r="T35" s="59" t="s">
        <v>888</v>
      </c>
      <c r="U35" s="549" t="s">
        <v>797</v>
      </c>
      <c r="V35" s="717" t="s">
        <v>935</v>
      </c>
      <c r="W35" s="725">
        <f>VLOOKUP(Table1[[#This Row],[TransCo Plant Name]],[1]FD!$B:$H,2,FALSE)</f>
        <v>42000</v>
      </c>
      <c r="X35" s="727">
        <f>Table1[[#This Row],[Start of FIT Elibility per COC]]-Table1[[#This Row],[Column2]]</f>
        <v>0</v>
      </c>
    </row>
    <row r="36" spans="1:26" s="4" customFormat="1" ht="30" customHeight="1" x14ac:dyDescent="0.25">
      <c r="A36" s="58" t="s">
        <v>32</v>
      </c>
      <c r="B36" s="5" t="s">
        <v>10</v>
      </c>
      <c r="C36" s="18" t="s">
        <v>50</v>
      </c>
      <c r="D36" s="18">
        <v>5</v>
      </c>
      <c r="E36" s="19" t="s">
        <v>20</v>
      </c>
      <c r="F36" s="19" t="s">
        <v>21</v>
      </c>
      <c r="G36" s="19" t="s">
        <v>136</v>
      </c>
      <c r="H36" s="551">
        <v>36</v>
      </c>
      <c r="I36" s="551">
        <v>36</v>
      </c>
      <c r="J36" s="551">
        <v>36</v>
      </c>
      <c r="K36" s="7"/>
      <c r="L36" s="8">
        <v>42165</v>
      </c>
      <c r="M36" s="8">
        <v>42165</v>
      </c>
      <c r="N36" s="8">
        <v>49469</v>
      </c>
      <c r="O36" s="52">
        <v>20</v>
      </c>
      <c r="P36" s="52" t="s">
        <v>302</v>
      </c>
      <c r="Q36" s="9">
        <v>42339</v>
      </c>
      <c r="R36" s="8">
        <v>42531</v>
      </c>
      <c r="S36" s="59">
        <v>7.4</v>
      </c>
      <c r="T36" s="59" t="s">
        <v>1503</v>
      </c>
      <c r="U36" s="549" t="s">
        <v>797</v>
      </c>
      <c r="V36" s="717" t="s">
        <v>936</v>
      </c>
      <c r="W36" s="725">
        <f>VLOOKUP(Table1[[#This Row],[TransCo Plant Name]],[1]FD!$B:$H,2,FALSE)</f>
        <v>42165</v>
      </c>
      <c r="X36" s="727">
        <f>Table1[[#This Row],[Start of FIT Elibility per COC]]-Table1[[#This Row],[Column2]]</f>
        <v>0</v>
      </c>
    </row>
    <row r="37" spans="1:26" s="4" customFormat="1" ht="30" customHeight="1" x14ac:dyDescent="0.25">
      <c r="A37" s="58"/>
      <c r="B37" s="5"/>
      <c r="C37" s="18"/>
      <c r="D37" s="18"/>
      <c r="E37" s="19"/>
      <c r="F37" s="19"/>
      <c r="G37" s="19"/>
      <c r="H37" s="551"/>
      <c r="I37" s="551"/>
      <c r="J37" s="551"/>
      <c r="K37" s="7"/>
      <c r="L37" s="8"/>
      <c r="M37" s="8"/>
      <c r="N37" s="8"/>
      <c r="O37" s="52"/>
      <c r="P37" s="52"/>
      <c r="Q37" s="9"/>
      <c r="R37" s="8"/>
      <c r="S37" s="59"/>
      <c r="T37" s="59"/>
      <c r="U37" s="549"/>
      <c r="V37" s="717"/>
      <c r="W37" s="725">
        <f>VLOOKUP(Table1[[#This Row],[RE Plant]],[1]FD!$B:$H,2,FALSE)</f>
        <v>0</v>
      </c>
      <c r="X37" s="727">
        <f>Table1[[#This Row],[Start of FIT Elibility per COC]]-Table1[[#This Row],[Column2]]</f>
        <v>0</v>
      </c>
    </row>
    <row r="38" spans="1:26" s="4" customFormat="1" ht="30" customHeight="1" x14ac:dyDescent="0.25">
      <c r="A38" s="58" t="s">
        <v>7</v>
      </c>
      <c r="B38" s="5" t="s">
        <v>10</v>
      </c>
      <c r="C38" s="18" t="s">
        <v>138</v>
      </c>
      <c r="D38" s="18">
        <v>7</v>
      </c>
      <c r="E38" s="19" t="s">
        <v>22</v>
      </c>
      <c r="F38" s="19" t="s">
        <v>209</v>
      </c>
      <c r="G38" s="19" t="s">
        <v>131</v>
      </c>
      <c r="H38" s="551">
        <v>33</v>
      </c>
      <c r="I38" s="551"/>
      <c r="J38" s="551">
        <v>21.45</v>
      </c>
      <c r="K38" s="7"/>
      <c r="L38" s="8">
        <v>42205</v>
      </c>
      <c r="M38" s="8">
        <v>42205</v>
      </c>
      <c r="N38" s="8">
        <v>45812</v>
      </c>
      <c r="O38" s="52">
        <v>10</v>
      </c>
      <c r="P38" s="52" t="s">
        <v>304</v>
      </c>
      <c r="Q38" s="9">
        <v>42107</v>
      </c>
      <c r="R38" s="8">
        <v>42571</v>
      </c>
      <c r="S38" s="59">
        <v>5.96</v>
      </c>
      <c r="T38" s="59" t="s">
        <v>1502</v>
      </c>
      <c r="U38" s="747" t="s">
        <v>985</v>
      </c>
      <c r="V38" s="717" t="s">
        <v>938</v>
      </c>
      <c r="W38" s="725">
        <f>VLOOKUP(Table1[[#This Row],[TransCo Plant Name]],[1]FD!$B:$H,2,FALSE)</f>
        <v>42175</v>
      </c>
      <c r="X38" s="727">
        <f>Table1[[#This Row],[Start of FIT Elibility per COC]]-Table1[[#This Row],[Column2]]</f>
        <v>30</v>
      </c>
      <c r="Y38" s="992" t="s">
        <v>981</v>
      </c>
    </row>
    <row r="39" spans="1:26" s="4" customFormat="1" ht="30" customHeight="1" x14ac:dyDescent="0.25">
      <c r="A39" s="58"/>
      <c r="B39" s="5"/>
      <c r="C39" s="18"/>
      <c r="D39" s="18"/>
      <c r="E39" s="19"/>
      <c r="F39" s="19"/>
      <c r="G39" s="19"/>
      <c r="H39" s="551"/>
      <c r="I39" s="551"/>
      <c r="J39" s="551"/>
      <c r="K39" s="7"/>
      <c r="L39" s="8"/>
      <c r="M39" s="8"/>
      <c r="N39" s="8"/>
      <c r="O39" s="52"/>
      <c r="P39" s="52"/>
      <c r="Q39" s="9"/>
      <c r="R39" s="8"/>
      <c r="S39" s="59"/>
      <c r="T39" s="59"/>
      <c r="U39" s="747"/>
      <c r="V39" s="717"/>
      <c r="W39" s="725">
        <f>VLOOKUP(Table1[[#This Row],[RE Plant]],[1]FD!$B:$H,2,FALSE)</f>
        <v>0</v>
      </c>
      <c r="X39" s="727">
        <f>Table1[[#This Row],[Start of FIT Elibility per COC]]-Table1[[#This Row],[Column2]]</f>
        <v>0</v>
      </c>
      <c r="Y39" s="992"/>
    </row>
    <row r="40" spans="1:26" s="4" customFormat="1" ht="30" customHeight="1" x14ac:dyDescent="0.25">
      <c r="A40" s="58"/>
      <c r="B40" s="5"/>
      <c r="C40" s="18"/>
      <c r="D40" s="18"/>
      <c r="E40" s="19"/>
      <c r="F40" s="19"/>
      <c r="G40" s="19"/>
      <c r="H40" s="551"/>
      <c r="I40" s="551"/>
      <c r="J40" s="551"/>
      <c r="K40" s="7"/>
      <c r="L40" s="8"/>
      <c r="M40" s="8"/>
      <c r="N40" s="8"/>
      <c r="O40" s="52"/>
      <c r="P40" s="52"/>
      <c r="Q40" s="9"/>
      <c r="R40" s="8"/>
      <c r="S40" s="59"/>
      <c r="T40" s="59"/>
      <c r="U40" s="747"/>
      <c r="V40" s="717"/>
      <c r="W40" s="725">
        <f>VLOOKUP(Table1[[#This Row],[RE Plant]],[1]FD!$B:$H,2,FALSE)</f>
        <v>0</v>
      </c>
      <c r="X40" s="727">
        <f>Table1[[#This Row],[Start of FIT Elibility per COC]]-Table1[[#This Row],[Column2]]</f>
        <v>0</v>
      </c>
      <c r="Y40" s="992"/>
    </row>
    <row r="41" spans="1:26" s="4" customFormat="1" ht="30" customHeight="1" x14ac:dyDescent="0.2">
      <c r="A41" s="58"/>
      <c r="B41" s="5"/>
      <c r="C41" s="18"/>
      <c r="D41" s="18"/>
      <c r="E41" s="19"/>
      <c r="F41" s="19"/>
      <c r="G41" s="19"/>
      <c r="H41" s="551"/>
      <c r="I41" s="598"/>
      <c r="J41" s="598"/>
      <c r="K41" s="44"/>
      <c r="L41" s="8"/>
      <c r="M41" s="8"/>
      <c r="N41" s="8"/>
      <c r="O41" s="52"/>
      <c r="P41" s="52"/>
      <c r="Q41" s="9"/>
      <c r="R41" s="8"/>
      <c r="S41" s="60"/>
      <c r="T41" s="60"/>
      <c r="U41" s="549"/>
      <c r="V41" s="732"/>
      <c r="W41" s="725">
        <f>VLOOKUP(Table1[[#This Row],[RE Plant]],[1]FD!$B:$H,2,FALSE)</f>
        <v>0</v>
      </c>
      <c r="X41" s="729">
        <f>Table1[[#This Row],[Start of FIT Elibility per COC]]-Table1[[#This Row],[Column2]]</f>
        <v>0</v>
      </c>
    </row>
    <row r="42" spans="1:26" s="4" customFormat="1" ht="30" customHeight="1" x14ac:dyDescent="0.25">
      <c r="A42" s="58" t="s">
        <v>7</v>
      </c>
      <c r="B42" s="5" t="s">
        <v>44</v>
      </c>
      <c r="C42" s="18" t="s">
        <v>49</v>
      </c>
      <c r="D42" s="18">
        <v>1</v>
      </c>
      <c r="E42" s="5" t="s">
        <v>34</v>
      </c>
      <c r="F42" s="19" t="s">
        <v>143</v>
      </c>
      <c r="G42" s="19" t="s">
        <v>144</v>
      </c>
      <c r="H42" s="551">
        <v>12</v>
      </c>
      <c r="I42" s="551">
        <v>12</v>
      </c>
      <c r="J42" s="551">
        <v>12</v>
      </c>
      <c r="K42" s="7"/>
      <c r="L42" s="8">
        <v>41945</v>
      </c>
      <c r="M42" s="8">
        <v>41945</v>
      </c>
      <c r="N42" s="8">
        <v>49249</v>
      </c>
      <c r="O42" s="52">
        <v>20</v>
      </c>
      <c r="P42" s="52" t="s">
        <v>312</v>
      </c>
      <c r="Q42" s="26">
        <v>45768</v>
      </c>
      <c r="R42" s="8">
        <v>42370</v>
      </c>
      <c r="S42" s="59">
        <v>6.63</v>
      </c>
      <c r="T42" s="59" t="s">
        <v>1752</v>
      </c>
      <c r="U42" s="549" t="s">
        <v>797</v>
      </c>
      <c r="V42" s="717"/>
      <c r="W42" s="725">
        <f>VLOOKUP("SJCi Power Rice Husk-Fired Biomass Power Plant Project",[1]FD!$B:$H,2,FALSE)</f>
        <v>41945</v>
      </c>
      <c r="X42" s="729">
        <f>Table1[[#This Row],[Start of FIT Elibility per COC]]-Table1[[#This Row],[Column2]]</f>
        <v>0</v>
      </c>
    </row>
    <row r="43" spans="1:26" s="67" customFormat="1" ht="30" customHeight="1" x14ac:dyDescent="0.25">
      <c r="A43" s="58" t="s">
        <v>7</v>
      </c>
      <c r="B43" s="5" t="s">
        <v>44</v>
      </c>
      <c r="C43" s="18" t="s">
        <v>49</v>
      </c>
      <c r="D43" s="18">
        <v>2</v>
      </c>
      <c r="E43" s="5" t="s">
        <v>36</v>
      </c>
      <c r="F43" s="19" t="s">
        <v>145</v>
      </c>
      <c r="G43" s="19" t="s">
        <v>146</v>
      </c>
      <c r="H43" s="598">
        <v>6.37</v>
      </c>
      <c r="I43" s="551">
        <v>8.19</v>
      </c>
      <c r="J43" s="551">
        <v>2.1749999999999998</v>
      </c>
      <c r="K43" s="44"/>
      <c r="L43" s="8">
        <v>42170</v>
      </c>
      <c r="M43" s="8">
        <v>42170</v>
      </c>
      <c r="N43" s="8">
        <v>47157</v>
      </c>
      <c r="O43" s="52">
        <v>14</v>
      </c>
      <c r="P43" s="52" t="s">
        <v>313</v>
      </c>
      <c r="Q43" s="26">
        <v>42170</v>
      </c>
      <c r="R43" s="8">
        <v>42536</v>
      </c>
      <c r="S43" s="59">
        <v>6.63</v>
      </c>
      <c r="T43" s="59" t="s">
        <v>866</v>
      </c>
      <c r="U43" s="549" t="s">
        <v>864</v>
      </c>
      <c r="V43" s="717"/>
      <c r="W43" s="725">
        <f>VLOOKUP("Montalban Landfill Methane Recovery and Electricity Generation",[1]FD!$B:$H,2,FALSE)</f>
        <v>42170</v>
      </c>
      <c r="X43" s="729">
        <f>Table1[[#This Row],[Start of FIT Elibility per COC]]-Table1[[#This Row],[Column2]]</f>
        <v>0</v>
      </c>
      <c r="Y43" s="4"/>
      <c r="Z43" s="89"/>
    </row>
    <row r="44" spans="1:26" s="67" customFormat="1" ht="30" customHeight="1" x14ac:dyDescent="0.25">
      <c r="A44" s="58" t="s">
        <v>7</v>
      </c>
      <c r="B44" s="5" t="s">
        <v>44</v>
      </c>
      <c r="C44" s="18" t="s">
        <v>49</v>
      </c>
      <c r="D44" s="18">
        <v>3</v>
      </c>
      <c r="E44" s="19" t="s">
        <v>33</v>
      </c>
      <c r="F44" s="19" t="s">
        <v>147</v>
      </c>
      <c r="G44" s="19" t="s">
        <v>148</v>
      </c>
      <c r="H44" s="551">
        <v>0.64</v>
      </c>
      <c r="I44" s="561">
        <v>0.876</v>
      </c>
      <c r="J44" s="561">
        <v>0.876</v>
      </c>
      <c r="K44" s="45"/>
      <c r="L44" s="8">
        <v>41338</v>
      </c>
      <c r="M44" s="25">
        <v>42170</v>
      </c>
      <c r="N44" s="25">
        <v>48642</v>
      </c>
      <c r="O44" s="495">
        <v>20</v>
      </c>
      <c r="P44" s="495" t="s">
        <v>323</v>
      </c>
      <c r="Q44" s="26">
        <v>42170</v>
      </c>
      <c r="R44" s="25">
        <v>42370</v>
      </c>
      <c r="S44" s="59">
        <v>6.63</v>
      </c>
      <c r="T44" s="59" t="s">
        <v>1494</v>
      </c>
      <c r="U44" s="549" t="s">
        <v>797</v>
      </c>
      <c r="V44" s="717"/>
      <c r="W44" s="725">
        <f>VLOOKUP("Payatas Landfill Methane Recovery and Power Generation Facility",[1]FD!$B:$H,2,FALSE)</f>
        <v>42170</v>
      </c>
      <c r="X44" s="729">
        <f>Table1[[#This Row],[Start of FIT Elibility per COC]]-Table1[[#This Row],[Column2]]</f>
        <v>0</v>
      </c>
      <c r="Y44" s="4"/>
      <c r="Z44" s="89"/>
    </row>
    <row r="45" spans="1:26" s="67" customFormat="1" ht="30" customHeight="1" x14ac:dyDescent="0.25">
      <c r="A45" s="958" t="s">
        <v>7</v>
      </c>
      <c r="B45" s="534" t="s">
        <v>44</v>
      </c>
      <c r="C45" s="535" t="s">
        <v>49</v>
      </c>
      <c r="D45" s="18">
        <v>4</v>
      </c>
      <c r="E45" s="534" t="s">
        <v>43</v>
      </c>
      <c r="F45" s="534" t="s">
        <v>149</v>
      </c>
      <c r="G45" s="534" t="s">
        <v>150</v>
      </c>
      <c r="H45" s="555">
        <v>3.6</v>
      </c>
      <c r="I45" s="555">
        <v>3.6</v>
      </c>
      <c r="J45" s="555">
        <v>3.6</v>
      </c>
      <c r="K45" s="7"/>
      <c r="L45" s="538">
        <v>39717</v>
      </c>
      <c r="M45" s="538">
        <v>42170</v>
      </c>
      <c r="N45" s="538">
        <v>47021</v>
      </c>
      <c r="O45" s="539">
        <v>13</v>
      </c>
      <c r="P45" s="539" t="s">
        <v>314</v>
      </c>
      <c r="Q45" s="553">
        <v>42170</v>
      </c>
      <c r="R45" s="554">
        <v>42370</v>
      </c>
      <c r="S45" s="981">
        <v>6.63</v>
      </c>
      <c r="T45" s="981" t="s">
        <v>1402</v>
      </c>
      <c r="U45" s="989" t="s">
        <v>803</v>
      </c>
      <c r="V45" s="720"/>
      <c r="W45" s="723" t="e">
        <f>VLOOKUP(Table1[[#This Row],[RE Plant]],[1]FD!$B:$H,2,FALSE)</f>
        <v>#N/A</v>
      </c>
      <c r="X45" s="728" t="e">
        <f>Table1[[#This Row],[Start of FIT Elibility per COC]]-Table1[[#This Row],[Column2]]</f>
        <v>#N/A</v>
      </c>
      <c r="Y45" s="4" t="s">
        <v>918</v>
      </c>
      <c r="Z45" s="89"/>
    </row>
    <row r="46" spans="1:26" s="67" customFormat="1" ht="30" customHeight="1" x14ac:dyDescent="0.25">
      <c r="A46" s="58" t="s">
        <v>7</v>
      </c>
      <c r="B46" s="5" t="s">
        <v>44</v>
      </c>
      <c r="C46" s="18" t="s">
        <v>49</v>
      </c>
      <c r="D46" s="18">
        <v>5</v>
      </c>
      <c r="E46" s="5" t="s">
        <v>37</v>
      </c>
      <c r="F46" s="19" t="s">
        <v>153</v>
      </c>
      <c r="G46" s="19" t="s">
        <v>190</v>
      </c>
      <c r="H46" s="551">
        <v>12.5</v>
      </c>
      <c r="I46" s="551">
        <v>12.5</v>
      </c>
      <c r="J46" s="551">
        <v>11.1</v>
      </c>
      <c r="K46" s="7"/>
      <c r="L46" s="8">
        <v>42195</v>
      </c>
      <c r="M46" s="27">
        <v>42195</v>
      </c>
      <c r="N46" s="27">
        <v>49499</v>
      </c>
      <c r="O46" s="496">
        <v>20</v>
      </c>
      <c r="P46" s="52" t="s">
        <v>317</v>
      </c>
      <c r="Q46" s="26">
        <v>42334</v>
      </c>
      <c r="R46" s="27">
        <v>42561</v>
      </c>
      <c r="S46" s="59">
        <v>6.63</v>
      </c>
      <c r="T46" s="59" t="s">
        <v>1731</v>
      </c>
      <c r="U46" s="549" t="s">
        <v>797</v>
      </c>
      <c r="V46" s="717"/>
      <c r="W46" s="725">
        <f>VLOOKUP("Bataan 2020 Rice hull-fired Cogen Plant",[1]FD!$B:$H,2,FALSE)</f>
        <v>42195</v>
      </c>
      <c r="X46" s="729">
        <f>Table1[[#This Row],[Start of FIT Elibility per COC]]-Table1[[#This Row],[Column2]]</f>
        <v>0</v>
      </c>
      <c r="Y46" s="4"/>
      <c r="Z46" s="89"/>
    </row>
    <row r="47" spans="1:26" s="67" customFormat="1" ht="30" customHeight="1" x14ac:dyDescent="0.25">
      <c r="A47" s="58" t="s">
        <v>7</v>
      </c>
      <c r="B47" s="5" t="s">
        <v>44</v>
      </c>
      <c r="C47" s="18" t="s">
        <v>49</v>
      </c>
      <c r="D47" s="18">
        <v>6</v>
      </c>
      <c r="E47" s="5" t="s">
        <v>154</v>
      </c>
      <c r="F47" s="19" t="s">
        <v>155</v>
      </c>
      <c r="G47" s="19" t="s">
        <v>156</v>
      </c>
      <c r="H47" s="551">
        <v>20</v>
      </c>
      <c r="I47" s="551">
        <v>20</v>
      </c>
      <c r="J47" s="551">
        <v>18</v>
      </c>
      <c r="K47" s="7"/>
      <c r="L47" s="8">
        <v>42283</v>
      </c>
      <c r="M47" s="27">
        <v>42283</v>
      </c>
      <c r="N47" s="8">
        <v>49587</v>
      </c>
      <c r="O47" s="52">
        <v>20</v>
      </c>
      <c r="P47" s="52" t="s">
        <v>318</v>
      </c>
      <c r="Q47" s="28">
        <v>45676</v>
      </c>
      <c r="R47" s="8">
        <v>42649</v>
      </c>
      <c r="S47" s="59">
        <v>6.63</v>
      </c>
      <c r="T47" s="59" t="s">
        <v>1732</v>
      </c>
      <c r="U47" s="549" t="s">
        <v>797</v>
      </c>
      <c r="V47" s="717"/>
      <c r="W47" s="725">
        <f>VLOOKUP("IBEC Rice Husk-Fired Biomass Power Plant",[1]FD!$B:$H,2,FALSE)</f>
        <v>42283</v>
      </c>
      <c r="X47" s="729">
        <f>Table1[[#This Row],[Start of FIT Elibility per COC]]-Table1[[#This Row],[Column2]]</f>
        <v>0</v>
      </c>
      <c r="Y47" s="4"/>
      <c r="Z47" s="89"/>
    </row>
    <row r="48" spans="1:26" s="67" customFormat="1" ht="30" customHeight="1" x14ac:dyDescent="0.25">
      <c r="A48" s="58" t="s">
        <v>7</v>
      </c>
      <c r="B48" s="5" t="s">
        <v>44</v>
      </c>
      <c r="C48" s="18" t="s">
        <v>49</v>
      </c>
      <c r="D48" s="18">
        <v>7</v>
      </c>
      <c r="E48" s="5" t="s">
        <v>38</v>
      </c>
      <c r="F48" s="19" t="s">
        <v>160</v>
      </c>
      <c r="G48" s="19" t="s">
        <v>161</v>
      </c>
      <c r="H48" s="551">
        <v>19.809999999999999</v>
      </c>
      <c r="I48" s="551">
        <v>19.809999999999999</v>
      </c>
      <c r="J48" s="551">
        <v>14</v>
      </c>
      <c r="K48" s="8"/>
      <c r="L48" s="8">
        <v>41243</v>
      </c>
      <c r="M48" s="8">
        <v>41243</v>
      </c>
      <c r="N48" s="8">
        <v>48547</v>
      </c>
      <c r="O48" s="52">
        <v>20</v>
      </c>
      <c r="P48" s="26" t="s">
        <v>316</v>
      </c>
      <c r="Q48" s="7" t="s">
        <v>902</v>
      </c>
      <c r="R48" s="8">
        <v>42370</v>
      </c>
      <c r="S48" s="59">
        <v>6.63</v>
      </c>
      <c r="T48" s="986" t="s">
        <v>903</v>
      </c>
      <c r="U48" s="549" t="s">
        <v>797</v>
      </c>
      <c r="V48" s="717"/>
      <c r="W48" s="725">
        <f>VLOOKUP("GFII Bagasse-fired Cogeneration Power Plant",[1]FD!$B:$H,2,FALSE)</f>
        <v>41243</v>
      </c>
      <c r="X48" s="729">
        <f>Table1[[#This Row],[Start of FIT Elibility per COC]]-Table1[[#This Row],[Column2]]</f>
        <v>0</v>
      </c>
      <c r="Y48" s="961"/>
      <c r="Z48" s="89"/>
    </row>
    <row r="49" spans="1:26" s="67" customFormat="1" ht="30" customHeight="1" x14ac:dyDescent="0.25">
      <c r="A49" s="58" t="s">
        <v>7</v>
      </c>
      <c r="B49" s="5" t="s">
        <v>44</v>
      </c>
      <c r="C49" s="18" t="s">
        <v>49</v>
      </c>
      <c r="D49" s="18">
        <v>8</v>
      </c>
      <c r="E49" s="5" t="s">
        <v>40</v>
      </c>
      <c r="F49" s="5" t="s">
        <v>162</v>
      </c>
      <c r="G49" s="5" t="s">
        <v>163</v>
      </c>
      <c r="H49" s="551">
        <v>12</v>
      </c>
      <c r="I49" s="551">
        <v>12</v>
      </c>
      <c r="J49" s="551">
        <v>10.8</v>
      </c>
      <c r="K49" s="7"/>
      <c r="L49" s="8">
        <v>42427</v>
      </c>
      <c r="M49" s="8">
        <v>42427</v>
      </c>
      <c r="N49" s="8">
        <v>49731</v>
      </c>
      <c r="O49" s="52">
        <v>20</v>
      </c>
      <c r="P49" s="52" t="s">
        <v>320</v>
      </c>
      <c r="Q49" s="24" t="s">
        <v>164</v>
      </c>
      <c r="R49" s="8">
        <v>42793</v>
      </c>
      <c r="S49" s="59">
        <v>6.63</v>
      </c>
      <c r="T49" s="59" t="s">
        <v>1682</v>
      </c>
      <c r="U49" s="549" t="s">
        <v>797</v>
      </c>
      <c r="V49" s="717"/>
      <c r="W49" s="725">
        <f>VLOOKUP("GIFT Rice Husk-Fired Biomass Power Plant Project",[1]FD!$B:$H,2,FALSE)</f>
        <v>42427</v>
      </c>
      <c r="X49" s="729">
        <f>Table1[[#This Row],[Start of FIT Elibility per COC]]-Table1[[#This Row],[Column2]]</f>
        <v>0</v>
      </c>
      <c r="Y49" s="4"/>
      <c r="Z49" s="89"/>
    </row>
    <row r="50" spans="1:26" s="67" customFormat="1" ht="30" customHeight="1" x14ac:dyDescent="0.25">
      <c r="A50" s="58" t="s">
        <v>7</v>
      </c>
      <c r="B50" s="5" t="s">
        <v>44</v>
      </c>
      <c r="C50" s="18" t="s">
        <v>49</v>
      </c>
      <c r="D50" s="18">
        <v>9</v>
      </c>
      <c r="E50" s="5" t="s">
        <v>41</v>
      </c>
      <c r="F50" s="5" t="s">
        <v>165</v>
      </c>
      <c r="G50" s="5" t="s">
        <v>166</v>
      </c>
      <c r="H50" s="551">
        <v>5</v>
      </c>
      <c r="I50" s="551">
        <v>5</v>
      </c>
      <c r="J50" s="551">
        <v>4.4000000000000004</v>
      </c>
      <c r="K50" s="7"/>
      <c r="L50" s="8">
        <v>42653</v>
      </c>
      <c r="M50" s="8">
        <v>42653</v>
      </c>
      <c r="N50" s="8">
        <v>49957</v>
      </c>
      <c r="O50" s="52">
        <v>20</v>
      </c>
      <c r="P50" s="52" t="s">
        <v>321</v>
      </c>
      <c r="Q50" s="26">
        <v>42821</v>
      </c>
      <c r="R50" s="8">
        <v>43018</v>
      </c>
      <c r="S50" s="59">
        <v>6.63</v>
      </c>
      <c r="T50" s="59" t="s">
        <v>1734</v>
      </c>
      <c r="U50" s="549" t="s">
        <v>797</v>
      </c>
      <c r="V50" s="717"/>
      <c r="W50" s="725">
        <f>VLOOKUP("BBEC Rice Husk-Fired  Biomass Power  Plant Project",[1]FD!$B:$H,2,FALSE)</f>
        <v>42653</v>
      </c>
      <c r="X50" s="729">
        <f>Table1[[#This Row],[Start of FIT Elibility per COC]]-Table1[[#This Row],[Column2]]</f>
        <v>0</v>
      </c>
      <c r="Y50" s="4"/>
      <c r="Z50" s="89"/>
    </row>
    <row r="51" spans="1:26" s="4" customFormat="1" ht="30" customHeight="1" x14ac:dyDescent="0.25">
      <c r="A51" s="958" t="s">
        <v>7</v>
      </c>
      <c r="B51" s="534" t="s">
        <v>44</v>
      </c>
      <c r="C51" s="535" t="s">
        <v>49</v>
      </c>
      <c r="D51" s="18">
        <v>10</v>
      </c>
      <c r="E51" s="534" t="s">
        <v>169</v>
      </c>
      <c r="F51" s="536" t="s">
        <v>170</v>
      </c>
      <c r="G51" s="536" t="s">
        <v>171</v>
      </c>
      <c r="H51" s="555">
        <v>8.8000000000000007</v>
      </c>
      <c r="I51" s="555">
        <v>8.8000000000000007</v>
      </c>
      <c r="J51" s="555">
        <v>2.21</v>
      </c>
      <c r="K51" s="537"/>
      <c r="L51" s="538">
        <v>42718</v>
      </c>
      <c r="M51" s="538">
        <v>42718</v>
      </c>
      <c r="N51" s="538">
        <v>50022</v>
      </c>
      <c r="O51" s="539">
        <v>20</v>
      </c>
      <c r="P51" s="539" t="s">
        <v>322</v>
      </c>
      <c r="Q51" s="540">
        <v>43033</v>
      </c>
      <c r="R51" s="538">
        <v>43083</v>
      </c>
      <c r="S51" s="981">
        <v>6.63</v>
      </c>
      <c r="T51" s="983" t="s">
        <v>626</v>
      </c>
      <c r="U51" s="989" t="s">
        <v>803</v>
      </c>
      <c r="V51" s="720"/>
      <c r="W51" s="723">
        <f>VLOOKUP("ASEAGAS Biomass Power Plant Project",[1]FD!$B:$H,2,FALSE)</f>
        <v>42718</v>
      </c>
      <c r="X51" s="728">
        <f>Table1[[#This Row],[Start of FIT Elibility per COC]]-Table1[[#This Row],[Column2]]</f>
        <v>0</v>
      </c>
    </row>
    <row r="52" spans="1:26" s="4" customFormat="1" ht="30" customHeight="1" x14ac:dyDescent="0.25">
      <c r="A52" s="58" t="s">
        <v>32</v>
      </c>
      <c r="B52" s="5" t="s">
        <v>44</v>
      </c>
      <c r="C52" s="18" t="s">
        <v>49</v>
      </c>
      <c r="D52" s="18">
        <v>11</v>
      </c>
      <c r="E52" s="19" t="s">
        <v>35</v>
      </c>
      <c r="F52" s="19" t="s">
        <v>151</v>
      </c>
      <c r="G52" s="19" t="s">
        <v>152</v>
      </c>
      <c r="H52" s="551">
        <v>21.76</v>
      </c>
      <c r="I52" s="551">
        <v>21.76</v>
      </c>
      <c r="J52" s="551">
        <v>8</v>
      </c>
      <c r="K52" s="7"/>
      <c r="L52" s="8">
        <v>40060</v>
      </c>
      <c r="M52" s="8">
        <v>42170</v>
      </c>
      <c r="N52" s="8">
        <v>47216</v>
      </c>
      <c r="O52" s="52">
        <v>14</v>
      </c>
      <c r="P52" s="52" t="s">
        <v>315</v>
      </c>
      <c r="Q52" s="26">
        <v>42170</v>
      </c>
      <c r="R52" s="25">
        <v>42370</v>
      </c>
      <c r="S52" s="59">
        <v>6.63</v>
      </c>
      <c r="T52" s="59" t="s">
        <v>1496</v>
      </c>
      <c r="U52" s="549" t="s">
        <v>797</v>
      </c>
      <c r="V52" s="717"/>
      <c r="W52" s="725">
        <f>VLOOKUP("FFHC Bagasse-Fired Cogeneration Power Plant",[1]FD!$B:$H,2,FALSE)</f>
        <v>42170</v>
      </c>
      <c r="X52" s="729">
        <f>Table1[[#This Row],[Start of FIT Elibility per COC]]-Table1[[#This Row],[Column2]]</f>
        <v>0</v>
      </c>
    </row>
    <row r="53" spans="1:26" s="4" customFormat="1" ht="30" customHeight="1" x14ac:dyDescent="0.25">
      <c r="A53" s="58" t="s">
        <v>32</v>
      </c>
      <c r="B53" s="5" t="s">
        <v>44</v>
      </c>
      <c r="C53" s="18" t="s">
        <v>49</v>
      </c>
      <c r="D53" s="18">
        <v>12</v>
      </c>
      <c r="E53" s="19" t="s">
        <v>39</v>
      </c>
      <c r="F53" s="19" t="s">
        <v>158</v>
      </c>
      <c r="G53" s="19" t="s">
        <v>159</v>
      </c>
      <c r="H53" s="551">
        <v>46</v>
      </c>
      <c r="I53" s="551">
        <v>46</v>
      </c>
      <c r="J53" s="551">
        <v>20</v>
      </c>
      <c r="K53" s="7"/>
      <c r="L53" s="27">
        <v>42024</v>
      </c>
      <c r="M53" s="27">
        <v>42024</v>
      </c>
      <c r="N53" s="27">
        <v>49328</v>
      </c>
      <c r="O53" s="496">
        <v>20</v>
      </c>
      <c r="P53" s="52" t="s">
        <v>319</v>
      </c>
      <c r="Q53" s="26" t="s">
        <v>222</v>
      </c>
      <c r="R53" s="27">
        <v>42389</v>
      </c>
      <c r="S53" s="59">
        <v>6.63</v>
      </c>
      <c r="T53" s="59" t="s">
        <v>1526</v>
      </c>
      <c r="U53" s="549" t="s">
        <v>797</v>
      </c>
      <c r="V53" s="717"/>
      <c r="W53" s="725">
        <f>VLOOKUP("URC Bagasse-Fired Cogeneration Power Plant Project",[1]FD!$B:$H,2,FALSE)</f>
        <v>42024</v>
      </c>
      <c r="X53" s="729">
        <f>Table1[[#This Row],[Start of FIT Elibility per COC]]-Table1[[#This Row],[Column2]]</f>
        <v>0</v>
      </c>
    </row>
    <row r="54" spans="1:26" s="4" customFormat="1" ht="30" customHeight="1" x14ac:dyDescent="0.25">
      <c r="A54" s="58" t="s">
        <v>32</v>
      </c>
      <c r="B54" s="5" t="s">
        <v>44</v>
      </c>
      <c r="C54" s="18" t="s">
        <v>49</v>
      </c>
      <c r="D54" s="18">
        <v>13</v>
      </c>
      <c r="E54" s="5" t="s">
        <v>239</v>
      </c>
      <c r="F54" s="19" t="s">
        <v>604</v>
      </c>
      <c r="G54" s="19" t="s">
        <v>258</v>
      </c>
      <c r="H54" s="551">
        <v>23</v>
      </c>
      <c r="I54" s="551">
        <v>34</v>
      </c>
      <c r="J54" s="551">
        <v>2.5</v>
      </c>
      <c r="K54" s="7"/>
      <c r="L54" s="8">
        <v>42300</v>
      </c>
      <c r="M54" s="8">
        <v>42300</v>
      </c>
      <c r="N54" s="8">
        <v>49604</v>
      </c>
      <c r="O54" s="52">
        <f>YEAR(N54)-YEAR(M54)</f>
        <v>20</v>
      </c>
      <c r="P54" s="52" t="str">
        <f>DAY(M54)&amp;" "&amp;TEXT(M54,"mmmm")&amp;" "&amp;YEAR(M54)&amp;" - "&amp;DAY(N54)&amp;" "&amp;TEXT(N54,"mmmm")&amp;" "&amp;YEAR(N54)</f>
        <v>23 October 2015 - 22 October 2035</v>
      </c>
      <c r="Q54" s="497" t="s">
        <v>368</v>
      </c>
      <c r="R54" s="8"/>
      <c r="S54" s="59">
        <v>6.63</v>
      </c>
      <c r="T54" s="59" t="s">
        <v>1733</v>
      </c>
      <c r="U54" s="549" t="s">
        <v>797</v>
      </c>
      <c r="V54" s="717"/>
      <c r="W54" s="725">
        <f>VLOOKUP("VMC Bagasse-Fired Biomass Power Plant",[1]FD!$B:$H,2,FALSE)</f>
        <v>42300</v>
      </c>
      <c r="X54" s="729">
        <f>Table1[[#This Row],[Start of FIT Elibility per COC]]-Table1[[#This Row],[Column2]]</f>
        <v>0</v>
      </c>
    </row>
    <row r="55" spans="1:26" s="4" customFormat="1" ht="30" customHeight="1" x14ac:dyDescent="0.25">
      <c r="A55" s="58" t="s">
        <v>8</v>
      </c>
      <c r="B55" s="5" t="s">
        <v>44</v>
      </c>
      <c r="C55" s="18" t="s">
        <v>49</v>
      </c>
      <c r="D55" s="18">
        <v>14</v>
      </c>
      <c r="E55" s="5" t="s">
        <v>42</v>
      </c>
      <c r="F55" s="5" t="s">
        <v>167</v>
      </c>
      <c r="G55" s="5" t="s">
        <v>168</v>
      </c>
      <c r="H55" s="551">
        <v>15</v>
      </c>
      <c r="I55" s="18">
        <v>13.5</v>
      </c>
      <c r="J55" s="18">
        <v>13.5</v>
      </c>
      <c r="K55" s="5"/>
      <c r="L55" s="8">
        <v>42653</v>
      </c>
      <c r="M55" s="8">
        <v>42734</v>
      </c>
      <c r="N55" s="8">
        <v>50038</v>
      </c>
      <c r="O55" s="52">
        <v>20</v>
      </c>
      <c r="P55" s="52" t="s">
        <v>324</v>
      </c>
      <c r="Q55" s="26">
        <v>43206</v>
      </c>
      <c r="R55" s="8">
        <v>43018</v>
      </c>
      <c r="S55" s="59">
        <v>6.63</v>
      </c>
      <c r="T55" s="59" t="s">
        <v>1756</v>
      </c>
      <c r="U55" s="549" t="s">
        <v>797</v>
      </c>
      <c r="V55" s="717" t="s">
        <v>919</v>
      </c>
      <c r="W55" s="725">
        <f>VLOOKUP(Table1[[#This Row],[TransCo Plant Name]],[1]FD!$B:$H,2,FALSE)</f>
        <v>42734</v>
      </c>
      <c r="X55" s="729">
        <f>Table1[[#This Row],[Start of FIT Elibility per COC]]-Table1[[#This Row],[Column2]]</f>
        <v>0</v>
      </c>
    </row>
    <row r="56" spans="1:26" s="4" customFormat="1" x14ac:dyDescent="0.25">
      <c r="A56" s="58"/>
      <c r="B56" s="5"/>
      <c r="C56" s="18"/>
      <c r="D56" s="18">
        <v>14</v>
      </c>
      <c r="E56" s="5"/>
      <c r="F56" s="5"/>
      <c r="G56" s="5"/>
      <c r="H56" s="596">
        <f>SUBTOTAL(109,H42:H55)</f>
        <v>206.48000000000002</v>
      </c>
      <c r="I56" s="596">
        <f t="shared" ref="I56:J56" si="0">SUBTOTAL(109,I42:I55)</f>
        <v>218.036</v>
      </c>
      <c r="J56" s="596">
        <f t="shared" si="0"/>
        <v>123.161</v>
      </c>
      <c r="K56" s="5"/>
      <c r="L56" s="8"/>
      <c r="M56" s="8"/>
      <c r="N56" s="8"/>
      <c r="O56" s="52"/>
      <c r="P56" s="52"/>
      <c r="Q56" s="26"/>
      <c r="R56" s="8"/>
      <c r="S56" s="59"/>
      <c r="T56" s="59"/>
      <c r="U56" s="549"/>
      <c r="V56" s="717"/>
      <c r="W56" s="725">
        <f>VLOOKUP(Table1[[#This Row],[RE Plant]],[1]FD!$B:$H,2,FALSE)</f>
        <v>0</v>
      </c>
      <c r="X56" s="729">
        <f>Table1[[#This Row],[Start of FIT Elibility per COC]]-Table1[[#This Row],[Column2]]</f>
        <v>0</v>
      </c>
    </row>
    <row r="57" spans="1:26" s="4" customFormat="1" ht="120" x14ac:dyDescent="0.2">
      <c r="A57" s="58" t="s">
        <v>7</v>
      </c>
      <c r="B57" s="5" t="s">
        <v>44</v>
      </c>
      <c r="C57" s="18" t="s">
        <v>51</v>
      </c>
      <c r="D57" s="18">
        <v>15</v>
      </c>
      <c r="E57" s="19" t="s">
        <v>34</v>
      </c>
      <c r="F57" s="19" t="s">
        <v>174</v>
      </c>
      <c r="G57" s="19" t="s">
        <v>175</v>
      </c>
      <c r="H57" s="551">
        <v>12</v>
      </c>
      <c r="I57" s="551">
        <v>12</v>
      </c>
      <c r="J57" s="551">
        <v>10.8</v>
      </c>
      <c r="K57" s="7"/>
      <c r="L57" s="8">
        <v>43000</v>
      </c>
      <c r="M57" s="8">
        <v>43000</v>
      </c>
      <c r="N57" s="8">
        <v>50304</v>
      </c>
      <c r="O57" s="52">
        <v>20</v>
      </c>
      <c r="P57" s="52" t="s">
        <v>325</v>
      </c>
      <c r="Q57" s="9">
        <v>43082</v>
      </c>
      <c r="R57" s="8">
        <v>43365</v>
      </c>
      <c r="S57" s="60">
        <v>6.5968999999999998</v>
      </c>
      <c r="T57" s="60" t="s">
        <v>1753</v>
      </c>
      <c r="U57" s="984" t="s">
        <v>797</v>
      </c>
      <c r="V57" s="732" t="s">
        <v>923</v>
      </c>
      <c r="W57" s="725">
        <f>VLOOKUP(Table1[[#This Row],[TransCo Plant Name]],[1]FD!$B:$H,2,FALSE)</f>
        <v>43000</v>
      </c>
      <c r="X57" s="730">
        <f>Table1[[#This Row],[Start of FIT Elibility per COC]]-Table1[[#This Row],[Column2]]</f>
        <v>0</v>
      </c>
    </row>
    <row r="58" spans="1:26" s="4" customFormat="1" ht="30" customHeight="1" x14ac:dyDescent="0.2">
      <c r="A58" s="58" t="s">
        <v>7</v>
      </c>
      <c r="B58" s="5" t="s">
        <v>44</v>
      </c>
      <c r="C58" s="18" t="s">
        <v>51</v>
      </c>
      <c r="D58" s="18">
        <v>16</v>
      </c>
      <c r="E58" s="19" t="s">
        <v>33</v>
      </c>
      <c r="F58" s="19" t="s">
        <v>172</v>
      </c>
      <c r="G58" s="19" t="s">
        <v>148</v>
      </c>
      <c r="H58" s="551">
        <v>0.32</v>
      </c>
      <c r="I58" s="598">
        <v>0.64</v>
      </c>
      <c r="J58" s="598">
        <v>0.42399999999999999</v>
      </c>
      <c r="K58" s="44"/>
      <c r="L58" s="8">
        <v>42783</v>
      </c>
      <c r="M58" s="8">
        <v>42783</v>
      </c>
      <c r="N58" s="8">
        <v>50087</v>
      </c>
      <c r="O58" s="52">
        <v>20</v>
      </c>
      <c r="P58" s="52" t="s">
        <v>326</v>
      </c>
      <c r="Q58" s="9">
        <v>43033</v>
      </c>
      <c r="R58" s="8">
        <v>43148</v>
      </c>
      <c r="S58" s="60">
        <v>6.5968999999999998</v>
      </c>
      <c r="T58" s="60" t="s">
        <v>841</v>
      </c>
      <c r="U58" s="549" t="s">
        <v>1735</v>
      </c>
      <c r="V58" s="732" t="s">
        <v>921</v>
      </c>
      <c r="W58" s="725">
        <f>VLOOKUP(Table1[[#This Row],[TransCo Plant Name]],[1]FD!$B:$H,2,FALSE)</f>
        <v>42783</v>
      </c>
      <c r="X58" s="729">
        <f>Table1[[#This Row],[Start of FIT Elibility per COC]]-Table1[[#This Row],[Column2]]</f>
        <v>0</v>
      </c>
    </row>
    <row r="59" spans="1:26" s="4" customFormat="1" ht="33.75" customHeight="1" x14ac:dyDescent="0.2">
      <c r="A59" s="956" t="s">
        <v>7</v>
      </c>
      <c r="B59" s="5" t="s">
        <v>44</v>
      </c>
      <c r="C59" s="70" t="s">
        <v>51</v>
      </c>
      <c r="D59" s="18">
        <v>17</v>
      </c>
      <c r="E59" s="484" t="s">
        <v>176</v>
      </c>
      <c r="F59" s="498" t="s">
        <v>177</v>
      </c>
      <c r="G59" s="498" t="s">
        <v>173</v>
      </c>
      <c r="H59" s="561">
        <v>2.121</v>
      </c>
      <c r="I59" s="499">
        <v>2</v>
      </c>
      <c r="J59" s="499">
        <v>1.7</v>
      </c>
      <c r="K59" s="499"/>
      <c r="L59" s="25">
        <v>42937</v>
      </c>
      <c r="M59" s="25">
        <v>42937</v>
      </c>
      <c r="N59" s="25">
        <v>50241</v>
      </c>
      <c r="O59" s="495">
        <v>20</v>
      </c>
      <c r="P59" s="495" t="s">
        <v>333</v>
      </c>
      <c r="Q59" s="26" t="s">
        <v>334</v>
      </c>
      <c r="R59" s="25">
        <v>43302</v>
      </c>
      <c r="S59" s="60">
        <v>6.5968999999999998</v>
      </c>
      <c r="T59" s="984" t="s">
        <v>1736</v>
      </c>
      <c r="U59" s="549" t="s">
        <v>1737</v>
      </c>
      <c r="V59" s="732" t="s">
        <v>924</v>
      </c>
      <c r="W59" s="725">
        <f>VLOOKUP(Table1[[#This Row],[TransCo Plant Name]],[1]FD!$B:$H,2,FALSE)</f>
        <v>42937</v>
      </c>
      <c r="X59" s="730">
        <f>Table1[[#This Row],[Start of FIT Elibility per COC]]-Table1[[#This Row],[Column2]]</f>
        <v>0</v>
      </c>
    </row>
    <row r="60" spans="1:26" s="4" customFormat="1" ht="30" customHeight="1" x14ac:dyDescent="0.25">
      <c r="A60" s="58" t="s">
        <v>8</v>
      </c>
      <c r="B60" s="5" t="s">
        <v>44</v>
      </c>
      <c r="C60" s="18" t="s">
        <v>51</v>
      </c>
      <c r="D60" s="18">
        <v>18</v>
      </c>
      <c r="E60" s="5" t="s">
        <v>179</v>
      </c>
      <c r="F60" s="19" t="s">
        <v>180</v>
      </c>
      <c r="G60" s="19" t="s">
        <v>181</v>
      </c>
      <c r="H60" s="551">
        <v>3.33</v>
      </c>
      <c r="I60" s="551">
        <v>3.5</v>
      </c>
      <c r="J60" s="551">
        <v>1.64</v>
      </c>
      <c r="K60" s="7"/>
      <c r="L60" s="8">
        <v>42882</v>
      </c>
      <c r="M60" s="8">
        <v>42882</v>
      </c>
      <c r="N60" s="8">
        <v>50186</v>
      </c>
      <c r="O60" s="52">
        <v>20</v>
      </c>
      <c r="P60" s="52" t="s">
        <v>327</v>
      </c>
      <c r="Q60" s="9" t="s">
        <v>328</v>
      </c>
      <c r="R60" s="8">
        <v>43247</v>
      </c>
      <c r="S60" s="60">
        <v>6.5968999999999998</v>
      </c>
      <c r="T60" s="60" t="s">
        <v>871</v>
      </c>
      <c r="U60" s="549" t="s">
        <v>864</v>
      </c>
      <c r="V60" s="717" t="s">
        <v>920</v>
      </c>
      <c r="W60" s="725">
        <f>VLOOKUP(Table1[[#This Row],[TransCo Plant Name]],[1]FD!$B:$H,2,FALSE)</f>
        <v>42882</v>
      </c>
      <c r="X60" s="729">
        <f>Table1[[#This Row],[Start of FIT Elibility per COC]]-Table1[[#This Row],[Column2]]</f>
        <v>0</v>
      </c>
      <c r="Y60" s="4" t="s">
        <v>872</v>
      </c>
    </row>
    <row r="61" spans="1:26" s="4" customFormat="1" ht="30" customHeight="1" x14ac:dyDescent="0.2">
      <c r="A61" s="58" t="s">
        <v>8</v>
      </c>
      <c r="B61" s="5" t="s">
        <v>44</v>
      </c>
      <c r="C61" s="18" t="s">
        <v>51</v>
      </c>
      <c r="D61" s="18">
        <v>19</v>
      </c>
      <c r="E61" s="19" t="s">
        <v>800</v>
      </c>
      <c r="F61" s="19" t="s">
        <v>221</v>
      </c>
      <c r="G61" s="19" t="s">
        <v>220</v>
      </c>
      <c r="H61" s="551">
        <v>5.96</v>
      </c>
      <c r="I61" s="551">
        <v>5.96</v>
      </c>
      <c r="J61" s="551">
        <v>3.5</v>
      </c>
      <c r="K61" s="7"/>
      <c r="L61" s="8">
        <v>43228</v>
      </c>
      <c r="M61" s="8">
        <v>43228</v>
      </c>
      <c r="N61" s="8">
        <v>50532</v>
      </c>
      <c r="O61" s="52">
        <v>20</v>
      </c>
      <c r="P61" s="52" t="s">
        <v>329</v>
      </c>
      <c r="Q61" s="9">
        <v>43711</v>
      </c>
      <c r="R61" s="8"/>
      <c r="S61" s="60">
        <v>6.5968999999999998</v>
      </c>
      <c r="T61" s="60" t="s">
        <v>869</v>
      </c>
      <c r="U61" s="549" t="s">
        <v>797</v>
      </c>
      <c r="V61" s="733" t="s">
        <v>925</v>
      </c>
      <c r="W61" s="725">
        <f>VLOOKUP(Table1[[#This Row],[TransCo Plant Name]],[1]FD!$B:$H,2,FALSE)</f>
        <v>43228</v>
      </c>
      <c r="X61" s="729">
        <f>Table1[[#This Row],[Start of FIT Elibility per COC]]-Table1[[#This Row],[Column2]]</f>
        <v>0</v>
      </c>
      <c r="Y61" s="986"/>
    </row>
    <row r="62" spans="1:26" s="4" customFormat="1" ht="30" customHeight="1" x14ac:dyDescent="0.2">
      <c r="A62" s="58"/>
      <c r="B62" s="5"/>
      <c r="C62" s="18"/>
      <c r="D62" s="18">
        <v>5</v>
      </c>
      <c r="E62" s="19"/>
      <c r="F62" s="19"/>
      <c r="G62" s="19"/>
      <c r="H62" s="596">
        <f>SUBTOTAL(109,H57:H61)</f>
        <v>23.731000000000002</v>
      </c>
      <c r="I62" s="596">
        <f t="shared" ref="I62:J62" si="1">SUBTOTAL(109,I57:I61)</f>
        <v>24.1</v>
      </c>
      <c r="J62" s="596">
        <f t="shared" si="1"/>
        <v>18.064</v>
      </c>
      <c r="K62" s="7"/>
      <c r="L62" s="8"/>
      <c r="M62" s="8"/>
      <c r="N62" s="8"/>
      <c r="O62" s="52"/>
      <c r="P62" s="52"/>
      <c r="Q62" s="9"/>
      <c r="R62" s="8"/>
      <c r="S62" s="60"/>
      <c r="T62" s="60"/>
      <c r="U62" s="549"/>
      <c r="V62" s="733"/>
      <c r="W62" s="725">
        <f>VLOOKUP(Table1[[#This Row],[RE Plant]],[1]FD!$B:$H,2,FALSE)</f>
        <v>0</v>
      </c>
      <c r="X62" s="729">
        <f>Table1[[#This Row],[Start of FIT Elibility per COC]]-Table1[[#This Row],[Column2]]</f>
        <v>0</v>
      </c>
    </row>
    <row r="63" spans="1:26" s="4" customFormat="1" ht="53.1" customHeight="1" x14ac:dyDescent="0.2">
      <c r="A63" s="58" t="s">
        <v>7</v>
      </c>
      <c r="B63" s="5" t="s">
        <v>44</v>
      </c>
      <c r="C63" s="18" t="s">
        <v>50</v>
      </c>
      <c r="D63" s="18">
        <v>20</v>
      </c>
      <c r="E63" s="19" t="s">
        <v>228</v>
      </c>
      <c r="F63" s="19" t="s">
        <v>229</v>
      </c>
      <c r="G63" s="19" t="s">
        <v>227</v>
      </c>
      <c r="H63" s="551">
        <v>15</v>
      </c>
      <c r="I63" s="551">
        <v>15</v>
      </c>
      <c r="J63" s="551">
        <v>13.5</v>
      </c>
      <c r="K63" s="7"/>
      <c r="L63" s="8">
        <v>43741</v>
      </c>
      <c r="M63" s="8">
        <v>43741</v>
      </c>
      <c r="N63" s="8">
        <v>51045</v>
      </c>
      <c r="O63" s="52">
        <f>YEAR(N63)-YEAR(M63)</f>
        <v>20</v>
      </c>
      <c r="P63" s="52" t="str">
        <f>DAY(M63)&amp;" "&amp;TEXT(M63,"mmmm")&amp;" "&amp;YEAR(M63)&amp;" - "&amp;DAY(N63)&amp;" "&amp;TEXT(N63,"mmmm")&amp;" "&amp;YEAR(N63)</f>
        <v>3 October 2019 - 2 October 2039</v>
      </c>
      <c r="Q63" s="9" t="s">
        <v>353</v>
      </c>
      <c r="R63" s="8"/>
      <c r="S63" s="59">
        <v>6.19</v>
      </c>
      <c r="T63" s="59" t="s">
        <v>1773</v>
      </c>
      <c r="U63" s="549" t="s">
        <v>797</v>
      </c>
      <c r="V63" s="732" t="s">
        <v>926</v>
      </c>
      <c r="W63" s="725">
        <f>VLOOKUP(Table1[[#This Row],[TransCo Plant Name]],[1]FD!$B:$H,2,FALSE)</f>
        <v>43741</v>
      </c>
      <c r="X63" s="729">
        <f>Table1[[#This Row],[Start of FIT Elibility per COC]]-Table1[[#This Row],[Column2]]</f>
        <v>0</v>
      </c>
    </row>
    <row r="64" spans="1:26" s="4" customFormat="1" ht="30" customHeight="1" x14ac:dyDescent="0.25">
      <c r="A64" s="958" t="s">
        <v>7</v>
      </c>
      <c r="B64" s="534" t="s">
        <v>44</v>
      </c>
      <c r="C64" s="535" t="s">
        <v>50</v>
      </c>
      <c r="D64" s="535">
        <v>21</v>
      </c>
      <c r="E64" s="534" t="s">
        <v>233</v>
      </c>
      <c r="F64" s="536" t="s">
        <v>234</v>
      </c>
      <c r="G64" s="536" t="s">
        <v>235</v>
      </c>
      <c r="H64" s="555">
        <v>32.5</v>
      </c>
      <c r="I64" s="555">
        <v>31.875</v>
      </c>
      <c r="J64" s="555">
        <v>2</v>
      </c>
      <c r="K64" s="538"/>
      <c r="L64" s="538">
        <v>43147</v>
      </c>
      <c r="M64" s="538">
        <v>43147</v>
      </c>
      <c r="N64" s="539">
        <v>50451</v>
      </c>
      <c r="O64" s="539">
        <f>YEAR(N64)-YEAR(M64)</f>
        <v>20</v>
      </c>
      <c r="P64" s="540" t="str">
        <f>DAY(M64)&amp;" "&amp;TEXT(M64,"mmmm")&amp;" "&amp;YEAR(M64)&amp;" - "&amp;DAY(N64)&amp;" "&amp;TEXT(N64,"mmmm")&amp;" "&amp;YEAR(N64)</f>
        <v>16 February 2018 - 15 February 2038</v>
      </c>
      <c r="Q64" s="538" t="s">
        <v>355</v>
      </c>
      <c r="R64" s="537"/>
      <c r="S64" s="983">
        <v>6.19</v>
      </c>
      <c r="T64" s="987" t="s">
        <v>868</v>
      </c>
      <c r="U64" s="989" t="s">
        <v>803</v>
      </c>
      <c r="V64" s="720"/>
      <c r="W64" s="723" t="e">
        <f>VLOOKUP(Table1[[#This Row],[RE Plant]],[1]FD!$B:$H,2,FALSE)</f>
        <v>#N/A</v>
      </c>
      <c r="X64" s="728" t="e">
        <f>Table1[[#This Row],[Start of FIT Elibility per COC]]-Table1[[#This Row],[Column2]]</f>
        <v>#N/A</v>
      </c>
      <c r="Y64" s="4" t="s">
        <v>918</v>
      </c>
    </row>
    <row r="65" spans="1:41" s="4" customFormat="1" ht="30" customHeight="1" x14ac:dyDescent="0.25">
      <c r="A65" s="58" t="s">
        <v>7</v>
      </c>
      <c r="B65" s="5" t="s">
        <v>44</v>
      </c>
      <c r="C65" s="18" t="s">
        <v>50</v>
      </c>
      <c r="D65" s="18">
        <v>22</v>
      </c>
      <c r="E65" s="19" t="s">
        <v>243</v>
      </c>
      <c r="F65" s="19" t="s">
        <v>254</v>
      </c>
      <c r="G65" s="19" t="s">
        <v>262</v>
      </c>
      <c r="H65" s="551">
        <v>12</v>
      </c>
      <c r="I65" s="551">
        <v>12</v>
      </c>
      <c r="J65" s="551">
        <v>10.8</v>
      </c>
      <c r="K65" s="7"/>
      <c r="L65" s="8">
        <v>43812</v>
      </c>
      <c r="M65" s="8">
        <v>43812</v>
      </c>
      <c r="N65" s="8">
        <v>51116</v>
      </c>
      <c r="O65" s="52">
        <f>YEAR(N65)-YEAR(M65)</f>
        <v>20</v>
      </c>
      <c r="P65" s="52" t="str">
        <f>DAY(M65)&amp;" "&amp;TEXT(M65,"mmmm")&amp;" "&amp;YEAR(M65)&amp;" - "&amp;DAY(N65)&amp;" "&amp;TEXT(N65,"mmmm")&amp;" "&amp;YEAR(N65)</f>
        <v>13 December 2019 - 12 December 2039</v>
      </c>
      <c r="Q65" s="9" t="s">
        <v>363</v>
      </c>
      <c r="R65" s="8"/>
      <c r="S65" s="59">
        <v>6.19</v>
      </c>
      <c r="T65" s="59" t="s">
        <v>677</v>
      </c>
      <c r="U65" s="549" t="s">
        <v>797</v>
      </c>
      <c r="V65" s="717"/>
      <c r="W65" s="725">
        <f>VLOOKUP(Table1[[#This Row],[RE Plant]],[1]FD!$B:$H,2,FALSE)</f>
        <v>43812</v>
      </c>
      <c r="X65" s="729">
        <f>Table1[[#This Row],[Start of FIT Elibility per COC]]-Table1[[#This Row],[Column2]]</f>
        <v>0</v>
      </c>
      <c r="Y65" s="648"/>
    </row>
    <row r="66" spans="1:41" s="4" customFormat="1" ht="30" customHeight="1" x14ac:dyDescent="0.25">
      <c r="A66" s="58" t="s">
        <v>7</v>
      </c>
      <c r="B66" s="5" t="s">
        <v>44</v>
      </c>
      <c r="C66" s="18" t="s">
        <v>50</v>
      </c>
      <c r="D66" s="18">
        <v>23</v>
      </c>
      <c r="E66" s="19" t="s">
        <v>369</v>
      </c>
      <c r="F66" s="19" t="s">
        <v>255</v>
      </c>
      <c r="G66" s="19" t="s">
        <v>262</v>
      </c>
      <c r="H66" s="551">
        <v>6.2</v>
      </c>
      <c r="I66" s="551">
        <v>6</v>
      </c>
      <c r="J66" s="551">
        <v>5.4</v>
      </c>
      <c r="K66" s="7"/>
      <c r="L66" s="8">
        <v>43824</v>
      </c>
      <c r="M66" s="8">
        <v>43824</v>
      </c>
      <c r="N66" s="8">
        <v>51128</v>
      </c>
      <c r="O66" s="52">
        <f>YEAR(N66)-YEAR(M66)</f>
        <v>20</v>
      </c>
      <c r="P66" s="8" t="str">
        <f>DAY(M66)&amp;" "&amp;TEXT(M66,"mmmm")&amp;" "&amp;YEAR(M66)&amp;" - "&amp;DAY(N66)&amp;" "&amp;TEXT(N66,"mmmm")&amp;" "&amp;YEAR(N66)</f>
        <v>25 December 2019 - 24 December 2039</v>
      </c>
      <c r="Q66" s="9" t="s">
        <v>364</v>
      </c>
      <c r="R66" s="8"/>
      <c r="S66" s="59">
        <v>6.19</v>
      </c>
      <c r="T66" s="59" t="s">
        <v>1497</v>
      </c>
      <c r="U66" s="549" t="s">
        <v>797</v>
      </c>
      <c r="V66" s="717" t="s">
        <v>980</v>
      </c>
      <c r="W66" s="725">
        <f>VLOOKUP(Table1[[#This Row],[TransCo Plant Name]],[1]FD!$B:$H,2,FALSE)</f>
        <v>43824</v>
      </c>
      <c r="X66" s="729">
        <f>Table1[[#This Row],[Start of FIT Elibility per COC]]-Table1[[#This Row],[Column2]]</f>
        <v>0</v>
      </c>
      <c r="Z66" s="18"/>
      <c r="AA66" s="18"/>
      <c r="AB66" s="19"/>
    </row>
    <row r="67" spans="1:41" s="4" customFormat="1" ht="30" customHeight="1" x14ac:dyDescent="0.25">
      <c r="A67" s="58" t="s">
        <v>7</v>
      </c>
      <c r="B67" s="5" t="s">
        <v>44</v>
      </c>
      <c r="C67" s="18" t="s">
        <v>50</v>
      </c>
      <c r="D67" s="18">
        <v>24</v>
      </c>
      <c r="E67" s="19" t="s">
        <v>245</v>
      </c>
      <c r="F67" s="19" t="s">
        <v>255</v>
      </c>
      <c r="G67" s="19" t="s">
        <v>262</v>
      </c>
      <c r="H67" s="551">
        <v>6</v>
      </c>
      <c r="I67" s="551">
        <v>6</v>
      </c>
      <c r="J67" s="551">
        <v>5.4</v>
      </c>
      <c r="K67" s="7"/>
      <c r="L67" s="8">
        <v>43830</v>
      </c>
      <c r="M67" s="8">
        <v>43830</v>
      </c>
      <c r="N67" s="8">
        <v>51134</v>
      </c>
      <c r="O67" s="52">
        <f>YEAR(N67)-YEAR(M67)</f>
        <v>20</v>
      </c>
      <c r="P67" s="52" t="str">
        <f>DAY(M67)&amp;" "&amp;TEXT(M67,"mmmm")&amp;" "&amp;YEAR(M67)&amp;" - "&amp;DAY(N67)&amp;" "&amp;TEXT(N67,"mmmm")&amp;" "&amp;YEAR(N67)</f>
        <v>31 December 2019 - 30 December 2039</v>
      </c>
      <c r="Q67" s="9" t="s">
        <v>365</v>
      </c>
      <c r="R67" s="8"/>
      <c r="S67" s="59">
        <v>6.19</v>
      </c>
      <c r="T67" s="59" t="s">
        <v>1739</v>
      </c>
      <c r="U67" s="549" t="s">
        <v>797</v>
      </c>
      <c r="V67" s="717"/>
      <c r="W67" s="725">
        <f>VLOOKUP(Table1[[#This Row],[RE Plant]],[1]FD!$B:$H,2,FALSE)</f>
        <v>43830</v>
      </c>
      <c r="X67" s="729">
        <f>Table1[[#This Row],[Start of FIT Elibility per COC]]-Table1[[#This Row],[Column2]]</f>
        <v>0</v>
      </c>
    </row>
    <row r="68" spans="1:41" s="4" customFormat="1" ht="30" customHeight="1" x14ac:dyDescent="0.25">
      <c r="A68" s="957" t="s">
        <v>7</v>
      </c>
      <c r="B68" s="504" t="s">
        <v>44</v>
      </c>
      <c r="C68" s="505" t="s">
        <v>50</v>
      </c>
      <c r="D68" s="18">
        <v>25</v>
      </c>
      <c r="E68" s="506" t="s">
        <v>246</v>
      </c>
      <c r="F68" s="506" t="s">
        <v>254</v>
      </c>
      <c r="G68" s="506" t="s">
        <v>263</v>
      </c>
      <c r="H68" s="602"/>
      <c r="I68" s="602">
        <v>12.7</v>
      </c>
      <c r="J68" s="602">
        <v>7.7</v>
      </c>
      <c r="K68" s="507"/>
      <c r="L68" s="508">
        <v>43830</v>
      </c>
      <c r="M68" s="509"/>
      <c r="N68" s="509"/>
      <c r="O68" s="510"/>
      <c r="P68" s="510"/>
      <c r="Q68" s="511"/>
      <c r="R68" s="509"/>
      <c r="S68" s="980">
        <v>6.19</v>
      </c>
      <c r="T68" s="980" t="s">
        <v>686</v>
      </c>
      <c r="U68" s="988" t="s">
        <v>783</v>
      </c>
      <c r="V68" s="722"/>
      <c r="W68" s="726">
        <f>VLOOKUP(Table1[[#This Row],[RE Plant]],[1]FD!$B:$H,2,FALSE)</f>
        <v>43812</v>
      </c>
      <c r="X68" s="731">
        <f>Table1[[#This Row],[Start of FIT Elibility per COC]]-Table1[[#This Row],[Column2]]</f>
        <v>-43812</v>
      </c>
    </row>
    <row r="69" spans="1:41" s="4" customFormat="1" ht="30" customHeight="1" x14ac:dyDescent="0.2">
      <c r="A69" s="58" t="s">
        <v>32</v>
      </c>
      <c r="B69" s="5" t="s">
        <v>44</v>
      </c>
      <c r="C69" s="18" t="s">
        <v>50</v>
      </c>
      <c r="D69" s="18">
        <v>26</v>
      </c>
      <c r="E69" s="19" t="s">
        <v>237</v>
      </c>
      <c r="F69" s="19" t="s">
        <v>801</v>
      </c>
      <c r="G69" s="19" t="s">
        <v>257</v>
      </c>
      <c r="H69" s="551">
        <v>15</v>
      </c>
      <c r="I69" s="551">
        <v>8</v>
      </c>
      <c r="J69" s="551">
        <v>8</v>
      </c>
      <c r="K69" s="7"/>
      <c r="L69" s="8">
        <v>40518</v>
      </c>
      <c r="M69" s="8">
        <v>44167</v>
      </c>
      <c r="N69" s="8">
        <v>47822</v>
      </c>
      <c r="O69" s="502">
        <f>YEAR(N69)-YEAR(M69)</f>
        <v>10</v>
      </c>
      <c r="P69" s="503" t="str">
        <f>DAY(M69)&amp;" "&amp;TEXT(M69,"mmmm")&amp;" "&amp;YEAR(M69)&amp;" - "&amp;DAY(N69)&amp;" "&amp;TEXT(N69,"mmmm")&amp;" "&amp;YEAR(N69)</f>
        <v>2 December 2020 - 5 December 2030</v>
      </c>
      <c r="Q69" s="497" t="s">
        <v>337</v>
      </c>
      <c r="R69" s="8"/>
      <c r="S69" s="59">
        <v>6.19</v>
      </c>
      <c r="T69" s="59" t="s">
        <v>910</v>
      </c>
      <c r="U69" s="549" t="s">
        <v>911</v>
      </c>
      <c r="V69" s="732" t="s">
        <v>927</v>
      </c>
      <c r="W69" s="725">
        <f>VLOOKUP(Table1[[#This Row],[TransCo Plant Name]],[1]FD!$B:$H,2,FALSE)</f>
        <v>44167</v>
      </c>
      <c r="X69" s="729">
        <f>Table1[[#This Row],[Start of FIT Elibility per COC]]-Table1[[#This Row],[Column2]]</f>
        <v>0</v>
      </c>
      <c r="Z69" s="18"/>
      <c r="AA69" s="18"/>
      <c r="AB69" s="19"/>
    </row>
    <row r="70" spans="1:41" s="4" customFormat="1" ht="30" customHeight="1" x14ac:dyDescent="0.2">
      <c r="A70" s="58" t="s">
        <v>32</v>
      </c>
      <c r="B70" s="5" t="s">
        <v>44</v>
      </c>
      <c r="C70" s="18" t="s">
        <v>50</v>
      </c>
      <c r="D70" s="18">
        <v>27</v>
      </c>
      <c r="E70" s="19" t="s">
        <v>240</v>
      </c>
      <c r="F70" s="19" t="s">
        <v>804</v>
      </c>
      <c r="G70" s="19" t="s">
        <v>258</v>
      </c>
      <c r="H70" s="551">
        <v>28.58</v>
      </c>
      <c r="I70" s="551">
        <v>28.58</v>
      </c>
      <c r="J70" s="551">
        <v>9.5</v>
      </c>
      <c r="K70" s="376">
        <v>43484</v>
      </c>
      <c r="L70" s="8">
        <v>43484</v>
      </c>
      <c r="M70" s="8">
        <v>43755</v>
      </c>
      <c r="N70" s="8">
        <v>51059</v>
      </c>
      <c r="O70" s="52">
        <f>YEAR(N70)-YEAR(M70)</f>
        <v>20</v>
      </c>
      <c r="P70" s="52" t="str">
        <f>DAY(M70)&amp;" "&amp;TEXT(M70,"mmmm")&amp;" "&amp;YEAR(M70)&amp;" - "&amp;DAY(N70)&amp;" "&amp;TEXT(N70,"mmmm")&amp;" "&amp;YEAR(N70)</f>
        <v>17 October 2019 - 16 October 2039</v>
      </c>
      <c r="Q70" s="497" t="s">
        <v>757</v>
      </c>
      <c r="R70" s="8"/>
      <c r="S70" s="59">
        <v>6.19</v>
      </c>
      <c r="T70" s="59" t="s">
        <v>1495</v>
      </c>
      <c r="U70" s="549" t="s">
        <v>797</v>
      </c>
      <c r="V70" s="733" t="s">
        <v>928</v>
      </c>
      <c r="W70" s="725">
        <f>VLOOKUP(Table1[[#This Row],[TransCo Plant Name]],[1]FD!$B:$H,2,FALSE)</f>
        <v>43484</v>
      </c>
      <c r="X70" s="729">
        <f>Table1[[#This Row],[COD per COE]]-Table1[[#This Row],[Column2]]</f>
        <v>0</v>
      </c>
    </row>
    <row r="71" spans="1:41" s="4" customFormat="1" ht="30" customHeight="1" x14ac:dyDescent="0.25">
      <c r="A71" s="957" t="s">
        <v>32</v>
      </c>
      <c r="B71" s="504" t="s">
        <v>44</v>
      </c>
      <c r="C71" s="505" t="s">
        <v>50</v>
      </c>
      <c r="D71" s="18">
        <v>28</v>
      </c>
      <c r="E71" s="506" t="s">
        <v>241</v>
      </c>
      <c r="F71" s="506" t="s">
        <v>252</v>
      </c>
      <c r="G71" s="506" t="s">
        <v>260</v>
      </c>
      <c r="H71" s="602"/>
      <c r="I71" s="602">
        <v>8.3000000000000007</v>
      </c>
      <c r="J71" s="602">
        <v>1.5</v>
      </c>
      <c r="K71" s="507"/>
      <c r="L71" s="508">
        <v>43706</v>
      </c>
      <c r="M71" s="509"/>
      <c r="N71" s="509"/>
      <c r="O71" s="510"/>
      <c r="P71" s="510"/>
      <c r="Q71" s="511"/>
      <c r="R71" s="509"/>
      <c r="S71" s="980">
        <v>6.19</v>
      </c>
      <c r="T71" s="980" t="s">
        <v>666</v>
      </c>
      <c r="U71" s="988" t="s">
        <v>783</v>
      </c>
      <c r="V71" s="722" t="s">
        <v>665</v>
      </c>
      <c r="W71" s="726">
        <f>VLOOKUP(Table1[[#This Row],[TransCo Plant Name]],[1]FD!$B:$H,2,FALSE)</f>
        <v>43706</v>
      </c>
      <c r="X71" s="731">
        <f>Table1[[#This Row],[COD per COE]]-Table1[[#This Row],[Column2]]</f>
        <v>0</v>
      </c>
    </row>
    <row r="72" spans="1:41" s="4" customFormat="1" ht="30" customHeight="1" x14ac:dyDescent="0.25">
      <c r="A72" s="58" t="s">
        <v>32</v>
      </c>
      <c r="B72" s="5" t="s">
        <v>44</v>
      </c>
      <c r="C72" s="18" t="s">
        <v>50</v>
      </c>
      <c r="D72" s="18">
        <v>29</v>
      </c>
      <c r="E72" s="19" t="s">
        <v>242</v>
      </c>
      <c r="F72" s="19" t="s">
        <v>253</v>
      </c>
      <c r="G72" s="19" t="s">
        <v>261</v>
      </c>
      <c r="H72" s="551">
        <v>20</v>
      </c>
      <c r="I72" s="551">
        <v>25</v>
      </c>
      <c r="J72" s="551">
        <v>12</v>
      </c>
      <c r="K72" s="7"/>
      <c r="L72" s="8">
        <v>43783</v>
      </c>
      <c r="M72" s="8">
        <v>43783</v>
      </c>
      <c r="N72" s="8">
        <v>51087</v>
      </c>
      <c r="O72" s="52">
        <f>YEAR(N72)-YEAR(M72)</f>
        <v>20</v>
      </c>
      <c r="P72" s="52" t="str">
        <f>DAY(M72)&amp;" "&amp;TEXT(M72,"mmmm")&amp;" "&amp;YEAR(M72)&amp;" - "&amp;DAY(N72)&amp;" "&amp;TEXT(N72,"mmmm")&amp;" "&amp;YEAR(N72)</f>
        <v>14 November 2019 - 13 November 2039</v>
      </c>
      <c r="Q72" s="650">
        <v>44867</v>
      </c>
      <c r="R72" s="8"/>
      <c r="S72" s="59">
        <v>6.19</v>
      </c>
      <c r="T72" s="60" t="s">
        <v>1683</v>
      </c>
      <c r="U72" s="549" t="s">
        <v>797</v>
      </c>
      <c r="V72" s="717"/>
      <c r="W72" s="725">
        <f>VLOOKUP(Table1[[#This Row],[RE Plant]],[1]FD!$B:$H,2,FALSE)</f>
        <v>43783</v>
      </c>
      <c r="X72" s="729">
        <f>Table1[[#This Row],[Start of FIT Elibility per COC]]-Table1[[#This Row],[Column2]]</f>
        <v>0</v>
      </c>
    </row>
    <row r="73" spans="1:41" s="4" customFormat="1" ht="30" customHeight="1" x14ac:dyDescent="0.25">
      <c r="A73" s="58" t="s">
        <v>32</v>
      </c>
      <c r="B73" s="5" t="s">
        <v>44</v>
      </c>
      <c r="C73" s="18" t="s">
        <v>50</v>
      </c>
      <c r="D73" s="18">
        <v>30</v>
      </c>
      <c r="E73" s="19" t="s">
        <v>244</v>
      </c>
      <c r="F73" s="19" t="s">
        <v>256</v>
      </c>
      <c r="G73" s="19" t="s">
        <v>258</v>
      </c>
      <c r="H73" s="551">
        <v>30</v>
      </c>
      <c r="I73" s="551">
        <v>48.5</v>
      </c>
      <c r="J73" s="551">
        <v>12.7</v>
      </c>
      <c r="K73" s="7"/>
      <c r="L73" s="8">
        <v>43797</v>
      </c>
      <c r="M73" s="8">
        <v>43797</v>
      </c>
      <c r="N73" s="8">
        <v>51101</v>
      </c>
      <c r="O73" s="52"/>
      <c r="P73" s="503" t="str">
        <f>DAY(M73)&amp;" "&amp;TEXT(M73,"mmmm")&amp;" "&amp;YEAR(M73)&amp;" - "&amp;DAY(N73)&amp;" "&amp;TEXT(N73,"mmmm")&amp;" "&amp;YEAR(N73)</f>
        <v>28 November 2019 - 27 November 2039</v>
      </c>
      <c r="Q73" s="9" t="s">
        <v>845</v>
      </c>
      <c r="R73" s="8"/>
      <c r="S73" s="59">
        <v>6.19</v>
      </c>
      <c r="T73" s="59" t="s">
        <v>1738</v>
      </c>
      <c r="U73" s="549" t="s">
        <v>797</v>
      </c>
      <c r="V73" s="717" t="s">
        <v>930</v>
      </c>
      <c r="W73" s="725">
        <f>VLOOKUP(Table1[[#This Row],[TransCo Plant Name]],[1]FD!$B:$H,2,FALSE)</f>
        <v>43797</v>
      </c>
      <c r="X73" s="729">
        <f>Table1[[#This Row],[COD per COE]]-Table1[[#This Row],[Column2]]</f>
        <v>0</v>
      </c>
      <c r="Y73" s="648"/>
    </row>
    <row r="74" spans="1:41" s="4" customFormat="1" ht="30" customHeight="1" x14ac:dyDescent="0.25">
      <c r="A74" s="58" t="s">
        <v>32</v>
      </c>
      <c r="B74" s="5" t="s">
        <v>44</v>
      </c>
      <c r="C74" s="18" t="s">
        <v>50</v>
      </c>
      <c r="D74" s="18">
        <v>31</v>
      </c>
      <c r="E74" s="19" t="s">
        <v>239</v>
      </c>
      <c r="F74" s="19" t="s">
        <v>249</v>
      </c>
      <c r="G74" s="19" t="s">
        <v>258</v>
      </c>
      <c r="H74" s="551">
        <v>40</v>
      </c>
      <c r="I74" s="551">
        <v>40</v>
      </c>
      <c r="J74" s="551">
        <v>21.45</v>
      </c>
      <c r="K74" s="7"/>
      <c r="L74" s="8">
        <v>43520</v>
      </c>
      <c r="M74" s="8">
        <v>44630</v>
      </c>
      <c r="N74" s="8">
        <v>51934</v>
      </c>
      <c r="O74" s="52">
        <f>YEAR(N74)-YEAR(M74)</f>
        <v>20</v>
      </c>
      <c r="P74" s="52" t="str">
        <f>DAY(M74)&amp;" "&amp;TEXT(M74,"mmmm")&amp;" "&amp;YEAR(M74)&amp;" - "&amp;DAY(N74)&amp;" "&amp;TEXT(N74,"mmmm")&amp;" "&amp;YEAR(N74)</f>
        <v>10 March 2022 - 9 March 2042</v>
      </c>
      <c r="Q74" s="9" t="s">
        <v>760</v>
      </c>
      <c r="R74" s="8"/>
      <c r="S74" s="59">
        <v>6.19</v>
      </c>
      <c r="T74" s="59" t="s">
        <v>1772</v>
      </c>
      <c r="U74" s="549" t="s">
        <v>1735</v>
      </c>
      <c r="V74" s="717" t="s">
        <v>931</v>
      </c>
      <c r="W74" s="725">
        <f>VLOOKUP(Table1[[#This Row],[TransCo Plant Name]],[1]FD!$B:$H,2,FALSE)</f>
        <v>43520</v>
      </c>
      <c r="X74" s="729">
        <f>Table1[[#This Row],[COD per COE]]-Table1[[#This Row],[Column2]]</f>
        <v>0</v>
      </c>
    </row>
    <row r="75" spans="1:41" s="4" customFormat="1" ht="30" customHeight="1" x14ac:dyDescent="0.2">
      <c r="A75" s="957" t="s">
        <v>8</v>
      </c>
      <c r="B75" s="504" t="s">
        <v>44</v>
      </c>
      <c r="C75" s="505" t="s">
        <v>50</v>
      </c>
      <c r="D75" s="18">
        <v>32</v>
      </c>
      <c r="E75" s="506" t="s">
        <v>238</v>
      </c>
      <c r="F75" s="506" t="s">
        <v>251</v>
      </c>
      <c r="G75" s="506" t="s">
        <v>259</v>
      </c>
      <c r="H75" s="602"/>
      <c r="I75" s="602">
        <v>12.39</v>
      </c>
      <c r="J75" s="602">
        <v>6.4</v>
      </c>
      <c r="K75" s="507"/>
      <c r="L75" s="508">
        <v>43439</v>
      </c>
      <c r="M75" s="509"/>
      <c r="N75" s="509"/>
      <c r="O75" s="510"/>
      <c r="P75" s="510"/>
      <c r="Q75" s="511"/>
      <c r="R75" s="977"/>
      <c r="S75" s="980">
        <v>6.19</v>
      </c>
      <c r="T75" s="980" t="s">
        <v>663</v>
      </c>
      <c r="U75" s="988" t="s">
        <v>783</v>
      </c>
      <c r="V75" s="990" t="s">
        <v>929</v>
      </c>
      <c r="W75" s="726">
        <f>VLOOKUP(Table1[[#This Row],[TransCo Plant Name]],[1]FD!$B:$H,2,FALSE)</f>
        <v>43312</v>
      </c>
      <c r="X75" s="991">
        <f>Table1[[#This Row],[COD per COE]]-Table1[[#This Row],[Column2]]</f>
        <v>127</v>
      </c>
      <c r="Y75" s="5"/>
    </row>
    <row r="76" spans="1:41" s="4" customFormat="1" ht="30" customHeight="1" x14ac:dyDescent="0.25">
      <c r="A76" s="58" t="s">
        <v>8</v>
      </c>
      <c r="B76" s="5" t="s">
        <v>44</v>
      </c>
      <c r="C76" s="18" t="s">
        <v>50</v>
      </c>
      <c r="D76" s="18">
        <v>33</v>
      </c>
      <c r="E76" s="19" t="s">
        <v>247</v>
      </c>
      <c r="F76" s="19" t="s">
        <v>255</v>
      </c>
      <c r="G76" s="19" t="s">
        <v>259</v>
      </c>
      <c r="H76" s="551">
        <v>6.15</v>
      </c>
      <c r="I76" s="551">
        <v>6</v>
      </c>
      <c r="J76" s="551">
        <v>5.28</v>
      </c>
      <c r="K76" s="7"/>
      <c r="L76" s="8">
        <v>43859</v>
      </c>
      <c r="M76" s="8">
        <v>43859</v>
      </c>
      <c r="N76" s="8">
        <v>51163</v>
      </c>
      <c r="O76" s="52">
        <f>YEAR(N76)-YEAR(M76)</f>
        <v>20</v>
      </c>
      <c r="P76" s="52" t="str">
        <f>DAY(M76)&amp;" "&amp;TEXT(M76,"mmmm")&amp;" "&amp;YEAR(M76)&amp;" - "&amp;DAY(N76)&amp;" "&amp;TEXT(N76,"mmmm")&amp;" "&amp;YEAR(N76)</f>
        <v>29 January 2020 - 28 January 2040</v>
      </c>
      <c r="Q76" s="9" t="s">
        <v>759</v>
      </c>
      <c r="R76" s="8"/>
      <c r="S76" s="59">
        <v>6.19</v>
      </c>
      <c r="T76" s="59" t="s">
        <v>759</v>
      </c>
      <c r="U76" s="549" t="s">
        <v>797</v>
      </c>
      <c r="V76" s="717" t="s">
        <v>979</v>
      </c>
      <c r="W76" s="725">
        <f>VLOOKUP(Table1[[#This Row],[TransCo Plant Name]],[1]FD!$B:$H,2,FALSE)</f>
        <v>43859</v>
      </c>
      <c r="X76" s="729">
        <f>Table1[[#This Row],[Start of FIT Elibility per COC]]-Table1[[#This Row],[Column2]]</f>
        <v>0</v>
      </c>
    </row>
    <row r="77" spans="1:41" s="4" customFormat="1" ht="30" customHeight="1" x14ac:dyDescent="0.2">
      <c r="A77" s="58"/>
      <c r="B77" s="5"/>
      <c r="C77" s="18"/>
      <c r="D77" s="18">
        <f>COUNT(D63:D76)</f>
        <v>14</v>
      </c>
      <c r="E77" s="19"/>
      <c r="F77" s="19"/>
      <c r="G77" s="19"/>
      <c r="H77" s="596">
        <f>SUBTOTAL(109,H63:H76)</f>
        <v>211.43</v>
      </c>
      <c r="I77" s="596">
        <f t="shared" ref="I77:J77" si="2">SUBTOTAL(109,I63:I76)</f>
        <v>260.34500000000003</v>
      </c>
      <c r="J77" s="596">
        <f t="shared" si="2"/>
        <v>121.63000000000002</v>
      </c>
      <c r="K77" s="7"/>
      <c r="L77" s="8"/>
      <c r="M77" s="8"/>
      <c r="N77" s="8"/>
      <c r="O77" s="52"/>
      <c r="P77" s="52"/>
      <c r="Q77" s="9"/>
      <c r="R77" s="8"/>
      <c r="S77" s="60"/>
      <c r="T77" s="60"/>
      <c r="U77" s="549"/>
      <c r="V77" s="733"/>
      <c r="W77" s="725">
        <f>VLOOKUP(Table1[[#This Row],[RE Plant]],[1]FD!$B:$H,2,FALSE)</f>
        <v>0</v>
      </c>
      <c r="X77" s="729">
        <f>Table1[[#This Row],[Start of FIT Elibility per COC]]-Table1[[#This Row],[Column2]]</f>
        <v>0</v>
      </c>
    </row>
    <row r="78" spans="1:41" s="4" customFormat="1" ht="30" customHeight="1" x14ac:dyDescent="0.25">
      <c r="A78" s="58"/>
      <c r="B78" s="5"/>
      <c r="C78" s="18"/>
      <c r="D78" s="18"/>
      <c r="E78" s="19"/>
      <c r="F78" s="19"/>
      <c r="G78" s="19"/>
      <c r="H78" s="551"/>
      <c r="I78" s="551"/>
      <c r="J78" s="551"/>
      <c r="K78" s="7"/>
      <c r="L78" s="8"/>
      <c r="M78" s="8"/>
      <c r="N78" s="8"/>
      <c r="O78" s="52"/>
      <c r="P78" s="52"/>
      <c r="Q78" s="994"/>
      <c r="R78" s="995"/>
      <c r="S78" s="59"/>
      <c r="T78" s="718"/>
      <c r="U78" s="549"/>
      <c r="V78" s="717"/>
      <c r="W78" s="725">
        <f>VLOOKUP(Table1[[#This Row],[RE Plant]],[1]FD!$B:$H,2,FALSE)</f>
        <v>0</v>
      </c>
      <c r="X78" s="729">
        <f>Table1[[#This Row],[Start of FIT Elibility per COC]]-Table1[[#This Row],[Column2]]</f>
        <v>0</v>
      </c>
    </row>
    <row r="79" spans="1:41" s="4" customFormat="1" ht="120" x14ac:dyDescent="0.25">
      <c r="A79" s="58" t="s">
        <v>7</v>
      </c>
      <c r="B79" s="5" t="s">
        <v>6</v>
      </c>
      <c r="C79" s="18" t="s">
        <v>49</v>
      </c>
      <c r="D79" s="18">
        <v>1</v>
      </c>
      <c r="E79" s="19" t="s">
        <v>30</v>
      </c>
      <c r="F79" s="19" t="s">
        <v>31</v>
      </c>
      <c r="G79" s="19" t="s">
        <v>140</v>
      </c>
      <c r="H79" s="551">
        <v>1.8</v>
      </c>
      <c r="I79" s="551">
        <v>1.8</v>
      </c>
      <c r="J79" s="551">
        <v>1.8</v>
      </c>
      <c r="K79" s="7"/>
      <c r="L79" s="8">
        <v>40538</v>
      </c>
      <c r="M79" s="8">
        <v>42170</v>
      </c>
      <c r="N79" s="8">
        <v>47831</v>
      </c>
      <c r="O79" s="52">
        <v>15</v>
      </c>
      <c r="P79" s="52" t="s">
        <v>306</v>
      </c>
      <c r="Q79" s="974">
        <v>45768</v>
      </c>
      <c r="R79" s="979">
        <v>42536</v>
      </c>
      <c r="S79" s="59">
        <v>5.9</v>
      </c>
      <c r="T79" s="718" t="s">
        <v>908</v>
      </c>
      <c r="U79" s="549" t="s">
        <v>797</v>
      </c>
      <c r="V79" s="719" t="s">
        <v>955</v>
      </c>
      <c r="W79" s="725">
        <f>VLOOKUP(Table1[[#This Row],[TransCo Plant Name]],[1]FD!$B:$H,2,FALSE)</f>
        <v>42170</v>
      </c>
      <c r="X79" s="742">
        <f>Table1[[#This Row],[Start of FIT Elibility per COC]]-Table1[[#This Row],[Column2]]</f>
        <v>0</v>
      </c>
      <c r="Y79" s="5"/>
      <c r="Z79" s="18"/>
      <c r="AA79" s="19"/>
      <c r="AB79" s="19"/>
      <c r="AC79" s="19"/>
      <c r="AD79" s="551"/>
      <c r="AE79" s="551"/>
      <c r="AF79" s="696"/>
      <c r="AG79" s="8"/>
      <c r="AH79" s="8"/>
      <c r="AI79" s="8"/>
      <c r="AJ79" s="52"/>
      <c r="AK79" s="52"/>
      <c r="AL79" s="26"/>
      <c r="AM79" s="7"/>
      <c r="AN79" s="7"/>
      <c r="AO79" s="551"/>
    </row>
    <row r="80" spans="1:41" s="4" customFormat="1" ht="30" customHeight="1" x14ac:dyDescent="0.25">
      <c r="A80" s="58" t="s">
        <v>7</v>
      </c>
      <c r="B80" s="5" t="s">
        <v>6</v>
      </c>
      <c r="C80" s="18" t="s">
        <v>49</v>
      </c>
      <c r="D80" s="18">
        <v>2</v>
      </c>
      <c r="E80" s="19" t="s">
        <v>28</v>
      </c>
      <c r="F80" s="19" t="s">
        <v>29</v>
      </c>
      <c r="G80" s="19" t="s">
        <v>141</v>
      </c>
      <c r="H80" s="598">
        <v>14.138</v>
      </c>
      <c r="I80" s="599">
        <v>14.138999999999999</v>
      </c>
      <c r="J80" s="598">
        <v>14.138999999999999</v>
      </c>
      <c r="K80" s="7"/>
      <c r="L80" s="25">
        <v>42157</v>
      </c>
      <c r="M80" s="8">
        <v>42157</v>
      </c>
      <c r="N80" s="8">
        <v>49461</v>
      </c>
      <c r="O80" s="52">
        <v>20</v>
      </c>
      <c r="P80" s="52" t="s">
        <v>307</v>
      </c>
      <c r="Q80" s="974">
        <v>42276</v>
      </c>
      <c r="R80" s="978">
        <v>42523</v>
      </c>
      <c r="S80" s="59">
        <v>5.9</v>
      </c>
      <c r="T80" s="59" t="s">
        <v>842</v>
      </c>
      <c r="U80" s="549" t="s">
        <v>797</v>
      </c>
      <c r="V80" s="717" t="s">
        <v>956</v>
      </c>
      <c r="W80" s="725">
        <f>VLOOKUP(Table1[[#This Row],[TransCo Plant Name]],[1]FD!$B:$H,2,FALSE)</f>
        <v>42157</v>
      </c>
      <c r="X80" s="727">
        <f>Table1[[#This Row],[Start of FIT Elibility per COC]]-Table1[[#This Row],[Column2]]</f>
        <v>0</v>
      </c>
    </row>
    <row r="81" spans="1:41" s="4" customFormat="1" ht="120" x14ac:dyDescent="0.25">
      <c r="A81" s="58" t="s">
        <v>7</v>
      </c>
      <c r="B81" s="5" t="s">
        <v>6</v>
      </c>
      <c r="C81" s="18" t="s">
        <v>49</v>
      </c>
      <c r="D81" s="18">
        <v>3</v>
      </c>
      <c r="E81" s="19" t="s">
        <v>24</v>
      </c>
      <c r="F81" s="656" t="s">
        <v>25</v>
      </c>
      <c r="G81" s="656" t="s">
        <v>142</v>
      </c>
      <c r="H81" s="551">
        <v>3.9</v>
      </c>
      <c r="I81" s="551">
        <v>3.9</v>
      </c>
      <c r="J81" s="551">
        <v>3.8</v>
      </c>
      <c r="K81" s="7"/>
      <c r="L81" s="8">
        <v>41029</v>
      </c>
      <c r="M81" s="653">
        <v>41029</v>
      </c>
      <c r="N81" s="653">
        <v>48333</v>
      </c>
      <c r="O81" s="52">
        <v>20</v>
      </c>
      <c r="P81" s="52" t="s">
        <v>308</v>
      </c>
      <c r="Q81" s="657">
        <v>42396</v>
      </c>
      <c r="R81" s="653">
        <v>42370</v>
      </c>
      <c r="S81" s="59">
        <v>5.9</v>
      </c>
      <c r="T81" s="59" t="s">
        <v>1684</v>
      </c>
      <c r="U81" s="549" t="s">
        <v>797</v>
      </c>
      <c r="V81" s="717" t="s">
        <v>957</v>
      </c>
      <c r="W81" s="725">
        <f>VLOOKUP(Table1[[#This Row],[TransCo Plant Name]],[1]FD!$B:$H,2,FALSE)</f>
        <v>41029</v>
      </c>
      <c r="X81" s="727">
        <f>Table1[[#This Row],[Start of FIT Elibility per COC]]-Table1[[#This Row],[Column2]]</f>
        <v>0</v>
      </c>
      <c r="Z81" s="18"/>
      <c r="AA81" s="19"/>
      <c r="AB81" s="19"/>
      <c r="AC81" s="19"/>
      <c r="AD81" s="551"/>
      <c r="AE81" s="551"/>
      <c r="AF81" s="696"/>
      <c r="AG81" s="8"/>
      <c r="AH81" s="8"/>
      <c r="AI81" s="8"/>
      <c r="AJ81" s="52"/>
      <c r="AK81" s="52"/>
      <c r="AL81" s="26"/>
      <c r="AM81" s="7"/>
      <c r="AN81" s="7"/>
      <c r="AO81" s="551"/>
    </row>
    <row r="82" spans="1:41" s="4" customFormat="1" ht="30" customHeight="1" x14ac:dyDescent="0.25">
      <c r="A82" s="58" t="s">
        <v>32</v>
      </c>
      <c r="B82" s="5" t="s">
        <v>6</v>
      </c>
      <c r="C82" s="18" t="s">
        <v>49</v>
      </c>
      <c r="D82" s="18">
        <v>4</v>
      </c>
      <c r="E82" s="19" t="s">
        <v>709</v>
      </c>
      <c r="F82" s="656" t="s">
        <v>185</v>
      </c>
      <c r="G82" s="656" t="s">
        <v>183</v>
      </c>
      <c r="H82" s="551">
        <v>8.08</v>
      </c>
      <c r="I82" s="551">
        <v>8.08</v>
      </c>
      <c r="J82" s="551">
        <v>8.08</v>
      </c>
      <c r="K82" s="7"/>
      <c r="L82" s="8">
        <v>42477</v>
      </c>
      <c r="M82" s="653">
        <v>42477</v>
      </c>
      <c r="N82" s="653">
        <v>49781</v>
      </c>
      <c r="O82" s="52">
        <f>YEAR(Table1[[#This Row],[FIT End Term per COC]])-YEAR(Table1[[#This Row],[Start of FIT Elibility per COC]])</f>
        <v>20</v>
      </c>
      <c r="P82" s="52" t="str">
        <f>DAY(M82)&amp;" "&amp;TEXT(M82,"mmmm")&amp;" "&amp;YEAR(M82)&amp;" - "&amp;DAY(N82)&amp;" "&amp;TEXT(N82,"mmmm")&amp;" "&amp;YEAR(N82)</f>
        <v>17 April 2016 - 16 April 2036</v>
      </c>
      <c r="Q82" s="657" t="s">
        <v>212</v>
      </c>
      <c r="R82" s="653">
        <v>42842</v>
      </c>
      <c r="S82" s="59">
        <v>5.9</v>
      </c>
      <c r="T82" s="59" t="s">
        <v>915</v>
      </c>
      <c r="U82" s="549" t="s">
        <v>797</v>
      </c>
      <c r="V82" s="717" t="s">
        <v>958</v>
      </c>
      <c r="W82" s="725">
        <f>VLOOKUP(Table1[[#This Row],[TransCo Plant Name]],[1]FD!$B:$H,2,FALSE)</f>
        <v>42477</v>
      </c>
      <c r="X82" s="727">
        <f>Table1[[#This Row],[Start of FIT Elibility per COC]]-Table1[[#This Row],[Column2]]</f>
        <v>0</v>
      </c>
    </row>
    <row r="83" spans="1:41" s="4" customFormat="1" ht="30" customHeight="1" x14ac:dyDescent="0.25">
      <c r="A83" s="58" t="s">
        <v>8</v>
      </c>
      <c r="B83" s="5" t="s">
        <v>6</v>
      </c>
      <c r="C83" s="18" t="s">
        <v>49</v>
      </c>
      <c r="D83" s="18">
        <v>5</v>
      </c>
      <c r="E83" s="19" t="s">
        <v>26</v>
      </c>
      <c r="F83" s="656" t="s">
        <v>27</v>
      </c>
      <c r="G83" s="656" t="s">
        <v>895</v>
      </c>
      <c r="H83" s="598">
        <v>8.1370000000000005</v>
      </c>
      <c r="I83" s="598">
        <v>8.1370000000000005</v>
      </c>
      <c r="J83" s="598">
        <v>8.1370000000000005</v>
      </c>
      <c r="K83" s="7"/>
      <c r="L83" s="8">
        <v>41740</v>
      </c>
      <c r="M83" s="653">
        <v>42170</v>
      </c>
      <c r="N83" s="653">
        <v>49044</v>
      </c>
      <c r="O83" s="52">
        <v>20</v>
      </c>
      <c r="P83" s="52" t="s">
        <v>305</v>
      </c>
      <c r="Q83" s="657">
        <v>42170</v>
      </c>
      <c r="R83" s="653">
        <v>42536</v>
      </c>
      <c r="S83" s="59">
        <v>5.9</v>
      </c>
      <c r="T83" s="59" t="s">
        <v>1750</v>
      </c>
      <c r="U83" s="549" t="s">
        <v>797</v>
      </c>
      <c r="V83" s="717" t="s">
        <v>954</v>
      </c>
      <c r="W83" s="725">
        <f>VLOOKUP(Table1[[#This Row],[TransCo Plant Name]],[1]FD!$B:$H,2,FALSE)</f>
        <v>42170</v>
      </c>
      <c r="X83" s="727">
        <f>Table1[[#This Row],[Start of FIT Elibility per COC]]-Table1[[#This Row],[Column2]]</f>
        <v>0</v>
      </c>
    </row>
    <row r="84" spans="1:41" s="4" customFormat="1" ht="15.75" x14ac:dyDescent="0.25">
      <c r="A84" s="58"/>
      <c r="B84" s="5"/>
      <c r="C84" s="18"/>
      <c r="D84" s="18">
        <v>5</v>
      </c>
      <c r="E84" s="19"/>
      <c r="F84" s="965"/>
      <c r="G84" s="965"/>
      <c r="H84" s="596">
        <f>SUBTOTAL(109,H79:H83)</f>
        <v>36.055</v>
      </c>
      <c r="I84" s="596">
        <f t="shared" ref="I84:J84" si="3">SUBTOTAL(109,I79:I83)</f>
        <v>36.055999999999997</v>
      </c>
      <c r="J84" s="596">
        <f t="shared" si="3"/>
        <v>35.956000000000003</v>
      </c>
      <c r="K84" s="7"/>
      <c r="L84" s="8"/>
      <c r="M84" s="653"/>
      <c r="N84" s="653"/>
      <c r="O84" s="52"/>
      <c r="P84" s="52"/>
      <c r="Q84" s="657"/>
      <c r="R84" s="653"/>
      <c r="S84" s="59"/>
      <c r="T84" s="59"/>
      <c r="U84" s="549"/>
      <c r="V84" s="717"/>
      <c r="W84" s="725">
        <f>VLOOKUP(Table1[[#This Row],[RE Plant]],[1]FD!$B:$H,2,FALSE)</f>
        <v>0</v>
      </c>
      <c r="X84" s="727">
        <f>Table1[[#This Row],[Start of FIT Elibility per COC]]-Table1[[#This Row],[Column2]]</f>
        <v>0</v>
      </c>
    </row>
    <row r="85" spans="1:41" s="4" customFormat="1" ht="30" customHeight="1" x14ac:dyDescent="0.25">
      <c r="A85" s="58" t="s">
        <v>7</v>
      </c>
      <c r="B85" s="5" t="s">
        <v>6</v>
      </c>
      <c r="C85" s="18" t="s">
        <v>51</v>
      </c>
      <c r="D85" s="18">
        <v>6</v>
      </c>
      <c r="E85" s="19" t="s">
        <v>186</v>
      </c>
      <c r="F85" s="965" t="s">
        <v>187</v>
      </c>
      <c r="G85" s="965" t="s">
        <v>188</v>
      </c>
      <c r="H85" s="551">
        <v>8.5</v>
      </c>
      <c r="I85" s="551">
        <v>8.5</v>
      </c>
      <c r="J85" s="551">
        <v>8.5</v>
      </c>
      <c r="K85" s="7"/>
      <c r="L85" s="8">
        <v>43059</v>
      </c>
      <c r="M85" s="8">
        <v>43059</v>
      </c>
      <c r="N85" s="8">
        <v>50363</v>
      </c>
      <c r="O85" s="52">
        <v>20</v>
      </c>
      <c r="P85" s="52" t="s">
        <v>309</v>
      </c>
      <c r="Q85" s="9">
        <v>43194</v>
      </c>
      <c r="R85" s="8">
        <v>43424</v>
      </c>
      <c r="S85" s="60">
        <v>5.8704999999999998</v>
      </c>
      <c r="T85" s="60" t="s">
        <v>717</v>
      </c>
      <c r="U85" s="549" t="s">
        <v>797</v>
      </c>
      <c r="V85" s="717" t="s">
        <v>959</v>
      </c>
      <c r="W85" s="725">
        <f>VLOOKUP(Table1[[#This Row],[TransCo Plant Name]],[1]FD!$B:$H,2,FALSE)</f>
        <v>43059</v>
      </c>
      <c r="X85" s="727">
        <f>Table1[[#This Row],[Start of FIT Elibility per COC]]-Table1[[#This Row],[Column2]]</f>
        <v>0</v>
      </c>
    </row>
    <row r="86" spans="1:41" s="4" customFormat="1" ht="30" customHeight="1" x14ac:dyDescent="0.25">
      <c r="A86" s="58"/>
      <c r="B86" s="5"/>
      <c r="C86" s="18"/>
      <c r="D86" s="18">
        <v>1</v>
      </c>
      <c r="E86" s="19"/>
      <c r="F86" s="965"/>
      <c r="G86" s="965"/>
      <c r="H86" s="596">
        <f>SUBTOTAL(109,H85:H85)</f>
        <v>8.5</v>
      </c>
      <c r="I86" s="596">
        <f t="shared" ref="I86:J86" si="4">SUBTOTAL(109,I85:I85)</f>
        <v>8.5</v>
      </c>
      <c r="J86" s="596">
        <f t="shared" si="4"/>
        <v>8.5</v>
      </c>
      <c r="K86" s="7"/>
      <c r="L86" s="8"/>
      <c r="M86" s="653"/>
      <c r="N86" s="653"/>
      <c r="O86" s="52"/>
      <c r="P86" s="52"/>
      <c r="Q86" s="657"/>
      <c r="R86" s="653"/>
      <c r="S86" s="60"/>
      <c r="T86" s="60"/>
      <c r="U86" s="549"/>
      <c r="V86" s="717"/>
      <c r="W86" s="725">
        <f>VLOOKUP(Table1[[#This Row],[RE Plant]],[1]FD!$B:$H,2,FALSE)</f>
        <v>0</v>
      </c>
      <c r="X86" s="727">
        <f>Table1[[#This Row],[Start of FIT Elibility per COC]]-Table1[[#This Row],[Column2]]</f>
        <v>0</v>
      </c>
      <c r="Z86" s="535"/>
      <c r="AA86" s="535"/>
      <c r="AB86" s="534"/>
    </row>
    <row r="87" spans="1:41" s="4" customFormat="1" ht="30" customHeight="1" x14ac:dyDescent="0.25">
      <c r="A87" s="58" t="s">
        <v>7</v>
      </c>
      <c r="B87" s="5" t="s">
        <v>6</v>
      </c>
      <c r="C87" s="18" t="s">
        <v>50</v>
      </c>
      <c r="D87" s="18">
        <v>7</v>
      </c>
      <c r="E87" s="314" t="s">
        <v>223</v>
      </c>
      <c r="F87" s="656" t="s">
        <v>224</v>
      </c>
      <c r="G87" s="656" t="s">
        <v>225</v>
      </c>
      <c r="H87" s="551">
        <v>2.3199999999999998</v>
      </c>
      <c r="I87" s="551">
        <v>2.3199999999999998</v>
      </c>
      <c r="J87" s="551">
        <v>2.19</v>
      </c>
      <c r="K87" s="7"/>
      <c r="L87" s="8">
        <v>43602</v>
      </c>
      <c r="M87" s="653">
        <v>43602</v>
      </c>
      <c r="N87" s="653">
        <v>50906</v>
      </c>
      <c r="O87" s="52">
        <f>YEAR(Table1[[#This Row],[FIT End Term per COC]])-YEAR(Table1[[#This Row],[Start of FIT Elibility per COC]])</f>
        <v>20</v>
      </c>
      <c r="P87" s="52" t="str">
        <f>DAY(M87)&amp;" "&amp;TEXT(M87,"mmmm")&amp;" "&amp;YEAR(M87)&amp;" - "&amp;DAY(N87)&amp;" "&amp;TEXT(N87,"mmmm")&amp;" "&amp;YEAR(N87)</f>
        <v>17 May 2019 - 16 May 2039</v>
      </c>
      <c r="Q87" s="657">
        <v>44384</v>
      </c>
      <c r="R87" s="653"/>
      <c r="S87" s="60">
        <v>5.8704999999999998</v>
      </c>
      <c r="T87" s="60" t="s">
        <v>853</v>
      </c>
      <c r="U87" s="549" t="s">
        <v>797</v>
      </c>
      <c r="V87" s="717" t="s">
        <v>961</v>
      </c>
      <c r="W87" s="725">
        <f>VLOOKUP(Table1[[#This Row],[TransCo Plant Name]],[1]FD!$B:$H,2,FALSE)</f>
        <v>43602</v>
      </c>
      <c r="X87" s="727">
        <f>Table1[[#This Row],[Start of FIT Elibility per COC]]-Table1[[#This Row],[Column2]]</f>
        <v>0</v>
      </c>
      <c r="Y87" s="89"/>
    </row>
    <row r="88" spans="1:41" s="4" customFormat="1" ht="30" customHeight="1" x14ac:dyDescent="0.25">
      <c r="A88" s="58" t="s">
        <v>7</v>
      </c>
      <c r="B88" s="5" t="s">
        <v>6</v>
      </c>
      <c r="C88" s="18" t="s">
        <v>50</v>
      </c>
      <c r="D88" s="18">
        <v>8</v>
      </c>
      <c r="E88" s="19" t="s">
        <v>269</v>
      </c>
      <c r="F88" s="656" t="s">
        <v>357</v>
      </c>
      <c r="G88" s="656" t="s">
        <v>274</v>
      </c>
      <c r="H88" s="551">
        <v>1.1000000000000001</v>
      </c>
      <c r="I88" s="551">
        <v>1.1000000000000001</v>
      </c>
      <c r="J88" s="551">
        <v>1.1000000000000001</v>
      </c>
      <c r="K88" s="7"/>
      <c r="L88" s="8">
        <v>43304</v>
      </c>
      <c r="M88" s="8">
        <v>43304</v>
      </c>
      <c r="N88" s="653">
        <v>50608</v>
      </c>
      <c r="O88" s="52">
        <f>YEAR(Table1[[#This Row],[FIT End Term per COC]])-YEAR(Table1[[#This Row],[Start of FIT Elibility per COC]])</f>
        <v>20</v>
      </c>
      <c r="P88" s="52" t="str">
        <f>DAY(M88)&amp;" "&amp;TEXT(M88,"mmmm")&amp;" "&amp;YEAR(M88)&amp;" - "&amp;DAY(N88)&amp;" "&amp;TEXT(N88,"mmmm")&amp;" "&amp;YEAR(N88)</f>
        <v>23 July 2018 - 22 July 2038</v>
      </c>
      <c r="Q88" s="657" t="s">
        <v>337</v>
      </c>
      <c r="R88" s="653"/>
      <c r="S88" s="60">
        <v>5.8704999999999998</v>
      </c>
      <c r="T88" s="60" t="s">
        <v>1747</v>
      </c>
      <c r="U88" s="549" t="s">
        <v>797</v>
      </c>
      <c r="V88" s="717" t="s">
        <v>963</v>
      </c>
      <c r="W88" s="725">
        <f>VLOOKUP(Table1[[#This Row],[TransCo Plant Name]],[1]FD!$B:$H,2,FALSE)</f>
        <v>43304</v>
      </c>
      <c r="X88" s="727">
        <f>Table1[[#This Row],[Start of FIT Elibility per COC]]-Table1[[#This Row],[Column2]]</f>
        <v>0</v>
      </c>
      <c r="Y88" s="89"/>
    </row>
    <row r="89" spans="1:41" s="4" customFormat="1" ht="60" x14ac:dyDescent="0.25">
      <c r="A89" s="58" t="s">
        <v>7</v>
      </c>
      <c r="B89" s="5" t="s">
        <v>6</v>
      </c>
      <c r="C89" s="18" t="s">
        <v>50</v>
      </c>
      <c r="D89" s="18">
        <v>9</v>
      </c>
      <c r="E89" s="19" t="s">
        <v>269</v>
      </c>
      <c r="F89" s="656" t="s">
        <v>358</v>
      </c>
      <c r="G89" s="656" t="s">
        <v>275</v>
      </c>
      <c r="H89" s="934">
        <v>1.5</v>
      </c>
      <c r="I89" s="934">
        <v>1.5</v>
      </c>
      <c r="J89" s="934">
        <v>1.5</v>
      </c>
      <c r="K89" s="935"/>
      <c r="L89" s="653">
        <v>43392</v>
      </c>
      <c r="M89" s="653">
        <v>43392</v>
      </c>
      <c r="N89" s="653">
        <v>50696</v>
      </c>
      <c r="O89" s="52">
        <f>YEAR(Table1[[#This Row],[FIT End Term per COC]])-YEAR(Table1[[#This Row],[Start of FIT Elibility per COC]])</f>
        <v>20</v>
      </c>
      <c r="P89" s="52" t="str">
        <f>DAY(M89)&amp;" "&amp;TEXT(M89,"mmmm")&amp;" "&amp;YEAR(M89)&amp;" - "&amp;DAY(N89)&amp;" "&amp;TEXT(N89,"mmmm")&amp;" "&amp;YEAR(N89)</f>
        <v>19 October 2018 - 18 October 2038</v>
      </c>
      <c r="Q89" s="657" t="s">
        <v>337</v>
      </c>
      <c r="R89" s="653"/>
      <c r="S89" s="60">
        <v>5.8704999999999998</v>
      </c>
      <c r="T89" s="60" t="s">
        <v>1748</v>
      </c>
      <c r="U89" s="549" t="s">
        <v>797</v>
      </c>
      <c r="V89" s="717" t="s">
        <v>964</v>
      </c>
      <c r="W89" s="725">
        <f>VLOOKUP(Table1[[#This Row],[TransCo Plant Name]],[1]FD!$B:$H,2,FALSE)</f>
        <v>43392</v>
      </c>
      <c r="X89" s="727">
        <f>Table1[[#This Row],[Start of FIT Elibility per COC]]-Table1[[#This Row],[Column2]]</f>
        <v>0</v>
      </c>
      <c r="Y89" s="89"/>
      <c r="Z89" s="535">
        <f>SUM(J98:J110)</f>
        <v>72.432000000000002</v>
      </c>
      <c r="AA89" s="535"/>
      <c r="AB89" s="534"/>
    </row>
    <row r="90" spans="1:41" s="4" customFormat="1" ht="105.75" thickBot="1" x14ac:dyDescent="0.3">
      <c r="A90" s="58" t="s">
        <v>7</v>
      </c>
      <c r="B90" s="5" t="s">
        <v>6</v>
      </c>
      <c r="C90" s="18" t="s">
        <v>50</v>
      </c>
      <c r="D90" s="18">
        <v>10</v>
      </c>
      <c r="E90" s="19" t="s">
        <v>271</v>
      </c>
      <c r="F90" s="71" t="s">
        <v>266</v>
      </c>
      <c r="G90" s="71" t="s">
        <v>277</v>
      </c>
      <c r="H90" s="934">
        <v>20.399999999999999</v>
      </c>
      <c r="I90" s="934">
        <v>20.399999999999999</v>
      </c>
      <c r="J90" s="934">
        <v>20.399999999999999</v>
      </c>
      <c r="K90" s="935"/>
      <c r="L90" s="72">
        <v>43647</v>
      </c>
      <c r="M90" s="72">
        <v>43647</v>
      </c>
      <c r="N90" s="72">
        <v>50951</v>
      </c>
      <c r="O90" s="52">
        <f>YEAR(Table1[[#This Row],[FIT End Term per COC]])-YEAR(Table1[[#This Row],[Start of FIT Elibility per COC]])</f>
        <v>20</v>
      </c>
      <c r="P90" s="52" t="str">
        <f>DAY(M90)&amp;" "&amp;TEXT(M90,"mmmm")&amp;" "&amp;YEAR(M90)&amp;" - "&amp;DAY(N90)&amp;" "&amp;TEXT(N90,"mmmm")&amp;" "&amp;YEAR(N90)</f>
        <v>1 July 2019 - 30 June 2039</v>
      </c>
      <c r="Q90" s="74" t="s">
        <v>338</v>
      </c>
      <c r="R90" s="653"/>
      <c r="S90" s="60">
        <v>5.8704999999999998</v>
      </c>
      <c r="T90" s="60" t="s">
        <v>843</v>
      </c>
      <c r="U90" s="549" t="s">
        <v>797</v>
      </c>
      <c r="V90" s="717" t="s">
        <v>966</v>
      </c>
      <c r="W90" s="725">
        <f>VLOOKUP(Table1[[#This Row],[TransCo Plant Name]],[1]FD!$B:$H,2,FALSE)</f>
        <v>43647</v>
      </c>
      <c r="X90" s="727">
        <f>Table1[[#This Row],[Start of FIT Elibility per COC]]-Table1[[#This Row],[Column2]]</f>
        <v>0</v>
      </c>
      <c r="Y90" s="89"/>
    </row>
    <row r="91" spans="1:41" s="4" customFormat="1" ht="30" customHeight="1" x14ac:dyDescent="0.25">
      <c r="A91" s="58" t="s">
        <v>32</v>
      </c>
      <c r="B91" s="5" t="s">
        <v>6</v>
      </c>
      <c r="C91" s="18" t="s">
        <v>50</v>
      </c>
      <c r="D91" s="18">
        <v>11</v>
      </c>
      <c r="E91" s="19" t="s">
        <v>272</v>
      </c>
      <c r="F91" s="19" t="s">
        <v>267</v>
      </c>
      <c r="G91" s="19" t="s">
        <v>278</v>
      </c>
      <c r="H91" s="551">
        <v>1.2</v>
      </c>
      <c r="I91" s="551">
        <v>1.2</v>
      </c>
      <c r="J91" s="551">
        <v>1.2</v>
      </c>
      <c r="K91" s="7"/>
      <c r="L91" s="8">
        <v>43824</v>
      </c>
      <c r="M91" s="8">
        <v>43824</v>
      </c>
      <c r="N91" s="8">
        <v>51128</v>
      </c>
      <c r="O91" s="52">
        <f>YEAR(Table1[[#This Row],[FIT End Term per COC]])-YEAR(Table1[[#This Row],[Start of FIT Elibility per COC]])</f>
        <v>20</v>
      </c>
      <c r="P91" s="52" t="str">
        <f>DAY(M91)&amp;" "&amp;TEXT(M91,"mmmm")&amp;" "&amp;YEAR(M91)&amp;" - "&amp;DAY(N91)&amp;" "&amp;TEXT(N91,"mmmm")&amp;" "&amp;YEAR(N91)</f>
        <v>25 December 2019 - 24 December 2039</v>
      </c>
      <c r="Q91" s="9" t="s">
        <v>367</v>
      </c>
      <c r="R91" s="8"/>
      <c r="S91" s="60">
        <v>5.8704999999999998</v>
      </c>
      <c r="T91" s="60" t="s">
        <v>857</v>
      </c>
      <c r="U91" s="549" t="s">
        <v>864</v>
      </c>
      <c r="V91" s="717"/>
      <c r="W91" s="725">
        <f>VLOOKUP(Table1[[#This Row],[RE Plant]],[1]FD!$B:$H,2,FALSE)</f>
        <v>43824</v>
      </c>
      <c r="X91" s="727">
        <f>Table1[[#This Row],[Start of FIT Elibility per COC]]-Table1[[#This Row],[Column2]]</f>
        <v>0</v>
      </c>
    </row>
    <row r="92" spans="1:41" s="67" customFormat="1" ht="30" customHeight="1" thickBot="1" x14ac:dyDescent="0.3">
      <c r="A92" s="58" t="s">
        <v>8</v>
      </c>
      <c r="B92" s="5" t="s">
        <v>6</v>
      </c>
      <c r="C92" s="18" t="s">
        <v>50</v>
      </c>
      <c r="D92" s="18">
        <v>12</v>
      </c>
      <c r="E92" s="19" t="s">
        <v>213</v>
      </c>
      <c r="F92" s="71" t="s">
        <v>214</v>
      </c>
      <c r="G92" s="71" t="s">
        <v>215</v>
      </c>
      <c r="H92" s="966">
        <v>45.936</v>
      </c>
      <c r="I92" s="966">
        <v>45.936</v>
      </c>
      <c r="J92" s="966">
        <v>45.936</v>
      </c>
      <c r="K92" s="936"/>
      <c r="L92" s="72">
        <v>43283</v>
      </c>
      <c r="M92" s="72">
        <v>43283</v>
      </c>
      <c r="N92" s="72">
        <v>50587</v>
      </c>
      <c r="O92" s="52">
        <v>20</v>
      </c>
      <c r="P92" s="52" t="s">
        <v>310</v>
      </c>
      <c r="Q92" s="9">
        <v>43634</v>
      </c>
      <c r="R92" s="653"/>
      <c r="S92" s="60">
        <v>5.8704999999999998</v>
      </c>
      <c r="T92" s="60" t="s">
        <v>1774</v>
      </c>
      <c r="U92" s="549" t="s">
        <v>797</v>
      </c>
      <c r="V92" s="717" t="s">
        <v>960</v>
      </c>
      <c r="W92" s="725">
        <f>VLOOKUP(Table1[[#This Row],[TransCo Plant Name]],[1]FD!$B:$H,2,FALSE)</f>
        <v>43283</v>
      </c>
      <c r="X92" s="727">
        <f>Table1[[#This Row],[Start of FIT Elibility per COC]]-Table1[[#This Row],[Column2]]</f>
        <v>0</v>
      </c>
      <c r="Y92" s="89"/>
      <c r="Z92" s="4"/>
      <c r="AA92" s="67">
        <v>0.876</v>
      </c>
    </row>
    <row r="93" spans="1:41" s="4" customFormat="1" ht="30" customHeight="1" x14ac:dyDescent="0.25">
      <c r="A93" s="58" t="s">
        <v>8</v>
      </c>
      <c r="B93" s="5" t="s">
        <v>6</v>
      </c>
      <c r="C93" s="18" t="s">
        <v>50</v>
      </c>
      <c r="D93" s="18">
        <v>13</v>
      </c>
      <c r="E93" s="19" t="s">
        <v>268</v>
      </c>
      <c r="F93" s="19" t="s">
        <v>264</v>
      </c>
      <c r="G93" s="19" t="s">
        <v>273</v>
      </c>
      <c r="H93" s="598">
        <v>3.1880000000000002</v>
      </c>
      <c r="I93" s="598">
        <v>3.1880000000000002</v>
      </c>
      <c r="J93" s="598">
        <v>3.1880000000000002</v>
      </c>
      <c r="K93" s="7"/>
      <c r="L93" s="8">
        <v>43165</v>
      </c>
      <c r="M93" s="8">
        <v>43165</v>
      </c>
      <c r="N93" s="8">
        <v>50469</v>
      </c>
      <c r="O93" s="52">
        <f>YEAR(Table1[[#This Row],[FIT End Term per COC]])-YEAR(Table1[[#This Row],[Start of FIT Elibility per COC]])</f>
        <v>20</v>
      </c>
      <c r="P93" s="52" t="str">
        <f>DAY(M93)&amp;" "&amp;TEXT(M93,"mmmm")&amp;" "&amp;YEAR(M93)&amp;" - "&amp;DAY(N93)&amp;" "&amp;TEXT(N93,"mmmm")&amp;" "&amp;YEAR(N93)</f>
        <v>6 March 2018 - 5 March 2038</v>
      </c>
      <c r="Q93" s="9" t="s">
        <v>336</v>
      </c>
      <c r="R93" s="8"/>
      <c r="S93" s="60">
        <v>5.8704999999999998</v>
      </c>
      <c r="T93" s="60" t="s">
        <v>1685</v>
      </c>
      <c r="U93" s="549" t="s">
        <v>797</v>
      </c>
      <c r="V93" s="717" t="s">
        <v>962</v>
      </c>
      <c r="W93" s="725">
        <f>VLOOKUP(Table1[[#This Row],[TransCo Plant Name]],[1]FD!$B:$H,2,FALSE)</f>
        <v>43165</v>
      </c>
      <c r="X93" s="727">
        <f>Table1[[#This Row],[Start of FIT Elibility per COC]]-Table1[[#This Row],[Column2]]</f>
        <v>0</v>
      </c>
      <c r="Y93" s="89"/>
    </row>
    <row r="94" spans="1:41" s="4" customFormat="1" ht="30" customHeight="1" x14ac:dyDescent="0.25">
      <c r="A94" s="58" t="s">
        <v>8</v>
      </c>
      <c r="B94" s="5" t="s">
        <v>6</v>
      </c>
      <c r="C94" s="18" t="s">
        <v>50</v>
      </c>
      <c r="D94" s="18">
        <v>14</v>
      </c>
      <c r="E94" s="19" t="s">
        <v>270</v>
      </c>
      <c r="F94" s="19" t="s">
        <v>265</v>
      </c>
      <c r="G94" s="19" t="s">
        <v>276</v>
      </c>
      <c r="H94" s="598">
        <v>27.387</v>
      </c>
      <c r="I94" s="598">
        <v>27.387</v>
      </c>
      <c r="J94" s="598">
        <v>27.387</v>
      </c>
      <c r="K94" s="44"/>
      <c r="L94" s="8">
        <v>43427</v>
      </c>
      <c r="M94" s="8">
        <v>43427</v>
      </c>
      <c r="N94" s="8">
        <v>50731</v>
      </c>
      <c r="O94" s="52">
        <f>YEAR(Table1[[#This Row],[FIT End Term per COC]])-YEAR(Table1[[#This Row],[Start of FIT Elibility per COC]])</f>
        <v>20</v>
      </c>
      <c r="P94" s="52" t="str">
        <f>DAY(M94)&amp;" "&amp;TEXT(M94,"mmmm")&amp;" "&amp;YEAR(M94)&amp;" - "&amp;DAY(N94)&amp;" "&amp;TEXT(N94,"mmmm")&amp;" "&amp;YEAR(N94)</f>
        <v>23 November 2018 - 22 November 2038</v>
      </c>
      <c r="Q94" s="9" t="s">
        <v>360</v>
      </c>
      <c r="R94" s="8"/>
      <c r="S94" s="60">
        <v>5.8704999999999998</v>
      </c>
      <c r="T94" s="60" t="s">
        <v>1775</v>
      </c>
      <c r="U94" s="549" t="s">
        <v>797</v>
      </c>
      <c r="V94" s="717" t="s">
        <v>965</v>
      </c>
      <c r="W94" s="725">
        <f>VLOOKUP(Table1[[#This Row],[TransCo Plant Name]],[1]FD!$B:$H,2,FALSE)</f>
        <v>43427</v>
      </c>
      <c r="X94" s="727">
        <f>Table1[[#This Row],[Start of FIT Elibility per COC]]-Table1[[#This Row],[Column2]]</f>
        <v>0</v>
      </c>
      <c r="Y94" s="89"/>
    </row>
    <row r="95" spans="1:41" s="4" customFormat="1" ht="30" customHeight="1" x14ac:dyDescent="0.25">
      <c r="A95" s="6"/>
      <c r="B95" s="5"/>
      <c r="C95" s="18"/>
      <c r="D95" s="18"/>
      <c r="E95" s="19"/>
      <c r="F95" s="19"/>
      <c r="G95" s="19"/>
      <c r="H95" s="596">
        <f>SUBTOTAL(109,H87:H94)</f>
        <v>103.03100000000001</v>
      </c>
      <c r="I95" s="596">
        <f t="shared" ref="I95:J95" si="5">SUBTOTAL(109,I87:I94)</f>
        <v>103.03100000000001</v>
      </c>
      <c r="J95" s="596">
        <f t="shared" si="5"/>
        <v>102.901</v>
      </c>
      <c r="K95" s="44"/>
      <c r="L95" s="8"/>
      <c r="M95" s="8"/>
      <c r="N95" s="8"/>
      <c r="O95" s="52"/>
      <c r="P95" s="52"/>
      <c r="Q95" s="9"/>
      <c r="R95" s="8"/>
      <c r="S95" s="993"/>
      <c r="T95" s="993"/>
      <c r="U95" s="719"/>
      <c r="V95" s="717"/>
      <c r="W95" s="725">
        <f>VLOOKUP(Table1[[#This Row],[RE Plant]],[1]FD!$B:$H,2,FALSE)</f>
        <v>0</v>
      </c>
      <c r="X95" s="727">
        <f>Table1[[#This Row],[Start of FIT Elibility per COC]]-Table1[[#This Row],[Column2]]</f>
        <v>0</v>
      </c>
      <c r="Y95" s="89"/>
    </row>
    <row r="96" spans="1:41" s="4" customFormat="1" ht="95.65" customHeight="1" x14ac:dyDescent="0.25">
      <c r="A96" s="5" t="s">
        <v>7</v>
      </c>
      <c r="B96" s="5" t="s">
        <v>6</v>
      </c>
      <c r="C96" s="18" t="s">
        <v>138</v>
      </c>
      <c r="D96" s="18">
        <v>15</v>
      </c>
      <c r="E96" s="19" t="s">
        <v>805</v>
      </c>
      <c r="F96" s="19" t="s">
        <v>806</v>
      </c>
      <c r="G96" s="19" t="s">
        <v>807</v>
      </c>
      <c r="H96" s="551">
        <v>74.8</v>
      </c>
      <c r="I96" s="551">
        <v>74.8</v>
      </c>
      <c r="J96" s="551">
        <v>74.8</v>
      </c>
      <c r="K96" s="7"/>
      <c r="L96" s="8">
        <v>44005</v>
      </c>
      <c r="M96" s="8">
        <v>44005</v>
      </c>
      <c r="N96" s="8">
        <v>49700</v>
      </c>
      <c r="O96" s="52">
        <v>16</v>
      </c>
      <c r="P96" s="52" t="s">
        <v>1688</v>
      </c>
      <c r="Q96" s="9">
        <v>44103</v>
      </c>
      <c r="R96" s="8"/>
      <c r="S96" s="23">
        <v>5.6715</v>
      </c>
      <c r="T96" s="23" t="s">
        <v>1687</v>
      </c>
      <c r="U96" s="551" t="s">
        <v>911</v>
      </c>
      <c r="V96" s="717" t="s">
        <v>967</v>
      </c>
      <c r="W96" s="725" t="str">
        <f>VLOOKUP(Table1[[#This Row],[TransCo Plant Name]],[1]FD!$B:$H,2,FALSE)</f>
        <v>6/23/20</v>
      </c>
      <c r="X96" s="727">
        <f>Table1[[#This Row],[Start of FIT Elibility per COC]]-Table1[[#This Row],[Column2]]</f>
        <v>0</v>
      </c>
      <c r="Z96" s="68">
        <f>SUM(J113:J116)</f>
        <v>130.761</v>
      </c>
    </row>
    <row r="97" spans="1:27" s="4" customFormat="1" ht="29.45" customHeight="1" x14ac:dyDescent="0.25">
      <c r="A97" s="5"/>
      <c r="B97" s="5"/>
      <c r="C97" s="18"/>
      <c r="D97" s="18"/>
      <c r="E97" s="19"/>
      <c r="F97" s="19"/>
      <c r="G97" s="19"/>
      <c r="H97" s="596">
        <f>SUBTOTAL(109,H96:H96)</f>
        <v>74.8</v>
      </c>
      <c r="I97" s="596">
        <f t="shared" ref="I97" si="6">SUBTOTAL(109,I96:I96)</f>
        <v>74.8</v>
      </c>
      <c r="J97" s="596">
        <f t="shared" ref="J97" si="7">SUBTOTAL(109,J96:J96)</f>
        <v>74.8</v>
      </c>
      <c r="K97" s="7"/>
      <c r="L97" s="8"/>
      <c r="M97" s="8"/>
      <c r="N97" s="8"/>
      <c r="O97" s="52"/>
      <c r="P97" s="52"/>
      <c r="Q97" s="9"/>
      <c r="R97" s="8"/>
      <c r="S97" s="23"/>
      <c r="T97" s="23"/>
      <c r="U97" s="551"/>
      <c r="V97" s="717"/>
      <c r="W97" s="725">
        <f>VLOOKUP(Table1[[#This Row],[RE Plant]],[1]FD!$B:$H,2,FALSE)</f>
        <v>0</v>
      </c>
      <c r="X97" s="727">
        <f>Table1[[#This Row],[Start of FIT Elibility per COC]]-Table1[[#This Row],[Column2]]</f>
        <v>0</v>
      </c>
      <c r="Z97" s="68"/>
    </row>
    <row r="98" spans="1:27" s="67" customFormat="1" ht="30" customHeight="1" x14ac:dyDescent="0.25">
      <c r="A98" s="5" t="s">
        <v>7</v>
      </c>
      <c r="B98" s="5" t="s">
        <v>6</v>
      </c>
      <c r="C98" s="18" t="s">
        <v>761</v>
      </c>
      <c r="D98" s="18">
        <v>16</v>
      </c>
      <c r="E98" s="19" t="s">
        <v>269</v>
      </c>
      <c r="F98" s="19" t="s">
        <v>356</v>
      </c>
      <c r="G98" s="19" t="s">
        <v>359</v>
      </c>
      <c r="H98" s="551">
        <v>0.3</v>
      </c>
      <c r="I98" s="551">
        <v>0.3</v>
      </c>
      <c r="J98" s="551">
        <v>0.3</v>
      </c>
      <c r="K98" s="7"/>
      <c r="L98" s="8">
        <v>43836</v>
      </c>
      <c r="M98" s="8">
        <v>43836</v>
      </c>
      <c r="N98" s="8">
        <v>51140</v>
      </c>
      <c r="O98" s="52">
        <f>YEAR(Table1[[#This Row],[FIT End Term per COC]])-YEAR(Table1[[#This Row],[Start of FIT Elibility per COC]])</f>
        <v>20</v>
      </c>
      <c r="P98" s="52" t="str">
        <f t="shared" ref="P98:P114" si="8">DAY(M98)&amp;" "&amp;TEXT(M98,"mmmm")&amp;" "&amp;YEAR(M98)&amp;" - "&amp;DAY(N98)&amp;" "&amp;TEXT(N98,"mmmm")&amp;" "&amp;YEAR(N98)</f>
        <v>6 January 2020 - 5 January 2040</v>
      </c>
      <c r="Q98" s="9" t="s">
        <v>337</v>
      </c>
      <c r="R98" s="8"/>
      <c r="S98" s="23">
        <v>6.1109999999999998</v>
      </c>
      <c r="T98" s="23" t="s">
        <v>1749</v>
      </c>
      <c r="U98" s="551" t="s">
        <v>797</v>
      </c>
      <c r="V98" s="717" t="s">
        <v>968</v>
      </c>
      <c r="W98" s="725">
        <f>VLOOKUP(Table1[[#This Row],[TransCo Plant Name]],[1]FD!$B:$H,2,FALSE)</f>
        <v>43836</v>
      </c>
      <c r="X98" s="727">
        <f>Table1[[#This Row],[Start of FIT Elibility per COC]]-Table1[[#This Row],[Column2]]</f>
        <v>0</v>
      </c>
      <c r="Y98" s="4"/>
    </row>
    <row r="99" spans="1:27" s="67" customFormat="1" ht="30" customHeight="1" x14ac:dyDescent="0.25">
      <c r="A99" s="5" t="s">
        <v>7</v>
      </c>
      <c r="B99" s="5" t="s">
        <v>6</v>
      </c>
      <c r="C99" s="18" t="s">
        <v>761</v>
      </c>
      <c r="D99" s="18">
        <v>17</v>
      </c>
      <c r="E99" s="19" t="s">
        <v>808</v>
      </c>
      <c r="F99" s="19" t="s">
        <v>767</v>
      </c>
      <c r="G99" s="19" t="s">
        <v>809</v>
      </c>
      <c r="H99" s="551">
        <v>3.456</v>
      </c>
      <c r="I99" s="551">
        <v>3.456</v>
      </c>
      <c r="J99" s="551">
        <v>3.456</v>
      </c>
      <c r="K99" s="44"/>
      <c r="L99" s="8">
        <v>44440</v>
      </c>
      <c r="M99" s="8">
        <v>44440</v>
      </c>
      <c r="N99" s="8">
        <v>51744</v>
      </c>
      <c r="O99" s="52">
        <f t="shared" ref="O99:O114" si="9">YEAR(N99)-YEAR(M99)</f>
        <v>20</v>
      </c>
      <c r="P99" s="52" t="str">
        <f t="shared" si="8"/>
        <v>1 September 2021 - 31 August 2041</v>
      </c>
      <c r="Q99" s="9" t="s">
        <v>811</v>
      </c>
      <c r="R99" s="8"/>
      <c r="S99" s="23">
        <v>6.1109999999999998</v>
      </c>
      <c r="T99" s="23" t="s">
        <v>810</v>
      </c>
      <c r="U99" s="551" t="s">
        <v>797</v>
      </c>
      <c r="V99" s="551" t="s">
        <v>969</v>
      </c>
      <c r="W99" s="724">
        <f>VLOOKUP(Table1[[#This Row],[TransCo Plant Name]],[1]FD!$B:$H,2,FALSE)</f>
        <v>44440</v>
      </c>
      <c r="X99" s="651">
        <f>Table1[[#This Row],[Start of FIT Elibility per COC]]-Table1[[#This Row],[Column2]]</f>
        <v>0</v>
      </c>
      <c r="Y99" s="5"/>
      <c r="Z99" s="108">
        <f>SUM(J98:J122)</f>
        <v>554.64199999999994</v>
      </c>
    </row>
    <row r="100" spans="1:27" s="67" customFormat="1" ht="30" customHeight="1" x14ac:dyDescent="0.25">
      <c r="A100" s="5" t="s">
        <v>7</v>
      </c>
      <c r="B100" s="5" t="s">
        <v>6</v>
      </c>
      <c r="C100" s="18" t="s">
        <v>838</v>
      </c>
      <c r="D100" s="18">
        <v>18</v>
      </c>
      <c r="E100" s="19" t="s">
        <v>816</v>
      </c>
      <c r="F100" s="19" t="s">
        <v>817</v>
      </c>
      <c r="G100" s="19" t="s">
        <v>818</v>
      </c>
      <c r="H100" s="551">
        <v>1.35</v>
      </c>
      <c r="I100" s="551">
        <v>1.1970000000000001</v>
      </c>
      <c r="J100" s="551">
        <v>1.1970000000000001</v>
      </c>
      <c r="K100" s="44"/>
      <c r="L100" s="8">
        <v>44607</v>
      </c>
      <c r="M100" s="8">
        <v>45217</v>
      </c>
      <c r="N100" s="8">
        <v>52521</v>
      </c>
      <c r="O100" s="52">
        <f t="shared" si="9"/>
        <v>20</v>
      </c>
      <c r="P100" s="52" t="str">
        <f t="shared" si="8"/>
        <v>18 October 2023 - 17 October 2043</v>
      </c>
      <c r="Q100" s="9" t="s">
        <v>820</v>
      </c>
      <c r="R100" s="8"/>
      <c r="S100" s="23">
        <v>6.0804450000000001</v>
      </c>
      <c r="T100" s="23" t="s">
        <v>819</v>
      </c>
      <c r="U100" s="551" t="s">
        <v>797</v>
      </c>
      <c r="V100" s="717" t="s">
        <v>971</v>
      </c>
      <c r="W100" s="725">
        <f>VLOOKUP(Table1[[#This Row],[TransCo Plant Name]],[1]FD!$B:$H,2,FALSE)</f>
        <v>44607</v>
      </c>
      <c r="X100" s="727">
        <f>Table1[[#This Row],[COD per COE]]-Table1[[#This Row],[Column2]]</f>
        <v>0</v>
      </c>
      <c r="Y100" s="560"/>
    </row>
    <row r="101" spans="1:27" s="67" customFormat="1" ht="30" customHeight="1" x14ac:dyDescent="0.25">
      <c r="A101" s="5" t="s">
        <v>7</v>
      </c>
      <c r="B101" s="5" t="s">
        <v>6</v>
      </c>
      <c r="C101" s="18" t="s">
        <v>838</v>
      </c>
      <c r="D101" s="18">
        <v>19</v>
      </c>
      <c r="E101" s="19" t="s">
        <v>821</v>
      </c>
      <c r="F101" s="19" t="s">
        <v>822</v>
      </c>
      <c r="G101" s="19" t="s">
        <v>823</v>
      </c>
      <c r="H101" s="551">
        <v>1.6</v>
      </c>
      <c r="I101" s="551">
        <v>1.6</v>
      </c>
      <c r="J101" s="551">
        <v>1.6</v>
      </c>
      <c r="K101" s="44"/>
      <c r="L101" s="8">
        <v>44679</v>
      </c>
      <c r="M101" s="8">
        <v>44679</v>
      </c>
      <c r="N101" s="8">
        <v>51983</v>
      </c>
      <c r="O101" s="52">
        <f t="shared" si="9"/>
        <v>20</v>
      </c>
      <c r="P101" s="52" t="str">
        <f t="shared" si="8"/>
        <v>28 April 2022 - 27 April 2042</v>
      </c>
      <c r="Q101" s="9" t="s">
        <v>827</v>
      </c>
      <c r="R101" s="8"/>
      <c r="S101" s="23">
        <v>6.0804450000000001</v>
      </c>
      <c r="T101" s="23" t="s">
        <v>1763</v>
      </c>
      <c r="U101" s="551" t="s">
        <v>797</v>
      </c>
      <c r="V101" s="717" t="s">
        <v>972</v>
      </c>
      <c r="W101" s="725" t="str">
        <f>VLOOKUP(Table1[[#This Row],[TransCo Plant Name]],[1]FD!$B:$H,2,FALSE)</f>
        <v>04/28/22</v>
      </c>
      <c r="X101" s="727">
        <f>Table1[[#This Row],[Start of FIT Elibility per COC]]-Table1[[#This Row],[Column2]]</f>
        <v>0</v>
      </c>
      <c r="Y101" s="560"/>
      <c r="Z101" s="107">
        <f>SUM(J98:J123)</f>
        <v>779.04199999999992</v>
      </c>
    </row>
    <row r="102" spans="1:27" s="67" customFormat="1" ht="30" customHeight="1" x14ac:dyDescent="0.25">
      <c r="A102" s="5" t="s">
        <v>7</v>
      </c>
      <c r="B102" s="5" t="s">
        <v>6</v>
      </c>
      <c r="C102" s="18" t="s">
        <v>838</v>
      </c>
      <c r="D102" s="18">
        <v>20</v>
      </c>
      <c r="E102" s="19" t="s">
        <v>824</v>
      </c>
      <c r="F102" s="19" t="s">
        <v>825</v>
      </c>
      <c r="G102" s="19" t="s">
        <v>826</v>
      </c>
      <c r="H102" s="551">
        <v>5.8079999999999998</v>
      </c>
      <c r="I102" s="551">
        <v>5.8079999999999998</v>
      </c>
      <c r="J102" s="551">
        <v>5.8079999999999998</v>
      </c>
      <c r="K102" s="8"/>
      <c r="L102" s="8">
        <v>45196</v>
      </c>
      <c r="M102" s="8">
        <v>45196</v>
      </c>
      <c r="N102" s="8">
        <v>52500</v>
      </c>
      <c r="O102" s="52">
        <f t="shared" si="9"/>
        <v>20</v>
      </c>
      <c r="P102" s="44" t="str">
        <f t="shared" si="8"/>
        <v>27 September 2023 - 26 September 2043</v>
      </c>
      <c r="Q102" s="8">
        <v>45644</v>
      </c>
      <c r="R102" s="23"/>
      <c r="S102" s="23">
        <v>6.05</v>
      </c>
      <c r="T102" s="23" t="s">
        <v>1686</v>
      </c>
      <c r="U102" s="551" t="s">
        <v>797</v>
      </c>
      <c r="V102" s="717" t="s">
        <v>973</v>
      </c>
      <c r="W102" s="725">
        <f>VLOOKUP(Table1[[#This Row],[TransCo Plant Name]],[1]FD!$B:$H,2,FALSE)</f>
        <v>45196</v>
      </c>
      <c r="X102" s="727">
        <f>Table1[[#This Row],[Start of FIT Elibility per COC]]-Table1[[#This Row],[Column2]]</f>
        <v>0</v>
      </c>
      <c r="Y102" s="4"/>
    </row>
    <row r="103" spans="1:27" s="67" customFormat="1" ht="30" customHeight="1" x14ac:dyDescent="0.25">
      <c r="A103" s="5" t="s">
        <v>7</v>
      </c>
      <c r="B103" s="5" t="s">
        <v>6</v>
      </c>
      <c r="C103" s="18" t="s">
        <v>838</v>
      </c>
      <c r="D103" s="18">
        <v>21</v>
      </c>
      <c r="E103" s="19" t="s">
        <v>828</v>
      </c>
      <c r="F103" s="19" t="s">
        <v>891</v>
      </c>
      <c r="G103" s="19" t="s">
        <v>893</v>
      </c>
      <c r="H103" s="499">
        <v>3.24</v>
      </c>
      <c r="I103" s="551">
        <v>3.24</v>
      </c>
      <c r="J103" s="551">
        <v>3.24</v>
      </c>
      <c r="K103" s="44"/>
      <c r="L103" s="8">
        <v>44743</v>
      </c>
      <c r="M103" s="8">
        <v>44743</v>
      </c>
      <c r="N103" s="8">
        <v>52047</v>
      </c>
      <c r="O103" s="52">
        <f t="shared" si="9"/>
        <v>20</v>
      </c>
      <c r="P103" s="52" t="str">
        <f t="shared" si="8"/>
        <v>1 July 2022 - 30 June 2042</v>
      </c>
      <c r="Q103" s="8">
        <v>45621</v>
      </c>
      <c r="R103" s="693"/>
      <c r="S103" s="23">
        <v>6.0804450000000001</v>
      </c>
      <c r="T103" s="23" t="s">
        <v>1512</v>
      </c>
      <c r="U103" s="551" t="s">
        <v>797</v>
      </c>
      <c r="V103" s="717" t="s">
        <v>974</v>
      </c>
      <c r="W103" s="725">
        <f>VLOOKUP(Table1[[#This Row],[TransCo Plant Name]],[1]FD!$B:$H,2,FALSE)</f>
        <v>44743</v>
      </c>
      <c r="X103" s="727">
        <f>Table1[[#This Row],[Start of FIT Elibility per COC]]-Table1[[#This Row],[Column2]]</f>
        <v>0</v>
      </c>
      <c r="Y103" s="560"/>
    </row>
    <row r="104" spans="1:27" s="67" customFormat="1" ht="30" customHeight="1" x14ac:dyDescent="0.25">
      <c r="A104" s="5" t="s">
        <v>7</v>
      </c>
      <c r="B104" s="5" t="s">
        <v>6</v>
      </c>
      <c r="C104" s="18" t="s">
        <v>838</v>
      </c>
      <c r="D104" s="18">
        <v>22</v>
      </c>
      <c r="E104" s="19" t="s">
        <v>846</v>
      </c>
      <c r="F104" s="19" t="s">
        <v>847</v>
      </c>
      <c r="G104" s="19" t="s">
        <v>848</v>
      </c>
      <c r="H104" s="551">
        <v>1.4</v>
      </c>
      <c r="I104" s="551">
        <v>1.4</v>
      </c>
      <c r="J104" s="551">
        <v>1.4</v>
      </c>
      <c r="K104" s="44"/>
      <c r="L104" s="8">
        <v>45419</v>
      </c>
      <c r="M104" s="8">
        <v>45419</v>
      </c>
      <c r="N104" s="8">
        <v>52723</v>
      </c>
      <c r="O104" s="52">
        <f t="shared" si="9"/>
        <v>20</v>
      </c>
      <c r="P104" s="52" t="str">
        <f t="shared" si="8"/>
        <v>7 May 2024 - 6 May 2044</v>
      </c>
      <c r="Q104" s="973" t="s">
        <v>914</v>
      </c>
      <c r="R104" s="8"/>
      <c r="S104" s="23">
        <v>6.0198</v>
      </c>
      <c r="T104" s="973" t="s">
        <v>1498</v>
      </c>
      <c r="U104" s="551" t="s">
        <v>797</v>
      </c>
      <c r="V104" s="717" t="s">
        <v>976</v>
      </c>
      <c r="W104" s="725">
        <f>VLOOKUP(Table1[[#This Row],[TransCo Plant Name]],[1]FD!$B:$H,2,FALSE)</f>
        <v>45419</v>
      </c>
      <c r="X104" s="727">
        <f>Table1[[#This Row],[Start of FIT Elibility per COC]]-Table1[[#This Row],[Column2]]</f>
        <v>0</v>
      </c>
      <c r="Y104" s="560"/>
    </row>
    <row r="105" spans="1:27" s="67" customFormat="1" ht="30" customHeight="1" x14ac:dyDescent="0.25">
      <c r="A105" s="5" t="s">
        <v>7</v>
      </c>
      <c r="B105" s="5" t="s">
        <v>6</v>
      </c>
      <c r="C105" s="18" t="s">
        <v>838</v>
      </c>
      <c r="D105" s="18">
        <v>23</v>
      </c>
      <c r="E105" s="19" t="s">
        <v>855</v>
      </c>
      <c r="F105" s="19" t="s">
        <v>854</v>
      </c>
      <c r="G105" s="19" t="s">
        <v>856</v>
      </c>
      <c r="H105" s="551">
        <v>8.6609999999999996</v>
      </c>
      <c r="I105" s="551">
        <v>8.6609999999999996</v>
      </c>
      <c r="J105" s="551">
        <v>8.6609999999999996</v>
      </c>
      <c r="K105" s="44"/>
      <c r="L105" s="8">
        <v>45531</v>
      </c>
      <c r="M105" s="8">
        <v>45531</v>
      </c>
      <c r="N105" s="8">
        <v>52835</v>
      </c>
      <c r="O105" s="52">
        <f t="shared" si="9"/>
        <v>20</v>
      </c>
      <c r="P105" s="52" t="str">
        <f t="shared" si="8"/>
        <v>27 August 2024 - 26 August 2044</v>
      </c>
      <c r="Q105" s="972" t="s">
        <v>913</v>
      </c>
      <c r="R105" s="8"/>
      <c r="S105" s="23">
        <v>6.0198</v>
      </c>
      <c r="T105" s="973" t="s">
        <v>983</v>
      </c>
      <c r="U105" s="551" t="s">
        <v>797</v>
      </c>
      <c r="V105" s="717"/>
      <c r="W105" s="725">
        <f>VLOOKUP(Table1[[#This Row],[RE Plant]],[1]FD!$B:$H,2,FALSE)</f>
        <v>45531</v>
      </c>
      <c r="X105" s="727">
        <f>Table1[[#This Row],[Start of FIT Elibility per COC]]-Table1[[#This Row],[Column2]]</f>
        <v>0</v>
      </c>
      <c r="Y105" s="560"/>
      <c r="Z105" s="4"/>
    </row>
    <row r="106" spans="1:27" s="67" customFormat="1" ht="30" customHeight="1" x14ac:dyDescent="0.25">
      <c r="A106" s="5" t="s">
        <v>7</v>
      </c>
      <c r="B106" s="5" t="s">
        <v>6</v>
      </c>
      <c r="C106" s="18" t="s">
        <v>838</v>
      </c>
      <c r="D106" s="18">
        <v>24</v>
      </c>
      <c r="E106" s="19" t="s">
        <v>897</v>
      </c>
      <c r="F106" s="19" t="s">
        <v>898</v>
      </c>
      <c r="G106" s="19" t="s">
        <v>899</v>
      </c>
      <c r="H106" s="551">
        <v>12</v>
      </c>
      <c r="I106" s="551">
        <v>12</v>
      </c>
      <c r="J106" s="551">
        <v>11.79</v>
      </c>
      <c r="K106" s="44"/>
      <c r="L106" s="8">
        <v>45587</v>
      </c>
      <c r="M106" s="8">
        <v>45587</v>
      </c>
      <c r="N106" s="8">
        <v>52891</v>
      </c>
      <c r="O106" s="52">
        <f t="shared" si="9"/>
        <v>20</v>
      </c>
      <c r="P106" s="9" t="str">
        <f t="shared" si="8"/>
        <v>22 October 2024 - 21 October 2044</v>
      </c>
      <c r="Q106" s="9" t="s">
        <v>901</v>
      </c>
      <c r="R106" s="8"/>
      <c r="S106" s="23">
        <v>6.0198</v>
      </c>
      <c r="T106" s="23" t="s">
        <v>900</v>
      </c>
      <c r="U106" s="551" t="s">
        <v>797</v>
      </c>
      <c r="V106" s="717"/>
      <c r="W106" s="725">
        <f>VLOOKUP(Table1[[#This Row],[RE Plant]],[1]FD!$B:$H,2,FALSE)</f>
        <v>45587</v>
      </c>
      <c r="X106" s="727">
        <f>Table1[[#This Row],[Start of FIT Elibility per COC]]-Table1[[#This Row],[Column2]]</f>
        <v>0</v>
      </c>
      <c r="Y106" s="560"/>
      <c r="Z106" s="4"/>
    </row>
    <row r="107" spans="1:27" s="67" customFormat="1" ht="30" customHeight="1" x14ac:dyDescent="0.25">
      <c r="A107" s="5" t="s">
        <v>7</v>
      </c>
      <c r="B107" s="5" t="s">
        <v>6</v>
      </c>
      <c r="C107" s="18" t="s">
        <v>838</v>
      </c>
      <c r="D107" s="18">
        <v>25</v>
      </c>
      <c r="E107" s="19" t="s">
        <v>906</v>
      </c>
      <c r="F107" s="19" t="s">
        <v>905</v>
      </c>
      <c r="G107" s="19" t="s">
        <v>907</v>
      </c>
      <c r="H107" s="551">
        <v>4.5</v>
      </c>
      <c r="I107" s="551">
        <v>4.5</v>
      </c>
      <c r="J107" s="551">
        <v>4.5</v>
      </c>
      <c r="K107" s="44"/>
      <c r="L107" s="8">
        <v>45621</v>
      </c>
      <c r="M107" s="8">
        <v>45621</v>
      </c>
      <c r="N107" s="8">
        <v>52920</v>
      </c>
      <c r="O107" s="52">
        <f t="shared" si="9"/>
        <v>20</v>
      </c>
      <c r="P107" s="9" t="str">
        <f t="shared" si="8"/>
        <v>25 November 2024 - 19 November 2044</v>
      </c>
      <c r="Q107" s="972" t="s">
        <v>1758</v>
      </c>
      <c r="R107" s="8"/>
      <c r="S107" s="23">
        <v>6.0198</v>
      </c>
      <c r="T107" s="23" t="s">
        <v>1757</v>
      </c>
      <c r="U107" s="551" t="s">
        <v>797</v>
      </c>
      <c r="V107" s="69"/>
      <c r="W107" s="725">
        <f>VLOOKUP(Table1[[#This Row],[TransCo Plant Name]],[1]FD!$B:$H,2,FALSE)</f>
        <v>0</v>
      </c>
      <c r="X107" s="729">
        <f>Table1[[#This Row],[Start of FIT Elibility per COC]]-Table1[[#This Row],[Column2]]</f>
        <v>45621</v>
      </c>
      <c r="Y107" s="560"/>
      <c r="Z107" s="4"/>
    </row>
    <row r="108" spans="1:27" s="67" customFormat="1" ht="30" customHeight="1" x14ac:dyDescent="0.25">
      <c r="A108" s="5" t="s">
        <v>7</v>
      </c>
      <c r="B108" s="5" t="s">
        <v>6</v>
      </c>
      <c r="C108" s="18" t="s">
        <v>838</v>
      </c>
      <c r="D108" s="18">
        <v>26</v>
      </c>
      <c r="E108" s="19" t="s">
        <v>977</v>
      </c>
      <c r="F108" s="19" t="s">
        <v>978</v>
      </c>
      <c r="G108" s="19" t="s">
        <v>1505</v>
      </c>
      <c r="H108" s="551">
        <v>15.3</v>
      </c>
      <c r="I108" s="551">
        <v>15.3</v>
      </c>
      <c r="J108" s="551">
        <v>14.6</v>
      </c>
      <c r="K108" s="44"/>
      <c r="L108" s="8">
        <v>45565</v>
      </c>
      <c r="M108" s="8">
        <v>45565</v>
      </c>
      <c r="N108" s="8">
        <v>52869</v>
      </c>
      <c r="O108" s="52">
        <f t="shared" si="9"/>
        <v>20</v>
      </c>
      <c r="P108" s="9" t="str">
        <f t="shared" si="8"/>
        <v>30 September 2024 - 29 September 2044</v>
      </c>
      <c r="Q108" s="972" t="s">
        <v>1516</v>
      </c>
      <c r="R108" s="8"/>
      <c r="S108" s="23">
        <v>6.0198</v>
      </c>
      <c r="T108" s="23" t="s">
        <v>1511</v>
      </c>
      <c r="U108" s="551" t="s">
        <v>797</v>
      </c>
      <c r="V108" s="69"/>
      <c r="W108" s="725">
        <f>VLOOKUP(Table1[[#This Row],[RE Plant]],[1]FD!$B:$H,2,FALSE)</f>
        <v>45505</v>
      </c>
      <c r="X108" s="729">
        <f>Table1[[#This Row],[Start of FIT Elibility per COC]]-Table1[[#This Row],[Column2]]</f>
        <v>60</v>
      </c>
      <c r="Y108" s="560"/>
      <c r="Z108" s="4"/>
    </row>
    <row r="109" spans="1:27" s="67" customFormat="1" ht="30" customHeight="1" x14ac:dyDescent="0.25">
      <c r="A109" s="5" t="s">
        <v>7</v>
      </c>
      <c r="B109" s="5" t="s">
        <v>6</v>
      </c>
      <c r="C109" s="18" t="s">
        <v>838</v>
      </c>
      <c r="D109" s="18">
        <v>27</v>
      </c>
      <c r="E109" s="19" t="s">
        <v>1507</v>
      </c>
      <c r="F109" s="19" t="s">
        <v>1508</v>
      </c>
      <c r="G109" s="19" t="s">
        <v>1509</v>
      </c>
      <c r="H109" s="551">
        <v>14.16</v>
      </c>
      <c r="I109" s="551">
        <v>14.16</v>
      </c>
      <c r="J109" s="551">
        <v>14.16</v>
      </c>
      <c r="K109" s="44"/>
      <c r="L109" s="8">
        <v>45846</v>
      </c>
      <c r="M109" s="8">
        <v>45846</v>
      </c>
      <c r="N109" s="8">
        <v>53150</v>
      </c>
      <c r="O109" s="52">
        <f t="shared" si="9"/>
        <v>20</v>
      </c>
      <c r="P109" s="9" t="str">
        <f t="shared" si="8"/>
        <v>8 July 2025 - 7 July 2045</v>
      </c>
      <c r="Q109" s="972" t="s">
        <v>1517</v>
      </c>
      <c r="R109" s="8"/>
      <c r="S109" s="23">
        <v>5.9897</v>
      </c>
      <c r="T109" s="23" t="s">
        <v>1510</v>
      </c>
      <c r="U109" s="551" t="s">
        <v>797</v>
      </c>
      <c r="V109" s="69"/>
      <c r="W109" s="725" t="e">
        <f>VLOOKUP(Table1[[#This Row],[RE Plant]],[1]FD!$B:$H,2,FALSE)</f>
        <v>#N/A</v>
      </c>
      <c r="X109" s="729" t="e">
        <f>Table1[[#This Row],[Start of FIT Elibility per COC]]-Table1[[#This Row],[Column2]]</f>
        <v>#N/A</v>
      </c>
      <c r="Y109" s="560"/>
      <c r="Z109" s="4"/>
      <c r="AA109" s="67">
        <v>12</v>
      </c>
    </row>
    <row r="110" spans="1:27" s="67" customFormat="1" ht="30" customHeight="1" x14ac:dyDescent="0.25">
      <c r="A110" s="5" t="s">
        <v>7</v>
      </c>
      <c r="B110" s="5" t="s">
        <v>6</v>
      </c>
      <c r="C110" s="18" t="s">
        <v>838</v>
      </c>
      <c r="D110" s="18">
        <v>28</v>
      </c>
      <c r="E110" s="19" t="s">
        <v>1726</v>
      </c>
      <c r="F110" s="19" t="s">
        <v>1727</v>
      </c>
      <c r="G110" s="19" t="s">
        <v>826</v>
      </c>
      <c r="H110" s="551">
        <v>1.72</v>
      </c>
      <c r="I110" s="551">
        <v>1.72</v>
      </c>
      <c r="J110" s="551">
        <v>1.72</v>
      </c>
      <c r="K110" s="44"/>
      <c r="L110" s="8">
        <v>45883</v>
      </c>
      <c r="M110" s="8">
        <v>45883</v>
      </c>
      <c r="N110" s="8">
        <v>53187</v>
      </c>
      <c r="O110" s="52">
        <f t="shared" si="9"/>
        <v>20</v>
      </c>
      <c r="P110" s="9" t="str">
        <f t="shared" si="8"/>
        <v>14 August 2025 - 13 August 2045</v>
      </c>
      <c r="Q110" s="972" t="s">
        <v>1760</v>
      </c>
      <c r="R110" s="8"/>
      <c r="S110" s="23">
        <v>5.9897</v>
      </c>
      <c r="T110" s="23" t="s">
        <v>1759</v>
      </c>
      <c r="U110" s="551" t="s">
        <v>797</v>
      </c>
      <c r="V110" s="69"/>
      <c r="W110" s="725" t="e">
        <f>VLOOKUP(Table1[[#This Row],[RE Plant]],[1]FD!$B:$H,2,FALSE)</f>
        <v>#N/A</v>
      </c>
      <c r="X110" s="729" t="e">
        <f>Table1[[#This Row],[Start of FIT Elibility per COC]]-Table1[[#This Row],[Column2]]</f>
        <v>#N/A</v>
      </c>
      <c r="Y110" s="560"/>
      <c r="Z110" s="4"/>
      <c r="AA110" s="67">
        <v>2.1749999999999998</v>
      </c>
    </row>
    <row r="111" spans="1:27" s="67" customFormat="1" ht="30" customHeight="1" x14ac:dyDescent="0.25">
      <c r="A111" s="5" t="s">
        <v>7</v>
      </c>
      <c r="B111" s="5" t="s">
        <v>6</v>
      </c>
      <c r="C111" s="18" t="s">
        <v>838</v>
      </c>
      <c r="D111" s="18">
        <v>29</v>
      </c>
      <c r="E111" s="19" t="s">
        <v>1728</v>
      </c>
      <c r="F111" s="19" t="s">
        <v>1729</v>
      </c>
      <c r="G111" s="19" t="s">
        <v>1730</v>
      </c>
      <c r="H111" s="551">
        <v>18.869</v>
      </c>
      <c r="I111" s="551">
        <v>18.869</v>
      </c>
      <c r="J111" s="551">
        <v>18.869</v>
      </c>
      <c r="K111" s="7"/>
      <c r="L111" s="971">
        <v>45468</v>
      </c>
      <c r="M111" s="971">
        <v>46003</v>
      </c>
      <c r="N111" s="971">
        <v>52772</v>
      </c>
      <c r="O111" s="52">
        <f t="shared" si="9"/>
        <v>19</v>
      </c>
      <c r="P111" s="9" t="str">
        <f t="shared" si="8"/>
        <v>12 December 2025 - 24 June 2044</v>
      </c>
      <c r="Q111" s="976" t="s">
        <v>1762</v>
      </c>
      <c r="R111" s="971"/>
      <c r="S111" s="23">
        <v>6.0198</v>
      </c>
      <c r="T111" s="23" t="s">
        <v>1761</v>
      </c>
      <c r="U111" s="551" t="s">
        <v>797</v>
      </c>
      <c r="V111" s="69"/>
      <c r="W111" s="725" t="e">
        <f>VLOOKUP(Table1[[#This Row],[RE Plant]],[1]FD!$B:$H,2,FALSE)</f>
        <v>#N/A</v>
      </c>
      <c r="X111" s="729" t="e">
        <f>Table1[[#This Row],[Start of FIT Elibility per COC]]-Table1[[#This Row],[Column2]]</f>
        <v>#N/A</v>
      </c>
      <c r="Y111" s="648"/>
      <c r="Z111" s="4"/>
    </row>
    <row r="112" spans="1:27" s="4" customFormat="1" ht="60" x14ac:dyDescent="0.25">
      <c r="A112" s="5" t="s">
        <v>32</v>
      </c>
      <c r="B112" s="5" t="s">
        <v>6</v>
      </c>
      <c r="C112" s="18" t="s">
        <v>838</v>
      </c>
      <c r="D112" s="18">
        <v>30</v>
      </c>
      <c r="E112" s="19" t="s">
        <v>829</v>
      </c>
      <c r="F112" s="964" t="s">
        <v>1499</v>
      </c>
      <c r="G112" s="964" t="s">
        <v>1500</v>
      </c>
      <c r="H112" s="499">
        <v>15.93</v>
      </c>
      <c r="I112" s="551">
        <v>15.18</v>
      </c>
      <c r="J112" s="551">
        <v>15.18</v>
      </c>
      <c r="K112" s="44"/>
      <c r="L112" s="8">
        <v>44849</v>
      </c>
      <c r="M112" s="8">
        <v>44849</v>
      </c>
      <c r="N112" s="8">
        <v>52153</v>
      </c>
      <c r="O112" s="52">
        <f t="shared" si="9"/>
        <v>20</v>
      </c>
      <c r="P112" s="52" t="str">
        <f t="shared" si="8"/>
        <v>15 October 2022 - 14 October 2042</v>
      </c>
      <c r="Q112" s="714" t="s">
        <v>912</v>
      </c>
      <c r="R112" s="8"/>
      <c r="S112" s="23">
        <v>6.0804450000000001</v>
      </c>
      <c r="T112" s="973" t="s">
        <v>1501</v>
      </c>
      <c r="U112" s="551" t="s">
        <v>797</v>
      </c>
      <c r="V112" s="717"/>
      <c r="W112" s="725" t="e">
        <f>VLOOKUP(Table1[[#This Row],[RE Plant]],[1]FD!$B:$H,2,FALSE)</f>
        <v>#N/A</v>
      </c>
      <c r="X112" s="727" t="e">
        <f>Table1[[#This Row],[Start of FIT Elibility per COC]]-Table1[[#This Row],[Column2]]</f>
        <v>#N/A</v>
      </c>
      <c r="Y112" s="560"/>
      <c r="AA112" s="4">
        <v>3.6</v>
      </c>
    </row>
    <row r="113" spans="1:27" s="4" customFormat="1" ht="30" customHeight="1" x14ac:dyDescent="0.25">
      <c r="A113" s="5" t="s">
        <v>8</v>
      </c>
      <c r="B113" s="5" t="s">
        <v>6</v>
      </c>
      <c r="C113" s="18" t="s">
        <v>838</v>
      </c>
      <c r="D113" s="18">
        <v>31</v>
      </c>
      <c r="E113" s="19" t="s">
        <v>719</v>
      </c>
      <c r="F113" s="19" t="s">
        <v>812</v>
      </c>
      <c r="G113" s="19" t="s">
        <v>813</v>
      </c>
      <c r="H113" s="551">
        <v>0.78800000000000003</v>
      </c>
      <c r="I113" s="551">
        <v>0.45300000000000001</v>
      </c>
      <c r="J113" s="551">
        <v>0.45300000000000001</v>
      </c>
      <c r="K113" s="44"/>
      <c r="L113" s="8">
        <v>44727</v>
      </c>
      <c r="M113" s="8">
        <v>44745</v>
      </c>
      <c r="N113" s="8">
        <v>52384</v>
      </c>
      <c r="O113" s="52">
        <f t="shared" si="9"/>
        <v>21</v>
      </c>
      <c r="P113" s="52" t="str">
        <f t="shared" si="8"/>
        <v>3 July 2022 - 2 June 2043</v>
      </c>
      <c r="Q113" s="9" t="s">
        <v>815</v>
      </c>
      <c r="R113" s="8"/>
      <c r="S113" s="23">
        <v>6.0804450000000001</v>
      </c>
      <c r="T113" s="23" t="s">
        <v>814</v>
      </c>
      <c r="U113" s="551" t="s">
        <v>797</v>
      </c>
      <c r="V113" s="717" t="s">
        <v>970</v>
      </c>
      <c r="W113" s="725" t="str">
        <f>VLOOKUP(Table1[[#This Row],[TransCo Plant Name]],[1]FD!$B:$H,2,FALSE)</f>
        <v>06/16/22</v>
      </c>
      <c r="X113" s="727">
        <f>Table1[[#This Row],[COD per COE]]-Table1[[#This Row],[Column2]]</f>
        <v>-1</v>
      </c>
    </row>
    <row r="114" spans="1:27" s="4" customFormat="1" ht="30" customHeight="1" x14ac:dyDescent="0.25">
      <c r="A114" s="5" t="s">
        <v>8</v>
      </c>
      <c r="B114" s="5" t="s">
        <v>6</v>
      </c>
      <c r="C114" s="18" t="s">
        <v>838</v>
      </c>
      <c r="D114" s="18">
        <v>32</v>
      </c>
      <c r="E114" s="19" t="s">
        <v>719</v>
      </c>
      <c r="F114" s="19" t="s">
        <v>890</v>
      </c>
      <c r="G114" s="19" t="s">
        <v>892</v>
      </c>
      <c r="H114" s="551">
        <v>1</v>
      </c>
      <c r="I114" s="551">
        <v>2.5870000000000002</v>
      </c>
      <c r="J114" s="551">
        <v>2.5870000000000002</v>
      </c>
      <c r="K114" s="8"/>
      <c r="L114" s="8">
        <v>45078</v>
      </c>
      <c r="M114" s="8">
        <v>45078</v>
      </c>
      <c r="N114" s="8">
        <v>52382</v>
      </c>
      <c r="O114" s="52">
        <f t="shared" si="9"/>
        <v>20</v>
      </c>
      <c r="P114" s="9" t="str">
        <f t="shared" si="8"/>
        <v>1 June 2023 - 31 May 2043</v>
      </c>
      <c r="Q114" s="650" t="s">
        <v>889</v>
      </c>
      <c r="R114" s="23"/>
      <c r="S114" s="23">
        <v>6.05</v>
      </c>
      <c r="T114" s="5" t="s">
        <v>1778</v>
      </c>
      <c r="U114" s="551" t="s">
        <v>797</v>
      </c>
      <c r="V114" s="717" t="s">
        <v>975</v>
      </c>
      <c r="W114" s="725">
        <f>VLOOKUP(Table1[[#This Row],[TransCo Plant Name]],[1]FD!$B:$H,2,FALSE)</f>
        <v>45078</v>
      </c>
      <c r="X114" s="727">
        <f>Table1[[#This Row],[Start of FIT Elibility per COC]]-Table1[[#This Row],[Column2]]</f>
        <v>0</v>
      </c>
      <c r="AA114" s="4">
        <v>8</v>
      </c>
    </row>
    <row r="115" spans="1:27" ht="15.75" x14ac:dyDescent="0.25">
      <c r="A115" s="5"/>
      <c r="B115" s="5"/>
      <c r="C115" s="18"/>
      <c r="D115" s="18">
        <v>17</v>
      </c>
      <c r="E115" s="19"/>
      <c r="F115" s="19"/>
      <c r="G115" s="19"/>
      <c r="H115" s="596">
        <f>SUBTOTAL(109,H98:H114)</f>
        <v>110.08199999999998</v>
      </c>
      <c r="I115" s="596">
        <f t="shared" ref="I115:J115" si="10">SUBTOTAL(109,I98:I114)</f>
        <v>110.431</v>
      </c>
      <c r="J115" s="596">
        <f t="shared" si="10"/>
        <v>109.521</v>
      </c>
      <c r="K115" s="8"/>
      <c r="L115" s="8"/>
      <c r="M115" s="8"/>
      <c r="N115" s="8"/>
      <c r="O115" s="52"/>
      <c r="P115" s="9"/>
      <c r="Q115" s="650"/>
      <c r="R115" s="23"/>
      <c r="S115" s="23"/>
      <c r="T115" s="5"/>
      <c r="U115" s="551"/>
      <c r="V115" s="717"/>
      <c r="W115" s="725">
        <f>VLOOKUP(Table1[[#This Row],[RE Plant]],[1]FD!$B:$H,2,FALSE)</f>
        <v>0</v>
      </c>
      <c r="X115" s="727">
        <f>Table1[[#This Row],[Start of FIT Elibility per COC]]-Table1[[#This Row],[Column2]]</f>
        <v>0</v>
      </c>
      <c r="Y115" s="4"/>
      <c r="Z115" s="13"/>
      <c r="AA115" s="13">
        <v>11.1</v>
      </c>
    </row>
    <row r="116" spans="1:27" ht="30" x14ac:dyDescent="0.25">
      <c r="A116" s="5" t="s">
        <v>8</v>
      </c>
      <c r="B116" s="5" t="s">
        <v>6</v>
      </c>
      <c r="C116" s="18" t="s">
        <v>771</v>
      </c>
      <c r="D116" s="18">
        <v>1</v>
      </c>
      <c r="E116" s="19" t="s">
        <v>1765</v>
      </c>
      <c r="F116" s="19" t="s">
        <v>1764</v>
      </c>
      <c r="G116" s="19" t="s">
        <v>1766</v>
      </c>
      <c r="H116" s="551">
        <v>18.2</v>
      </c>
      <c r="I116" s="551">
        <v>18.2</v>
      </c>
      <c r="J116" s="551">
        <v>18.2</v>
      </c>
      <c r="K116" s="7"/>
      <c r="L116" s="971">
        <v>46114</v>
      </c>
      <c r="M116" s="971">
        <v>46114</v>
      </c>
      <c r="N116" s="971">
        <v>53418</v>
      </c>
      <c r="O116" s="52">
        <f>YEAR(N116)-YEAR(M116)</f>
        <v>20</v>
      </c>
      <c r="P116" s="9" t="str">
        <f>DAY(M116)&amp;" "&amp;TEXT(M116,"mmmm")&amp;" "&amp;YEAR(M116)&amp;" - "&amp;DAY(N116)&amp;" "&amp;TEXT(N116,"mmmm")&amp;" "&amp;YEAR(N116)</f>
        <v>2 April 2026 - 1 April 2046</v>
      </c>
      <c r="Q116" s="7" t="s">
        <v>1767</v>
      </c>
      <c r="R116" s="971"/>
      <c r="S116" s="23">
        <v>6.9282000000000004</v>
      </c>
      <c r="T116" s="5" t="s">
        <v>1776</v>
      </c>
      <c r="U116" s="551" t="s">
        <v>797</v>
      </c>
      <c r="V116" s="69"/>
      <c r="W116" s="725"/>
      <c r="X116" s="729"/>
      <c r="Y116" s="648"/>
      <c r="Z116" s="13"/>
      <c r="AA116" s="13">
        <v>18</v>
      </c>
    </row>
    <row r="117" spans="1:27" ht="15.75" x14ac:dyDescent="0.25">
      <c r="A117" s="5"/>
      <c r="B117" s="5"/>
      <c r="C117" s="18"/>
      <c r="D117" s="18">
        <v>1</v>
      </c>
      <c r="E117" s="19"/>
      <c r="F117" s="19"/>
      <c r="G117" s="19"/>
      <c r="H117" s="596">
        <f>SUBTOTAL(109,H116:H116)</f>
        <v>18.2</v>
      </c>
      <c r="I117" s="596">
        <f t="shared" ref="I117" si="11">SUBTOTAL(109,I116:I116)</f>
        <v>18.2</v>
      </c>
      <c r="J117" s="596">
        <f t="shared" ref="J117" si="12">SUBTOTAL(109,J116:J116)</f>
        <v>18.2</v>
      </c>
      <c r="K117" s="7"/>
      <c r="L117" s="971"/>
      <c r="M117" s="971"/>
      <c r="N117" s="971"/>
      <c r="O117" s="52"/>
      <c r="P117" s="9"/>
      <c r="Q117" s="7"/>
      <c r="R117" s="971"/>
      <c r="S117" s="23"/>
      <c r="T117" s="985"/>
      <c r="U117" s="551"/>
      <c r="V117" s="69"/>
      <c r="W117" s="725">
        <f>VLOOKUP(Table1[[#This Row],[RE Plant]],[1]FD!$B:$H,2,FALSE)</f>
        <v>0</v>
      </c>
      <c r="X117" s="729">
        <f>Table1[[#This Row],[Start of FIT Elibility per COC]]-Table1[[#This Row],[Column2]]</f>
        <v>0</v>
      </c>
      <c r="Y117" s="648"/>
      <c r="Z117" s="13"/>
      <c r="AA117" s="13">
        <v>20</v>
      </c>
    </row>
    <row r="118" spans="1:27" ht="15.75" x14ac:dyDescent="0.25">
      <c r="A118" s="5"/>
      <c r="B118" s="5"/>
      <c r="C118" s="18"/>
      <c r="D118" s="18"/>
      <c r="E118" s="19"/>
      <c r="F118" s="19"/>
      <c r="G118" s="19"/>
      <c r="H118" s="551"/>
      <c r="I118" s="551"/>
      <c r="J118" s="551"/>
      <c r="K118" s="7"/>
      <c r="L118" s="971"/>
      <c r="M118" s="971"/>
      <c r="N118" s="971"/>
      <c r="O118" s="52"/>
      <c r="P118" s="9"/>
      <c r="Q118" s="7"/>
      <c r="R118" s="971"/>
      <c r="S118" s="23"/>
      <c r="T118" s="985"/>
      <c r="U118" s="551"/>
      <c r="V118" s="69"/>
      <c r="W118" s="725">
        <f>VLOOKUP(Table1[[#This Row],[RE Plant]],[1]FD!$B:$H,2,FALSE)</f>
        <v>0</v>
      </c>
      <c r="X118" s="729">
        <f>Table1[[#This Row],[Start of FIT Elibility per COC]]-Table1[[#This Row],[Column2]]</f>
        <v>0</v>
      </c>
      <c r="Y118" s="648"/>
      <c r="Z118" s="13"/>
      <c r="AA118" s="13">
        <v>14</v>
      </c>
    </row>
    <row r="119" spans="1:27" ht="15.75" x14ac:dyDescent="0.25">
      <c r="A119" s="5"/>
      <c r="B119" s="5"/>
      <c r="C119" s="18"/>
      <c r="D119" s="308">
        <f>COUNT(D96)</f>
        <v>1</v>
      </c>
      <c r="E119" s="19"/>
      <c r="F119" s="19"/>
      <c r="G119" s="19"/>
      <c r="H119" s="596">
        <f>SUM(H96)</f>
        <v>74.8</v>
      </c>
      <c r="I119" s="596">
        <f>SUM(I96)</f>
        <v>74.8</v>
      </c>
      <c r="J119" s="596">
        <f>SUM(J96)</f>
        <v>74.8</v>
      </c>
      <c r="K119" s="7"/>
      <c r="L119" s="18"/>
      <c r="M119" s="18"/>
      <c r="N119" s="18"/>
      <c r="O119" s="52"/>
      <c r="P119" s="52"/>
      <c r="Q119" s="5"/>
      <c r="R119" s="18"/>
      <c r="S119" s="7"/>
      <c r="T119" s="7"/>
      <c r="U119" s="7"/>
      <c r="V119" s="718"/>
      <c r="W119" s="736">
        <f>VLOOKUP(Table1[[#This Row],[RE Plant]],[1]FD!$B:$H,2,FALSE)</f>
        <v>0</v>
      </c>
      <c r="X119" s="729">
        <f>Table1[[#This Row],[Start of FIT Elibility per COC]]-Table1[[#This Row],[Column2]]</f>
        <v>0</v>
      </c>
      <c r="Y119" s="4"/>
      <c r="Z119" s="13"/>
      <c r="AA119" s="13">
        <v>10.8</v>
      </c>
    </row>
    <row r="120" spans="1:27" ht="15.75" x14ac:dyDescent="0.25">
      <c r="A120" s="5"/>
      <c r="B120" s="5"/>
      <c r="C120" s="18"/>
      <c r="D120" s="308">
        <f>COUNT(D119)</f>
        <v>1</v>
      </c>
      <c r="E120" s="19"/>
      <c r="F120" s="19"/>
      <c r="G120" s="19"/>
      <c r="H120" s="596">
        <f>SUM(H119)</f>
        <v>74.8</v>
      </c>
      <c r="I120" s="596">
        <f>SUM(I119)</f>
        <v>74.8</v>
      </c>
      <c r="J120" s="596">
        <f>SUM(J119)</f>
        <v>74.8</v>
      </c>
      <c r="K120" s="7"/>
      <c r="L120" s="8"/>
      <c r="M120" s="8"/>
      <c r="N120" s="8"/>
      <c r="O120" s="52"/>
      <c r="P120" s="52"/>
      <c r="Q120" s="9"/>
      <c r="R120" s="8"/>
      <c r="S120" s="23"/>
      <c r="T120" s="23"/>
      <c r="U120" s="23"/>
      <c r="V120" s="69"/>
      <c r="W120" s="736">
        <f>VLOOKUP(Table1[[#This Row],[RE Plant]],[1]FD!$B:$H,2,FALSE)</f>
        <v>0</v>
      </c>
      <c r="X120" s="729">
        <f>Table1[[#This Row],[Start of FIT Elibility per COC]]-Table1[[#This Row],[Column2]]</f>
        <v>0</v>
      </c>
      <c r="Y120" s="89"/>
      <c r="Z120" s="13"/>
      <c r="AA120" s="13">
        <v>4.4000000000000004</v>
      </c>
    </row>
    <row r="121" spans="1:27" ht="15.75" x14ac:dyDescent="0.25">
      <c r="A121" s="5"/>
      <c r="B121" s="5"/>
      <c r="C121" s="18"/>
      <c r="D121" s="308">
        <f>COUNT(D120)</f>
        <v>1</v>
      </c>
      <c r="E121" s="19"/>
      <c r="F121" s="19"/>
      <c r="G121" s="19"/>
      <c r="H121" s="596">
        <f>H120</f>
        <v>74.8</v>
      </c>
      <c r="I121" s="596">
        <f>I120</f>
        <v>74.8</v>
      </c>
      <c r="J121" s="596">
        <f>J120</f>
        <v>74.8</v>
      </c>
      <c r="K121" s="44"/>
      <c r="L121" s="44"/>
      <c r="M121" s="8"/>
      <c r="N121" s="8"/>
      <c r="O121" s="52"/>
      <c r="P121" s="52"/>
      <c r="Q121" s="44"/>
      <c r="R121" s="8"/>
      <c r="S121" s="23"/>
      <c r="T121" s="23"/>
      <c r="U121" s="23"/>
      <c r="V121" s="69"/>
      <c r="W121" s="736">
        <f>VLOOKUP(Table1[[#This Row],[RE Plant]],[1]FD!$B:$H,2,FALSE)</f>
        <v>0</v>
      </c>
      <c r="X121" s="729">
        <f>Table1[[#This Row],[Start of FIT Elibility per COC]]-Table1[[#This Row],[Column2]]</f>
        <v>0</v>
      </c>
      <c r="Y121" s="4"/>
      <c r="Z121" s="13"/>
      <c r="AA121" s="13">
        <v>13.5</v>
      </c>
    </row>
    <row r="122" spans="1:27" ht="15.75" x14ac:dyDescent="0.25">
      <c r="A122" s="5"/>
      <c r="B122" s="5"/>
      <c r="C122" s="18"/>
      <c r="D122" s="308">
        <f>COUNT(D121)</f>
        <v>1</v>
      </c>
      <c r="E122" s="19"/>
      <c r="F122" s="19"/>
      <c r="G122" s="19"/>
      <c r="H122" s="596">
        <f>SUBTOTAL(109,H121)</f>
        <v>74.8</v>
      </c>
      <c r="I122" s="596">
        <f>SUBTOTAL(109,I121)</f>
        <v>74.8</v>
      </c>
      <c r="J122" s="596">
        <f>SUBTOTAL(109,J121)</f>
        <v>74.8</v>
      </c>
      <c r="K122" s="44"/>
      <c r="L122" s="44"/>
      <c r="M122" s="8"/>
      <c r="N122" s="8"/>
      <c r="O122" s="52"/>
      <c r="P122" s="52"/>
      <c r="Q122" s="44"/>
      <c r="R122" s="8"/>
      <c r="S122" s="23"/>
      <c r="T122" s="23"/>
      <c r="U122" s="23"/>
      <c r="V122" s="69"/>
      <c r="W122" s="736">
        <f>VLOOKUP(Table1[[#This Row],[RE Plant]],[1]FD!$B:$H,2,FALSE)</f>
        <v>0</v>
      </c>
      <c r="X122" s="729">
        <f>Table1[[#This Row],[Start of FIT Elibility per COC]]-Table1[[#This Row],[Column2]]</f>
        <v>0</v>
      </c>
      <c r="Y122" s="4"/>
      <c r="Z122" s="13"/>
      <c r="AA122" s="13">
        <v>18</v>
      </c>
    </row>
    <row r="123" spans="1:27" ht="15.75" x14ac:dyDescent="0.25">
      <c r="A123" s="5"/>
      <c r="B123" s="5"/>
      <c r="C123" s="18"/>
      <c r="D123" s="308">
        <f>COUNT(D120:D122)</f>
        <v>3</v>
      </c>
      <c r="E123" s="19"/>
      <c r="F123" s="19"/>
      <c r="G123" s="19"/>
      <c r="H123" s="596">
        <f t="shared" ref="H123:J124" si="13">SUM(H120:H122)</f>
        <v>224.39999999999998</v>
      </c>
      <c r="I123" s="596">
        <f t="shared" si="13"/>
        <v>224.39999999999998</v>
      </c>
      <c r="J123" s="596">
        <f t="shared" si="13"/>
        <v>224.39999999999998</v>
      </c>
      <c r="K123" s="7"/>
      <c r="L123" s="8"/>
      <c r="M123" s="8"/>
      <c r="N123" s="8"/>
      <c r="O123" s="52"/>
      <c r="P123" s="52"/>
      <c r="Q123" s="9"/>
      <c r="R123" s="8"/>
      <c r="S123" s="7"/>
      <c r="T123" s="7"/>
      <c r="U123" s="7"/>
      <c r="V123" s="718"/>
      <c r="W123" s="736">
        <f>VLOOKUP(Table1[[#This Row],[RE Plant]],[1]FD!$B:$H,2,FALSE)</f>
        <v>0</v>
      </c>
      <c r="X123" s="729">
        <f>Table1[[#This Row],[Start of FIT Elibility per COC]]-Table1[[#This Row],[Column2]]</f>
        <v>0</v>
      </c>
      <c r="Y123" s="4"/>
      <c r="AA123" s="13">
        <v>1.64</v>
      </c>
    </row>
    <row r="124" spans="1:27" ht="15.75" x14ac:dyDescent="0.25">
      <c r="A124" s="5"/>
      <c r="B124" s="5"/>
      <c r="C124" s="18"/>
      <c r="D124" s="308">
        <f>COUNT(D121:D123)</f>
        <v>3</v>
      </c>
      <c r="E124" s="19"/>
      <c r="F124" s="19"/>
      <c r="G124" s="19"/>
      <c r="H124" s="596">
        <f t="shared" si="13"/>
        <v>374</v>
      </c>
      <c r="I124" s="596">
        <f t="shared" si="13"/>
        <v>374</v>
      </c>
      <c r="J124" s="596">
        <f t="shared" si="13"/>
        <v>374</v>
      </c>
      <c r="K124" s="7"/>
      <c r="L124" s="8"/>
      <c r="M124" s="8"/>
      <c r="N124" s="8"/>
      <c r="O124" s="52"/>
      <c r="P124" s="52"/>
      <c r="Q124" s="9"/>
      <c r="R124" s="8"/>
      <c r="S124" s="7"/>
      <c r="T124" s="7"/>
      <c r="U124" s="7"/>
      <c r="V124" s="718"/>
      <c r="W124" s="736">
        <f>VLOOKUP(Table1[[#This Row],[RE Plant]],[1]FD!$B:$H,2,FALSE)</f>
        <v>0</v>
      </c>
      <c r="X124" s="729">
        <f>Table1[[#This Row],[Start of FIT Elibility per COC]]-Table1[[#This Row],[Column2]]</f>
        <v>0</v>
      </c>
      <c r="Y124" s="4"/>
      <c r="AA124" s="13">
        <v>0.42399999999999999</v>
      </c>
    </row>
    <row r="125" spans="1:27" ht="15.75" x14ac:dyDescent="0.25">
      <c r="A125" s="5"/>
      <c r="B125" s="5"/>
      <c r="C125" s="18"/>
      <c r="D125" s="308">
        <f>COUNT(D120:D124)</f>
        <v>5</v>
      </c>
      <c r="E125" s="19"/>
      <c r="F125" s="19"/>
      <c r="G125" s="19"/>
      <c r="H125" s="596">
        <f t="shared" ref="H125:J126" si="14">SUM(H120:H124)</f>
        <v>822.8</v>
      </c>
      <c r="I125" s="596">
        <f t="shared" si="14"/>
        <v>822.8</v>
      </c>
      <c r="J125" s="596">
        <f t="shared" si="14"/>
        <v>822.8</v>
      </c>
      <c r="K125" s="7"/>
      <c r="L125" s="8"/>
      <c r="M125" s="8"/>
      <c r="N125" s="8"/>
      <c r="O125" s="52"/>
      <c r="P125" s="52"/>
      <c r="Q125" s="9"/>
      <c r="R125" s="8"/>
      <c r="S125" s="7"/>
      <c r="T125" s="7"/>
      <c r="U125" s="7"/>
      <c r="V125" s="718"/>
      <c r="W125" s="736">
        <f>VLOOKUP(Table1[[#This Row],[RE Plant]],[1]FD!$B:$H,2,FALSE)</f>
        <v>0</v>
      </c>
      <c r="X125" s="729">
        <f>Table1[[#This Row],[Start of FIT Elibility per COC]]-Table1[[#This Row],[Column2]]</f>
        <v>0</v>
      </c>
      <c r="Y125" s="4"/>
      <c r="AA125" s="13">
        <v>10.8</v>
      </c>
    </row>
    <row r="126" spans="1:27" ht="15.75" x14ac:dyDescent="0.25">
      <c r="A126" s="24"/>
      <c r="B126" s="24"/>
      <c r="C126" s="70"/>
      <c r="D126" s="308">
        <f>COUNT(D121:D125)</f>
        <v>5</v>
      </c>
      <c r="E126" s="24"/>
      <c r="F126" s="500"/>
      <c r="G126" s="500"/>
      <c r="H126" s="596">
        <f t="shared" si="14"/>
        <v>1570.8</v>
      </c>
      <c r="I126" s="596">
        <f t="shared" si="14"/>
        <v>1570.8</v>
      </c>
      <c r="J126" s="596">
        <f t="shared" si="14"/>
        <v>1570.8</v>
      </c>
      <c r="K126" s="45"/>
      <c r="L126" s="25"/>
      <c r="M126" s="25"/>
      <c r="N126" s="25"/>
      <c r="O126" s="495"/>
      <c r="P126" s="495"/>
      <c r="Q126" s="26"/>
      <c r="R126" s="25"/>
      <c r="S126" s="501"/>
      <c r="T126" s="501"/>
      <c r="U126" s="501"/>
      <c r="V126" s="721"/>
      <c r="W126" s="737">
        <f>VLOOKUP(Table1[[#This Row],[RE Plant]],[1]FD!$B:$H,2,FALSE)</f>
        <v>0</v>
      </c>
      <c r="X126" s="730">
        <f>Table1[[#This Row],[Start of FIT Elibility per COC]]-Table1[[#This Row],[Column2]]</f>
        <v>0</v>
      </c>
      <c r="Y126" s="4"/>
      <c r="AA126" s="13">
        <v>1.7</v>
      </c>
    </row>
    <row r="127" spans="1:27" ht="15.75" x14ac:dyDescent="0.25">
      <c r="A127" s="5"/>
      <c r="B127" s="21"/>
      <c r="C127" s="18"/>
      <c r="D127" s="308">
        <f>COUNT(D121:D126)</f>
        <v>6</v>
      </c>
      <c r="E127" s="5"/>
      <c r="F127" s="19"/>
      <c r="G127" s="5"/>
      <c r="H127" s="596">
        <f>SUM(H121:H126)</f>
        <v>3141.6</v>
      </c>
      <c r="I127" s="596">
        <f>SUM(I121:I126)</f>
        <v>3141.6</v>
      </c>
      <c r="J127" s="596">
        <f>SUM(J121:J126)</f>
        <v>3141.6</v>
      </c>
      <c r="K127" s="7"/>
      <c r="L127" s="8"/>
      <c r="M127" s="8"/>
      <c r="N127" s="8"/>
      <c r="O127" s="52"/>
      <c r="P127" s="52"/>
      <c r="Q127" s="9"/>
      <c r="R127" s="8"/>
      <c r="S127" s="7"/>
      <c r="T127" s="59"/>
      <c r="U127" s="7"/>
      <c r="V127" s="718"/>
      <c r="W127" s="736">
        <f>VLOOKUP(Table1[[#This Row],[RE Plant]],[1]FD!$B:$H,2,FALSE)</f>
        <v>0</v>
      </c>
      <c r="X127" s="729">
        <f>Table1[[#This Row],[Start of FIT Elibility per COC]]-Table1[[#This Row],[Column2]]</f>
        <v>0</v>
      </c>
      <c r="Y127" s="4"/>
      <c r="AA127" s="13">
        <v>3.5</v>
      </c>
    </row>
    <row r="128" spans="1:27" ht="15.75" x14ac:dyDescent="0.25">
      <c r="A128" s="5"/>
      <c r="B128" s="5"/>
      <c r="C128" s="18"/>
      <c r="D128" s="308">
        <f>COUNT(D120:D127)</f>
        <v>8</v>
      </c>
      <c r="E128" s="19"/>
      <c r="F128" s="19"/>
      <c r="G128" s="19"/>
      <c r="H128" s="600">
        <f>SUM(H120:H127)</f>
        <v>6358</v>
      </c>
      <c r="I128" s="600">
        <f>SUM(I120:I127)</f>
        <v>6358</v>
      </c>
      <c r="J128" s="600">
        <f>SUM(J120:K127)</f>
        <v>6358</v>
      </c>
      <c r="K128" s="44"/>
      <c r="L128" s="44"/>
      <c r="M128" s="8"/>
      <c r="N128" s="8"/>
      <c r="O128" s="52"/>
      <c r="P128" s="52"/>
      <c r="Q128" s="44"/>
      <c r="R128" s="8"/>
      <c r="S128" s="23"/>
      <c r="T128" s="23"/>
      <c r="U128" s="23"/>
      <c r="V128" s="69"/>
      <c r="W128" s="736">
        <f>VLOOKUP(Table1[[#This Row],[RE Plant]],[1]FD!$B:$H,2,FALSE)</f>
        <v>0</v>
      </c>
      <c r="X128" s="729">
        <f>Table1[[#This Row],[Start of FIT Elibility per COC]]-Table1[[#This Row],[Column2]]</f>
        <v>0</v>
      </c>
      <c r="Y128" s="4"/>
      <c r="AA128" s="13">
        <v>13.5</v>
      </c>
    </row>
    <row r="129" spans="1:28" x14ac:dyDescent="0.25">
      <c r="A129" s="5"/>
      <c r="B129" s="5"/>
      <c r="C129" s="18"/>
      <c r="D129" s="308">
        <f>COUNT(D113:D128)</f>
        <v>15</v>
      </c>
      <c r="E129" s="5"/>
      <c r="F129" s="5"/>
      <c r="G129" s="7"/>
      <c r="H129" s="596">
        <f t="shared" ref="H129:J130" si="15">SUM(H113:H128)</f>
        <v>12939.07</v>
      </c>
      <c r="I129" s="596">
        <f t="shared" si="15"/>
        <v>12940.671</v>
      </c>
      <c r="J129" s="596">
        <f t="shared" si="15"/>
        <v>12939.761</v>
      </c>
      <c r="K129" s="44"/>
      <c r="L129" s="8"/>
      <c r="M129" s="8"/>
      <c r="N129" s="8"/>
      <c r="O129" s="52"/>
      <c r="P129" s="52"/>
      <c r="Q129" s="9"/>
      <c r="R129" s="8"/>
      <c r="S129" s="7"/>
      <c r="T129" s="7"/>
      <c r="U129" s="7"/>
      <c r="V129" s="718"/>
      <c r="W129" s="736">
        <f>VLOOKUP(Table1[[#This Row],[RE Plant]],[1]FD!$B:$H,2,FALSE)</f>
        <v>0</v>
      </c>
      <c r="X129" s="729">
        <f>Table1[[#This Row],[Start of FIT Elibility per COC]]-Table1[[#This Row],[Column2]]</f>
        <v>0</v>
      </c>
      <c r="Y129" s="4"/>
      <c r="AA129" s="13">
        <v>2</v>
      </c>
    </row>
    <row r="130" spans="1:28" ht="15.75" x14ac:dyDescent="0.25">
      <c r="A130" s="5"/>
      <c r="B130" s="5"/>
      <c r="C130" s="18"/>
      <c r="D130" s="308">
        <f>COUNT(D114:D129)</f>
        <v>15</v>
      </c>
      <c r="E130" s="7"/>
      <c r="F130" s="19"/>
      <c r="G130" s="655"/>
      <c r="H130" s="596">
        <f t="shared" si="15"/>
        <v>25877.351999999999</v>
      </c>
      <c r="I130" s="596">
        <f t="shared" si="15"/>
        <v>25880.889000000003</v>
      </c>
      <c r="J130" s="596">
        <f t="shared" si="15"/>
        <v>25879.069</v>
      </c>
      <c r="K130" s="309"/>
      <c r="L130" s="8"/>
      <c r="M130" s="651"/>
      <c r="N130" s="8"/>
      <c r="O130" s="52"/>
      <c r="P130" s="52"/>
      <c r="Q130" s="9"/>
      <c r="R130" s="9"/>
      <c r="S130" s="7">
        <v>6.19</v>
      </c>
      <c r="T130" s="7"/>
      <c r="U130" s="7"/>
      <c r="V130" s="718"/>
      <c r="W130" s="736">
        <f>VLOOKUP(Table1[[#This Row],[RE Plant]],[1]FD!$B:$H,2,FALSE)</f>
        <v>0</v>
      </c>
      <c r="X130" s="729">
        <f>Table1[[#This Row],[Start of FIT Elibility per COC]]-Table1[[#This Row],[Column2]]</f>
        <v>0</v>
      </c>
      <c r="Y130" s="13"/>
      <c r="AA130" s="13">
        <v>8</v>
      </c>
    </row>
    <row r="131" spans="1:28" ht="15.75" x14ac:dyDescent="0.25">
      <c r="A131" s="5"/>
      <c r="B131" s="5"/>
      <c r="C131" s="18"/>
      <c r="D131" s="308">
        <f>COUNT(D112:D130)</f>
        <v>18</v>
      </c>
      <c r="E131" s="19"/>
      <c r="F131" s="19"/>
      <c r="G131" s="19"/>
      <c r="H131" s="596">
        <f>SUBTOTAL(109,H112:H130)</f>
        <v>51568.34</v>
      </c>
      <c r="I131" s="596">
        <f>SUBTOTAL(109,I112:I130)</f>
        <v>51573.98</v>
      </c>
      <c r="J131" s="596">
        <f>SUBTOTAL(109,J112:J130)</f>
        <v>51571.25</v>
      </c>
      <c r="K131" s="44"/>
      <c r="L131" s="44"/>
      <c r="M131" s="8"/>
      <c r="N131" s="8"/>
      <c r="O131" s="52"/>
      <c r="P131" s="52"/>
      <c r="Q131" s="44"/>
      <c r="R131" s="8"/>
      <c r="S131" s="23"/>
      <c r="T131" s="23"/>
      <c r="U131" s="23"/>
      <c r="V131" s="69"/>
      <c r="W131" s="736">
        <f>VLOOKUP(Table1[[#This Row],[RE Plant]],[1]FD!$B:$H,2,FALSE)</f>
        <v>0</v>
      </c>
      <c r="X131" s="729">
        <f>Table1[[#This Row],[Start of FIT Elibility per COC]]-Table1[[#This Row],[Column2]]</f>
        <v>0</v>
      </c>
      <c r="Y131" s="4"/>
      <c r="AA131" s="13">
        <v>2.5</v>
      </c>
    </row>
    <row r="132" spans="1:28" x14ac:dyDescent="0.25">
      <c r="A132" s="5"/>
      <c r="B132" s="5"/>
      <c r="C132" s="18"/>
      <c r="D132" s="308">
        <f>COUNT(D112:D131)</f>
        <v>19</v>
      </c>
      <c r="E132" s="5"/>
      <c r="F132" s="5"/>
      <c r="G132" s="5"/>
      <c r="H132" s="596">
        <f>SUM(H112:H131)</f>
        <v>103339.76199999999</v>
      </c>
      <c r="I132" s="596">
        <f>SUM(I112:I131)</f>
        <v>103351.391</v>
      </c>
      <c r="J132" s="596">
        <f>SUM(J112:J131)</f>
        <v>103345.02099999999</v>
      </c>
      <c r="K132" s="7"/>
      <c r="L132" s="8"/>
      <c r="M132" s="8"/>
      <c r="N132" s="8"/>
      <c r="O132" s="52"/>
      <c r="P132" s="52"/>
      <c r="Q132" s="9"/>
      <c r="R132" s="8"/>
      <c r="S132" s="7"/>
      <c r="T132" s="7"/>
      <c r="U132" s="7"/>
      <c r="V132" s="718"/>
      <c r="W132" s="736">
        <f>VLOOKUP(Table1[[#This Row],[RE Plant]],[1]FD!$B:$H,2,FALSE)</f>
        <v>0</v>
      </c>
      <c r="X132" s="729">
        <f>Table1[[#This Row],[Start of FIT Elibility per COC]]-Table1[[#This Row],[Column2]]</f>
        <v>0</v>
      </c>
      <c r="Y132" s="4"/>
      <c r="AA132" s="13">
        <v>2</v>
      </c>
    </row>
    <row r="133" spans="1:28" ht="30" x14ac:dyDescent="0.25">
      <c r="A133" s="78"/>
      <c r="B133" s="78"/>
      <c r="C133" s="78"/>
      <c r="D133" s="962">
        <f>SUM(D131,D114,D108,D63,D47,D45,D58,D38,D32,D25,D5,D65)</f>
        <v>179</v>
      </c>
      <c r="E133" s="78"/>
      <c r="F133" s="78" t="s">
        <v>366</v>
      </c>
      <c r="G133" s="78"/>
      <c r="H133" s="601">
        <f>H131+H114+H108</f>
        <v>51584.639999999999</v>
      </c>
      <c r="I133" s="601">
        <f>I131+I114+I108</f>
        <v>51591.867000000006</v>
      </c>
      <c r="J133" s="601">
        <f>J131+J114+J108</f>
        <v>51588.436999999998</v>
      </c>
      <c r="K133" s="79"/>
      <c r="L133" s="8"/>
      <c r="M133" s="8"/>
      <c r="N133" s="8"/>
      <c r="O133" s="8"/>
      <c r="P133" s="8"/>
      <c r="Q133" s="8"/>
      <c r="R133" s="8"/>
      <c r="S133" s="8"/>
      <c r="T133" s="8"/>
      <c r="U133" s="8"/>
      <c r="V133" s="468"/>
      <c r="W133" s="725" t="e">
        <f>VLOOKUP(Table1[[#This Row],[RE Plant]],[1]FD!$B:$H,2,FALSE)</f>
        <v>#N/A</v>
      </c>
      <c r="X133" s="743" t="e">
        <f>Table1[[#This Row],[Start of FIT Elibility per COC]]-Table1[[#This Row],[Column2]]</f>
        <v>#N/A</v>
      </c>
      <c r="Y133" s="13"/>
      <c r="AA133" s="13">
        <v>10.8</v>
      </c>
    </row>
    <row r="134" spans="1:28" ht="30" x14ac:dyDescent="0.25">
      <c r="A134" s="5"/>
      <c r="B134" s="5"/>
      <c r="C134" s="18"/>
      <c r="D134" s="18"/>
      <c r="E134" s="5"/>
      <c r="F134" s="78" t="s">
        <v>366</v>
      </c>
      <c r="G134" s="78"/>
      <c r="H134" s="597">
        <f>H133+H112</f>
        <v>51600.57</v>
      </c>
      <c r="I134" s="597">
        <f>I133+I112</f>
        <v>51607.047000000006</v>
      </c>
      <c r="J134" s="597">
        <f>J133+J112</f>
        <v>51603.616999999998</v>
      </c>
      <c r="K134" s="7"/>
      <c r="L134" s="8"/>
      <c r="M134" s="8"/>
      <c r="N134" s="8"/>
      <c r="O134" s="52"/>
      <c r="P134" s="52"/>
      <c r="Q134" s="9"/>
      <c r="R134" s="8"/>
      <c r="S134" s="7"/>
      <c r="T134" s="7"/>
      <c r="U134" s="7"/>
      <c r="V134" s="718"/>
      <c r="W134" s="736" t="e">
        <f>VLOOKUP(Table1[[#This Row],[RE Plant]],[1]FD!$B:$H,2,FALSE)</f>
        <v>#N/A</v>
      </c>
      <c r="X134" s="729" t="e">
        <f>Table1[[#This Row],[Start of FIT Elibility per COC]]-Table1[[#This Row],[Column2]]</f>
        <v>#N/A</v>
      </c>
      <c r="Y134" s="4"/>
      <c r="AA134" s="13">
        <v>5.4</v>
      </c>
    </row>
    <row r="135" spans="1:28" ht="30" x14ac:dyDescent="0.25">
      <c r="A135" s="5"/>
      <c r="B135" s="5"/>
      <c r="C135" s="18"/>
      <c r="D135" s="18"/>
      <c r="E135" s="19"/>
      <c r="F135" s="78" t="s">
        <v>366</v>
      </c>
      <c r="G135" s="78"/>
      <c r="H135" s="597">
        <f>H134+H132+H128</f>
        <v>161298.33199999999</v>
      </c>
      <c r="I135" s="597">
        <f>I134+I132+I128</f>
        <v>161316.43800000002</v>
      </c>
      <c r="J135" s="597">
        <f>J134+J132+J128</f>
        <v>161306.63799999998</v>
      </c>
      <c r="K135" s="7"/>
      <c r="L135" s="18"/>
      <c r="M135" s="18"/>
      <c r="N135" s="18"/>
      <c r="O135" s="52"/>
      <c r="P135" s="52"/>
      <c r="Q135" s="5"/>
      <c r="R135" s="18"/>
      <c r="S135" s="7"/>
      <c r="T135" s="7"/>
      <c r="U135" s="7"/>
      <c r="V135" s="718"/>
      <c r="W135" s="736" t="e">
        <f>VLOOKUP(Table1[[#This Row],[RE Plant]],[1]FD!$B:$H,2,FALSE)</f>
        <v>#N/A</v>
      </c>
      <c r="X135" s="729" t="e">
        <f>Table1[[#This Row],[Start of FIT Elibility per COC]]-Table1[[#This Row],[Column2]]</f>
        <v>#N/A</v>
      </c>
      <c r="Y135" s="4"/>
      <c r="AA135"/>
      <c r="AB135" s="13">
        <v>5.4</v>
      </c>
    </row>
    <row r="136" spans="1:28" s="3" customFormat="1" ht="30.75" thickBot="1" x14ac:dyDescent="0.3">
      <c r="A136" s="959"/>
      <c r="B136" s="960"/>
      <c r="C136" s="960"/>
      <c r="D136" s="960"/>
      <c r="E136" s="960"/>
      <c r="F136" s="960" t="s">
        <v>366</v>
      </c>
      <c r="G136" s="960"/>
      <c r="H136" s="968">
        <f>H111+H113+H102+H100+H133+H135</f>
        <v>212909.78700000001</v>
      </c>
      <c r="I136" s="968">
        <f>I111+I113+I102+I100+I133+I135</f>
        <v>212934.63200000004</v>
      </c>
      <c r="J136" s="968">
        <f>J111+J113+J102+J100+J133+J135</f>
        <v>212921.40199999997</v>
      </c>
      <c r="K136" s="970"/>
      <c r="L136" s="72"/>
      <c r="M136" s="72"/>
      <c r="N136" s="72"/>
      <c r="O136" s="73"/>
      <c r="P136" s="73"/>
      <c r="Q136" s="74"/>
      <c r="R136" s="72"/>
      <c r="S136" s="982"/>
      <c r="T136" s="982"/>
      <c r="U136" s="982"/>
      <c r="V136" s="69"/>
      <c r="W136" s="736" t="e">
        <f>VLOOKUP(Table1[[#This Row],[RE Plant]],[1]FD!$B:$H,2,FALSE)</f>
        <v>#N/A</v>
      </c>
      <c r="X136" s="729" t="e">
        <f>Table1[[#This Row],[Start of FIT Elibility per COC]]-Table1[[#This Row],[Column2]]</f>
        <v>#N/A</v>
      </c>
      <c r="Y136" s="4"/>
      <c r="Z136" s="674"/>
      <c r="AA136" s="674"/>
      <c r="AB136" s="3">
        <f>SUM(AA109:AA135)</f>
        <v>197.839</v>
      </c>
    </row>
    <row r="137" spans="1:28" s="3" customFormat="1" ht="15.75" x14ac:dyDescent="0.25">
      <c r="A137" s="4"/>
      <c r="B137" s="4"/>
      <c r="C137" s="961"/>
      <c r="D137" s="963"/>
      <c r="E137" s="89"/>
      <c r="F137" s="19"/>
      <c r="G137" s="19"/>
      <c r="H137" s="967"/>
      <c r="I137" s="967"/>
      <c r="J137" s="967"/>
      <c r="K137" s="969"/>
      <c r="L137" s="467"/>
      <c r="M137" s="468"/>
      <c r="N137" s="468"/>
      <c r="O137" s="963"/>
      <c r="P137" s="963"/>
      <c r="Q137" s="975"/>
      <c r="R137" s="975"/>
      <c r="S137" s="718"/>
      <c r="T137" s="718"/>
      <c r="U137" s="718"/>
      <c r="V137" s="718"/>
      <c r="W137" s="736">
        <f>VLOOKUP(Table1[[#This Row],[RE Plant]],[1]FD!$B:$H,2,FALSE)</f>
        <v>0</v>
      </c>
      <c r="X137" s="729">
        <f>Table1[[#This Row],[Start of FIT Elibility per COC]]-Table1[[#This Row],[Column2]]</f>
        <v>0</v>
      </c>
      <c r="Y137" s="13"/>
      <c r="Z137" s="674"/>
      <c r="AA137" s="674"/>
    </row>
    <row r="138" spans="1:28" s="3" customFormat="1" hidden="1" x14ac:dyDescent="0.25">
      <c r="A138" s="61"/>
      <c r="B138" s="61"/>
      <c r="C138" s="62"/>
      <c r="D138" s="62"/>
      <c r="E138" s="63"/>
      <c r="F138" s="61"/>
      <c r="G138" s="61"/>
      <c r="H138" s="603"/>
      <c r="I138" s="62"/>
      <c r="J138" s="604">
        <f>SUM(J120:J133)</f>
        <v>258039.538</v>
      </c>
      <c r="K138" s="75"/>
      <c r="L138" s="61"/>
      <c r="M138" s="61"/>
      <c r="N138" s="61"/>
      <c r="O138" s="65"/>
      <c r="P138" s="65"/>
      <c r="Q138" s="66"/>
      <c r="R138" s="66"/>
      <c r="S138" s="64"/>
      <c r="T138" s="64"/>
      <c r="U138" s="64"/>
      <c r="V138" s="715"/>
      <c r="W138" s="734"/>
      <c r="X138" s="740"/>
      <c r="Y138" s="13"/>
      <c r="Z138" s="674"/>
      <c r="AA138" s="674"/>
    </row>
    <row r="139" spans="1:28" hidden="1" x14ac:dyDescent="0.25">
      <c r="A139" s="10"/>
      <c r="B139" s="10"/>
      <c r="C139" s="2"/>
      <c r="D139" s="2"/>
      <c r="E139" s="33"/>
      <c r="F139" s="10"/>
      <c r="G139" s="10"/>
      <c r="H139" s="605"/>
      <c r="I139" s="606"/>
      <c r="J139" s="606">
        <f>SUM(J52:J66)</f>
        <v>234.989</v>
      </c>
      <c r="K139" s="29"/>
      <c r="L139" s="75"/>
      <c r="M139" s="14"/>
      <c r="N139" s="14"/>
      <c r="O139" s="53"/>
      <c r="P139" s="53"/>
      <c r="Q139" s="12"/>
      <c r="R139" s="12"/>
      <c r="S139" s="11"/>
      <c r="T139" s="11"/>
      <c r="U139" s="11"/>
      <c r="V139" s="715"/>
      <c r="W139" s="734"/>
      <c r="X139" s="740"/>
      <c r="Y139" s="13"/>
      <c r="AA139"/>
    </row>
    <row r="140" spans="1:28" hidden="1" x14ac:dyDescent="0.25">
      <c r="A140" s="10"/>
      <c r="B140" s="10"/>
      <c r="C140" s="2"/>
      <c r="D140" s="2"/>
      <c r="E140" s="33"/>
      <c r="F140" s="10"/>
      <c r="G140" s="10"/>
      <c r="H140" s="605"/>
      <c r="I140" s="2"/>
      <c r="J140" s="606"/>
      <c r="K140" s="29"/>
      <c r="L140" s="29">
        <f>J44+J52+J54+J64</f>
        <v>13.375999999999999</v>
      </c>
      <c r="M140" s="10"/>
      <c r="N140" s="10"/>
      <c r="O140" s="53"/>
      <c r="P140" s="53"/>
      <c r="Q140" s="12"/>
      <c r="R140" s="12"/>
      <c r="S140" s="11"/>
      <c r="T140" s="11"/>
      <c r="U140" s="11"/>
      <c r="V140" s="715"/>
      <c r="W140" s="734"/>
      <c r="X140" s="740"/>
      <c r="Y140" s="13"/>
      <c r="AA140"/>
    </row>
    <row r="141" spans="1:28" hidden="1" x14ac:dyDescent="0.25">
      <c r="A141" s="10"/>
      <c r="B141" s="10"/>
      <c r="C141" s="2"/>
      <c r="D141" s="2"/>
      <c r="E141" s="33"/>
      <c r="F141" s="10"/>
      <c r="G141" s="10"/>
      <c r="H141" s="605"/>
      <c r="I141" s="2"/>
      <c r="J141" s="2"/>
      <c r="K141" s="10"/>
      <c r="L141" s="10"/>
      <c r="M141" s="10"/>
      <c r="N141" s="10"/>
      <c r="O141" s="53"/>
      <c r="P141" s="53"/>
      <c r="Q141" s="11"/>
      <c r="R141" s="10"/>
      <c r="S141" s="11"/>
      <c r="T141" s="11"/>
      <c r="U141" s="11"/>
      <c r="V141" s="715"/>
      <c r="W141" s="734"/>
      <c r="X141" s="740"/>
      <c r="Y141" s="13"/>
      <c r="AA141"/>
    </row>
    <row r="142" spans="1:28" hidden="1" x14ac:dyDescent="0.25">
      <c r="A142" s="10"/>
      <c r="B142" s="10"/>
      <c r="C142" s="2"/>
      <c r="D142" s="2"/>
      <c r="E142" s="33"/>
      <c r="F142" s="10"/>
      <c r="G142" s="10"/>
      <c r="H142" s="605"/>
      <c r="I142" s="2"/>
      <c r="J142" s="2"/>
      <c r="K142" s="10"/>
      <c r="L142" s="10"/>
      <c r="M142" s="10"/>
      <c r="N142" s="10"/>
      <c r="O142" s="53"/>
      <c r="P142" s="53"/>
      <c r="Q142" s="11"/>
      <c r="R142" s="10"/>
      <c r="S142" s="11"/>
      <c r="T142" s="11"/>
      <c r="U142" s="11"/>
      <c r="V142" s="715"/>
      <c r="W142" s="734"/>
      <c r="X142" s="740"/>
      <c r="Y142" s="13"/>
      <c r="AA142"/>
    </row>
    <row r="143" spans="1:28" ht="30" hidden="1" x14ac:dyDescent="0.25">
      <c r="A143" s="76"/>
      <c r="B143" s="76"/>
      <c r="C143" s="76"/>
      <c r="D143" s="333">
        <f>SUM(D10,D31,D38,D60,D42,D49,D51,D67,D69,D91,D112,D120,D135)</f>
        <v>145</v>
      </c>
      <c r="E143" s="76" t="s">
        <v>836</v>
      </c>
      <c r="F143" s="78" t="s">
        <v>366</v>
      </c>
      <c r="G143" s="78"/>
      <c r="H143" s="607">
        <f>SUM(H32,H43,H94,H137)</f>
        <v>114.75700000000001</v>
      </c>
      <c r="I143" s="607">
        <f>SUM(I32,I43,I94,I137)</f>
        <v>116.577</v>
      </c>
      <c r="J143" s="607">
        <f>SUM(J32,J43,J94,J137)</f>
        <v>110.562</v>
      </c>
      <c r="K143" s="114"/>
      <c r="L143" s="467"/>
      <c r="M143" s="468"/>
      <c r="N143" s="468"/>
      <c r="O143" s="468"/>
      <c r="P143" s="468"/>
      <c r="Q143" s="468"/>
      <c r="R143" s="468"/>
      <c r="S143" s="468"/>
      <c r="T143" s="468"/>
      <c r="U143" s="468"/>
      <c r="V143" s="468"/>
      <c r="W143" s="725"/>
      <c r="X143" s="743"/>
      <c r="AA143"/>
    </row>
    <row r="144" spans="1:28" hidden="1" x14ac:dyDescent="0.25">
      <c r="AA144"/>
    </row>
    <row r="145" spans="1:27" hidden="1" x14ac:dyDescent="0.25">
      <c r="AA145"/>
    </row>
    <row r="146" spans="1:27" hidden="1" x14ac:dyDescent="0.25">
      <c r="AA146"/>
    </row>
    <row r="147" spans="1:27" hidden="1" x14ac:dyDescent="0.25">
      <c r="J147">
        <f>87+63</f>
        <v>150</v>
      </c>
      <c r="AA147"/>
    </row>
    <row r="148" spans="1:27" hidden="1" x14ac:dyDescent="0.25">
      <c r="E148" s="933" t="s">
        <v>1725</v>
      </c>
      <c r="I148" s="660" t="s">
        <v>858</v>
      </c>
      <c r="J148" s="556">
        <f>SUM(J123:J134,J121,J113:J119,J102:J110,J98:J100,J91,J67,J51,J49,J60,J38,J32)</f>
        <v>309911.848</v>
      </c>
      <c r="AA148"/>
    </row>
    <row r="149" spans="1:27" hidden="1" x14ac:dyDescent="0.25">
      <c r="I149" s="660" t="s">
        <v>859</v>
      </c>
      <c r="J149" s="659">
        <f>'FIT Summary'!H22-'FIT Summary'!H8-'FIT Summary'!H15</f>
        <v>1467.6550000000004</v>
      </c>
      <c r="AA149"/>
    </row>
    <row r="150" spans="1:27" hidden="1" x14ac:dyDescent="0.25">
      <c r="J150" s="661"/>
      <c r="K150" s="662"/>
      <c r="L150" s="662"/>
      <c r="AA150"/>
    </row>
    <row r="153" spans="1:27" hidden="1" x14ac:dyDescent="0.25">
      <c r="E153" s="665"/>
    </row>
    <row r="154" spans="1:27" hidden="1" x14ac:dyDescent="0.25">
      <c r="E154" s="665"/>
    </row>
    <row r="155" spans="1:27" hidden="1" x14ac:dyDescent="0.25">
      <c r="C155" s="670"/>
      <c r="D155" s="666"/>
      <c r="E155" s="666"/>
      <c r="F155" s="666"/>
      <c r="G155" s="666"/>
      <c r="H155" s="666"/>
      <c r="I155" s="666"/>
      <c r="J155" s="666"/>
      <c r="K155" s="666"/>
      <c r="L155" s="666"/>
      <c r="M155" s="671"/>
    </row>
    <row r="156" spans="1:27" ht="15.75" hidden="1" x14ac:dyDescent="0.25">
      <c r="A156" s="674"/>
      <c r="B156" s="674"/>
      <c r="C156" s="675"/>
      <c r="D156" s="674"/>
      <c r="E156" s="688" t="s">
        <v>881</v>
      </c>
      <c r="F156" s="683" t="s">
        <v>878</v>
      </c>
      <c r="G156" s="683" t="s">
        <v>875</v>
      </c>
      <c r="H156" s="688" t="s">
        <v>379</v>
      </c>
      <c r="I156" s="685" t="s">
        <v>879</v>
      </c>
      <c r="J156" s="674"/>
      <c r="K156" s="674"/>
      <c r="L156" s="674"/>
      <c r="M156" s="676"/>
      <c r="N156" s="674"/>
      <c r="O156" s="674"/>
      <c r="P156" s="674"/>
      <c r="Q156" s="674"/>
      <c r="R156" s="674"/>
      <c r="S156" s="674"/>
      <c r="T156" s="674"/>
      <c r="U156" s="674"/>
      <c r="V156" s="674"/>
      <c r="W156" s="739"/>
      <c r="X156" s="593"/>
      <c r="Y156" s="674"/>
    </row>
    <row r="157" spans="1:27" hidden="1" x14ac:dyDescent="0.25">
      <c r="A157" s="674"/>
      <c r="B157" s="674"/>
      <c r="C157" s="675"/>
      <c r="D157" s="674"/>
      <c r="E157" t="s">
        <v>11</v>
      </c>
      <c r="F157" s="677">
        <v>150</v>
      </c>
      <c r="G157" s="677">
        <v>134.63999999999999</v>
      </c>
      <c r="H157" t="s">
        <v>883</v>
      </c>
      <c r="I157" s="686">
        <f t="shared" ref="I157:I169" si="16">F157-G157</f>
        <v>15.360000000000014</v>
      </c>
      <c r="J157" s="674"/>
      <c r="K157" s="674"/>
      <c r="L157" s="674"/>
      <c r="M157" s="676"/>
      <c r="N157" s="674"/>
      <c r="O157" s="674"/>
      <c r="P157" s="674"/>
      <c r="Q157" s="674"/>
      <c r="R157" s="674"/>
      <c r="S157" s="674"/>
      <c r="T157" s="674"/>
      <c r="U157" s="674"/>
      <c r="V157" s="674"/>
      <c r="W157" s="739"/>
      <c r="X157" s="593"/>
      <c r="Y157" s="674"/>
    </row>
    <row r="158" spans="1:27" hidden="1" x14ac:dyDescent="0.25">
      <c r="A158" s="674"/>
      <c r="B158" s="674"/>
      <c r="C158" s="675"/>
      <c r="D158" s="674"/>
      <c r="E158" t="s">
        <v>867</v>
      </c>
      <c r="F158" s="677">
        <v>54</v>
      </c>
      <c r="G158" s="677">
        <v>51</v>
      </c>
      <c r="H158" t="s">
        <v>883</v>
      </c>
      <c r="I158" s="686">
        <f t="shared" si="16"/>
        <v>3</v>
      </c>
      <c r="J158" s="674"/>
      <c r="K158" s="674"/>
      <c r="L158" s="674"/>
      <c r="M158" s="676"/>
      <c r="N158" s="674"/>
      <c r="O158" s="674"/>
      <c r="P158" s="674"/>
      <c r="Q158" s="674"/>
      <c r="R158" s="674"/>
      <c r="S158" s="674"/>
      <c r="T158" s="674"/>
      <c r="U158" s="674"/>
      <c r="V158" s="674"/>
      <c r="W158" s="739"/>
      <c r="X158" s="593"/>
      <c r="Y158" s="674"/>
    </row>
    <row r="159" spans="1:27" x14ac:dyDescent="0.25">
      <c r="C159" s="672"/>
      <c r="E159" t="s">
        <v>800</v>
      </c>
      <c r="F159" s="677">
        <v>3.8780000000000001</v>
      </c>
      <c r="G159" s="677">
        <v>3.5</v>
      </c>
      <c r="H159" t="s">
        <v>883</v>
      </c>
      <c r="I159" s="686">
        <f t="shared" si="16"/>
        <v>0.37800000000000011</v>
      </c>
      <c r="M159" s="673"/>
    </row>
    <row r="160" spans="1:27" x14ac:dyDescent="0.25">
      <c r="C160" s="672"/>
      <c r="E160" t="s">
        <v>874</v>
      </c>
      <c r="F160" s="677">
        <v>2</v>
      </c>
      <c r="G160" s="677">
        <v>9.5</v>
      </c>
      <c r="H160" t="s">
        <v>876</v>
      </c>
      <c r="I160" s="686">
        <f t="shared" si="16"/>
        <v>-7.5</v>
      </c>
      <c r="M160" s="673"/>
    </row>
    <row r="161" spans="3:14" x14ac:dyDescent="0.25">
      <c r="C161" s="672"/>
      <c r="E161" t="s">
        <v>244</v>
      </c>
      <c r="F161" s="682">
        <v>0</v>
      </c>
      <c r="G161" s="677">
        <v>12.7</v>
      </c>
      <c r="H161" t="s">
        <v>884</v>
      </c>
      <c r="I161" s="686">
        <f t="shared" si="16"/>
        <v>-12.7</v>
      </c>
      <c r="M161" s="673"/>
    </row>
    <row r="162" spans="3:14" x14ac:dyDescent="0.25">
      <c r="C162" s="672"/>
      <c r="E162" t="s">
        <v>269</v>
      </c>
      <c r="F162" s="682"/>
      <c r="G162" s="677">
        <v>0.3</v>
      </c>
      <c r="H162" t="s">
        <v>884</v>
      </c>
      <c r="I162" s="686">
        <f t="shared" si="16"/>
        <v>-0.3</v>
      </c>
      <c r="M162" s="673"/>
    </row>
    <row r="163" spans="3:14" x14ac:dyDescent="0.25">
      <c r="C163" s="672"/>
      <c r="E163" t="s">
        <v>808</v>
      </c>
      <c r="F163" s="682"/>
      <c r="G163" s="677">
        <v>3.456</v>
      </c>
      <c r="H163" t="s">
        <v>884</v>
      </c>
      <c r="I163" s="686">
        <f t="shared" si="16"/>
        <v>-3.456</v>
      </c>
      <c r="M163" s="673"/>
    </row>
    <row r="164" spans="3:14" x14ac:dyDescent="0.25">
      <c r="C164" s="672"/>
      <c r="E164" t="s">
        <v>816</v>
      </c>
      <c r="F164" s="682"/>
      <c r="G164" s="677">
        <v>1.1970000000000001</v>
      </c>
      <c r="H164" t="s">
        <v>884</v>
      </c>
      <c r="I164" s="686">
        <f t="shared" si="16"/>
        <v>-1.1970000000000001</v>
      </c>
      <c r="M164" s="673"/>
      <c r="N164" t="s">
        <v>1700</v>
      </c>
    </row>
    <row r="165" spans="3:14" x14ac:dyDescent="0.25">
      <c r="C165" s="672"/>
      <c r="E165" t="s">
        <v>821</v>
      </c>
      <c r="F165" s="682"/>
      <c r="G165" s="677">
        <v>1.6</v>
      </c>
      <c r="H165" t="s">
        <v>884</v>
      </c>
      <c r="I165" s="686">
        <f t="shared" si="16"/>
        <v>-1.6</v>
      </c>
      <c r="M165" s="673"/>
    </row>
    <row r="166" spans="3:14" x14ac:dyDescent="0.25">
      <c r="C166" s="672"/>
      <c r="E166" t="s">
        <v>824</v>
      </c>
      <c r="F166" s="682"/>
      <c r="G166" s="677">
        <v>5.8079999999999998</v>
      </c>
      <c r="H166" t="s">
        <v>884</v>
      </c>
      <c r="I166" s="686">
        <f t="shared" si="16"/>
        <v>-5.8079999999999998</v>
      </c>
      <c r="M166" s="673"/>
    </row>
    <row r="167" spans="3:14" x14ac:dyDescent="0.25">
      <c r="C167" s="672"/>
      <c r="E167" t="s">
        <v>709</v>
      </c>
      <c r="F167" s="677">
        <v>8</v>
      </c>
      <c r="G167" s="678">
        <v>8.08</v>
      </c>
      <c r="H167" t="s">
        <v>864</v>
      </c>
      <c r="I167" s="686">
        <f t="shared" si="16"/>
        <v>-8.0000000000000071E-2</v>
      </c>
      <c r="M167" s="673"/>
    </row>
    <row r="168" spans="3:14" x14ac:dyDescent="0.25">
      <c r="C168" s="672"/>
      <c r="E168" t="s">
        <v>38</v>
      </c>
      <c r="F168" s="677">
        <v>14</v>
      </c>
      <c r="G168" s="682">
        <v>0</v>
      </c>
      <c r="H168" t="s">
        <v>880</v>
      </c>
      <c r="I168" s="687">
        <f t="shared" si="16"/>
        <v>14</v>
      </c>
      <c r="J168" t="s">
        <v>885</v>
      </c>
      <c r="M168" s="673"/>
    </row>
    <row r="169" spans="3:14" x14ac:dyDescent="0.25">
      <c r="C169" s="672"/>
      <c r="E169" t="s">
        <v>169</v>
      </c>
      <c r="F169" s="677">
        <v>2.21</v>
      </c>
      <c r="G169" s="682">
        <v>0</v>
      </c>
      <c r="H169" t="s">
        <v>880</v>
      </c>
      <c r="I169" s="687">
        <f t="shared" si="16"/>
        <v>2.21</v>
      </c>
      <c r="J169" s="692" t="s">
        <v>886</v>
      </c>
      <c r="M169" s="673"/>
    </row>
    <row r="170" spans="3:14" x14ac:dyDescent="0.25">
      <c r="C170" s="672"/>
      <c r="E170" s="679" t="s">
        <v>877</v>
      </c>
      <c r="F170" s="680">
        <f>SUM(F157:F169)</f>
        <v>234.08799999999999</v>
      </c>
      <c r="G170" s="680">
        <f>SUM(G157:G169)</f>
        <v>231.78099999999998</v>
      </c>
      <c r="H170" s="681" t="s">
        <v>879</v>
      </c>
      <c r="I170" s="684">
        <f>SUM(I157:I169)</f>
        <v>2.3070000000000137</v>
      </c>
      <c r="M170" s="673"/>
    </row>
    <row r="171" spans="3:14" x14ac:dyDescent="0.25"/>
    <row r="172" spans="3:14" x14ac:dyDescent="0.25"/>
    <row r="173" spans="3:14" ht="15.75" thickBot="1" x14ac:dyDescent="0.3">
      <c r="E173" s="679" t="s">
        <v>204</v>
      </c>
      <c r="F173" s="689">
        <v>1414.893</v>
      </c>
      <c r="G173" s="689">
        <f>GETPIVOTDATA(" Subscribed FIT Capacity as per COE (MW)",FIT.pvt!$B$6)</f>
        <v>1508.4949999999994</v>
      </c>
      <c r="H173" s="681" t="s">
        <v>879</v>
      </c>
      <c r="I173" s="690">
        <f>F173-G173</f>
        <v>-93.601999999999407</v>
      </c>
    </row>
    <row r="174" spans="3:14" ht="15.75" thickTop="1" x14ac:dyDescent="0.25">
      <c r="G174" s="691" t="s">
        <v>882</v>
      </c>
      <c r="H174" s="681"/>
      <c r="I174" s="481"/>
    </row>
    <row r="175" spans="3:14" x14ac:dyDescent="0.25"/>
    <row r="176" spans="3:14" ht="12.75" customHeight="1" x14ac:dyDescent="0.25"/>
    <row r="177" x14ac:dyDescent="0.25"/>
    <row r="178" x14ac:dyDescent="0.25"/>
    <row r="179" x14ac:dyDescent="0.25"/>
    <row r="180" x14ac:dyDescent="0.25"/>
    <row r="187" x14ac:dyDescent="0.25"/>
    <row r="188" x14ac:dyDescent="0.25"/>
    <row r="189" x14ac:dyDescent="0.25"/>
    <row r="191" x14ac:dyDescent="0.25"/>
    <row r="192" x14ac:dyDescent="0.25"/>
    <row r="194" spans="1:25" hidden="1" x14ac:dyDescent="0.25">
      <c r="A194" s="744"/>
      <c r="B194" s="744"/>
      <c r="C194" s="744"/>
      <c r="D194" s="744"/>
      <c r="E194" s="744"/>
      <c r="F194" s="744"/>
      <c r="G194" s="744"/>
      <c r="H194" s="744"/>
      <c r="I194" s="744"/>
      <c r="J194" s="744"/>
      <c r="K194" s="744"/>
      <c r="L194" s="744"/>
      <c r="M194" s="744"/>
      <c r="N194" s="744"/>
      <c r="O194" s="744"/>
      <c r="P194" s="744"/>
      <c r="Q194" s="744"/>
      <c r="R194" s="744"/>
      <c r="S194" s="744"/>
      <c r="T194" s="744"/>
      <c r="U194" s="744"/>
      <c r="V194" s="744"/>
      <c r="W194" s="745"/>
      <c r="X194" s="746"/>
      <c r="Y194" s="744"/>
    </row>
  </sheetData>
  <mergeCells count="1">
    <mergeCell ref="A1:J1"/>
  </mergeCells>
  <phoneticPr fontId="49" type="noConversion"/>
  <conditionalFormatting sqref="M122 N11:N30 N37 N41 N96:N97 N113:N119 N9 N52:N66 N70:N90">
    <cfRule type="cellIs" dxfId="210" priority="9" operator="lessThan">
      <formula>$N$1</formula>
    </cfRule>
  </conditionalFormatting>
  <conditionalFormatting sqref="N2:N8 N34:N36 N44:N48 N50 N68 N98:N106 N108:N111 N121 N123:N134">
    <cfRule type="cellIs" dxfId="209" priority="10" operator="lessThan">
      <formula>$N$1</formula>
    </cfRule>
  </conditionalFormatting>
  <conditionalFormatting sqref="AI89">
    <cfRule type="cellIs" dxfId="208" priority="6" operator="lessThan">
      <formula>$N$1</formula>
    </cfRule>
  </conditionalFormatting>
  <conditionalFormatting sqref="AI79">
    <cfRule type="cellIs" dxfId="207" priority="4" operator="lessThan">
      <formula>$N$1</formula>
    </cfRule>
  </conditionalFormatting>
  <conditionalFormatting sqref="AJ66">
    <cfRule type="cellIs" dxfId="206" priority="8" operator="lessThan">
      <formula>$N$1</formula>
    </cfRule>
  </conditionalFormatting>
  <conditionalFormatting sqref="AJ69 BD69 BX69 CR69 DL69 EF69 EZ69 FT69 GN69 HH69 IB69 IV69 JP69 KJ69 LD69 LX69 MR69 NL69 OF69 OZ69 PT69 QN69 RH69 SB69 SV69 TP69 UJ69 VD69 VX69 WR69 XL69 YF69 YZ69 ZT69 AAN69 ABH69 ACB69 ACV69 ADP69 AEJ69 AFD69 AFX69 AGR69 AHL69 AIF69 AIZ69 AJT69 AKN69 ALH69 AMB69 AMV69 ANP69 AOJ69 APD69 APX69 AQR69 ARL69 ASF69 ASZ69 ATT69 AUN69 AVH69 AWB69 AWV69 AXP69 AYJ69 AZD69 AZX69 BAR69 BBL69 BCF69 BCZ69 BDT69 BEN69 BFH69 BGB69 BGV69 BHP69 BIJ69 BJD69 BJX69 BKR69 BLL69 BMF69 BMZ69 BNT69 BON69 BPH69 BQB69 BQV69 BRP69 BSJ69 BTD69 BTX69 BUR69 BVL69 BWF69 BWZ69 BXT69 BYN69 BZH69 CAB69 CAV69 CBP69 CCJ69 CDD69 CDX69 CER69 CFL69 CGF69 CGZ69 CHT69 CIN69 CJH69 CKB69 CKV69 CLP69 CMJ69 CND69 CNX69 COR69 CPL69 CQF69 CQZ69 CRT69 CSN69 CTH69 CUB69 CUV69 CVP69 CWJ69 CXD69 CXX69 CYR69 CZL69 DAF69 DAZ69 DBT69 DCN69 DDH69 DEB69 DEV69 DFP69 DGJ69 DHD69 DHX69 DIR69 DJL69 DKF69 DKZ69 DLT69 DMN69 DNH69 DOB69 DOV69 DPP69 DQJ69 DRD69 DRX69 DSR69 DTL69 DUF69 DUZ69 DVT69 DWN69 DXH69 DYB69 DYV69 DZP69 EAJ69 EBD69 EBX69 ECR69 EDL69 EEF69 EEZ69 EFT69 EGN69 EHH69 EIB69 EIV69 EJP69 EKJ69 ELD69 ELX69 EMR69 ENL69 EOF69 EOZ69 EPT69 EQN69 ERH69 ESB69 ESV69 ETP69 EUJ69 EVD69 EVX69 EWR69 EXL69 EYF69 EYZ69 EZT69 FAN69 FBH69 FCB69 FCV69 FDP69 FEJ69 FFD69 FFX69 FGR69 FHL69 FIF69 FIZ69 FJT69 FKN69 FLH69 FMB69 FMV69 FNP69 FOJ69 FPD69 FPX69 FQR69 FRL69 FSF69 FSZ69 FTT69 FUN69 FVH69 FWB69 FWV69 FXP69 FYJ69 FZD69 FZX69 GAR69 GBL69 GCF69 GCZ69 GDT69 GEN69 GFH69 GGB69 GGV69 GHP69 GIJ69 GJD69 GJX69 GKR69 GLL69 GMF69 GMZ69 GNT69 GON69 GPH69 GQB69 GQV69 GRP69 GSJ69 GTD69 GTX69 GUR69 GVL69 GWF69 GWZ69 GXT69 GYN69 GZH69 HAB69 HAV69 HBP69 HCJ69 HDD69 HDX69 HER69 HFL69 HGF69 HGZ69 HHT69 HIN69 HJH69 HKB69 HKV69 HLP69 HMJ69 HND69 HNX69 HOR69 HPL69 HQF69 HQZ69 HRT69 HSN69 HTH69 HUB69 HUV69 HVP69 HWJ69 HXD69 HXX69 HYR69 HZL69 IAF69 IAZ69 IBT69 ICN69 IDH69 IEB69 IEV69 IFP69 IGJ69 IHD69 IHX69 IIR69 IJL69 IKF69 IKZ69 ILT69 IMN69 INH69 IOB69 IOV69 IPP69 IQJ69 IRD69 IRX69 ISR69 ITL69 IUF69 IUZ69 IVT69 IWN69 IXH69 IYB69 IYV69 IZP69 JAJ69 JBD69 JBX69 JCR69 JDL69 JEF69 JEZ69 JFT69 JGN69 JHH69 JIB69 JIV69 JJP69 JKJ69 JLD69 JLX69 JMR69 JNL69 JOF69 JOZ69 JPT69 JQN69 JRH69 JSB69 JSV69 JTP69 JUJ69 JVD69 JVX69 JWR69 JXL69 JYF69 JYZ69 JZT69 KAN69 KBH69 KCB69 KCV69 KDP69 KEJ69 KFD69 KFX69 KGR69 KHL69 KIF69 KIZ69 KJT69 KKN69 KLH69 KMB69 KMV69 KNP69 KOJ69 KPD69 KPX69 KQR69 KRL69 KSF69 KSZ69 KTT69 KUN69 KVH69 KWB69 KWV69 KXP69 KYJ69 KZD69 KZX69 LAR69 LBL69 LCF69 LCZ69 LDT69 LEN69 LFH69 LGB69 LGV69 LHP69 LIJ69 LJD69 LJX69 LKR69 LLL69 LMF69 LMZ69 LNT69 LON69 LPH69 LQB69 LQV69 LRP69 LSJ69 LTD69 LTX69 LUR69 LVL69 LWF69 LWZ69 LXT69 LYN69 LZH69 MAB69 MAV69 MBP69 MCJ69 MDD69 MDX69 MER69 MFL69 MGF69 MGZ69 MHT69 MIN69 MJH69 MKB69 MKV69 MLP69 MMJ69 MND69 MNX69 MOR69 MPL69 MQF69 MQZ69 MRT69 MSN69 MTH69 MUB69 MUV69 MVP69 MWJ69 MXD69 MXX69 MYR69 MZL69 NAF69 NAZ69 NBT69 NCN69 NDH69 NEB69 NEV69 NFP69 NGJ69 NHD69 NHX69 NIR69 NJL69 NKF69 NKZ69 NLT69 NMN69 NNH69 NOB69 NOV69 NPP69 NQJ69 NRD69 NRX69 NSR69 NTL69 NUF69 NUZ69 NVT69 NWN69 NXH69 NYB69 NYV69 NZP69 OAJ69 OBD69 OBX69 OCR69 ODL69 OEF69 OEZ69 OFT69 OGN69 OHH69 OIB69 OIV69 OJP69 OKJ69 OLD69 OLX69 OMR69 ONL69 OOF69 OOZ69 OPT69 OQN69 ORH69 OSB69 OSV69 OTP69 OUJ69 OVD69 OVX69 OWR69 OXL69 OYF69 OYZ69 OZT69 PAN69 PBH69 PCB69 PCV69 PDP69 PEJ69 PFD69 PFX69 PGR69 PHL69 PIF69 PIZ69 PJT69 PKN69 PLH69 PMB69 PMV69 PNP69 POJ69 PPD69 PPX69 PQR69 PRL69 PSF69 PSZ69 PTT69 PUN69 PVH69 PWB69 PWV69 PXP69 PYJ69 PZD69 PZX69 QAR69 QBL69 QCF69 QCZ69 QDT69 QEN69 QFH69 QGB69 QGV69 QHP69 QIJ69 QJD69 QJX69 QKR69 QLL69 QMF69 QMZ69 QNT69 QON69 QPH69 QQB69 QQV69 QRP69 QSJ69 QTD69 QTX69 QUR69 QVL69 QWF69 QWZ69 QXT69 QYN69 QZH69 RAB69 RAV69 RBP69 RCJ69 RDD69 RDX69 RER69 RFL69 RGF69 RGZ69 RHT69 RIN69 RJH69 RKB69 RKV69 RLP69 RMJ69 RND69 RNX69 ROR69 RPL69 RQF69 RQZ69 RRT69 RSN69 RTH69 RUB69 RUV69 RVP69 RWJ69 RXD69 RXX69 RYR69 RZL69 SAF69 SAZ69 SBT69 SCN69 SDH69 SEB69 SEV69 SFP69 SGJ69 SHD69 SHX69 SIR69 SJL69 SKF69 SKZ69 SLT69 SMN69 SNH69 SOB69 SOV69 SPP69 SQJ69 SRD69 SRX69 SSR69 STL69 SUF69 SUZ69 SVT69 SWN69 SXH69 SYB69 SYV69 SZP69 TAJ69 TBD69 TBX69 TCR69 TDL69 TEF69 TEZ69 TFT69 TGN69 THH69 TIB69 TIV69 TJP69 TKJ69 TLD69 TLX69 TMR69 TNL69 TOF69 TOZ69 TPT69 TQN69 TRH69 TSB69 TSV69 TTP69 TUJ69 TVD69 TVX69 TWR69 TXL69 TYF69 TYZ69 TZT69 UAN69 UBH69 UCB69 UCV69 UDP69 UEJ69 UFD69 UFX69 UGR69 UHL69 UIF69 UIZ69 UJT69 UKN69 ULH69 UMB69 UMV69 UNP69 UOJ69 UPD69 UPX69 UQR69 URL69 USF69 USZ69 UTT69 UUN69 UVH69 UWB69 UWV69 UXP69 UYJ69 UZD69 UZX69 VAR69 VBL69 VCF69 VCZ69 VDT69 VEN69 VFH69 VGB69 VGV69 VHP69 VIJ69 VJD69 VJX69 VKR69 VLL69 VMF69 VMZ69 VNT69 VON69 VPH69 VQB69 VQV69 VRP69 VSJ69 VTD69 VTX69 VUR69 VVL69 VWF69 VWZ69 VXT69 VYN69 VZH69 WAB69 WAV69 WBP69 WCJ69 WDD69 WDX69 WER69 WFL69 WGF69 WGZ69 WHT69 WIN69 WJH69 WKB69 WKV69 WLP69 WMJ69 WND69 WNX69 WOR69 WPL69 WQF69 WQZ69 WRT69 WSN69 WTH69 WUB69 WUV69 WVP69 WWJ69 WXD69 WXX69 WYR69 WZL69 XAF69 XAZ69 XBT69 XCN69 XDH69 XEB69 XEV69">
    <cfRule type="cellIs" dxfId="205" priority="5" operator="lessThan">
      <formula>$N$1</formula>
    </cfRule>
  </conditionalFormatting>
  <conditionalFormatting sqref="AJ86">
    <cfRule type="cellIs" dxfId="204" priority="7" operator="lessThan">
      <formula>$N$1</formula>
    </cfRule>
  </conditionalFormatting>
  <conditionalFormatting sqref="N92">
    <cfRule type="cellIs" dxfId="203" priority="2" operator="lessThan">
      <formula>$N$1</formula>
    </cfRule>
  </conditionalFormatting>
  <conditionalFormatting sqref="AI81:AI83">
    <cfRule type="cellIs" dxfId="202" priority="1" operator="lessThan">
      <formula>$N$1</formula>
    </cfRule>
  </conditionalFormatting>
  <printOptions horizontalCentered="1"/>
  <pageMargins left="0.31496062992125984" right="0.31496062992125984" top="0.39370078740157483" bottom="0.31496062992125984" header="0.31496062992125984" footer="0.31496062992125984"/>
  <pageSetup paperSize="9" scale="57" orientation="landscape" r:id="rId1"/>
  <rowBreaks count="4" manualBreakCount="4">
    <brk id="33" max="20" man="1"/>
    <brk id="42" max="20" man="1"/>
    <brk id="70" max="16383" man="1"/>
    <brk id="119" max="20" man="1"/>
  </rowBreaks>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H28"/>
  <sheetViews>
    <sheetView showGridLines="0" topLeftCell="D1" zoomScale="130" zoomScaleNormal="130" zoomScaleSheetLayoutView="160" workbookViewId="0">
      <selection activeCell="S9" sqref="S9"/>
    </sheetView>
  </sheetViews>
  <sheetFormatPr defaultColWidth="8.7109375" defaultRowHeight="15" x14ac:dyDescent="0.25"/>
  <cols>
    <col min="2" max="2" width="14.85546875" bestFit="1" customWidth="1"/>
    <col min="3" max="3" width="17.85546875" bestFit="1" customWidth="1"/>
    <col min="4" max="4" width="37.7109375" bestFit="1" customWidth="1"/>
    <col min="5" max="5" width="9.28515625" bestFit="1" customWidth="1"/>
    <col min="6" max="6" width="11.42578125" bestFit="1" customWidth="1"/>
    <col min="7" max="7" width="6.42578125" bestFit="1" customWidth="1"/>
    <col min="8" max="8" width="42.42578125" bestFit="1" customWidth="1"/>
    <col min="9" max="9" width="10" bestFit="1" customWidth="1"/>
  </cols>
  <sheetData>
    <row r="1" spans="2:8" ht="15.75" thickBot="1" x14ac:dyDescent="0.3">
      <c r="B1" s="1005" t="str">
        <f>'FIT Summary'!A1</f>
        <v>As of 30 June 2026</v>
      </c>
      <c r="C1" s="1005"/>
      <c r="D1" s="1005"/>
      <c r="E1" s="1"/>
      <c r="F1" s="1"/>
      <c r="G1" s="1"/>
      <c r="H1" s="1"/>
    </row>
    <row r="2" spans="2:8" s="1" customFormat="1" ht="57" thickBot="1" x14ac:dyDescent="0.3">
      <c r="B2" s="955" t="s">
        <v>52</v>
      </c>
      <c r="C2" s="955" t="s">
        <v>54</v>
      </c>
      <c r="D2" s="955" t="s">
        <v>55</v>
      </c>
    </row>
    <row r="3" spans="2:8" ht="21" customHeight="1" x14ac:dyDescent="0.3">
      <c r="B3" s="557" t="s">
        <v>9</v>
      </c>
      <c r="C3" s="591">
        <f>GETPIVOTDATA(" Subscribed FIT Capacity with COC (MW)",$B$23,"RE Resources","SOLAR")</f>
        <v>543.63199999999995</v>
      </c>
      <c r="D3" s="50">
        <f>GETPIVOTDATA("Count of Plants w/ COC",$B$23,"RE Resources","SOLAR")</f>
        <v>24</v>
      </c>
      <c r="E3" s="578"/>
      <c r="F3" s="30"/>
    </row>
    <row r="4" spans="2:8" ht="21" customHeight="1" x14ac:dyDescent="0.3">
      <c r="B4" s="557" t="s">
        <v>10</v>
      </c>
      <c r="C4" s="591">
        <f>GETPIVOTDATA(" Subscribed FIT Capacity with COC (MW)",$B$23,"RE Resources","WIND")</f>
        <v>375.53999999999996</v>
      </c>
      <c r="D4" s="50">
        <f>GETPIVOTDATA("Count of Plants w/ COC",$B$23,"RE Resources","WIND")</f>
        <v>6</v>
      </c>
      <c r="E4" s="578"/>
      <c r="F4" s="30"/>
    </row>
    <row r="5" spans="2:8" ht="21" customHeight="1" x14ac:dyDescent="0.3">
      <c r="B5" s="558" t="s">
        <v>44</v>
      </c>
      <c r="C5" s="591">
        <f>GETPIVOTDATA(" Subscribed FIT Capacity with COC (MW)",$B$23,"RE Resources","BIOMASS")</f>
        <v>239.44499999999999</v>
      </c>
      <c r="D5" s="50">
        <f>GETPIVOTDATA("Count of Plants w/ COC",$B$23,"RE Resources","BIOMASS")</f>
        <v>27</v>
      </c>
      <c r="E5" s="578"/>
      <c r="F5" s="30"/>
    </row>
    <row r="6" spans="2:8" ht="21" customHeight="1" thickBot="1" x14ac:dyDescent="0.35">
      <c r="B6" s="557" t="s">
        <v>56</v>
      </c>
      <c r="C6" s="591">
        <f>GETPIVOTDATA(" Subscribed FIT Capacity with COC (MW)",$B$23,"RE Resources","HYDRO")</f>
        <v>349.87799999999999</v>
      </c>
      <c r="D6" s="50">
        <f>GETPIVOTDATA("Count of Plants w/ COC",$B$23,"RE Resources","HYDRO")</f>
        <v>33</v>
      </c>
      <c r="E6" s="578"/>
      <c r="F6" s="30"/>
    </row>
    <row r="7" spans="2:8" ht="16.149999999999999" customHeight="1" thickBot="1" x14ac:dyDescent="0.35">
      <c r="B7" s="51" t="s">
        <v>203</v>
      </c>
      <c r="C7" s="592">
        <f>SUM(C3:C6)</f>
        <v>1508.4949999999999</v>
      </c>
      <c r="D7" s="54">
        <f>SUM(D3:D6)</f>
        <v>90</v>
      </c>
    </row>
    <row r="8" spans="2:8" ht="16.149999999999999" customHeight="1" x14ac:dyDescent="0.3">
      <c r="B8" s="563"/>
      <c r="C8" s="564"/>
      <c r="D8" s="543"/>
    </row>
    <row r="9" spans="2:8" ht="16.149999999999999" customHeight="1" x14ac:dyDescent="0.3">
      <c r="B9" s="566" t="s">
        <v>834</v>
      </c>
      <c r="C9" s="588">
        <f>SUMIF('FIT Plants'!$U:$U,"No issuance of COC / PAO Yet",'FIT Plants'!$J:$J)</f>
        <v>15.6</v>
      </c>
      <c r="D9" s="646">
        <f>COUNTIF('FIT Plants'!$U:$U,"No issuance of COC / PAO Yet")</f>
        <v>3</v>
      </c>
      <c r="E9" s="567" t="s">
        <v>831</v>
      </c>
      <c r="F9" s="568"/>
    </row>
    <row r="10" spans="2:8" ht="16.149999999999999" customHeight="1" x14ac:dyDescent="0.3">
      <c r="B10" s="569"/>
      <c r="C10" s="589">
        <f>SUMIF('FIT Plants'!$U:$U,"*shutdown*",'FIT Plants'!$H:$H) + SUMIF('FIT Plants'!$U:$U,"*converted*",'FIT Plants'!$H:$H) + SUMIF('FIT Plants'!$U:$U,"*expired PAO-fit*",'FIT Plants'!$H:$H)</f>
        <v>77.900000000000006</v>
      </c>
      <c r="D10" s="573" cm="1">
        <f t="array" ref="D10">COUNTIF('FIT Plants'!$U:$U, "*shutdown*") + COUNTIF('FIT Plants'!$U:$U, "*converted*") - SUMPRODUCT(--(ISNUMBER(SEARCH("shutdown", 'FIT Plants'!$U:$U)) * ISNUMBER(SEARCH("converted", 'FIT Plants'!$U:$U))))+ COUNTIF('FIT Plants'!$U:$U, "*expired PAO-FIT*")</f>
        <v>4</v>
      </c>
      <c r="E10" s="570" t="s">
        <v>832</v>
      </c>
      <c r="F10" s="571"/>
    </row>
    <row r="11" spans="2:8" ht="18.75" x14ac:dyDescent="0.3">
      <c r="B11" s="572"/>
      <c r="C11" s="589">
        <f>SUMIF('FIT Plants'!$U:$U,"with COE only",'FIT Plants'!$J:$J)</f>
        <v>0</v>
      </c>
      <c r="D11" s="573">
        <f>COUNTIF('FIT Plants'!$U:$U,"with COE only")</f>
        <v>0</v>
      </c>
      <c r="E11" s="570" t="s">
        <v>833</v>
      </c>
      <c r="F11" s="571"/>
    </row>
    <row r="12" spans="2:8" ht="18.75" x14ac:dyDescent="0.3">
      <c r="B12" s="572"/>
      <c r="C12" s="668">
        <f>SUMIF('FIT Plants'!$U:$U,"*expired*",'FIT Plants'!$J:$J)</f>
        <v>30.088999999999999</v>
      </c>
      <c r="D12" s="573">
        <f>COUNTIF('FIT Plants'!$U:$U,"*expired*")</f>
        <v>7</v>
      </c>
      <c r="E12" s="570" t="s">
        <v>873</v>
      </c>
      <c r="F12" s="571"/>
    </row>
    <row r="13" spans="2:8" ht="18.75" x14ac:dyDescent="0.3">
      <c r="B13" s="574"/>
      <c r="C13" s="590">
        <f>SUMIF('FIT Plants'!$U:$U,"*active*",'FIT Plants'!$J:$J)</f>
        <v>1478.4059999999995</v>
      </c>
      <c r="D13" s="575">
        <f>COUNTIF('FIT Plants'!$U:$U,"*active*")</f>
        <v>83</v>
      </c>
      <c r="E13" s="576" t="s">
        <v>835</v>
      </c>
      <c r="F13" s="577"/>
    </row>
    <row r="15" spans="2:8" x14ac:dyDescent="0.25">
      <c r="B15" s="579" t="s">
        <v>426</v>
      </c>
      <c r="C15" s="580">
        <f>GETPIVOTDATA(" Subscribed FIT Capacity with COC (MW)",$B$23,"RE Resources","SOLAR")</f>
        <v>543.63199999999995</v>
      </c>
      <c r="D15" s="581">
        <f>C15/SUM($C$15:$C$18)</f>
        <v>0.36038037911958609</v>
      </c>
    </row>
    <row r="16" spans="2:8" x14ac:dyDescent="0.25">
      <c r="B16" s="582" t="s">
        <v>392</v>
      </c>
      <c r="C16" s="583">
        <f>GETPIVOTDATA(" Subscribed FIT Capacity with COC (MW)",$B$23,"RE Resources","WIND")</f>
        <v>375.53999999999996</v>
      </c>
      <c r="D16" s="584">
        <f>C16/SUM($C$15:$C$18)</f>
        <v>0.24895011252937529</v>
      </c>
    </row>
    <row r="17" spans="2:8" x14ac:dyDescent="0.25">
      <c r="B17" s="582" t="s">
        <v>219</v>
      </c>
      <c r="C17" s="583">
        <f>GETPIVOTDATA(" Subscribed FIT Capacity with COC (MW)",$B$23,"RE Resources","BIOMASS")</f>
        <v>239.44499999999999</v>
      </c>
      <c r="D17" s="584">
        <f>C17/SUM($C$15:$C$18)</f>
        <v>0.15873105313574126</v>
      </c>
    </row>
    <row r="18" spans="2:8" x14ac:dyDescent="0.25">
      <c r="B18" s="585" t="s">
        <v>218</v>
      </c>
      <c r="C18" s="586">
        <f>GETPIVOTDATA(" Subscribed FIT Capacity with COC (MW)",$B$23,"RE Resources","HYDRO")</f>
        <v>349.87799999999999</v>
      </c>
      <c r="D18" s="587">
        <f>C18/SUM($C$15:$C$18)</f>
        <v>0.23193845521529738</v>
      </c>
    </row>
    <row r="19" spans="2:8" x14ac:dyDescent="0.25">
      <c r="C19" s="593">
        <f>SUM(C15:C18)</f>
        <v>1508.4949999999999</v>
      </c>
      <c r="D19" s="594">
        <f>SUM(D15:D18)</f>
        <v>1</v>
      </c>
    </row>
    <row r="20" spans="2:8" x14ac:dyDescent="0.25">
      <c r="C20" s="556"/>
      <c r="D20" s="30"/>
    </row>
    <row r="21" spans="2:8" x14ac:dyDescent="0.25">
      <c r="B21" s="559" t="s">
        <v>796</v>
      </c>
      <c r="C21" t="s">
        <v>837</v>
      </c>
    </row>
    <row r="23" spans="2:8" ht="60" x14ac:dyDescent="0.25">
      <c r="B23" s="550" t="s">
        <v>1</v>
      </c>
      <c r="C23" s="483" t="s">
        <v>779</v>
      </c>
      <c r="D23" t="s">
        <v>861</v>
      </c>
      <c r="E23" s="483" t="s">
        <v>780</v>
      </c>
      <c r="F23" s="483" t="s">
        <v>863</v>
      </c>
      <c r="G23" s="483" t="s">
        <v>862</v>
      </c>
      <c r="H23" t="s">
        <v>860</v>
      </c>
    </row>
    <row r="24" spans="2:8" x14ac:dyDescent="0.25">
      <c r="B24" t="s">
        <v>9</v>
      </c>
      <c r="C24" s="486">
        <v>544.12400000000002</v>
      </c>
      <c r="D24" s="562">
        <v>0.32283929411611145</v>
      </c>
      <c r="E24" s="1175">
        <v>24</v>
      </c>
      <c r="F24" s="1175">
        <v>543.63199999999995</v>
      </c>
      <c r="G24" s="1175">
        <v>24</v>
      </c>
      <c r="H24" s="562">
        <v>0.3603803791195862</v>
      </c>
    </row>
    <row r="25" spans="2:8" x14ac:dyDescent="0.25">
      <c r="B25" t="s">
        <v>10</v>
      </c>
      <c r="C25" s="486">
        <v>393.9</v>
      </c>
      <c r="D25" s="562">
        <v>0.23370848915382578</v>
      </c>
      <c r="E25" s="1175">
        <v>6</v>
      </c>
      <c r="F25" s="1175">
        <v>375.53999999999996</v>
      </c>
      <c r="G25" s="1175">
        <v>6</v>
      </c>
      <c r="H25" s="562">
        <v>0.24895011252937538</v>
      </c>
    </row>
    <row r="26" spans="2:8" x14ac:dyDescent="0.25">
      <c r="B26" t="s">
        <v>44</v>
      </c>
      <c r="C26" s="486">
        <v>396.74099999999999</v>
      </c>
      <c r="D26" s="562">
        <v>0.2353941094069002</v>
      </c>
      <c r="E26" s="1175">
        <v>27</v>
      </c>
      <c r="F26" s="1175">
        <v>239.44499999999999</v>
      </c>
      <c r="G26" s="1175">
        <v>27</v>
      </c>
      <c r="H26" s="562">
        <v>0.15873105313574132</v>
      </c>
    </row>
    <row r="27" spans="2:8" x14ac:dyDescent="0.25">
      <c r="B27" t="s">
        <v>6</v>
      </c>
      <c r="C27" s="486">
        <v>350.66799999999995</v>
      </c>
      <c r="D27" s="562">
        <v>0.20805810732316266</v>
      </c>
      <c r="E27" s="1175">
        <v>33</v>
      </c>
      <c r="F27" s="1175">
        <v>349.87799999999999</v>
      </c>
      <c r="G27" s="1175">
        <v>33</v>
      </c>
      <c r="H27" s="562">
        <v>0.23193845521529743</v>
      </c>
    </row>
    <row r="28" spans="2:8" x14ac:dyDescent="0.25">
      <c r="B28" t="s">
        <v>204</v>
      </c>
      <c r="C28" s="486">
        <v>1685.4329999999998</v>
      </c>
      <c r="D28" s="562">
        <v>1</v>
      </c>
      <c r="E28" s="1175">
        <v>90</v>
      </c>
      <c r="F28" s="669">
        <v>1508.4949999999994</v>
      </c>
      <c r="G28" s="1175">
        <v>90</v>
      </c>
      <c r="H28" s="562">
        <v>1</v>
      </c>
    </row>
  </sheetData>
  <mergeCells count="1">
    <mergeCell ref="B1:D1"/>
  </mergeCells>
  <printOptions horizontalCentered="1" verticalCentered="1"/>
  <pageMargins left="0" right="0" top="0" bottom="0" header="0.3" footer="0.3"/>
  <pageSetup paperSize="9" scale="170" orientation="landscape"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D2B5A-DF6F-4ABC-8DC1-501FA89E7976}">
  <sheetPr codeName="Sheet18"/>
  <dimension ref="A1"/>
  <sheetViews>
    <sheetView workbookViewId="0">
      <selection activeCell="C22" sqref="C22"/>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3"/>
  <sheetViews>
    <sheetView showGridLines="0" topLeftCell="A2" zoomScaleNormal="100" zoomScaleSheetLayoutView="100" workbookViewId="0">
      <selection activeCell="V10" sqref="V10"/>
    </sheetView>
  </sheetViews>
  <sheetFormatPr defaultColWidth="8.7109375" defaultRowHeight="15" x14ac:dyDescent="0.25"/>
  <cols>
    <col min="1" max="1" width="21" customWidth="1"/>
    <col min="2" max="2" width="19.42578125" customWidth="1"/>
    <col min="3" max="3" width="36.28515625" customWidth="1"/>
    <col min="4" max="4" width="19" customWidth="1"/>
    <col min="5" max="5" width="10.7109375" hidden="1" customWidth="1"/>
    <col min="16" max="16" width="23" customWidth="1"/>
  </cols>
  <sheetData>
    <row r="1" spans="1:17" ht="15.75" thickBot="1" x14ac:dyDescent="0.3">
      <c r="A1" s="1060" t="str">
        <f>'FIT Summary'!A1</f>
        <v>As of 30 June 2026</v>
      </c>
      <c r="B1" s="1060"/>
      <c r="C1" s="1060"/>
      <c r="D1" s="1060"/>
      <c r="E1" s="310"/>
    </row>
    <row r="2" spans="1:17" s="1" customFormat="1" ht="54" customHeight="1" thickBot="1" x14ac:dyDescent="0.3">
      <c r="A2" s="398" t="s">
        <v>59</v>
      </c>
      <c r="B2" s="398" t="s">
        <v>52</v>
      </c>
      <c r="C2" s="398" t="s">
        <v>54</v>
      </c>
      <c r="D2" s="398" t="s">
        <v>55</v>
      </c>
      <c r="E2" s="49" t="s">
        <v>55</v>
      </c>
    </row>
    <row r="3" spans="1:17" ht="24" thickBot="1" x14ac:dyDescent="0.4">
      <c r="A3" s="1065" t="s">
        <v>60</v>
      </c>
      <c r="B3" s="399" t="s">
        <v>9</v>
      </c>
      <c r="C3" s="400">
        <f>GETPIVOTDATA(" Subscribed FIT Capacity as per COE (MW)",FIT.pvt!$B$37,"Island","Luzon","RE Resources","SOLAR")</f>
        <v>242.43099999999995</v>
      </c>
      <c r="D3" s="401">
        <f>GETPIVOTDATA("Count of Plants w/ COC",FIT.pvt!$B$37,"Island","Luzon","RE Resources","SOLAR")</f>
        <v>15</v>
      </c>
      <c r="E3" s="47">
        <v>15</v>
      </c>
      <c r="P3" s="46" t="s">
        <v>9</v>
      </c>
      <c r="Q3" s="475">
        <f>C3/C$7</f>
        <v>0.27805674201377256</v>
      </c>
    </row>
    <row r="4" spans="1:17" ht="24" thickBot="1" x14ac:dyDescent="0.4">
      <c r="A4" s="1065"/>
      <c r="B4" s="402" t="s">
        <v>10</v>
      </c>
      <c r="C4" s="400">
        <f>GETPIVOTDATA(" Subscribed FIT Capacity as per COE (MW)",FIT.pvt!$B$37,"Island","Luzon","RE Resources","WIND")</f>
        <v>288.53999999999996</v>
      </c>
      <c r="D4" s="401">
        <f>GETPIVOTDATA("Count of Plants w/ COC",FIT.pvt!$B$37,"Island","Luzon","RE Resources","WIND")</f>
        <v>4</v>
      </c>
      <c r="E4" s="47">
        <v>5</v>
      </c>
      <c r="P4" s="118" t="s">
        <v>10</v>
      </c>
      <c r="Q4" s="476">
        <f>C4/C$7</f>
        <v>0.3309415559093265</v>
      </c>
    </row>
    <row r="5" spans="1:17" ht="24" thickBot="1" x14ac:dyDescent="0.4">
      <c r="A5" s="1065"/>
      <c r="B5" s="402" t="s">
        <v>44</v>
      </c>
      <c r="C5" s="400">
        <f>GETPIVOTDATA(" Subscribed FIT Capacity as per COE (MW)",FIT.pvt!$B$37,"Island","Luzon","RE Resources","BIOMASS")</f>
        <v>121.37500000000001</v>
      </c>
      <c r="D5" s="401">
        <f>GETPIVOTDATA("Count of Plants w/ COC",FIT.pvt!$B$37,"Island","Luzon","RE Resources","BIOMASS")</f>
        <v>15</v>
      </c>
      <c r="E5" s="47">
        <v>18</v>
      </c>
      <c r="P5" s="118" t="s">
        <v>44</v>
      </c>
      <c r="Q5" s="476">
        <f>C5/C$7</f>
        <v>0.13921130986516433</v>
      </c>
    </row>
    <row r="6" spans="1:17" ht="24" thickBot="1" x14ac:dyDescent="0.4">
      <c r="A6" s="1065"/>
      <c r="B6" s="402" t="s">
        <v>6</v>
      </c>
      <c r="C6" s="400">
        <f>GETPIVOTDATA(" Subscribed FIT Capacity as per COE (MW)",FIT.pvt!$B$37,"Island","Luzon","RE Resources","HYDRO")</f>
        <v>219.53000000000003</v>
      </c>
      <c r="D6" s="401">
        <f>GETPIVOTDATA("Count of Plants w/ COC",FIT.pvt!$B$37,"Island","Luzon","RE Resources","HYDRO")</f>
        <v>23</v>
      </c>
      <c r="E6" s="47">
        <v>10</v>
      </c>
      <c r="P6" s="477" t="s">
        <v>758</v>
      </c>
      <c r="Q6" s="478">
        <f>C6/C$7</f>
        <v>0.25179039221173655</v>
      </c>
    </row>
    <row r="7" spans="1:17" ht="24" thickBot="1" x14ac:dyDescent="0.4">
      <c r="A7" s="1065"/>
      <c r="B7" s="403" t="s">
        <v>203</v>
      </c>
      <c r="C7" s="404">
        <f>SUM(C3:C6)</f>
        <v>871.87599999999998</v>
      </c>
      <c r="D7" s="405">
        <f>SUM(D3:D6)</f>
        <v>57</v>
      </c>
      <c r="E7" s="48">
        <f>SUM(E3:E6)</f>
        <v>48</v>
      </c>
    </row>
    <row r="8" spans="1:17" ht="24" thickBot="1" x14ac:dyDescent="0.4">
      <c r="A8" s="1065" t="s">
        <v>61</v>
      </c>
      <c r="B8" s="399" t="s">
        <v>9</v>
      </c>
      <c r="C8" s="400">
        <f>GETPIVOTDATA(" Subscribed FIT Capacity as per COE (MW)",FIT.pvt!$B$37,"Island","Visayas","RE Resources","SOLAR")</f>
        <v>284.48099999999999</v>
      </c>
      <c r="D8" s="401">
        <f>GETPIVOTDATA("Count of Plants w/ COC",FIT.pvt!$B$37,"Island","Visayas","RE Resources","SOLAR")</f>
        <v>7</v>
      </c>
      <c r="E8" s="47">
        <v>6</v>
      </c>
      <c r="P8" s="46" t="s">
        <v>9</v>
      </c>
      <c r="Q8" s="475">
        <f>C8/C$12</f>
        <v>0.58046566862072557</v>
      </c>
    </row>
    <row r="9" spans="1:17" ht="24" thickBot="1" x14ac:dyDescent="0.4">
      <c r="A9" s="1065"/>
      <c r="B9" s="402" t="s">
        <v>10</v>
      </c>
      <c r="C9" s="400">
        <f>GETPIVOTDATA(" Subscribed FIT Capacity as per COE (MW)",FIT.pvt!$B$37,"Island","Visayas","RE Resources","WIND")</f>
        <v>87</v>
      </c>
      <c r="D9" s="401">
        <f>GETPIVOTDATA("Count of Plants w/ COC",FIT.pvt!$B$37,"Island","Visayas","RE Resources","WIND")</f>
        <v>2</v>
      </c>
      <c r="E9" s="47">
        <v>2</v>
      </c>
      <c r="P9" s="118" t="s">
        <v>10</v>
      </c>
      <c r="Q9" s="476">
        <f>C9/C$12</f>
        <v>0.17751805276979174</v>
      </c>
    </row>
    <row r="10" spans="1:17" ht="24" thickBot="1" x14ac:dyDescent="0.4">
      <c r="A10" s="1065"/>
      <c r="B10" s="402" t="s">
        <v>44</v>
      </c>
      <c r="C10" s="400">
        <f>GETPIVOTDATA(" Subscribed FIT Capacity as per COE (MW)",FIT.pvt!$B$37,"Island","Visayas","RE Resources","BIOMASS")</f>
        <v>94.15</v>
      </c>
      <c r="D10" s="401">
        <f>GETPIVOTDATA("Count of Plants w/ COC",FIT.pvt!$B$37,"Island","Visayas","RE Resources","BIOMASS")</f>
        <v>8</v>
      </c>
      <c r="E10" s="47">
        <v>5</v>
      </c>
      <c r="P10" s="118" t="s">
        <v>44</v>
      </c>
      <c r="Q10" s="476">
        <f>C10/C$12</f>
        <v>0.19210718009512523</v>
      </c>
    </row>
    <row r="11" spans="1:17" ht="24" thickBot="1" x14ac:dyDescent="0.4">
      <c r="A11" s="1065"/>
      <c r="B11" s="402" t="s">
        <v>6</v>
      </c>
      <c r="C11" s="400">
        <f>GETPIVOTDATA(" Subscribed FIT Capacity as per COE (MW)",FIT.pvt!$B$37,"Island","Visayas","RE Resources","HYDRO")</f>
        <v>24.459999999999997</v>
      </c>
      <c r="D11" s="401">
        <f>GETPIVOTDATA("Count of Plants w/ COC",FIT.pvt!$B$37,"Island","Visayas","RE Resources","HYDRO")</f>
        <v>3</v>
      </c>
      <c r="E11" s="47">
        <v>2</v>
      </c>
      <c r="P11" s="477" t="s">
        <v>758</v>
      </c>
      <c r="Q11" s="478">
        <f>C11/C$12</f>
        <v>4.9909098514357535E-2</v>
      </c>
    </row>
    <row r="12" spans="1:17" ht="24" thickBot="1" x14ac:dyDescent="0.4">
      <c r="A12" s="1065"/>
      <c r="B12" s="403" t="s">
        <v>203</v>
      </c>
      <c r="C12" s="652">
        <f>SUM(C8:C11)</f>
        <v>490.09099999999995</v>
      </c>
      <c r="D12" s="405">
        <f>SUM(D8:D11)</f>
        <v>20</v>
      </c>
      <c r="E12" s="48">
        <f>SUM(E8:E11)</f>
        <v>15</v>
      </c>
    </row>
    <row r="13" spans="1:17" ht="24" thickBot="1" x14ac:dyDescent="0.4">
      <c r="A13" s="1065" t="s">
        <v>62</v>
      </c>
      <c r="B13" s="399" t="s">
        <v>9</v>
      </c>
      <c r="C13" s="400">
        <f>GETPIVOTDATA(" Subscribed FIT Capacity as per COE (MW)",FIT.pvt!$B$37,"Island","Mindanao","RE Resources","SOLAR")</f>
        <v>16.72</v>
      </c>
      <c r="D13" s="401">
        <f>GETPIVOTDATA("Count of Plants w/ COC",FIT.pvt!$B$37,"Island","Mindanao","RE Resources","SOLAR")</f>
        <v>2</v>
      </c>
      <c r="E13" s="47">
        <v>2</v>
      </c>
      <c r="P13" s="46" t="s">
        <v>9</v>
      </c>
      <c r="Q13" s="475">
        <f>C13/C$17</f>
        <v>0.11410788381742737</v>
      </c>
    </row>
    <row r="14" spans="1:17" ht="24" thickBot="1" x14ac:dyDescent="0.4">
      <c r="A14" s="1065"/>
      <c r="B14" s="402" t="s">
        <v>10</v>
      </c>
      <c r="C14" s="400">
        <f>SUMIFS('FIT Plants'!$J:$J,'FIT Plants'!$A:$A,"Mindanao",'FIT Plants'!$B:$B,'Per Island'!$B14)</f>
        <v>0</v>
      </c>
      <c r="D14" s="401">
        <f>COUNTIFS('FIT Plants'!$A:$A,"Mindanao",'FIT Plants'!$B:$B,'Per Island'!$B14,'FIT Plants'!$Q:$Q,"&lt;&gt;")</f>
        <v>0</v>
      </c>
      <c r="E14" s="47">
        <v>0</v>
      </c>
      <c r="P14" s="118" t="s">
        <v>10</v>
      </c>
      <c r="Q14" s="476">
        <f>C14/C$17</f>
        <v>0</v>
      </c>
    </row>
    <row r="15" spans="1:17" ht="24" thickBot="1" x14ac:dyDescent="0.4">
      <c r="A15" s="1065"/>
      <c r="B15" s="402" t="s">
        <v>44</v>
      </c>
      <c r="C15" s="400">
        <f>GETPIVOTDATA(" Subscribed FIT Capacity as per COE (MW)",FIT.pvt!$B$37,"Island","Mindanao","RE Resources","BIOMASS")</f>
        <v>23.92</v>
      </c>
      <c r="D15" s="401">
        <f>GETPIVOTDATA("Count of Plants w/ COC",FIT.pvt!$B$37,"Island","Mindanao","RE Resources","BIOMASS")</f>
        <v>4</v>
      </c>
      <c r="E15" s="47">
        <v>3</v>
      </c>
      <c r="P15" s="118" t="s">
        <v>44</v>
      </c>
      <c r="Q15" s="476">
        <f>C15/C$17</f>
        <v>0.16324525005459706</v>
      </c>
    </row>
    <row r="16" spans="1:17" ht="24" thickBot="1" x14ac:dyDescent="0.4">
      <c r="A16" s="1065"/>
      <c r="B16" s="406" t="s">
        <v>6</v>
      </c>
      <c r="C16" s="400">
        <f>GETPIVOTDATA(" Subscribed FIT Capacity as per COE (MW)",FIT.pvt!$B$37,"Island","Mindanao","RE Resources","HYDRO")</f>
        <v>105.88800000000001</v>
      </c>
      <c r="D16" s="401">
        <f>GETPIVOTDATA("Count of Plants w/ COC",FIT.pvt!$B$37,"Island","Mindanao","RE Resources","HYDRO")</f>
        <v>7</v>
      </c>
      <c r="E16" s="47">
        <v>4</v>
      </c>
      <c r="P16" s="477" t="s">
        <v>758</v>
      </c>
      <c r="Q16" s="478">
        <f>C16/C$17</f>
        <v>0.72264686612797546</v>
      </c>
    </row>
    <row r="17" spans="1:13" ht="24" thickBot="1" x14ac:dyDescent="0.4">
      <c r="A17" s="1065"/>
      <c r="B17" s="407" t="s">
        <v>203</v>
      </c>
      <c r="C17" s="404">
        <f>SUM(C13:C16)</f>
        <v>146.52800000000002</v>
      </c>
      <c r="D17" s="405">
        <f>SUM(D13:D16)</f>
        <v>13</v>
      </c>
      <c r="E17" s="48">
        <f>SUM(E13:E16)</f>
        <v>9</v>
      </c>
    </row>
    <row r="18" spans="1:13" x14ac:dyDescent="0.25">
      <c r="A18" s="1061" t="s">
        <v>204</v>
      </c>
      <c r="B18" s="1061"/>
      <c r="C18" s="1062">
        <f>SUM(C17,C12,C7)</f>
        <v>1508.4949999999999</v>
      </c>
      <c r="D18" s="1066">
        <f>SUM(D17,D12,D7)</f>
        <v>90</v>
      </c>
      <c r="E18" s="1063">
        <f>SUM(E17,E12,E7)</f>
        <v>72</v>
      </c>
    </row>
    <row r="19" spans="1:13" ht="15.75" thickBot="1" x14ac:dyDescent="0.3">
      <c r="A19" s="1061"/>
      <c r="B19" s="1061"/>
      <c r="C19" s="1062"/>
      <c r="D19" s="1066"/>
      <c r="E19" s="1064"/>
    </row>
    <row r="20" spans="1:13" x14ac:dyDescent="0.25">
      <c r="C20" s="658">
        <f>C18-GETPIVOTDATA(" Subscribed FIT Capacity as per COE (MW)",FIT.pvt!$B$6)</f>
        <v>0</v>
      </c>
      <c r="D20" s="658">
        <f>D18-GETPIVOTDATA("Count of Plants w/ COC",FIT.pvt!$B$6)</f>
        <v>0</v>
      </c>
      <c r="E20" s="30"/>
      <c r="I20" s="30"/>
      <c r="M20" s="30"/>
    </row>
    <row r="21" spans="1:13" x14ac:dyDescent="0.25">
      <c r="E21" s="30"/>
      <c r="I21" s="30"/>
      <c r="M21" s="30"/>
    </row>
    <row r="22" spans="1:13" x14ac:dyDescent="0.25">
      <c r="C22" s="35"/>
      <c r="D22" s="35"/>
      <c r="E22" s="30"/>
      <c r="I22" s="30"/>
      <c r="M22" s="30"/>
    </row>
    <row r="23" spans="1:13" x14ac:dyDescent="0.25">
      <c r="C23" s="35"/>
      <c r="D23" s="35"/>
      <c r="E23" s="30"/>
      <c r="I23" s="30"/>
      <c r="M23" s="30"/>
    </row>
    <row r="24" spans="1:13" x14ac:dyDescent="0.25">
      <c r="C24" s="35"/>
      <c r="D24" s="35"/>
      <c r="E24" s="30"/>
      <c r="I24" s="30"/>
      <c r="M24" s="30"/>
    </row>
    <row r="25" spans="1:13" x14ac:dyDescent="0.25">
      <c r="C25" s="35"/>
      <c r="D25" s="35"/>
      <c r="E25" s="30"/>
      <c r="I25" s="30"/>
      <c r="M25" s="30"/>
    </row>
    <row r="26" spans="1:13" x14ac:dyDescent="0.25">
      <c r="C26" s="35"/>
      <c r="D26" s="35"/>
      <c r="E26" s="30"/>
      <c r="I26" s="30"/>
      <c r="M26" s="30"/>
    </row>
    <row r="27" spans="1:13" x14ac:dyDescent="0.25">
      <c r="C27" s="35"/>
      <c r="D27" s="35"/>
      <c r="E27" s="30"/>
      <c r="I27" s="30"/>
      <c r="M27" s="30"/>
    </row>
    <row r="28" spans="1:13" x14ac:dyDescent="0.25">
      <c r="C28" s="35"/>
      <c r="D28" s="35"/>
      <c r="E28" s="556"/>
      <c r="I28" s="30"/>
      <c r="M28" s="30"/>
    </row>
    <row r="29" spans="1:13" x14ac:dyDescent="0.25">
      <c r="B29" s="479"/>
      <c r="C29" s="35"/>
      <c r="D29" s="35"/>
      <c r="E29" s="434"/>
      <c r="G29" s="480"/>
      <c r="I29" s="434"/>
      <c r="M29" s="30"/>
    </row>
    <row r="30" spans="1:13" ht="15.75" thickBot="1" x14ac:dyDescent="0.3">
      <c r="C30" s="35"/>
      <c r="D30" s="117"/>
      <c r="E30" s="434"/>
      <c r="F30" s="434"/>
      <c r="G30" s="481"/>
      <c r="I30" s="434"/>
      <c r="M30" s="30"/>
    </row>
    <row r="31" spans="1:13" x14ac:dyDescent="0.25">
      <c r="C31" s="35"/>
      <c r="D31" s="117"/>
      <c r="E31" s="434"/>
      <c r="F31" s="434"/>
      <c r="G31" s="481"/>
      <c r="I31" s="469" t="s">
        <v>7</v>
      </c>
      <c r="J31" s="470">
        <f>C7/C18</f>
        <v>0.57797738805895948</v>
      </c>
      <c r="M31" s="30"/>
    </row>
    <row r="32" spans="1:13" x14ac:dyDescent="0.25">
      <c r="C32" s="35"/>
      <c r="D32" s="117"/>
      <c r="E32" s="434"/>
      <c r="F32" s="434"/>
      <c r="G32" s="481"/>
      <c r="I32" s="471" t="s">
        <v>32</v>
      </c>
      <c r="J32" s="472">
        <f>C12/C18</f>
        <v>0.32488738776064885</v>
      </c>
      <c r="M32" s="30"/>
    </row>
    <row r="33" spans="9:10" ht="15.75" thickBot="1" x14ac:dyDescent="0.3">
      <c r="I33" s="473" t="s">
        <v>8</v>
      </c>
      <c r="J33" s="474">
        <f>C17/C18</f>
        <v>9.7135224180391735E-2</v>
      </c>
    </row>
  </sheetData>
  <mergeCells count="8">
    <mergeCell ref="A1:D1"/>
    <mergeCell ref="A18:B19"/>
    <mergeCell ref="C18:C19"/>
    <mergeCell ref="E18:E19"/>
    <mergeCell ref="A3:A7"/>
    <mergeCell ref="A8:A12"/>
    <mergeCell ref="A13:A17"/>
    <mergeCell ref="D18:D19"/>
  </mergeCells>
  <printOptions horizontalCentered="1" verticalCentered="1"/>
  <pageMargins left="0" right="0" top="0" bottom="0" header="0.3" footer="0.3"/>
  <pageSetup paperSize="9" scale="9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7B68A-7A4A-4BC8-A8BB-88258D8E5852}">
  <sheetPr codeName="Sheet19">
    <tabColor theme="3" tint="0.39997558519241921"/>
  </sheetPr>
  <dimension ref="A1:I81"/>
  <sheetViews>
    <sheetView topLeftCell="A26" zoomScale="115" zoomScaleNormal="115" workbookViewId="0">
      <selection activeCell="Y2" sqref="Y2"/>
    </sheetView>
  </sheetViews>
  <sheetFormatPr defaultRowHeight="15" x14ac:dyDescent="0.25"/>
  <cols>
    <col min="1" max="1" width="78.28515625" customWidth="1"/>
    <col min="2" max="3" width="11.7109375" customWidth="1"/>
    <col min="4" max="4" width="11.28515625" customWidth="1"/>
    <col min="5" max="5" width="13.140625" customWidth="1"/>
    <col min="6" max="8" width="14.140625" customWidth="1"/>
    <col min="9" max="9" width="14.140625" style="565" customWidth="1"/>
  </cols>
  <sheetData>
    <row r="1" spans="1:9" ht="15.75" thickBot="1" x14ac:dyDescent="0.3">
      <c r="A1" s="1005" t="s">
        <v>1406</v>
      </c>
      <c r="B1" s="1005"/>
      <c r="C1" s="1005"/>
      <c r="D1" s="1005"/>
      <c r="E1" s="1005"/>
      <c r="F1" s="1005"/>
      <c r="G1" s="1005"/>
      <c r="H1" s="1005"/>
      <c r="I1" s="1005"/>
    </row>
    <row r="2" spans="1:9" ht="75.75" customHeight="1" thickBot="1" x14ac:dyDescent="0.3">
      <c r="A2" s="761" t="s">
        <v>193</v>
      </c>
      <c r="B2" s="762" t="s">
        <v>52</v>
      </c>
      <c r="C2" s="763" t="s">
        <v>48</v>
      </c>
      <c r="D2" s="763" t="s">
        <v>53</v>
      </c>
      <c r="E2" s="764" t="s">
        <v>57</v>
      </c>
      <c r="F2" s="761" t="s">
        <v>54</v>
      </c>
      <c r="G2" s="765" t="s">
        <v>55</v>
      </c>
      <c r="H2" s="761" t="s">
        <v>354</v>
      </c>
      <c r="I2" s="761" t="s">
        <v>55</v>
      </c>
    </row>
    <row r="3" spans="1:9" x14ac:dyDescent="0.25">
      <c r="A3" s="633"/>
      <c r="B3" s="1031" t="s">
        <v>9</v>
      </c>
      <c r="C3" s="609" t="s">
        <v>49</v>
      </c>
      <c r="D3" s="610">
        <v>9.68</v>
      </c>
      <c r="E3" s="611">
        <v>50</v>
      </c>
      <c r="F3" s="697">
        <f>GETPIVOTDATA(" Subscribed FIT Capacity as per COE (MW)",FIT.pvt!$B$6,"RE Resources","SOLAR","FIT","FIT I","Original FIT Rate",9.68)</f>
        <v>67.599999999999994</v>
      </c>
      <c r="G3" s="62">
        <f>GETPIVOTDATA("Count of Plants w/ COC",FIT.pvt!$B$6,"RE Resources","SOLAR","FIT","FIT I","Original FIT Rate",9.68)</f>
        <v>6</v>
      </c>
      <c r="H3" s="697">
        <f>GETPIVOTDATA(" Subscribed FIT Capacity as per COE (MW)",FIT.pvt!$K$6,"RE Resources","SOLAR","FIT","FIT I","Original FIT Rate",9.68)</f>
        <v>67.599999999999994</v>
      </c>
      <c r="I3" s="698">
        <f>GETPIVOTDATA("Count of Plants w/ COE",FIT.pvt!$K$6,"RE Resources","SOLAR","FIT","FIT I","Original FIT Rate",9.68)</f>
        <v>6</v>
      </c>
    </row>
    <row r="4" spans="1:9" ht="15.75" thickBot="1" x14ac:dyDescent="0.3">
      <c r="A4" s="634"/>
      <c r="B4" s="1033"/>
      <c r="C4" s="613" t="s">
        <v>50</v>
      </c>
      <c r="D4" s="614">
        <v>8.69</v>
      </c>
      <c r="E4" s="615">
        <v>450</v>
      </c>
      <c r="F4" s="699">
        <f>GETPIVOTDATA(" Subscribed FIT Capacity as per COE (MW)",FIT.pvt!$B$6,"RE Resources","SOLAR","FIT","FIT II","Original FIT Rate",8.69)</f>
        <v>476.03200000000004</v>
      </c>
      <c r="G4" s="700">
        <f>GETPIVOTDATA("Count of Plants w/ COC",FIT.pvt!$B$6,"RE Resources","SOLAR","FIT","FIT II","Original FIT Rate",8.69)</f>
        <v>18</v>
      </c>
      <c r="H4" s="701">
        <f>GETPIVOTDATA(" Subscribed FIT Capacity as per COE (MW)",FIT.pvt!$K$6,"RE Resources","SOLAR","FIT","FIT II","Original FIT Rate",8.69)</f>
        <v>476.03200000000004</v>
      </c>
      <c r="I4" s="702">
        <f>GETPIVOTDATA("Count of Plants w/ COE",FIT.pvt!$K$6,"RE Resources","SOLAR","FIT","FIT II","Original FIT Rate",8.69)</f>
        <v>18</v>
      </c>
    </row>
    <row r="5" spans="1:9" x14ac:dyDescent="0.25">
      <c r="A5" s="633"/>
      <c r="B5" s="1038" t="s">
        <v>10</v>
      </c>
      <c r="C5" s="616" t="s">
        <v>49</v>
      </c>
      <c r="D5" s="617">
        <v>8.5299999999999994</v>
      </c>
      <c r="E5" s="618">
        <v>200</v>
      </c>
      <c r="F5" s="703">
        <f>GETPIVOTDATA(" Subscribed FIT Capacity as per COE (MW)",FIT.pvt!$B$6,"RE Resources","WIND","FIT","FIT I","Original FIT Rate",8.53)</f>
        <v>234.54</v>
      </c>
      <c r="G5" s="704">
        <f>GETPIVOTDATA("Count of Plants w/ COC",FIT.pvt!$B$6,"RE Resources","WIND","FIT","FIT I","Original FIT Rate",8.53)</f>
        <v>3</v>
      </c>
      <c r="H5" s="703">
        <f>GETPIVOTDATA("Sum of Installed Capacity as per COE (MW) ",FIT.pvt!$K$6,"RE Resources","WIND","FIT","FIT I","Original FIT Rate",8.53)</f>
        <v>249.9</v>
      </c>
      <c r="I5" s="705">
        <f>GETPIVOTDATA("Count of Plants w/ COE",FIT.pvt!$K$6,"RE Resources","WIND","FIT","FIT I","Original FIT Rate",8.53)</f>
        <v>3</v>
      </c>
    </row>
    <row r="6" spans="1:9" x14ac:dyDescent="0.25">
      <c r="A6" s="635"/>
      <c r="B6" s="1032"/>
      <c r="C6" s="1040" t="s">
        <v>50</v>
      </c>
      <c r="D6" s="1041">
        <v>7.4</v>
      </c>
      <c r="E6" s="1042">
        <v>200</v>
      </c>
      <c r="F6" s="1044">
        <f>GETPIVOTDATA(" Subscribed FIT Capacity as per COE (MW)",FIT.pvt!$B$6,"RE Resources","WIND","FIT","FIT II","Original FIT Rate",7.4)</f>
        <v>141</v>
      </c>
      <c r="G6" s="1045">
        <f>GETPIVOTDATA("Count of Plants w/ COC",FIT.pvt!$B$6,"RE Resources","WIND","FIT","FIT II","Original FIT Rate",7.4)</f>
        <v>3</v>
      </c>
      <c r="H6" s="1044">
        <f>GETPIVOTDATA("Sum of Installed Capacity as per COE (MW) ",FIT.pvt!$K$6,"RE Resources","WIND","FIT","FIT II","Original FIT Rate",7.4)</f>
        <v>144</v>
      </c>
      <c r="I6" s="1046">
        <f>GETPIVOTDATA("Count of Plants w/ COE",FIT.pvt!$K$6,"RE Resources","WIND","FIT","FIT II","Original FIT Rate",7.4)</f>
        <v>3</v>
      </c>
    </row>
    <row r="7" spans="1:9" ht="15.75" thickBot="1" x14ac:dyDescent="0.3">
      <c r="A7" s="636"/>
      <c r="B7" s="1032"/>
      <c r="C7" s="1040"/>
      <c r="D7" s="1041"/>
      <c r="E7" s="1043"/>
      <c r="F7" s="1044"/>
      <c r="G7" s="1045"/>
      <c r="H7" s="1044"/>
      <c r="I7" s="1046"/>
    </row>
    <row r="8" spans="1:9" ht="15.75" thickBot="1" x14ac:dyDescent="0.3">
      <c r="A8" s="641"/>
      <c r="B8" s="1039"/>
      <c r="C8" s="613" t="s">
        <v>138</v>
      </c>
      <c r="D8" s="620">
        <v>5.96</v>
      </c>
      <c r="E8" s="621" t="s">
        <v>189</v>
      </c>
      <c r="F8" s="707">
        <v>0</v>
      </c>
      <c r="G8" s="708">
        <v>0</v>
      </c>
      <c r="H8" s="709">
        <v>0</v>
      </c>
      <c r="I8" s="710">
        <v>0</v>
      </c>
    </row>
    <row r="9" spans="1:9" x14ac:dyDescent="0.25">
      <c r="A9" s="633"/>
      <c r="B9" s="1031" t="s">
        <v>44</v>
      </c>
      <c r="C9" s="616" t="s">
        <v>49</v>
      </c>
      <c r="D9" s="617">
        <v>6.63</v>
      </c>
      <c r="E9" s="1034">
        <v>250</v>
      </c>
      <c r="F9" s="697">
        <f>GETPIVOTDATA(" Subscribed FIT Capacity as per COE (MW)",FIT.pvt!$B$6,"RE Resources","BIOMASS","FIT","FIT I","Original FIT Rate",6.63)</f>
        <v>117.351</v>
      </c>
      <c r="G9" s="62">
        <f>GETPIVOTDATA("Count of Plants w/ COC",FIT.pvt!$B$6,"RE Resources","BIOMASS","FIT","FIT I","Original FIT Rate",6.63)</f>
        <v>12</v>
      </c>
      <c r="H9" s="697">
        <f>GETPIVOTDATA(" Subscribed FIT Capacity as per COE (MW)",FIT.pvt!$K$6,"RE Resources","BIOMASS","FIT","FIT I","Original FIT Rate",6.63)</f>
        <v>117.351</v>
      </c>
      <c r="I9" s="705">
        <f>GETPIVOTDATA("Count of Plants w/ COE",FIT.pvt!$K$6,"RE Resources","BIOMASS","FIT","FIT I","Original FIT Rate",6.63)</f>
        <v>12</v>
      </c>
    </row>
    <row r="10" spans="1:9" x14ac:dyDescent="0.25">
      <c r="A10" s="637"/>
      <c r="B10" s="1032"/>
      <c r="C10" s="619" t="s">
        <v>51</v>
      </c>
      <c r="D10" s="552">
        <v>6.5968999999999998</v>
      </c>
      <c r="E10" s="1035"/>
      <c r="F10" s="711">
        <f>GETPIVOTDATA(" Subscribed FIT Capacity as per COE (MW)",FIT.pvt!$B$6,"RE Resources","BIOMASS","FIT","Degressed","Original FIT Rate",6.5969)</f>
        <v>18.064</v>
      </c>
      <c r="G10" s="2">
        <f>GETPIVOTDATA("Count of Plants w/ COC",FIT.pvt!$B$6,"RE Resources","BIOMASS","FIT","Degressed","Original FIT Rate",6.5969)</f>
        <v>5</v>
      </c>
      <c r="H10" s="711">
        <f>GETPIVOTDATA(" Subscribed FIT Capacity as per COE (MW)",FIT.pvt!$K$6,"RE Resources","BIOMASS","FIT","Degressed","Original FIT Rate",6.5969)</f>
        <v>18.064</v>
      </c>
      <c r="I10" s="706">
        <f>GETPIVOTDATA("Count of Plants w/ COE",FIT.pvt!$K$6,"RE Resources","BIOMASS","FIT","Degressed","Original FIT Rate",6.5969)</f>
        <v>5</v>
      </c>
    </row>
    <row r="11" spans="1:9" ht="15.75" thickBot="1" x14ac:dyDescent="0.3">
      <c r="A11" s="638"/>
      <c r="B11" s="1033"/>
      <c r="C11" s="622" t="s">
        <v>50</v>
      </c>
      <c r="D11" s="623">
        <v>6.19</v>
      </c>
      <c r="E11" s="1036"/>
      <c r="F11" s="709">
        <f>GETPIVOTDATA(" Subscribed FIT Capacity as per COE (MW)",FIT.pvt!$B$6,"RE Resources","BIOMASS","FIT","FIT II","Original FIT Rate",6.19)</f>
        <v>104.03</v>
      </c>
      <c r="G11" s="621">
        <f>GETPIVOTDATA("Count of Plants w/ COC",FIT.pvt!$B$6,"RE Resources","BIOMASS","FIT","FIT II","Original FIT Rate",6.19)</f>
        <v>10</v>
      </c>
      <c r="H11" s="712">
        <f>GETPIVOTDATA(" Subscribed FIT Capacity as per COE (MW)",FIT.pvt!$K$6,"RE Resources","BIOMASS","FIT","FIT II","Original FIT Rate",6.19)</f>
        <v>119.63000000000002</v>
      </c>
      <c r="I11" s="713">
        <f>GETPIVOTDATA("Count of Plants w/ COE",FIT.pvt!$K$6,"RE Resources","BIOMASS","FIT","FIT II","Original FIT Rate",6.19)</f>
        <v>13</v>
      </c>
    </row>
    <row r="12" spans="1:9" x14ac:dyDescent="0.25">
      <c r="A12" s="633"/>
      <c r="B12" s="1047" t="s">
        <v>56</v>
      </c>
      <c r="C12" s="609" t="s">
        <v>49</v>
      </c>
      <c r="D12" s="612">
        <v>5.9</v>
      </c>
      <c r="E12" s="1034">
        <v>350</v>
      </c>
      <c r="F12" s="697">
        <f>GETPIVOTDATA(" Subscribed FIT Capacity as per COE (MW)",FIT.pvt!$B$6,"RE Resources","HYDRO","FIT","FIT I","Original FIT Rate",5.9)</f>
        <v>35.956000000000003</v>
      </c>
      <c r="G12" s="62">
        <f>GETPIVOTDATA("Count of Plants w/ COC",FIT.pvt!$B$6,"RE Resources","HYDRO","FIT","FIT I","Original FIT Rate",5.9)</f>
        <v>5</v>
      </c>
      <c r="H12" s="697">
        <f>GETPIVOTDATA(" Subscribed FIT Capacity as per COE (MW)",FIT.pvt!$K$6,"RE Resources","HYDRO","FIT","FIT I","Original FIT Rate",5.9)</f>
        <v>35.956000000000003</v>
      </c>
      <c r="I12" s="698">
        <f>GETPIVOTDATA("Count of Plants w/ COE",FIT.pvt!$K$6,"RE Resources","HYDRO","FIT","FIT I","Original FIT Rate",5.9)</f>
        <v>5</v>
      </c>
    </row>
    <row r="13" spans="1:9" x14ac:dyDescent="0.25">
      <c r="A13" s="637"/>
      <c r="B13" s="1048"/>
      <c r="C13" s="619" t="s">
        <v>51</v>
      </c>
      <c r="D13" s="552">
        <v>5.8704999999999998</v>
      </c>
      <c r="E13" s="1035"/>
      <c r="F13" s="711">
        <f>GETPIVOTDATA(" Subscribed FIT Capacity as per COE (MW)",FIT.pvt!$B$6,"RE Resources","HYDRO","FIT","Degressed","Original FIT Rate",5.8705)</f>
        <v>8.5</v>
      </c>
      <c r="G13" s="2">
        <f>GETPIVOTDATA("Count of Plants w/ COC",FIT.pvt!$B$6,"RE Resources","HYDRO","FIT","Degressed","Original FIT Rate",5.8705)</f>
        <v>1</v>
      </c>
      <c r="H13" s="711">
        <f>GETPIVOTDATA(" Subscribed FIT Capacity as per COE (MW)",FIT.pvt!$K$6,"RE Resources","HYDRO","FIT","Degressed","Original FIT Rate",5.8705)</f>
        <v>8.5</v>
      </c>
      <c r="I13" s="706">
        <f>GETPIVOTDATA("Count of Plants w/ COE",FIT.pvt!$K$6,"RE Resources","HYDRO","FIT","Degressed","Original FIT Rate",5.8705)</f>
        <v>1</v>
      </c>
    </row>
    <row r="14" spans="1:9" x14ac:dyDescent="0.25">
      <c r="A14" s="639"/>
      <c r="B14" s="1048"/>
      <c r="C14" s="619" t="s">
        <v>50</v>
      </c>
      <c r="D14" s="552">
        <v>5.8704999999999998</v>
      </c>
      <c r="E14" s="1035"/>
      <c r="F14" s="711">
        <f>GETPIVOTDATA(" Subscribed FIT Capacity as per COE (MW)",FIT.pvt!$B$6,"RE Resources","HYDRO","FIT","FIT II","Original FIT Rate",5.8705)</f>
        <v>102.90100000000001</v>
      </c>
      <c r="G14" s="2">
        <f>GETPIVOTDATA("Count of Plants w/ COC",FIT.pvt!$B$6,"RE Resources","HYDRO","FIT","FIT II","Original FIT Rate",5.8705)</f>
        <v>8</v>
      </c>
      <c r="H14" s="711">
        <f>GETPIVOTDATA(" Subscribed FIT Capacity as per COE (MW)",FIT.pvt!$K$6,"RE Resources","HYDRO","FIT","FIT II","Original FIT Rate",5.8705)</f>
        <v>102.901</v>
      </c>
      <c r="I14" s="706">
        <f>GETPIVOTDATA("Count of Plants w/ COE",FIT.pvt!$K$6,"RE Resources","HYDRO","FIT","FIT II","Original FIT Rate",5.8705)</f>
        <v>8</v>
      </c>
    </row>
    <row r="15" spans="1:9" x14ac:dyDescent="0.25">
      <c r="A15" s="640"/>
      <c r="B15" s="1048"/>
      <c r="C15" s="619" t="s">
        <v>138</v>
      </c>
      <c r="D15" s="552">
        <v>5.6715</v>
      </c>
      <c r="E15" s="1035"/>
      <c r="F15" s="711">
        <f>GETPIVOTDATA(" Installed Capacity as per COC (MW)",FIT.pvt!$B$6,"RE Resources","HYDRO","FIT","Special FIT","Original FIT Rate",5.6715)</f>
        <v>74.8</v>
      </c>
      <c r="G15" s="2">
        <f>GETPIVOTDATA("Count of Plants w/ COC",FIT.pvt!$B$6,"RE Resources","HYDRO","FIT","Special FIT","Original FIT Rate",5.6715)</f>
        <v>1</v>
      </c>
      <c r="H15" s="663">
        <v>0</v>
      </c>
      <c r="I15" s="706">
        <f>GETPIVOTDATA("Count of Plants w/ COE",FIT.pvt!$K$6,"RE Resources","HYDRO","FIT","Special FIT","Original FIT Rate",5.6715)-1</f>
        <v>0</v>
      </c>
    </row>
    <row r="16" spans="1:9" x14ac:dyDescent="0.25">
      <c r="A16" s="1053"/>
      <c r="B16" s="1048"/>
      <c r="C16" s="619" t="s">
        <v>761</v>
      </c>
      <c r="D16" s="552">
        <v>6.1109999999999998</v>
      </c>
      <c r="E16" s="1035"/>
      <c r="F16" s="711">
        <f>GETPIVOTDATA(" Subscribed FIT Capacity as per COE (MW)",FIT.pvt!$B$6,"RE Resources","HYDRO","FIT","FIT III","Original FIT Rate",6.111)</f>
        <v>3.7559999999999998</v>
      </c>
      <c r="G16" s="2">
        <f>GETPIVOTDATA("Count of Plants w/ COC",FIT.pvt!$B$6,"RE Resources","HYDRO","FIT","FIT III","Original FIT Rate",6.111)</f>
        <v>2</v>
      </c>
      <c r="H16" s="663">
        <f>GETPIVOTDATA(" Subscribed FIT Capacity as per COE (MW)",FIT.pvt!$K$6,"RE Resources","HYDRO","FIT","FIT III","Original FIT Rate",6.111)</f>
        <v>3.7559999999999998</v>
      </c>
      <c r="I16" s="706">
        <f>GETPIVOTDATA("Count of Plants w/ COE",FIT.pvt!$K$6,"RE Resources","HYDRO","FIT","FIT III","Original FIT Rate",6.111)</f>
        <v>2</v>
      </c>
    </row>
    <row r="17" spans="1:9" x14ac:dyDescent="0.25">
      <c r="A17" s="1054"/>
      <c r="B17" s="1048"/>
      <c r="C17" s="1058" t="s">
        <v>838</v>
      </c>
      <c r="D17" s="552">
        <f>D16-(D16*0.005)</f>
        <v>6.0804450000000001</v>
      </c>
      <c r="E17" s="1035"/>
      <c r="F17" s="711">
        <f>GETPIVOTDATA(" Subscribed FIT Capacity as per COE (MW)",FIT.pvt!$B$6,"RE Resources","HYDRO","FIT","FIT III - degressed","Original FIT Rate",6.080445)</f>
        <v>21.669999999999998</v>
      </c>
      <c r="G17" s="2">
        <f>GETPIVOTDATA("Count of Plants w/ COC",FIT.pvt!$B$6,"RE Resources","HYDRO","FIT","FIT III - degressed","Original FIT Rate",6.080445)</f>
        <v>5</v>
      </c>
      <c r="H17" s="663">
        <f>GETPIVOTDATA(" Subscribed FIT Capacity as per COE (MW)",FIT.pvt!$K$6,"RE Resources","HYDRO","FIT","FIT III - degressed","Original FIT Rate",6.080445)</f>
        <v>21.669999999999998</v>
      </c>
      <c r="I17" s="706">
        <f>GETPIVOTDATA("Count of Plants w/ COE",FIT.pvt!$K$6,"RE Resources","HYDRO","FIT","FIT III - degressed","Original FIT Rate",6.080445)</f>
        <v>5</v>
      </c>
    </row>
    <row r="18" spans="1:9" x14ac:dyDescent="0.25">
      <c r="A18" s="1054"/>
      <c r="B18" s="1048"/>
      <c r="C18" s="1058"/>
      <c r="D18" s="552">
        <f>D17-(D17*0.005)</f>
        <v>6.0500427750000005</v>
      </c>
      <c r="E18" s="1035"/>
      <c r="F18" s="711">
        <f>GETPIVOTDATA(" Subscribed FIT Capacity as per COE (MW)",FIT.pvt!$B$6,"RE Resources","HYDRO","FIT","FIT III - degressed","Original FIT Rate",6.05)</f>
        <v>8.3949999999999996</v>
      </c>
      <c r="G18" s="700">
        <f>GETPIVOTDATA("Count of Plants w/ COC",FIT.pvt!$B$6,"RE Resources","HYDRO","FIT","FIT III - degressed","Original FIT Rate",6.05)</f>
        <v>2</v>
      </c>
      <c r="H18" s="664">
        <f>GETPIVOTDATA(" Subscribed FIT Capacity as per COE (MW)",FIT.pvt!$K$6,"RE Resources","HYDRO","FIT","FIT III - degressed","Original FIT Rate",6.05)</f>
        <v>8.3949999999999996</v>
      </c>
      <c r="I18" s="710">
        <f>GETPIVOTDATA("Count of Plants w/ COE",FIT.pvt!$K$6,"RE Resources","HYDRO","FIT","FIT III - degressed","Original FIT Rate",6.05)</f>
        <v>2</v>
      </c>
    </row>
    <row r="19" spans="1:9" ht="15.75" thickBot="1" x14ac:dyDescent="0.3">
      <c r="A19" s="1055"/>
      <c r="B19" s="1049"/>
      <c r="C19" s="1058"/>
      <c r="D19" s="552">
        <v>6.0198</v>
      </c>
      <c r="E19" s="1035"/>
      <c r="F19" s="711">
        <f>GETPIVOTDATA(" Subscribed FIT Capacity as per COE (MW)",FIT.pvt!$B$6,"RE Resources","HYDRO","FIT","FIT III - degressed","Original FIT Rate",6.0198)</f>
        <v>59.82</v>
      </c>
      <c r="G19" s="700">
        <f>GETPIVOTDATA("Count of Plants w/ COC",FIT.pvt!$B$6,"RE Resources","HYDRO","FIT","FIT III - degressed","Original FIT Rate",6.0198)</f>
        <v>6</v>
      </c>
      <c r="H19" s="664">
        <f>GETPIVOTDATA(" Subscribed FIT Capacity as per COE (MW)",FIT.pvt!$K$6,"RE Resources","HYDRO","FIT","FIT III - degressed","Original FIT Rate",6.0198)</f>
        <v>59.82</v>
      </c>
      <c r="I19" s="710">
        <f>GETPIVOTDATA("Count of Plants w/ COE",FIT.pvt!$K$6,"RE Resources","HYDRO","FIT","FIT III - degressed","Original FIT Rate",6.0198)</f>
        <v>6</v>
      </c>
    </row>
    <row r="20" spans="1:9" ht="15.75" thickBot="1" x14ac:dyDescent="0.3">
      <c r="A20" s="1029" t="s">
        <v>203</v>
      </c>
      <c r="B20" s="1030"/>
      <c r="C20" s="1030"/>
      <c r="D20" s="1030"/>
      <c r="E20" s="1030"/>
      <c r="F20" s="647">
        <f>SUM(F3:F19)</f>
        <v>1474.4150000000002</v>
      </c>
      <c r="G20" s="642">
        <f>SUM(G3:G19)</f>
        <v>87</v>
      </c>
      <c r="H20" s="647">
        <f>SUM(H3:H19)</f>
        <v>1433.5750000000003</v>
      </c>
      <c r="I20" s="643">
        <f>SUM(I3:I19)</f>
        <v>89</v>
      </c>
    </row>
    <row r="21" spans="1:9" x14ac:dyDescent="0.25">
      <c r="A21" s="628" t="s">
        <v>1403</v>
      </c>
      <c r="B21" s="542"/>
      <c r="C21" s="542"/>
      <c r="D21" s="542"/>
      <c r="E21" s="542"/>
      <c r="F21" s="542"/>
      <c r="G21" s="645">
        <f>G29-G20+G28</f>
        <v>3</v>
      </c>
      <c r="H21" s="565"/>
      <c r="I21" s="644">
        <f>G27+G25+G29-I20-1+G28</f>
        <v>3</v>
      </c>
    </row>
    <row r="22" spans="1:9" x14ac:dyDescent="0.25">
      <c r="A22" s="628" t="s">
        <v>1404</v>
      </c>
      <c r="B22" s="542"/>
      <c r="C22" s="542"/>
      <c r="D22" s="542"/>
      <c r="E22" s="542"/>
      <c r="F22" s="695"/>
      <c r="G22" s="654"/>
      <c r="H22" s="542"/>
      <c r="I22" s="543"/>
    </row>
    <row r="23" spans="1:9" x14ac:dyDescent="0.25">
      <c r="A23" s="628" t="s">
        <v>1405</v>
      </c>
      <c r="E23" s="482"/>
      <c r="F23" s="542"/>
      <c r="G23" s="654"/>
      <c r="H23" s="542"/>
    </row>
    <row r="24" spans="1:9" x14ac:dyDescent="0.25">
      <c r="E24" s="482"/>
      <c r="F24" s="57"/>
      <c r="H24" s="608"/>
    </row>
    <row r="25" spans="1:9" ht="18.75" x14ac:dyDescent="0.3">
      <c r="E25" s="566" t="str">
        <f>'Per RE'!B9</f>
        <v>Breakdown:</v>
      </c>
      <c r="F25" s="588">
        <f>'Per RE'!C9</f>
        <v>15.6</v>
      </c>
      <c r="G25" s="646">
        <f>'Per RE'!D9</f>
        <v>3</v>
      </c>
      <c r="H25" s="567" t="str">
        <f>'Per RE'!E9</f>
        <v>pending applications</v>
      </c>
      <c r="I25" s="776"/>
    </row>
    <row r="26" spans="1:9" ht="18.75" x14ac:dyDescent="0.3">
      <c r="E26" s="569"/>
      <c r="F26" s="589">
        <f>'Per RE'!C10</f>
        <v>77.900000000000006</v>
      </c>
      <c r="G26" s="573">
        <f>'Per RE'!D10</f>
        <v>4</v>
      </c>
      <c r="H26" s="570" t="str">
        <f>'Per RE'!E10</f>
        <v>non-operational plants</v>
      </c>
      <c r="I26" s="777"/>
    </row>
    <row r="27" spans="1:9" ht="18.75" x14ac:dyDescent="0.3">
      <c r="E27" s="572"/>
      <c r="F27" s="589">
        <f>'Per RE'!C11</f>
        <v>0</v>
      </c>
      <c r="G27" s="573">
        <f>'Per RE'!D11</f>
        <v>0</v>
      </c>
      <c r="H27" s="570" t="str">
        <f>'Per RE'!E11</f>
        <v>with COE, no COC application</v>
      </c>
      <c r="I27" s="777"/>
    </row>
    <row r="28" spans="1:9" ht="18.75" x14ac:dyDescent="0.3">
      <c r="E28" s="572"/>
      <c r="F28" s="589">
        <f>'Per RE'!C12</f>
        <v>30.088999999999999</v>
      </c>
      <c r="G28" s="573">
        <f>'Per RE'!D12</f>
        <v>7</v>
      </c>
      <c r="H28" s="570" t="s">
        <v>873</v>
      </c>
      <c r="I28" s="777"/>
    </row>
    <row r="29" spans="1:9" ht="18.75" x14ac:dyDescent="0.3">
      <c r="E29" s="574"/>
      <c r="F29" s="590">
        <f>'Per RE'!C13</f>
        <v>1478.4059999999995</v>
      </c>
      <c r="G29" s="575">
        <f>'Per RE'!D13</f>
        <v>83</v>
      </c>
      <c r="H29" s="576" t="str">
        <f>'Per RE'!E13</f>
        <v>active with FIT-COC/PAO-FIT</v>
      </c>
      <c r="I29" s="778"/>
    </row>
    <row r="30" spans="1:9" ht="15.75" thickBot="1" x14ac:dyDescent="0.3"/>
    <row r="31" spans="1:9" s="674" customFormat="1" ht="45.75" thickBot="1" x14ac:dyDescent="0.3">
      <c r="F31" s="764" t="s">
        <v>1410</v>
      </c>
      <c r="G31" s="764" t="s">
        <v>57</v>
      </c>
      <c r="H31" s="761" t="s">
        <v>1411</v>
      </c>
      <c r="I31" s="765" t="s">
        <v>55</v>
      </c>
    </row>
    <row r="32" spans="1:9" x14ac:dyDescent="0.25">
      <c r="A32" s="1068" t="s">
        <v>1420</v>
      </c>
      <c r="B32" s="1067" t="s">
        <v>1415</v>
      </c>
      <c r="C32" s="759" t="s">
        <v>219</v>
      </c>
      <c r="F32">
        <v>5.0796999999999999</v>
      </c>
      <c r="G32">
        <v>230</v>
      </c>
      <c r="H32">
        <v>3.4</v>
      </c>
    </row>
    <row r="33" spans="1:9" x14ac:dyDescent="0.25">
      <c r="A33" s="1068"/>
      <c r="B33" s="1067"/>
      <c r="C33" s="759" t="s">
        <v>693</v>
      </c>
      <c r="F33">
        <v>5.4912999999999998</v>
      </c>
      <c r="G33">
        <v>130</v>
      </c>
      <c r="H33">
        <v>99.15</v>
      </c>
    </row>
    <row r="34" spans="1:9" x14ac:dyDescent="0.25">
      <c r="A34" s="1068"/>
      <c r="B34" s="1067"/>
      <c r="C34" s="759" t="s">
        <v>426</v>
      </c>
      <c r="F34">
        <v>3.6779000000000002</v>
      </c>
      <c r="G34">
        <v>1260</v>
      </c>
      <c r="H34">
        <v>1490.38</v>
      </c>
    </row>
    <row r="35" spans="1:9" x14ac:dyDescent="0.25">
      <c r="A35" s="1068"/>
      <c r="B35" s="1067"/>
      <c r="C35" s="759" t="s">
        <v>392</v>
      </c>
      <c r="F35">
        <v>6.0583999999999998</v>
      </c>
      <c r="G35" s="556">
        <v>380</v>
      </c>
      <c r="H35" s="556">
        <v>374</v>
      </c>
    </row>
    <row r="36" spans="1:9" s="674" customFormat="1" x14ac:dyDescent="0.25">
      <c r="G36" s="593">
        <f>SUM(G32:G35)</f>
        <v>2000</v>
      </c>
      <c r="H36" s="593">
        <f>SUM(H32:H35)</f>
        <v>1966.93</v>
      </c>
      <c r="I36" s="767"/>
    </row>
    <row r="37" spans="1:9" x14ac:dyDescent="0.25">
      <c r="A37" s="1068" t="s">
        <v>1407</v>
      </c>
      <c r="B37" s="1067" t="s">
        <v>1409</v>
      </c>
      <c r="C37" s="759" t="s">
        <v>1158</v>
      </c>
      <c r="F37">
        <v>5.3948</v>
      </c>
      <c r="G37" s="556">
        <v>300</v>
      </c>
      <c r="H37" s="556">
        <v>90</v>
      </c>
    </row>
    <row r="38" spans="1:9" x14ac:dyDescent="0.25">
      <c r="A38" s="1068"/>
      <c r="B38" s="1067"/>
      <c r="C38" s="759" t="s">
        <v>1035</v>
      </c>
      <c r="F38">
        <v>4.4043000000000001</v>
      </c>
      <c r="G38" s="556">
        <v>6715</v>
      </c>
      <c r="H38" s="556">
        <v>1878.982</v>
      </c>
    </row>
    <row r="39" spans="1:9" x14ac:dyDescent="0.25">
      <c r="A39" s="1068"/>
      <c r="B39" s="1067"/>
      <c r="C39" s="759" t="s">
        <v>1139</v>
      </c>
      <c r="F39">
        <v>5.8480999999999996</v>
      </c>
      <c r="G39" s="556">
        <v>3720</v>
      </c>
      <c r="H39" s="556">
        <v>1462.384</v>
      </c>
    </row>
    <row r="40" spans="1:9" x14ac:dyDescent="0.25">
      <c r="A40" s="1068"/>
      <c r="B40" s="1067"/>
      <c r="C40" s="759" t="s">
        <v>1062</v>
      </c>
      <c r="F40">
        <v>4.8738000000000001</v>
      </c>
      <c r="G40" s="556">
        <v>605</v>
      </c>
      <c r="H40" s="556">
        <v>9.39</v>
      </c>
    </row>
    <row r="41" spans="1:9" x14ac:dyDescent="0.25">
      <c r="A41" s="1068"/>
      <c r="B41" s="1067"/>
      <c r="C41" s="759" t="s">
        <v>219</v>
      </c>
      <c r="F41">
        <v>5.4024000000000001</v>
      </c>
      <c r="G41" s="556">
        <v>230</v>
      </c>
      <c r="H41" s="556">
        <v>0</v>
      </c>
    </row>
    <row r="42" spans="1:9" x14ac:dyDescent="0.25">
      <c r="A42" s="1068"/>
      <c r="B42" s="1067"/>
      <c r="C42" s="759" t="s">
        <v>1408</v>
      </c>
      <c r="F42">
        <v>6.2683</v>
      </c>
      <c r="G42" s="556">
        <v>30</v>
      </c>
      <c r="H42" s="556">
        <v>0</v>
      </c>
    </row>
    <row r="43" spans="1:9" s="674" customFormat="1" x14ac:dyDescent="0.25">
      <c r="G43" s="593">
        <f>SUM(G37:G42)</f>
        <v>11600</v>
      </c>
      <c r="H43" s="593">
        <f>SUM(H37:H42)</f>
        <v>3440.7559999999999</v>
      </c>
      <c r="I43" s="767"/>
    </row>
    <row r="44" spans="1:9" x14ac:dyDescent="0.25">
      <c r="A44" s="1068" t="s">
        <v>1418</v>
      </c>
      <c r="B44" s="1067" t="s">
        <v>1413</v>
      </c>
      <c r="C44" s="759" t="s">
        <v>1202</v>
      </c>
      <c r="F44">
        <v>5.1092000000000004</v>
      </c>
      <c r="G44" s="1069">
        <v>27</v>
      </c>
      <c r="H44" s="769">
        <v>3.669</v>
      </c>
      <c r="I44" s="770">
        <v>1</v>
      </c>
    </row>
    <row r="45" spans="1:9" x14ac:dyDescent="0.25">
      <c r="A45" s="1068"/>
      <c r="B45" s="1067"/>
      <c r="C45" s="759"/>
      <c r="F45">
        <v>7.6440999999999999</v>
      </c>
      <c r="G45" s="1069"/>
      <c r="H45" s="769">
        <v>27.218</v>
      </c>
      <c r="I45" s="770">
        <v>2</v>
      </c>
    </row>
    <row r="46" spans="1:9" x14ac:dyDescent="0.25">
      <c r="A46" s="1068"/>
      <c r="B46" s="1067"/>
      <c r="C46" s="759" t="s">
        <v>1210</v>
      </c>
      <c r="F46">
        <v>4.5</v>
      </c>
      <c r="G46" s="1070">
        <v>300</v>
      </c>
      <c r="H46" s="769">
        <v>150</v>
      </c>
      <c r="I46" s="770">
        <v>1</v>
      </c>
    </row>
    <row r="47" spans="1:9" x14ac:dyDescent="0.25">
      <c r="A47" s="1068"/>
      <c r="B47" s="1067"/>
      <c r="C47" s="759"/>
      <c r="F47">
        <v>4.75</v>
      </c>
      <c r="G47" s="1070"/>
      <c r="H47" s="769">
        <v>150</v>
      </c>
      <c r="I47" s="770">
        <v>1</v>
      </c>
    </row>
    <row r="48" spans="1:9" x14ac:dyDescent="0.25">
      <c r="A48" s="1068"/>
      <c r="B48" s="1067"/>
      <c r="C48" s="759" t="s">
        <v>1215</v>
      </c>
      <c r="F48">
        <v>2.5787</v>
      </c>
      <c r="G48" s="1069">
        <v>6350</v>
      </c>
      <c r="H48" s="769">
        <v>500</v>
      </c>
      <c r="I48" s="770">
        <v>1</v>
      </c>
    </row>
    <row r="49" spans="1:9" x14ac:dyDescent="0.25">
      <c r="A49" s="768"/>
      <c r="B49" s="766"/>
      <c r="C49" s="674"/>
      <c r="F49">
        <v>3.25</v>
      </c>
      <c r="G49" s="1069"/>
      <c r="H49" s="769">
        <v>800</v>
      </c>
      <c r="I49" s="770">
        <v>1</v>
      </c>
    </row>
    <row r="50" spans="1:9" x14ac:dyDescent="0.25">
      <c r="A50" s="768"/>
      <c r="B50" s="766"/>
      <c r="C50" s="674"/>
      <c r="F50">
        <v>3.35</v>
      </c>
      <c r="G50" s="1069"/>
      <c r="H50" s="769">
        <v>800</v>
      </c>
      <c r="I50" s="770">
        <v>1</v>
      </c>
    </row>
    <row r="51" spans="1:9" x14ac:dyDescent="0.25">
      <c r="A51" s="768"/>
      <c r="B51" s="766"/>
      <c r="C51" s="674"/>
      <c r="F51">
        <v>3.5</v>
      </c>
      <c r="G51" s="1069"/>
      <c r="H51" s="769">
        <v>2000</v>
      </c>
      <c r="I51" s="770">
        <v>1</v>
      </c>
    </row>
    <row r="52" spans="1:9" x14ac:dyDescent="0.25">
      <c r="A52" s="768"/>
      <c r="B52" s="766"/>
      <c r="C52" s="674"/>
      <c r="F52">
        <v>3.7319</v>
      </c>
      <c r="G52" s="1069"/>
      <c r="H52" s="769">
        <v>250</v>
      </c>
      <c r="I52" s="770">
        <v>1</v>
      </c>
    </row>
    <row r="53" spans="1:9" x14ac:dyDescent="0.25">
      <c r="A53" s="768"/>
      <c r="B53" s="766"/>
      <c r="C53" s="674"/>
      <c r="F53">
        <v>5.3560999999999996</v>
      </c>
      <c r="G53" s="1069"/>
      <c r="H53" s="769">
        <v>600</v>
      </c>
      <c r="I53" s="770">
        <v>1</v>
      </c>
    </row>
    <row r="54" spans="1:9" x14ac:dyDescent="0.25">
      <c r="F54">
        <v>5.4596999999999998</v>
      </c>
      <c r="G54" s="1069"/>
      <c r="H54" s="769">
        <v>1400</v>
      </c>
      <c r="I54" s="770">
        <v>1</v>
      </c>
    </row>
    <row r="55" spans="1:9" x14ac:dyDescent="0.25">
      <c r="G55" s="775">
        <f>SUM(G44:G54)</f>
        <v>6677</v>
      </c>
      <c r="H55" s="775">
        <f>SUM(H44:H54)</f>
        <v>6680.8869999999997</v>
      </c>
      <c r="I55" s="767">
        <f>SUM(I44:I54)</f>
        <v>12</v>
      </c>
    </row>
    <row r="56" spans="1:9" x14ac:dyDescent="0.25">
      <c r="A56" s="1068" t="s">
        <v>1417</v>
      </c>
      <c r="B56" s="1067" t="s">
        <v>1414</v>
      </c>
      <c r="C56" s="759" t="s">
        <v>1158</v>
      </c>
      <c r="F56">
        <v>6.5258000000000003</v>
      </c>
      <c r="G56" s="556">
        <v>3175</v>
      </c>
    </row>
    <row r="57" spans="1:9" x14ac:dyDescent="0.25">
      <c r="A57" s="1068"/>
      <c r="B57" s="1067"/>
      <c r="C57" s="759" t="s">
        <v>1262</v>
      </c>
      <c r="F57">
        <v>4.4832000000000001</v>
      </c>
      <c r="G57" s="556">
        <v>3970</v>
      </c>
    </row>
    <row r="58" spans="1:9" x14ac:dyDescent="0.25">
      <c r="A58" s="1068"/>
      <c r="B58" s="1067"/>
      <c r="C58" s="759" t="s">
        <v>1334</v>
      </c>
      <c r="F58">
        <v>5.4028</v>
      </c>
      <c r="G58" s="556">
        <v>1100</v>
      </c>
    </row>
    <row r="59" spans="1:9" x14ac:dyDescent="0.25">
      <c r="A59" s="1068"/>
      <c r="B59" s="1067"/>
      <c r="C59" s="674" t="s">
        <v>1139</v>
      </c>
      <c r="F59">
        <v>6.0858999999999996</v>
      </c>
      <c r="G59" s="556">
        <v>2390</v>
      </c>
    </row>
    <row r="60" spans="1:9" x14ac:dyDescent="0.25">
      <c r="A60" s="1068"/>
      <c r="B60" s="1067"/>
      <c r="C60" s="759" t="s">
        <v>1379</v>
      </c>
      <c r="F60">
        <v>5.68</v>
      </c>
      <c r="G60" s="556">
        <v>48</v>
      </c>
    </row>
    <row r="61" spans="1:9" x14ac:dyDescent="0.25">
      <c r="G61" s="775">
        <f>SUM(G56:G60)</f>
        <v>10683</v>
      </c>
      <c r="H61" s="775">
        <f t="shared" ref="H61:I61" si="0">SUM(H56:H60)</f>
        <v>0</v>
      </c>
      <c r="I61" s="775">
        <f t="shared" si="0"/>
        <v>0</v>
      </c>
    </row>
    <row r="63" spans="1:9" x14ac:dyDescent="0.25">
      <c r="A63" s="774" t="s">
        <v>1419</v>
      </c>
      <c r="B63" s="767" t="s">
        <v>1416</v>
      </c>
      <c r="C63" s="759" t="s">
        <v>1412</v>
      </c>
      <c r="G63" s="669">
        <v>3300</v>
      </c>
    </row>
    <row r="70" spans="3:7" x14ac:dyDescent="0.25">
      <c r="C70" s="674" t="s">
        <v>1202</v>
      </c>
      <c r="D70">
        <v>5.1092000000000004</v>
      </c>
      <c r="E70" s="769">
        <v>3.669</v>
      </c>
      <c r="F70" s="562">
        <v>5.4917857464136129E-4</v>
      </c>
      <c r="G70" s="770">
        <v>1</v>
      </c>
    </row>
    <row r="71" spans="3:7" x14ac:dyDescent="0.25">
      <c r="C71" s="759"/>
      <c r="D71">
        <v>7.6440999999999999</v>
      </c>
      <c r="E71" s="769">
        <v>27.218</v>
      </c>
      <c r="F71" s="562">
        <v>4.0740099331121752E-3</v>
      </c>
      <c r="G71" s="770">
        <v>2</v>
      </c>
    </row>
    <row r="72" spans="3:7" x14ac:dyDescent="0.25">
      <c r="C72" s="674" t="s">
        <v>1210</v>
      </c>
      <c r="D72">
        <v>4.5</v>
      </c>
      <c r="E72" s="769">
        <v>150</v>
      </c>
      <c r="F72" s="562">
        <v>2.2452108529900296E-2</v>
      </c>
      <c r="G72" s="770">
        <v>1</v>
      </c>
    </row>
    <row r="73" spans="3:7" x14ac:dyDescent="0.25">
      <c r="C73" s="759"/>
      <c r="D73">
        <v>4.75</v>
      </c>
      <c r="E73" s="769">
        <v>150</v>
      </c>
      <c r="F73" s="562">
        <v>2.2452108529900296E-2</v>
      </c>
      <c r="G73" s="770">
        <v>1</v>
      </c>
    </row>
    <row r="74" spans="3:7" x14ac:dyDescent="0.25">
      <c r="C74" s="674" t="s">
        <v>1215</v>
      </c>
      <c r="D74">
        <v>2.5787</v>
      </c>
      <c r="E74" s="769">
        <v>500</v>
      </c>
      <c r="F74" s="562">
        <v>7.4840361766334323E-2</v>
      </c>
      <c r="G74" s="770">
        <v>1</v>
      </c>
    </row>
    <row r="75" spans="3:7" x14ac:dyDescent="0.25">
      <c r="C75" s="674"/>
      <c r="D75">
        <v>3.25</v>
      </c>
      <c r="E75" s="769">
        <v>800</v>
      </c>
      <c r="F75" s="562">
        <v>0.11974457882613491</v>
      </c>
      <c r="G75" s="770">
        <v>1</v>
      </c>
    </row>
    <row r="76" spans="3:7" x14ac:dyDescent="0.25">
      <c r="C76" s="674"/>
      <c r="D76">
        <v>3.35</v>
      </c>
      <c r="E76" s="769">
        <v>800</v>
      </c>
      <c r="F76" s="562">
        <v>0.11974457882613491</v>
      </c>
      <c r="G76" s="770">
        <v>1</v>
      </c>
    </row>
    <row r="77" spans="3:7" x14ac:dyDescent="0.25">
      <c r="C77" s="674"/>
      <c r="D77">
        <v>3.5</v>
      </c>
      <c r="E77" s="769">
        <v>2000</v>
      </c>
      <c r="F77" s="562">
        <v>0.29936144706533729</v>
      </c>
      <c r="G77" s="770">
        <v>1</v>
      </c>
    </row>
    <row r="78" spans="3:7" x14ac:dyDescent="0.25">
      <c r="C78" s="674"/>
      <c r="D78">
        <v>3.7319</v>
      </c>
      <c r="E78" s="769">
        <v>250</v>
      </c>
      <c r="F78" s="562">
        <v>3.7420180883167162E-2</v>
      </c>
      <c r="G78" s="770">
        <v>1</v>
      </c>
    </row>
    <row r="79" spans="3:7" x14ac:dyDescent="0.25">
      <c r="C79" s="674"/>
      <c r="D79">
        <v>5.3560999999999996</v>
      </c>
      <c r="E79" s="769">
        <v>600</v>
      </c>
      <c r="F79" s="562">
        <v>8.9808434119601183E-2</v>
      </c>
      <c r="G79" s="770">
        <v>1</v>
      </c>
    </row>
    <row r="80" spans="3:7" x14ac:dyDescent="0.25">
      <c r="C80" s="759"/>
      <c r="D80">
        <v>5.4596999999999998</v>
      </c>
      <c r="E80" s="769">
        <v>1400</v>
      </c>
      <c r="F80" s="562">
        <v>0.20955301294573611</v>
      </c>
      <c r="G80" s="770">
        <v>1</v>
      </c>
    </row>
    <row r="81" spans="3:7" x14ac:dyDescent="0.25">
      <c r="C81" s="760" t="s">
        <v>204</v>
      </c>
      <c r="D81" s="760"/>
      <c r="E81" s="771">
        <v>6680.8869999999997</v>
      </c>
      <c r="F81" s="772">
        <v>1</v>
      </c>
      <c r="G81" s="773">
        <v>12</v>
      </c>
    </row>
  </sheetData>
  <mergeCells count="28">
    <mergeCell ref="G48:G54"/>
    <mergeCell ref="G44:G45"/>
    <mergeCell ref="G46:G47"/>
    <mergeCell ref="A20:E20"/>
    <mergeCell ref="B37:B42"/>
    <mergeCell ref="B44:B48"/>
    <mergeCell ref="B56:B60"/>
    <mergeCell ref="B32:B35"/>
    <mergeCell ref="A56:A60"/>
    <mergeCell ref="A37:A42"/>
    <mergeCell ref="A32:A35"/>
    <mergeCell ref="A44:A48"/>
    <mergeCell ref="B9:B11"/>
    <mergeCell ref="E9:E11"/>
    <mergeCell ref="B12:B19"/>
    <mergeCell ref="E12:E19"/>
    <mergeCell ref="A16:A19"/>
    <mergeCell ref="C17:C19"/>
    <mergeCell ref="A1:I1"/>
    <mergeCell ref="B3:B4"/>
    <mergeCell ref="B5:B8"/>
    <mergeCell ref="C6:C7"/>
    <mergeCell ref="D6:D7"/>
    <mergeCell ref="E6:E7"/>
    <mergeCell ref="F6:F7"/>
    <mergeCell ref="G6:G7"/>
    <mergeCell ref="H6:H7"/>
    <mergeCell ref="I6:I7"/>
  </mergeCells>
  <conditionalFormatting sqref="C32:C58 C60 C63">
    <cfRule type="duplicateValues" dxfId="201"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1386D-684E-4E04-8B61-43695C8F7376}">
  <sheetPr codeName="Sheet20">
    <tabColor rgb="FF66FF99"/>
  </sheetPr>
  <dimension ref="A1:M202"/>
  <sheetViews>
    <sheetView showGridLines="0" topLeftCell="A164" zoomScale="89" zoomScaleNormal="110" workbookViewId="0">
      <selection activeCell="D119" sqref="D119"/>
    </sheetView>
  </sheetViews>
  <sheetFormatPr defaultRowHeight="15" x14ac:dyDescent="0.25"/>
  <cols>
    <col min="1" max="1" width="21.7109375" bestFit="1" customWidth="1"/>
    <col min="2" max="2" width="21.42578125" bestFit="1" customWidth="1"/>
    <col min="3" max="3" width="21" bestFit="1" customWidth="1"/>
    <col min="4" max="4" width="12.7109375" style="810" bestFit="1" customWidth="1"/>
    <col min="5" max="5" width="5.85546875" bestFit="1" customWidth="1"/>
    <col min="6" max="6" width="15.85546875" bestFit="1" customWidth="1"/>
    <col min="7" max="7" width="17.42578125" style="565" bestFit="1" customWidth="1"/>
    <col min="8" max="8" width="15.5703125" style="565" bestFit="1" customWidth="1"/>
    <col min="9" max="9" width="15.85546875" bestFit="1" customWidth="1"/>
    <col min="10" max="10" width="17.42578125" bestFit="1" customWidth="1"/>
    <col min="11" max="11" width="15.5703125" bestFit="1" customWidth="1"/>
    <col min="12" max="12" width="15.85546875" bestFit="1" customWidth="1"/>
    <col min="13" max="13" width="17.42578125" bestFit="1" customWidth="1"/>
    <col min="14" max="14" width="16.28515625" bestFit="1" customWidth="1"/>
    <col min="15" max="15" width="25.85546875" bestFit="1" customWidth="1"/>
    <col min="16" max="16" width="26.5703125" bestFit="1" customWidth="1"/>
    <col min="17" max="17" width="26.7109375" bestFit="1" customWidth="1"/>
    <col min="18" max="18" width="16.28515625" bestFit="1" customWidth="1"/>
    <col min="19" max="19" width="25.85546875" bestFit="1" customWidth="1"/>
    <col min="20" max="20" width="26.5703125" bestFit="1" customWidth="1"/>
    <col min="21" max="21" width="31.7109375" bestFit="1" customWidth="1"/>
  </cols>
  <sheetData>
    <row r="1" spans="1:3" ht="15.75" thickBot="1" x14ac:dyDescent="0.3">
      <c r="A1" s="1005" t="str">
        <f>'FIT Summary'!A1</f>
        <v>As of 30 June 2026</v>
      </c>
      <c r="B1" s="1005"/>
      <c r="C1" s="1005"/>
    </row>
    <row r="2" spans="1:3" ht="57" thickBot="1" x14ac:dyDescent="0.3">
      <c r="A2" s="855" t="s">
        <v>52</v>
      </c>
      <c r="B2" s="855" t="s">
        <v>1430</v>
      </c>
      <c r="C2" s="855" t="s">
        <v>55</v>
      </c>
    </row>
    <row r="3" spans="1:3" ht="18.75" x14ac:dyDescent="0.3">
      <c r="A3" s="557" t="s">
        <v>9</v>
      </c>
      <c r="B3" s="591">
        <f t="shared" ref="B3:B14" si="0">GETPIVOTDATA("Sum of Capacity (MW)",$A$18,"Technology",$A3)</f>
        <v>1490.38</v>
      </c>
      <c r="C3" s="50">
        <f>GETPIVOTDATA("No. of Plants ",$A$18,"Technology",$A3)</f>
        <v>7</v>
      </c>
    </row>
    <row r="4" spans="1:3" ht="18.75" x14ac:dyDescent="0.3">
      <c r="A4" s="557" t="s">
        <v>1425</v>
      </c>
      <c r="B4" s="591">
        <f t="shared" si="0"/>
        <v>34.209000000000003</v>
      </c>
      <c r="C4" s="50">
        <f t="shared" ref="C4:C14" si="1">GETPIVOTDATA("No. of Plants ",$A$18,"Technology",$A4)</f>
        <v>62</v>
      </c>
    </row>
    <row r="5" spans="1:3" ht="18.75" x14ac:dyDescent="0.3">
      <c r="A5" s="557" t="s">
        <v>1229</v>
      </c>
      <c r="B5" s="591">
        <f t="shared" si="0"/>
        <v>2374</v>
      </c>
      <c r="C5" s="50">
        <f t="shared" si="1"/>
        <v>21</v>
      </c>
    </row>
    <row r="6" spans="1:3" ht="18.75" x14ac:dyDescent="0.3">
      <c r="A6" s="557" t="s">
        <v>1426</v>
      </c>
      <c r="B6" s="591">
        <f t="shared" si="0"/>
        <v>6088.0649999999987</v>
      </c>
      <c r="C6" s="50">
        <f t="shared" si="1"/>
        <v>92</v>
      </c>
    </row>
    <row r="7" spans="1:3" ht="18.75" x14ac:dyDescent="0.3">
      <c r="A7" s="557" t="s">
        <v>1334</v>
      </c>
      <c r="B7" s="591">
        <f t="shared" si="0"/>
        <v>1189.2900000000002</v>
      </c>
      <c r="C7" s="50">
        <f t="shared" si="1"/>
        <v>20</v>
      </c>
    </row>
    <row r="8" spans="1:3" ht="18.75" x14ac:dyDescent="0.3">
      <c r="A8" s="557" t="s">
        <v>6</v>
      </c>
      <c r="B8" s="591">
        <f t="shared" si="0"/>
        <v>99.15</v>
      </c>
      <c r="C8" s="50">
        <f t="shared" si="1"/>
        <v>6</v>
      </c>
    </row>
    <row r="9" spans="1:3" ht="18.75" x14ac:dyDescent="0.3">
      <c r="A9" s="557" t="s">
        <v>1427</v>
      </c>
      <c r="B9" s="591">
        <f t="shared" si="0"/>
        <v>300</v>
      </c>
      <c r="C9" s="50">
        <f t="shared" si="1"/>
        <v>2</v>
      </c>
    </row>
    <row r="10" spans="1:3" ht="18.75" x14ac:dyDescent="0.3">
      <c r="A10" s="557" t="s">
        <v>1352</v>
      </c>
      <c r="B10" s="591">
        <f t="shared" si="0"/>
        <v>3980.674</v>
      </c>
      <c r="C10" s="50">
        <f t="shared" si="1"/>
        <v>33</v>
      </c>
    </row>
    <row r="11" spans="1:3" ht="18.75" x14ac:dyDescent="0.3">
      <c r="A11" s="557" t="s">
        <v>1428</v>
      </c>
      <c r="B11" s="591">
        <f t="shared" si="0"/>
        <v>6350</v>
      </c>
      <c r="C11" s="50">
        <f t="shared" si="1"/>
        <v>7</v>
      </c>
    </row>
    <row r="12" spans="1:3" ht="18.75" x14ac:dyDescent="0.3">
      <c r="A12" s="557" t="s">
        <v>10</v>
      </c>
      <c r="B12" s="591">
        <f t="shared" si="0"/>
        <v>374</v>
      </c>
      <c r="C12" s="50">
        <f t="shared" si="1"/>
        <v>5</v>
      </c>
    </row>
    <row r="13" spans="1:3" ht="18.75" x14ac:dyDescent="0.3">
      <c r="A13" s="557" t="s">
        <v>44</v>
      </c>
      <c r="B13" s="591">
        <f t="shared" si="0"/>
        <v>3.4</v>
      </c>
      <c r="C13" s="50">
        <f t="shared" si="1"/>
        <v>1</v>
      </c>
    </row>
    <row r="14" spans="1:3" ht="19.5" thickBot="1" x14ac:dyDescent="0.35">
      <c r="A14" s="557" t="s">
        <v>1429</v>
      </c>
      <c r="B14" s="591">
        <f t="shared" si="0"/>
        <v>30.887</v>
      </c>
      <c r="C14" s="50">
        <f t="shared" si="1"/>
        <v>3</v>
      </c>
    </row>
    <row r="15" spans="1:3" ht="19.5" thickBot="1" x14ac:dyDescent="0.35">
      <c r="A15" s="51" t="s">
        <v>203</v>
      </c>
      <c r="B15" s="592">
        <f>SUM(B3:B14)</f>
        <v>22314.055</v>
      </c>
      <c r="C15" s="809">
        <f>SUM(C3:C14)</f>
        <v>259</v>
      </c>
    </row>
    <row r="18" spans="1:8" x14ac:dyDescent="0.25">
      <c r="A18" s="787" t="s">
        <v>339</v>
      </c>
      <c r="B18" s="674" t="s">
        <v>1422</v>
      </c>
      <c r="C18" s="767" t="s">
        <v>1380</v>
      </c>
      <c r="D18" s="812" t="s">
        <v>1431</v>
      </c>
      <c r="G18"/>
      <c r="H18"/>
    </row>
    <row r="19" spans="1:8" x14ac:dyDescent="0.25">
      <c r="A19" t="s">
        <v>426</v>
      </c>
      <c r="B19" s="788">
        <v>1490.38</v>
      </c>
      <c r="C19" s="1176">
        <v>7</v>
      </c>
      <c r="D19" s="812">
        <v>6.6791087500680621E-2</v>
      </c>
      <c r="G19"/>
      <c r="H19"/>
    </row>
    <row r="20" spans="1:8" x14ac:dyDescent="0.25">
      <c r="A20" t="s">
        <v>1062</v>
      </c>
      <c r="B20" s="788">
        <v>34.209000000000003</v>
      </c>
      <c r="C20" s="1176">
        <v>62</v>
      </c>
      <c r="D20" s="812">
        <v>1.5330696280886642E-3</v>
      </c>
      <c r="G20"/>
      <c r="H20"/>
    </row>
    <row r="21" spans="1:8" x14ac:dyDescent="0.25">
      <c r="A21" t="s">
        <v>1158</v>
      </c>
      <c r="B21" s="788">
        <v>2374</v>
      </c>
      <c r="C21" s="1176">
        <v>21</v>
      </c>
      <c r="D21" s="812">
        <v>0.10639034456086084</v>
      </c>
      <c r="G21"/>
      <c r="H21"/>
    </row>
    <row r="22" spans="1:8" x14ac:dyDescent="0.25">
      <c r="A22" t="s">
        <v>1035</v>
      </c>
      <c r="B22" s="788">
        <v>6088.0649999999987</v>
      </c>
      <c r="C22" s="1176">
        <v>92</v>
      </c>
      <c r="D22" s="812">
        <v>0.27283543936769888</v>
      </c>
      <c r="G22"/>
      <c r="H22"/>
    </row>
    <row r="23" spans="1:8" x14ac:dyDescent="0.25">
      <c r="A23" t="s">
        <v>1334</v>
      </c>
      <c r="B23" s="788">
        <v>1189.2900000000002</v>
      </c>
      <c r="C23" s="1176">
        <v>20</v>
      </c>
      <c r="D23" s="812">
        <v>5.329779818146007E-2</v>
      </c>
    </row>
    <row r="24" spans="1:8" x14ac:dyDescent="0.25">
      <c r="A24" t="s">
        <v>693</v>
      </c>
      <c r="B24" s="788">
        <v>99.15</v>
      </c>
      <c r="C24" s="1176">
        <v>6</v>
      </c>
      <c r="D24" s="812">
        <v>4.4433878109559196E-3</v>
      </c>
    </row>
    <row r="25" spans="1:8" x14ac:dyDescent="0.25">
      <c r="A25" t="s">
        <v>1210</v>
      </c>
      <c r="B25" s="788">
        <v>300</v>
      </c>
      <c r="C25" s="1176">
        <v>2</v>
      </c>
      <c r="D25" s="812">
        <v>1.34444411829226E-2</v>
      </c>
    </row>
    <row r="26" spans="1:8" x14ac:dyDescent="0.25">
      <c r="A26" t="s">
        <v>1139</v>
      </c>
      <c r="B26" s="788">
        <v>3980.674</v>
      </c>
      <c r="C26" s="1176">
        <v>33</v>
      </c>
      <c r="D26" s="812">
        <v>0.17839312487129746</v>
      </c>
    </row>
    <row r="27" spans="1:8" x14ac:dyDescent="0.25">
      <c r="A27" t="s">
        <v>1215</v>
      </c>
      <c r="B27" s="788">
        <v>6350</v>
      </c>
      <c r="C27" s="1176">
        <v>7</v>
      </c>
      <c r="D27" s="812">
        <v>0.28457400503852837</v>
      </c>
    </row>
    <row r="28" spans="1:8" x14ac:dyDescent="0.25">
      <c r="A28" t="s">
        <v>392</v>
      </c>
      <c r="B28" s="788">
        <v>374</v>
      </c>
      <c r="C28" s="1176">
        <v>5</v>
      </c>
      <c r="D28" s="812">
        <v>1.6760736674710175E-2</v>
      </c>
    </row>
    <row r="29" spans="1:8" x14ac:dyDescent="0.25">
      <c r="A29" t="s">
        <v>219</v>
      </c>
      <c r="B29" s="788">
        <v>3.4</v>
      </c>
      <c r="C29" s="1176">
        <v>1</v>
      </c>
      <c r="D29" s="812">
        <v>1.5237033340645612E-4</v>
      </c>
    </row>
    <row r="30" spans="1:8" x14ac:dyDescent="0.25">
      <c r="A30" t="s">
        <v>1202</v>
      </c>
      <c r="B30" s="788">
        <v>30.887</v>
      </c>
      <c r="C30" s="1176">
        <v>3</v>
      </c>
      <c r="D30" s="812">
        <v>1.3841948493897678E-3</v>
      </c>
    </row>
    <row r="31" spans="1:8" x14ac:dyDescent="0.25">
      <c r="A31" s="674" t="s">
        <v>204</v>
      </c>
      <c r="B31" s="788">
        <v>22314.055000000004</v>
      </c>
      <c r="C31" s="1176">
        <v>259</v>
      </c>
      <c r="D31" s="812">
        <v>1</v>
      </c>
    </row>
    <row r="32" spans="1:8" x14ac:dyDescent="0.25">
      <c r="D32"/>
    </row>
    <row r="33" spans="1:8" x14ac:dyDescent="0.25">
      <c r="F33" s="835" t="s">
        <v>1432</v>
      </c>
      <c r="G33" s="832">
        <f>C49</f>
        <v>17965.419999999998</v>
      </c>
      <c r="H33" s="833">
        <f>G33/$G$36</f>
        <v>0.83396422695087491</v>
      </c>
    </row>
    <row r="34" spans="1:8" x14ac:dyDescent="0.25">
      <c r="F34" s="835" t="s">
        <v>1433</v>
      </c>
      <c r="G34" s="832">
        <f>C59</f>
        <v>2828.9959999999996</v>
      </c>
      <c r="H34" s="833">
        <f>G34/$G$36</f>
        <v>0.13132347933903671</v>
      </c>
    </row>
    <row r="35" spans="1:8" x14ac:dyDescent="0.25">
      <c r="F35" s="835" t="s">
        <v>1434</v>
      </c>
      <c r="G35" s="834">
        <f>C68</f>
        <v>747.77899999999988</v>
      </c>
      <c r="H35" s="833">
        <f>G35/$G$36</f>
        <v>3.4712293710088507E-2</v>
      </c>
    </row>
    <row r="36" spans="1:8" ht="15.75" thickBot="1" x14ac:dyDescent="0.3">
      <c r="A36" s="681" t="str">
        <f>'FIT Summary'!A1</f>
        <v>As of 30 June 2026</v>
      </c>
      <c r="F36" s="835" t="s">
        <v>877</v>
      </c>
      <c r="G36" s="832">
        <f>SUM(G33:G35)</f>
        <v>21542.194999999996</v>
      </c>
      <c r="H36" s="833">
        <f>G36/$G$36</f>
        <v>1</v>
      </c>
    </row>
    <row r="37" spans="1:8" s="674" customFormat="1" ht="57" thickBot="1" x14ac:dyDescent="0.3">
      <c r="A37" s="856" t="s">
        <v>59</v>
      </c>
      <c r="B37" s="857" t="s">
        <v>52</v>
      </c>
      <c r="C37" s="857" t="s">
        <v>1481</v>
      </c>
      <c r="D37" s="858" t="s">
        <v>55</v>
      </c>
      <c r="H37" s="767"/>
    </row>
    <row r="38" spans="1:8" s="674" customFormat="1" ht="18.75" x14ac:dyDescent="0.3">
      <c r="A38" s="1076" t="s">
        <v>60</v>
      </c>
      <c r="B38" s="814" t="s">
        <v>426</v>
      </c>
      <c r="C38" s="815">
        <v>1070.3800000000001</v>
      </c>
      <c r="D38" s="816">
        <v>5</v>
      </c>
      <c r="H38" s="767"/>
    </row>
    <row r="39" spans="1:8" s="674" customFormat="1" ht="18.75" x14ac:dyDescent="0.3">
      <c r="A39" s="1074"/>
      <c r="B39" s="817" t="s">
        <v>1062</v>
      </c>
      <c r="C39" s="818">
        <v>33.778999999999982</v>
      </c>
      <c r="D39" s="819">
        <v>58</v>
      </c>
      <c r="H39" s="767"/>
    </row>
    <row r="40" spans="1:8" s="674" customFormat="1" ht="18.75" x14ac:dyDescent="0.3">
      <c r="A40" s="1074"/>
      <c r="B40" s="820" t="s">
        <v>1158</v>
      </c>
      <c r="C40" s="821">
        <v>2240</v>
      </c>
      <c r="D40" s="822">
        <v>19</v>
      </c>
      <c r="H40" s="767"/>
    </row>
    <row r="41" spans="1:8" s="674" customFormat="1" ht="18.75" x14ac:dyDescent="0.3">
      <c r="A41" s="1074"/>
      <c r="B41" s="817" t="s">
        <v>1035</v>
      </c>
      <c r="C41" s="818">
        <v>4467.8139999999994</v>
      </c>
      <c r="D41" s="819">
        <v>63</v>
      </c>
      <c r="G41" s="831"/>
      <c r="H41" s="767"/>
    </row>
    <row r="42" spans="1:8" s="674" customFormat="1" ht="18.75" x14ac:dyDescent="0.3">
      <c r="A42" s="1074"/>
      <c r="B42" s="820" t="s">
        <v>1334</v>
      </c>
      <c r="C42" s="821">
        <v>609.4</v>
      </c>
      <c r="D42" s="822">
        <v>7</v>
      </c>
      <c r="G42" s="767"/>
      <c r="H42" s="767"/>
    </row>
    <row r="43" spans="1:8" s="674" customFormat="1" ht="18.75" x14ac:dyDescent="0.3">
      <c r="A43" s="1074"/>
      <c r="B43" s="817" t="s">
        <v>693</v>
      </c>
      <c r="C43" s="818">
        <v>80</v>
      </c>
      <c r="D43" s="819">
        <v>2</v>
      </c>
      <c r="G43" s="767"/>
      <c r="H43" s="767"/>
    </row>
    <row r="44" spans="1:8" s="674" customFormat="1" ht="18.75" x14ac:dyDescent="0.3">
      <c r="A44" s="1074"/>
      <c r="B44" s="820" t="s">
        <v>1210</v>
      </c>
      <c r="C44" s="821">
        <v>300</v>
      </c>
      <c r="D44" s="822">
        <v>2</v>
      </c>
      <c r="G44" s="767"/>
      <c r="H44" s="767"/>
    </row>
    <row r="45" spans="1:8" s="674" customFormat="1" ht="18.75" x14ac:dyDescent="0.3">
      <c r="A45" s="1074"/>
      <c r="B45" s="817" t="s">
        <v>1139</v>
      </c>
      <c r="C45" s="818">
        <v>2681.674</v>
      </c>
      <c r="D45" s="819">
        <v>22</v>
      </c>
      <c r="G45" s="767"/>
      <c r="H45" s="767"/>
    </row>
    <row r="46" spans="1:8" s="674" customFormat="1" ht="18.75" x14ac:dyDescent="0.3">
      <c r="A46" s="1074"/>
      <c r="B46" s="820" t="s">
        <v>1215</v>
      </c>
      <c r="C46" s="821">
        <v>6100</v>
      </c>
      <c r="D46" s="822">
        <v>6</v>
      </c>
      <c r="G46" s="767"/>
      <c r="H46" s="767"/>
    </row>
    <row r="47" spans="1:8" s="674" customFormat="1" ht="18.75" x14ac:dyDescent="0.3">
      <c r="A47" s="1074"/>
      <c r="B47" s="817" t="s">
        <v>392</v>
      </c>
      <c r="C47" s="818">
        <v>360.8</v>
      </c>
      <c r="D47" s="819">
        <v>4</v>
      </c>
      <c r="G47" s="767"/>
      <c r="H47" s="767"/>
    </row>
    <row r="48" spans="1:8" s="674" customFormat="1" ht="18.75" x14ac:dyDescent="0.3">
      <c r="A48" s="1074"/>
      <c r="B48" s="820" t="s">
        <v>1202</v>
      </c>
      <c r="C48" s="821">
        <v>21.573</v>
      </c>
      <c r="D48" s="822">
        <v>1</v>
      </c>
      <c r="G48" s="767"/>
      <c r="H48" s="767"/>
    </row>
    <row r="49" spans="1:8" s="674" customFormat="1" ht="19.5" thickBot="1" x14ac:dyDescent="0.35">
      <c r="A49" s="1083"/>
      <c r="B49" s="823" t="s">
        <v>203</v>
      </c>
      <c r="C49" s="824">
        <f>SUM(C38:C48)</f>
        <v>17965.419999999998</v>
      </c>
      <c r="D49" s="825">
        <f>SUM(D38:D48)</f>
        <v>189</v>
      </c>
      <c r="G49" s="767"/>
      <c r="H49" s="767"/>
    </row>
    <row r="50" spans="1:8" s="674" customFormat="1" ht="18.75" x14ac:dyDescent="0.3">
      <c r="A50" s="1076" t="s">
        <v>61</v>
      </c>
      <c r="B50" s="826" t="s">
        <v>426</v>
      </c>
      <c r="C50" s="827">
        <v>300</v>
      </c>
      <c r="D50" s="828">
        <v>1</v>
      </c>
      <c r="G50" s="767"/>
      <c r="H50" s="767"/>
    </row>
    <row r="51" spans="1:8" s="674" customFormat="1" ht="18.75" x14ac:dyDescent="0.3">
      <c r="A51" s="1074"/>
      <c r="B51" s="817" t="s">
        <v>1062</v>
      </c>
      <c r="C51" s="818">
        <v>0.25</v>
      </c>
      <c r="D51" s="819">
        <v>2</v>
      </c>
      <c r="G51" s="767"/>
      <c r="H51" s="767"/>
    </row>
    <row r="52" spans="1:8" s="674" customFormat="1" ht="18.75" x14ac:dyDescent="0.3">
      <c r="A52" s="1074"/>
      <c r="B52" s="820" t="s">
        <v>1158</v>
      </c>
      <c r="C52" s="821">
        <v>134</v>
      </c>
      <c r="D52" s="822">
        <v>2</v>
      </c>
      <c r="G52" s="767"/>
      <c r="H52" s="767"/>
    </row>
    <row r="53" spans="1:8" s="674" customFormat="1" ht="18.75" x14ac:dyDescent="0.3">
      <c r="A53" s="1074"/>
      <c r="B53" s="817" t="s">
        <v>1035</v>
      </c>
      <c r="C53" s="818">
        <v>1117.191</v>
      </c>
      <c r="D53" s="819">
        <v>19</v>
      </c>
      <c r="G53" s="767"/>
      <c r="H53" s="767"/>
    </row>
    <row r="54" spans="1:8" ht="18.75" x14ac:dyDescent="0.3">
      <c r="A54" s="1074"/>
      <c r="B54" s="820" t="s">
        <v>1334</v>
      </c>
      <c r="C54" s="821">
        <v>140.71</v>
      </c>
      <c r="D54" s="822">
        <v>3</v>
      </c>
    </row>
    <row r="55" spans="1:8" ht="18.75" x14ac:dyDescent="0.3">
      <c r="A55" s="1074"/>
      <c r="B55" s="817" t="s">
        <v>1139</v>
      </c>
      <c r="C55" s="818">
        <v>868</v>
      </c>
      <c r="D55" s="819">
        <v>7</v>
      </c>
    </row>
    <row r="56" spans="1:8" ht="18.75" x14ac:dyDescent="0.3">
      <c r="A56" s="1074"/>
      <c r="B56" s="820" t="s">
        <v>1215</v>
      </c>
      <c r="C56" s="821">
        <v>250</v>
      </c>
      <c r="D56" s="822">
        <v>1</v>
      </c>
    </row>
    <row r="57" spans="1:8" ht="18.75" x14ac:dyDescent="0.3">
      <c r="A57" s="1074"/>
      <c r="B57" s="817" t="s">
        <v>392</v>
      </c>
      <c r="C57" s="818">
        <v>13.2</v>
      </c>
      <c r="D57" s="819">
        <v>1</v>
      </c>
    </row>
    <row r="58" spans="1:8" ht="18.75" x14ac:dyDescent="0.3">
      <c r="A58" s="1074"/>
      <c r="B58" s="820" t="s">
        <v>1202</v>
      </c>
      <c r="C58" s="821">
        <v>5.6449999999999996</v>
      </c>
      <c r="D58" s="822">
        <v>1</v>
      </c>
    </row>
    <row r="59" spans="1:8" ht="19.5" thickBot="1" x14ac:dyDescent="0.35">
      <c r="A59" s="1075"/>
      <c r="B59" s="823" t="s">
        <v>203</v>
      </c>
      <c r="C59" s="824">
        <f>SUM(C50:C58)</f>
        <v>2828.9959999999996</v>
      </c>
      <c r="D59" s="825">
        <f>SUM(D50:D58)</f>
        <v>37</v>
      </c>
    </row>
    <row r="60" spans="1:8" ht="18.75" x14ac:dyDescent="0.3">
      <c r="A60" s="1073" t="s">
        <v>62</v>
      </c>
      <c r="B60" s="820" t="s">
        <v>426</v>
      </c>
      <c r="C60" s="821">
        <v>120</v>
      </c>
      <c r="D60" s="822">
        <v>1</v>
      </c>
    </row>
    <row r="61" spans="1:8" ht="18.75" x14ac:dyDescent="0.3">
      <c r="A61" s="1074"/>
      <c r="B61" s="817" t="s">
        <v>1062</v>
      </c>
      <c r="C61" s="818">
        <v>0.18</v>
      </c>
      <c r="D61" s="819">
        <v>2</v>
      </c>
    </row>
    <row r="62" spans="1:8" ht="18.75" x14ac:dyDescent="0.3">
      <c r="A62" s="1074"/>
      <c r="B62" s="820" t="s">
        <v>1035</v>
      </c>
      <c r="C62" s="821">
        <v>383</v>
      </c>
      <c r="D62" s="822">
        <v>8</v>
      </c>
    </row>
    <row r="63" spans="1:8" ht="18.75" x14ac:dyDescent="0.3">
      <c r="A63" s="1074"/>
      <c r="B63" s="817" t="s">
        <v>1334</v>
      </c>
      <c r="C63" s="818">
        <v>67.38</v>
      </c>
      <c r="D63" s="819">
        <v>2</v>
      </c>
    </row>
    <row r="64" spans="1:8" ht="18.75" x14ac:dyDescent="0.3">
      <c r="A64" s="1074"/>
      <c r="B64" s="820" t="s">
        <v>693</v>
      </c>
      <c r="C64" s="821">
        <v>19.149999999999999</v>
      </c>
      <c r="D64" s="822">
        <v>4</v>
      </c>
    </row>
    <row r="65" spans="1:5" ht="18.75" x14ac:dyDescent="0.3">
      <c r="A65" s="1074"/>
      <c r="B65" s="817" t="s">
        <v>1139</v>
      </c>
      <c r="C65" s="818">
        <v>151</v>
      </c>
      <c r="D65" s="819">
        <v>2</v>
      </c>
    </row>
    <row r="66" spans="1:5" ht="18.75" x14ac:dyDescent="0.3">
      <c r="A66" s="1074"/>
      <c r="B66" s="820" t="s">
        <v>219</v>
      </c>
      <c r="C66" s="821">
        <v>3.4</v>
      </c>
      <c r="D66" s="822">
        <v>1</v>
      </c>
    </row>
    <row r="67" spans="1:5" ht="18.75" x14ac:dyDescent="0.3">
      <c r="A67" s="1074"/>
      <c r="B67" s="817" t="s">
        <v>1202</v>
      </c>
      <c r="C67" s="818">
        <v>3.669</v>
      </c>
      <c r="D67" s="819">
        <v>1</v>
      </c>
    </row>
    <row r="68" spans="1:5" ht="18.75" x14ac:dyDescent="0.3">
      <c r="A68" s="1075"/>
      <c r="B68" s="830" t="s">
        <v>203</v>
      </c>
      <c r="C68" s="811">
        <f>SUM(C60:C67)</f>
        <v>747.77899999999988</v>
      </c>
      <c r="D68" s="829">
        <f>SUM(D60:D67)</f>
        <v>21</v>
      </c>
    </row>
    <row r="69" spans="1:5" x14ac:dyDescent="0.25">
      <c r="A69" s="1077" t="s">
        <v>204</v>
      </c>
      <c r="B69" s="1078"/>
      <c r="C69" s="1081">
        <f>SUM(C68,C63,C58)</f>
        <v>820.80399999999986</v>
      </c>
      <c r="D69" s="1071">
        <f>SUM(D68,D63,D58)</f>
        <v>24</v>
      </c>
    </row>
    <row r="70" spans="1:5" ht="15.75" thickBot="1" x14ac:dyDescent="0.3">
      <c r="A70" s="1079"/>
      <c r="B70" s="1080"/>
      <c r="C70" s="1082"/>
      <c r="D70" s="1072"/>
    </row>
    <row r="76" spans="1:5" x14ac:dyDescent="0.25">
      <c r="A76" s="559" t="s">
        <v>202</v>
      </c>
      <c r="B76" s="787" t="s">
        <v>339</v>
      </c>
      <c r="C76" s="674" t="s">
        <v>1422</v>
      </c>
      <c r="D76" s="767" t="s">
        <v>1380</v>
      </c>
      <c r="E76" s="812" t="s">
        <v>1431</v>
      </c>
    </row>
    <row r="77" spans="1:5" x14ac:dyDescent="0.25">
      <c r="A77" t="s">
        <v>7</v>
      </c>
      <c r="B77" t="s">
        <v>426</v>
      </c>
      <c r="C77" s="788">
        <v>1070.3800000000001</v>
      </c>
      <c r="D77" s="1176">
        <v>5</v>
      </c>
      <c r="E77" s="813">
        <v>5.9562775240921025E-2</v>
      </c>
    </row>
    <row r="78" spans="1:5" x14ac:dyDescent="0.25">
      <c r="B78" t="s">
        <v>1062</v>
      </c>
      <c r="C78" s="788">
        <v>33.779000000000003</v>
      </c>
      <c r="D78" s="1176">
        <v>58</v>
      </c>
      <c r="E78" s="813">
        <v>1.8796791652152239E-3</v>
      </c>
    </row>
    <row r="79" spans="1:5" x14ac:dyDescent="0.25">
      <c r="B79" t="s">
        <v>1158</v>
      </c>
      <c r="C79" s="788">
        <v>2240</v>
      </c>
      <c r="D79" s="1176">
        <v>19</v>
      </c>
      <c r="E79" s="813">
        <v>0.12464789751271799</v>
      </c>
    </row>
    <row r="80" spans="1:5" x14ac:dyDescent="0.25">
      <c r="B80" t="s">
        <v>1035</v>
      </c>
      <c r="C80" s="788">
        <v>4287.4139999999989</v>
      </c>
      <c r="D80" s="1176">
        <v>61</v>
      </c>
      <c r="E80" s="813">
        <v>0.23857908074401435</v>
      </c>
    </row>
    <row r="81" spans="1:5" x14ac:dyDescent="0.25">
      <c r="B81" t="s">
        <v>1334</v>
      </c>
      <c r="C81" s="788">
        <v>715</v>
      </c>
      <c r="D81" s="1176">
        <v>10</v>
      </c>
      <c r="E81" s="813">
        <v>3.9787163714997034E-2</v>
      </c>
    </row>
    <row r="82" spans="1:5" x14ac:dyDescent="0.25">
      <c r="B82" t="s">
        <v>693</v>
      </c>
      <c r="C82" s="788">
        <v>80</v>
      </c>
      <c r="D82" s="1176">
        <v>2</v>
      </c>
      <c r="E82" s="813">
        <v>4.4517106254542138E-3</v>
      </c>
    </row>
    <row r="83" spans="1:5" x14ac:dyDescent="0.25">
      <c r="B83" t="s">
        <v>1210</v>
      </c>
      <c r="C83" s="788">
        <v>300</v>
      </c>
      <c r="D83" s="1176">
        <v>2</v>
      </c>
      <c r="E83" s="813">
        <v>1.6693914845453302E-2</v>
      </c>
    </row>
    <row r="84" spans="1:5" x14ac:dyDescent="0.25">
      <c r="B84" t="s">
        <v>1139</v>
      </c>
      <c r="C84" s="788">
        <v>2761.674</v>
      </c>
      <c r="D84" s="1176">
        <v>21</v>
      </c>
      <c r="E84" s="813">
        <v>0.15367716862300801</v>
      </c>
    </row>
    <row r="85" spans="1:5" x14ac:dyDescent="0.25">
      <c r="B85" t="s">
        <v>1215</v>
      </c>
      <c r="C85" s="788">
        <v>6100</v>
      </c>
      <c r="D85" s="1176">
        <v>6</v>
      </c>
      <c r="E85" s="813">
        <v>0.33944293519088381</v>
      </c>
    </row>
    <row r="86" spans="1:5" x14ac:dyDescent="0.25">
      <c r="B86" t="s">
        <v>392</v>
      </c>
      <c r="C86" s="788">
        <v>360.8</v>
      </c>
      <c r="D86" s="1176">
        <v>4</v>
      </c>
      <c r="E86" s="813">
        <v>2.0077214920798506E-2</v>
      </c>
    </row>
    <row r="87" spans="1:5" x14ac:dyDescent="0.25">
      <c r="B87" t="s">
        <v>1202</v>
      </c>
      <c r="C87" s="788">
        <v>21.573</v>
      </c>
      <c r="D87" s="1176">
        <v>1</v>
      </c>
      <c r="E87" s="813">
        <v>1.2004594165365469E-3</v>
      </c>
    </row>
    <row r="88" spans="1:5" x14ac:dyDescent="0.25">
      <c r="A88" t="s">
        <v>790</v>
      </c>
      <c r="C88" s="788">
        <v>17970.62</v>
      </c>
      <c r="D88" s="1176">
        <v>189</v>
      </c>
      <c r="E88" s="813">
        <v>1</v>
      </c>
    </row>
    <row r="89" spans="1:5" x14ac:dyDescent="0.25">
      <c r="A89" s="674" t="s">
        <v>204</v>
      </c>
      <c r="B89" s="674"/>
      <c r="C89" s="788">
        <v>17970.62</v>
      </c>
      <c r="D89" s="1176">
        <v>189</v>
      </c>
      <c r="E89" s="813">
        <v>1</v>
      </c>
    </row>
    <row r="90" spans="1:5" x14ac:dyDescent="0.25">
      <c r="D90"/>
    </row>
    <row r="91" spans="1:5" x14ac:dyDescent="0.25">
      <c r="A91" s="559" t="s">
        <v>202</v>
      </c>
      <c r="B91" s="787" t="s">
        <v>339</v>
      </c>
      <c r="C91" s="674" t="s">
        <v>1422</v>
      </c>
      <c r="D91" s="767" t="s">
        <v>1380</v>
      </c>
      <c r="E91" s="812" t="s">
        <v>1431</v>
      </c>
    </row>
    <row r="92" spans="1:5" x14ac:dyDescent="0.25">
      <c r="A92" t="s">
        <v>32</v>
      </c>
      <c r="B92" t="s">
        <v>426</v>
      </c>
      <c r="C92" s="788">
        <v>300</v>
      </c>
      <c r="D92" s="1176">
        <v>1</v>
      </c>
      <c r="E92" s="813">
        <v>8.5806073697120566E-2</v>
      </c>
    </row>
    <row r="93" spans="1:5" x14ac:dyDescent="0.25">
      <c r="B93" t="s">
        <v>1062</v>
      </c>
      <c r="C93" s="788">
        <v>0.25</v>
      </c>
      <c r="D93" s="1176">
        <v>2</v>
      </c>
      <c r="E93" s="813">
        <v>7.1505061414267146E-5</v>
      </c>
    </row>
    <row r="94" spans="1:5" x14ac:dyDescent="0.25">
      <c r="B94" t="s">
        <v>1158</v>
      </c>
      <c r="C94" s="788">
        <v>134</v>
      </c>
      <c r="D94" s="1176">
        <v>2</v>
      </c>
      <c r="E94" s="813">
        <v>3.8326712918047186E-2</v>
      </c>
    </row>
    <row r="95" spans="1:5" x14ac:dyDescent="0.25">
      <c r="B95" t="s">
        <v>1035</v>
      </c>
      <c r="C95" s="788">
        <v>1417.6509999999998</v>
      </c>
      <c r="D95" s="1176">
        <v>23</v>
      </c>
      <c r="E95" s="813">
        <v>0.40547688727598885</v>
      </c>
    </row>
    <row r="96" spans="1:5" x14ac:dyDescent="0.25">
      <c r="B96" t="s">
        <v>1334</v>
      </c>
      <c r="C96" s="788">
        <v>307.51</v>
      </c>
      <c r="D96" s="1176">
        <v>6</v>
      </c>
      <c r="E96" s="813">
        <v>8.7954085742005153E-2</v>
      </c>
    </row>
    <row r="97" spans="1:5" x14ac:dyDescent="0.25">
      <c r="B97" t="s">
        <v>1139</v>
      </c>
      <c r="C97" s="788">
        <v>1068</v>
      </c>
      <c r="D97" s="1176">
        <v>10</v>
      </c>
      <c r="E97" s="813">
        <v>0.30546962236174924</v>
      </c>
    </row>
    <row r="98" spans="1:5" x14ac:dyDescent="0.25">
      <c r="B98" t="s">
        <v>1215</v>
      </c>
      <c r="C98" s="788">
        <v>250</v>
      </c>
      <c r="D98" s="1176">
        <v>1</v>
      </c>
      <c r="E98" s="813">
        <v>7.1505061414267143E-2</v>
      </c>
    </row>
    <row r="99" spans="1:5" x14ac:dyDescent="0.25">
      <c r="B99" t="s">
        <v>392</v>
      </c>
      <c r="C99" s="788">
        <v>13.2</v>
      </c>
      <c r="D99" s="1176">
        <v>1</v>
      </c>
      <c r="E99" s="813">
        <v>3.7754672426733049E-3</v>
      </c>
    </row>
    <row r="100" spans="1:5" x14ac:dyDescent="0.25">
      <c r="B100" t="s">
        <v>1202</v>
      </c>
      <c r="C100" s="788">
        <v>5.6449999999999996</v>
      </c>
      <c r="D100" s="1176">
        <v>1</v>
      </c>
      <c r="E100" s="813">
        <v>1.6145842867341519E-3</v>
      </c>
    </row>
    <row r="101" spans="1:5" x14ac:dyDescent="0.25">
      <c r="A101" t="s">
        <v>791</v>
      </c>
      <c r="C101" s="788">
        <v>3496.2560000000003</v>
      </c>
      <c r="D101" s="1176">
        <v>47</v>
      </c>
      <c r="E101" s="813">
        <v>1</v>
      </c>
    </row>
    <row r="102" spans="1:5" x14ac:dyDescent="0.25">
      <c r="A102" s="674" t="s">
        <v>204</v>
      </c>
      <c r="B102" s="674"/>
      <c r="C102" s="788">
        <v>3496.2560000000003</v>
      </c>
      <c r="D102" s="1176">
        <v>47</v>
      </c>
      <c r="E102" s="813">
        <v>1</v>
      </c>
    </row>
    <row r="103" spans="1:5" x14ac:dyDescent="0.25">
      <c r="D103"/>
    </row>
    <row r="104" spans="1:5" x14ac:dyDescent="0.25">
      <c r="D104"/>
    </row>
    <row r="105" spans="1:5" x14ac:dyDescent="0.25">
      <c r="A105" s="559" t="s">
        <v>202</v>
      </c>
      <c r="B105" s="787" t="s">
        <v>339</v>
      </c>
      <c r="C105" s="674" t="s">
        <v>1422</v>
      </c>
      <c r="D105" s="767" t="s">
        <v>1380</v>
      </c>
      <c r="E105" s="812" t="s">
        <v>1431</v>
      </c>
    </row>
    <row r="106" spans="1:5" x14ac:dyDescent="0.25">
      <c r="A106" t="s">
        <v>8</v>
      </c>
      <c r="B106" t="s">
        <v>426</v>
      </c>
      <c r="C106" s="788">
        <v>120</v>
      </c>
      <c r="D106" s="1176">
        <v>1</v>
      </c>
      <c r="E106" s="813">
        <v>0.14164657055946853</v>
      </c>
    </row>
    <row r="107" spans="1:5" x14ac:dyDescent="0.25">
      <c r="B107" t="s">
        <v>1062</v>
      </c>
      <c r="C107" s="788">
        <v>0.18</v>
      </c>
      <c r="D107" s="1176">
        <v>2</v>
      </c>
      <c r="E107" s="813">
        <v>2.1246985583920277E-4</v>
      </c>
    </row>
    <row r="108" spans="1:5" x14ac:dyDescent="0.25">
      <c r="B108" t="s">
        <v>1035</v>
      </c>
      <c r="C108" s="788">
        <v>383</v>
      </c>
      <c r="D108" s="1176">
        <v>8</v>
      </c>
      <c r="E108" s="813">
        <v>0.45208863770230373</v>
      </c>
    </row>
    <row r="109" spans="1:5" x14ac:dyDescent="0.25">
      <c r="B109" t="s">
        <v>1334</v>
      </c>
      <c r="C109" s="788">
        <v>166.78</v>
      </c>
      <c r="D109" s="1176">
        <v>4</v>
      </c>
      <c r="E109" s="813">
        <v>0.19686512531590133</v>
      </c>
    </row>
    <row r="110" spans="1:5" x14ac:dyDescent="0.25">
      <c r="B110" t="s">
        <v>693</v>
      </c>
      <c r="C110" s="788">
        <v>19.149999999999999</v>
      </c>
      <c r="D110" s="1176">
        <v>4</v>
      </c>
      <c r="E110" s="813">
        <v>2.2604431885115184E-2</v>
      </c>
    </row>
    <row r="111" spans="1:5" x14ac:dyDescent="0.25">
      <c r="B111" t="s">
        <v>1139</v>
      </c>
      <c r="C111" s="788">
        <v>151</v>
      </c>
      <c r="D111" s="1176">
        <v>2</v>
      </c>
      <c r="E111" s="813">
        <v>0.17823860128733124</v>
      </c>
    </row>
    <row r="112" spans="1:5" x14ac:dyDescent="0.25">
      <c r="B112" t="s">
        <v>219</v>
      </c>
      <c r="C112" s="788">
        <v>3.4</v>
      </c>
      <c r="D112" s="1176">
        <v>1</v>
      </c>
      <c r="E112" s="813">
        <v>4.0133194991849412E-3</v>
      </c>
    </row>
    <row r="113" spans="1:5" x14ac:dyDescent="0.25">
      <c r="B113" t="s">
        <v>1202</v>
      </c>
      <c r="C113" s="788">
        <v>3.669</v>
      </c>
      <c r="D113" s="1176">
        <v>1</v>
      </c>
      <c r="E113" s="813">
        <v>4.3308438948557503E-3</v>
      </c>
    </row>
    <row r="114" spans="1:5" x14ac:dyDescent="0.25">
      <c r="A114" t="s">
        <v>792</v>
      </c>
      <c r="C114" s="788">
        <v>847.17900000000009</v>
      </c>
      <c r="D114" s="1176">
        <v>23</v>
      </c>
      <c r="E114" s="813">
        <v>1</v>
      </c>
    </row>
    <row r="115" spans="1:5" x14ac:dyDescent="0.25">
      <c r="A115" s="674" t="s">
        <v>204</v>
      </c>
      <c r="B115" s="674"/>
      <c r="C115" s="788">
        <v>847.17900000000009</v>
      </c>
      <c r="D115" s="1176">
        <v>23</v>
      </c>
      <c r="E115" s="813">
        <v>1</v>
      </c>
    </row>
    <row r="116" spans="1:5" x14ac:dyDescent="0.25">
      <c r="D116"/>
    </row>
    <row r="121" spans="1:5" x14ac:dyDescent="0.25">
      <c r="A121" s="681" t="str">
        <f>'FIT Summary'!A1</f>
        <v>As of 30 June 2026</v>
      </c>
    </row>
    <row r="122" spans="1:5" x14ac:dyDescent="0.25">
      <c r="A122" s="862" t="s">
        <v>1680</v>
      </c>
      <c r="B122" s="862" t="s">
        <v>339</v>
      </c>
      <c r="C122" s="863" t="s">
        <v>1457</v>
      </c>
      <c r="D122" s="863" t="s">
        <v>1458</v>
      </c>
      <c r="E122" s="864"/>
    </row>
    <row r="123" spans="1:5" x14ac:dyDescent="0.25">
      <c r="A123" s="674" t="s">
        <v>991</v>
      </c>
      <c r="B123" t="s">
        <v>219</v>
      </c>
      <c r="C123" s="921">
        <v>230</v>
      </c>
      <c r="D123" s="921">
        <f>GETPIVOTDATA("Sum of Capacity (MW)",$A$150,"Technology","Biomass","GEA","GEA1")</f>
        <v>3.4</v>
      </c>
      <c r="E123" s="922"/>
    </row>
    <row r="124" spans="1:5" x14ac:dyDescent="0.25">
      <c r="A124" s="674"/>
      <c r="B124" t="s">
        <v>693</v>
      </c>
      <c r="C124" s="921">
        <v>130</v>
      </c>
      <c r="D124" s="921">
        <f>GETPIVOTDATA("Sum of Capacity (MW)",$A$150,"Technology","Hydro","GEA","GEA1")</f>
        <v>99.15</v>
      </c>
      <c r="E124" s="922"/>
    </row>
    <row r="125" spans="1:5" x14ac:dyDescent="0.25">
      <c r="A125" s="674"/>
      <c r="B125" t="s">
        <v>426</v>
      </c>
      <c r="C125" s="921">
        <v>1260</v>
      </c>
      <c r="D125" s="921">
        <f>GETPIVOTDATA("Sum of Capacity (MW)",$A$150,"Technology","Solar","GEA","GEA1")</f>
        <v>1490.38</v>
      </c>
      <c r="E125" s="922"/>
    </row>
    <row r="126" spans="1:5" x14ac:dyDescent="0.25">
      <c r="A126" s="674"/>
      <c r="B126" t="s">
        <v>392</v>
      </c>
      <c r="C126" s="921">
        <v>380</v>
      </c>
      <c r="D126" s="921">
        <f>GETPIVOTDATA("Sum of Capacity (MW)",$A$150,"Technology","Wind","GEA","GEA1")</f>
        <v>374</v>
      </c>
      <c r="E126" s="922"/>
    </row>
    <row r="127" spans="1:5" x14ac:dyDescent="0.25">
      <c r="A127" s="860"/>
      <c r="B127" s="860"/>
      <c r="C127" s="923">
        <f>SUM(C123:C126)</f>
        <v>2000</v>
      </c>
      <c r="D127" s="923">
        <f>SUM(D123:D126)</f>
        <v>1966.93</v>
      </c>
      <c r="E127" s="923">
        <f>C127-D127</f>
        <v>33.069999999999936</v>
      </c>
    </row>
    <row r="128" spans="1:5" x14ac:dyDescent="0.25">
      <c r="A128" s="674" t="s">
        <v>1034</v>
      </c>
      <c r="B128" t="s">
        <v>1158</v>
      </c>
      <c r="C128" s="921">
        <v>300</v>
      </c>
      <c r="D128" s="921">
        <f>GETPIVOTDATA("Sum of Capacity (MW)",$A$150,"Technology","Floating Solar","GEA","GEA2")</f>
        <v>90</v>
      </c>
      <c r="E128" s="922"/>
    </row>
    <row r="129" spans="1:5" x14ac:dyDescent="0.25">
      <c r="A129" s="674"/>
      <c r="B129" t="s">
        <v>1035</v>
      </c>
      <c r="C129" s="921">
        <v>6715</v>
      </c>
      <c r="D129" s="921">
        <f>GETPIVOTDATA("Sum of Capacity (MW)",$A$150,"Technology","Ground Mounted Solar","GEA","GEA2")</f>
        <v>1908.9819999999997</v>
      </c>
      <c r="E129" s="922"/>
    </row>
    <row r="130" spans="1:5" x14ac:dyDescent="0.25">
      <c r="A130" s="674"/>
      <c r="B130" t="s">
        <v>1139</v>
      </c>
      <c r="C130" s="921">
        <v>3720</v>
      </c>
      <c r="D130" s="921">
        <f>GETPIVOTDATA("Sum of Capacity (MW)",$A$150,"Technology","Onshore Wind","GEA","GEA2")</f>
        <v>1462.384</v>
      </c>
      <c r="E130" s="922"/>
    </row>
    <row r="131" spans="1:5" x14ac:dyDescent="0.25">
      <c r="A131" s="674"/>
      <c r="B131" t="s">
        <v>1062</v>
      </c>
      <c r="C131" s="921">
        <v>605</v>
      </c>
      <c r="D131" s="921">
        <f>GETPIVOTDATA("Sum of Capacity (MW)",$A$150,"Technology","Roof Mounted Solar","GEA","GEA2")</f>
        <v>9.3899999999999988</v>
      </c>
      <c r="E131" s="922"/>
    </row>
    <row r="132" spans="1:5" x14ac:dyDescent="0.25">
      <c r="A132" s="674"/>
      <c r="B132" t="s">
        <v>219</v>
      </c>
      <c r="C132" s="921">
        <f>'GEA Summary'!E47</f>
        <v>230</v>
      </c>
      <c r="D132" s="921">
        <v>0</v>
      </c>
      <c r="E132" s="922"/>
    </row>
    <row r="133" spans="1:5" x14ac:dyDescent="0.25">
      <c r="A133" s="674"/>
      <c r="B133" t="s">
        <v>1408</v>
      </c>
      <c r="C133" s="921">
        <f>'GEA Summary'!E48</f>
        <v>30</v>
      </c>
      <c r="D133" s="921">
        <v>0</v>
      </c>
      <c r="E133" s="922"/>
    </row>
    <row r="134" spans="1:5" x14ac:dyDescent="0.25">
      <c r="A134" s="860"/>
      <c r="B134" s="860"/>
      <c r="C134" s="923">
        <f>SUM(C128:C133)</f>
        <v>11600</v>
      </c>
      <c r="D134" s="923">
        <f>SUM(D128:D133)</f>
        <v>3470.7559999999999</v>
      </c>
      <c r="E134" s="923">
        <f>C134-D134</f>
        <v>8129.2440000000006</v>
      </c>
    </row>
    <row r="135" spans="1:5" x14ac:dyDescent="0.25">
      <c r="A135" s="674" t="s">
        <v>1201</v>
      </c>
      <c r="B135" t="s">
        <v>1202</v>
      </c>
      <c r="C135" s="921">
        <v>100</v>
      </c>
      <c r="D135" s="921">
        <f>GETPIVOTDATA("Sum of Capacity (MW)",$A$150,"Technology","Geothermal","GEA","GEA3")</f>
        <v>30.887</v>
      </c>
      <c r="E135" s="922"/>
    </row>
    <row r="136" spans="1:5" x14ac:dyDescent="0.25">
      <c r="A136" s="674"/>
      <c r="B136" t="s">
        <v>1210</v>
      </c>
      <c r="C136" s="921">
        <v>300</v>
      </c>
      <c r="D136" s="921">
        <f>GETPIVOTDATA("Sum of Capacity (MW)",$A$150,"Technology","Impounding Hydro","GEA","GEA3")</f>
        <v>300</v>
      </c>
      <c r="E136" s="922"/>
    </row>
    <row r="137" spans="1:5" x14ac:dyDescent="0.25">
      <c r="A137" s="674"/>
      <c r="B137" t="s">
        <v>1215</v>
      </c>
      <c r="C137" s="921">
        <v>4250</v>
      </c>
      <c r="D137" s="921">
        <f>GETPIVOTDATA("Sum of Capacity (MW)",$A$150,"Technology","Pumped Storage Hydro","GEA","GEA3")</f>
        <v>6350</v>
      </c>
      <c r="E137" s="922"/>
    </row>
    <row r="138" spans="1:5" x14ac:dyDescent="0.25">
      <c r="A138" s="860"/>
      <c r="B138" s="860"/>
      <c r="C138" s="923">
        <f>SUM(C135:C137)</f>
        <v>4650</v>
      </c>
      <c r="D138" s="923">
        <f>SUM(D135:D137)</f>
        <v>6680.8869999999997</v>
      </c>
      <c r="E138" s="923">
        <f>C138-D138</f>
        <v>-2030.8869999999997</v>
      </c>
    </row>
    <row r="139" spans="1:5" x14ac:dyDescent="0.25">
      <c r="A139" s="674" t="s">
        <v>1228</v>
      </c>
      <c r="B139" t="s">
        <v>1158</v>
      </c>
      <c r="C139" s="921">
        <v>3175</v>
      </c>
      <c r="D139" s="921">
        <f>GETPIVOTDATA("Sum of Capacity (MW)",$A$150,"Technology","Floating Solar","GEA","GEA4")</f>
        <v>2284</v>
      </c>
      <c r="E139" s="922"/>
    </row>
    <row r="140" spans="1:5" x14ac:dyDescent="0.25">
      <c r="A140" s="674"/>
      <c r="B140" t="s">
        <v>1035</v>
      </c>
      <c r="C140" s="921">
        <v>3970</v>
      </c>
      <c r="D140" s="921">
        <f>GETPIVOTDATA("Sum of Capacity (MW)",$A$150,"Technology","Ground Mounted Solar","GEA","GEA4")</f>
        <v>4179.0830000000005</v>
      </c>
      <c r="E140" s="922"/>
    </row>
    <row r="141" spans="1:5" x14ac:dyDescent="0.25">
      <c r="A141" s="674"/>
      <c r="B141" t="s">
        <v>1334</v>
      </c>
      <c r="C141" s="921">
        <v>1100</v>
      </c>
      <c r="D141" s="921">
        <f>GETPIVOTDATA("Sum of Capacity (MW)",$A$150,"Technology","IRESS","GEA","GEA4")</f>
        <v>1189.2900000000002</v>
      </c>
      <c r="E141" s="922"/>
    </row>
    <row r="142" spans="1:5" x14ac:dyDescent="0.25">
      <c r="A142" s="674"/>
      <c r="B142" t="s">
        <v>1139</v>
      </c>
      <c r="C142" s="921">
        <v>2390</v>
      </c>
      <c r="D142" s="921">
        <f>GETPIVOTDATA("Sum of Capacity (MW)",$A$150,"Technology","Onshore Wind","GEA","GEA4")</f>
        <v>2518.29</v>
      </c>
      <c r="E142" s="922"/>
    </row>
    <row r="143" spans="1:5" x14ac:dyDescent="0.25">
      <c r="A143" s="674"/>
      <c r="B143" t="s">
        <v>1062</v>
      </c>
      <c r="C143" s="921">
        <v>48</v>
      </c>
      <c r="D143" s="921">
        <f>GETPIVOTDATA("Sum of Capacity (MW)",$A$150,"Technology","Roof Mounted Solar","GEA","GEA4")</f>
        <v>24.819000000000003</v>
      </c>
      <c r="E143" s="922"/>
    </row>
    <row r="144" spans="1:5" x14ac:dyDescent="0.25">
      <c r="A144" s="860"/>
      <c r="B144" s="860"/>
      <c r="C144" s="923">
        <f>SUM(C139:C143)</f>
        <v>10683</v>
      </c>
      <c r="D144" s="923">
        <f>SUM(D139:D143)</f>
        <v>10195.482</v>
      </c>
      <c r="E144" s="923">
        <f>C144-D144</f>
        <v>487.51800000000003</v>
      </c>
    </row>
    <row r="145" spans="1:5" x14ac:dyDescent="0.25">
      <c r="A145" s="674" t="s">
        <v>204</v>
      </c>
      <c r="B145" s="674"/>
      <c r="C145" s="887">
        <f>SUM(C144,C138,C134,C127)</f>
        <v>28933</v>
      </c>
      <c r="D145" s="887">
        <f>SUM(D144,D138,D134,D127)</f>
        <v>22314.055</v>
      </c>
      <c r="E145" s="887">
        <f>C145-D145</f>
        <v>6618.9449999999997</v>
      </c>
    </row>
    <row r="146" spans="1:5" x14ac:dyDescent="0.25">
      <c r="C146" s="117"/>
      <c r="D146" s="920"/>
      <c r="E146" s="117"/>
    </row>
    <row r="150" spans="1:5" x14ac:dyDescent="0.25">
      <c r="A150" s="787" t="s">
        <v>987</v>
      </c>
      <c r="B150" s="787" t="s">
        <v>339</v>
      </c>
      <c r="C150" s="674" t="s">
        <v>1422</v>
      </c>
      <c r="D150" s="767" t="s">
        <v>1380</v>
      </c>
      <c r="E150" s="812" t="s">
        <v>1431</v>
      </c>
    </row>
    <row r="151" spans="1:5" x14ac:dyDescent="0.25">
      <c r="A151" t="s">
        <v>991</v>
      </c>
      <c r="B151" t="s">
        <v>426</v>
      </c>
      <c r="C151" s="788">
        <v>1490.38</v>
      </c>
      <c r="D151" s="1176">
        <v>7</v>
      </c>
      <c r="E151" s="813">
        <v>6.6791087500680593E-2</v>
      </c>
    </row>
    <row r="152" spans="1:5" x14ac:dyDescent="0.25">
      <c r="B152" t="s">
        <v>693</v>
      </c>
      <c r="C152" s="788">
        <v>99.15</v>
      </c>
      <c r="D152" s="1176">
        <v>6</v>
      </c>
      <c r="E152" s="813">
        <v>4.4433878109559179E-3</v>
      </c>
    </row>
    <row r="153" spans="1:5" x14ac:dyDescent="0.25">
      <c r="B153" t="s">
        <v>392</v>
      </c>
      <c r="C153" s="788">
        <v>374</v>
      </c>
      <c r="D153" s="1176">
        <v>5</v>
      </c>
      <c r="E153" s="813">
        <v>1.6760736674710168E-2</v>
      </c>
    </row>
    <row r="154" spans="1:5" x14ac:dyDescent="0.25">
      <c r="B154" t="s">
        <v>219</v>
      </c>
      <c r="C154" s="788">
        <v>3.4</v>
      </c>
      <c r="D154" s="1176">
        <v>1</v>
      </c>
      <c r="E154" s="813">
        <v>1.5237033340645607E-4</v>
      </c>
    </row>
    <row r="155" spans="1:5" x14ac:dyDescent="0.25">
      <c r="A155" t="s">
        <v>1034</v>
      </c>
      <c r="B155" t="s">
        <v>1062</v>
      </c>
      <c r="C155" s="788">
        <v>9.3899999999999988</v>
      </c>
      <c r="D155" s="1176">
        <v>58</v>
      </c>
      <c r="E155" s="813">
        <v>4.2081100902547719E-4</v>
      </c>
    </row>
    <row r="156" spans="1:5" x14ac:dyDescent="0.25">
      <c r="B156" t="s">
        <v>1158</v>
      </c>
      <c r="C156" s="788">
        <v>90</v>
      </c>
      <c r="D156" s="1176">
        <v>1</v>
      </c>
      <c r="E156" s="813">
        <v>4.0333323548767787E-3</v>
      </c>
    </row>
    <row r="157" spans="1:5" x14ac:dyDescent="0.25">
      <c r="B157" t="s">
        <v>1035</v>
      </c>
      <c r="C157" s="788">
        <v>1908.9819999999997</v>
      </c>
      <c r="D157" s="1176">
        <v>34</v>
      </c>
      <c r="E157" s="813">
        <v>8.5550654060859793E-2</v>
      </c>
    </row>
    <row r="158" spans="1:5" x14ac:dyDescent="0.25">
      <c r="B158" t="s">
        <v>1139</v>
      </c>
      <c r="C158" s="788">
        <v>1462.384</v>
      </c>
      <c r="D158" s="1176">
        <v>12</v>
      </c>
      <c r="E158" s="813">
        <v>6.5536452249490257E-2</v>
      </c>
    </row>
    <row r="159" spans="1:5" x14ac:dyDescent="0.25">
      <c r="A159" t="s">
        <v>1201</v>
      </c>
      <c r="B159" t="s">
        <v>1210</v>
      </c>
      <c r="C159" s="788">
        <v>300</v>
      </c>
      <c r="D159" s="1176">
        <v>2</v>
      </c>
      <c r="E159" s="813">
        <v>1.3444441182922595E-2</v>
      </c>
    </row>
    <row r="160" spans="1:5" x14ac:dyDescent="0.25">
      <c r="B160" t="s">
        <v>1215</v>
      </c>
      <c r="C160" s="788">
        <v>6350</v>
      </c>
      <c r="D160" s="1176">
        <v>7</v>
      </c>
      <c r="E160" s="813">
        <v>0.28457400503852825</v>
      </c>
    </row>
    <row r="161" spans="1:13" x14ac:dyDescent="0.25">
      <c r="B161" t="s">
        <v>1202</v>
      </c>
      <c r="C161" s="788">
        <v>30.887</v>
      </c>
      <c r="D161" s="1176">
        <v>3</v>
      </c>
      <c r="E161" s="813">
        <v>1.3841948493897673E-3</v>
      </c>
    </row>
    <row r="162" spans="1:13" x14ac:dyDescent="0.25">
      <c r="A162" t="s">
        <v>1228</v>
      </c>
      <c r="B162" t="s">
        <v>1062</v>
      </c>
      <c r="C162" s="788">
        <v>24.819000000000003</v>
      </c>
      <c r="D162" s="1176">
        <v>4</v>
      </c>
      <c r="E162" s="813">
        <v>1.1122586190631864E-3</v>
      </c>
    </row>
    <row r="163" spans="1:13" x14ac:dyDescent="0.25">
      <c r="B163" t="s">
        <v>1158</v>
      </c>
      <c r="C163" s="788">
        <v>2284</v>
      </c>
      <c r="D163" s="1176">
        <v>20</v>
      </c>
      <c r="E163" s="813">
        <v>0.10235701220598402</v>
      </c>
    </row>
    <row r="164" spans="1:13" x14ac:dyDescent="0.25">
      <c r="B164" t="s">
        <v>1035</v>
      </c>
      <c r="C164" s="788">
        <v>4179.0830000000005</v>
      </c>
      <c r="D164" s="1176">
        <v>58</v>
      </c>
      <c r="E164" s="813">
        <v>0.18728478530683906</v>
      </c>
    </row>
    <row r="165" spans="1:13" x14ac:dyDescent="0.25">
      <c r="B165" t="s">
        <v>1334</v>
      </c>
      <c r="C165" s="788">
        <v>1189.2900000000002</v>
      </c>
      <c r="D165" s="1176">
        <v>20</v>
      </c>
      <c r="E165" s="813">
        <v>5.3297798181460056E-2</v>
      </c>
    </row>
    <row r="166" spans="1:13" x14ac:dyDescent="0.25">
      <c r="B166" t="s">
        <v>1139</v>
      </c>
      <c r="C166" s="788">
        <v>2518.29</v>
      </c>
      <c r="D166" s="1176">
        <v>21</v>
      </c>
      <c r="E166" s="813">
        <v>0.11285667262180714</v>
      </c>
    </row>
    <row r="167" spans="1:13" x14ac:dyDescent="0.25">
      <c r="A167" s="674" t="s">
        <v>204</v>
      </c>
      <c r="B167" s="674"/>
      <c r="C167" s="788">
        <v>22314.055000000011</v>
      </c>
      <c r="D167" s="1176">
        <v>259</v>
      </c>
      <c r="E167" s="813">
        <v>1</v>
      </c>
    </row>
    <row r="168" spans="1:13" x14ac:dyDescent="0.25">
      <c r="A168" s="674"/>
      <c r="B168" s="788"/>
      <c r="C168" s="565"/>
      <c r="D168" s="813"/>
    </row>
    <row r="169" spans="1:13" x14ac:dyDescent="0.25">
      <c r="A169" s="674"/>
      <c r="B169" s="788"/>
      <c r="C169" s="565"/>
      <c r="D169" s="813"/>
    </row>
    <row r="171" spans="1:13" x14ac:dyDescent="0.25">
      <c r="B171" s="787" t="s">
        <v>1459</v>
      </c>
      <c r="D171"/>
      <c r="G171"/>
      <c r="H171"/>
    </row>
    <row r="172" spans="1:13" x14ac:dyDescent="0.25">
      <c r="B172" t="s">
        <v>991</v>
      </c>
      <c r="D172"/>
      <c r="E172" t="s">
        <v>1034</v>
      </c>
      <c r="G172"/>
      <c r="H172" t="s">
        <v>1201</v>
      </c>
      <c r="K172" t="s">
        <v>1228</v>
      </c>
    </row>
    <row r="173" spans="1:13" x14ac:dyDescent="0.25">
      <c r="A173" s="787" t="s">
        <v>1460</v>
      </c>
      <c r="B173" t="s">
        <v>1486</v>
      </c>
      <c r="C173" t="s">
        <v>1487</v>
      </c>
      <c r="D173" t="s">
        <v>1488</v>
      </c>
      <c r="E173" t="s">
        <v>1486</v>
      </c>
      <c r="F173" t="s">
        <v>1487</v>
      </c>
      <c r="G173" t="s">
        <v>1488</v>
      </c>
      <c r="H173" t="s">
        <v>1486</v>
      </c>
      <c r="I173" t="s">
        <v>1487</v>
      </c>
      <c r="J173" t="s">
        <v>1488</v>
      </c>
      <c r="K173" t="s">
        <v>1486</v>
      </c>
      <c r="L173" t="s">
        <v>1487</v>
      </c>
      <c r="M173" t="s">
        <v>1488</v>
      </c>
    </row>
    <row r="174" spans="1:13" x14ac:dyDescent="0.25">
      <c r="A174" s="692" t="s">
        <v>1035</v>
      </c>
      <c r="B174" s="1175"/>
      <c r="C174" s="1175"/>
      <c r="D174" s="1175"/>
      <c r="E174" s="1175">
        <v>3.5950000000000002</v>
      </c>
      <c r="F174" s="1175">
        <v>4.4043000000000001</v>
      </c>
      <c r="G174" s="1175">
        <v>34</v>
      </c>
      <c r="H174" s="1175"/>
      <c r="I174" s="1175"/>
      <c r="J174" s="1175"/>
      <c r="K174" s="1175">
        <v>3.577</v>
      </c>
      <c r="L174" s="1175">
        <v>4.4832000000000001</v>
      </c>
      <c r="M174" s="1175">
        <v>58</v>
      </c>
    </row>
    <row r="175" spans="1:13" x14ac:dyDescent="0.25">
      <c r="A175" s="692" t="s">
        <v>1139</v>
      </c>
      <c r="B175" s="1175"/>
      <c r="C175" s="1175"/>
      <c r="D175" s="1175"/>
      <c r="E175" s="1175">
        <v>5.2512999999999996</v>
      </c>
      <c r="F175" s="1175">
        <v>5.8480999999999996</v>
      </c>
      <c r="G175" s="1175">
        <v>12</v>
      </c>
      <c r="H175" s="1175"/>
      <c r="I175" s="1175"/>
      <c r="J175" s="1175"/>
      <c r="K175" s="1175">
        <v>4.8776999999999999</v>
      </c>
      <c r="L175" s="1175">
        <v>6.0858999999999996</v>
      </c>
      <c r="M175" s="1175">
        <v>21</v>
      </c>
    </row>
    <row r="176" spans="1:13" x14ac:dyDescent="0.25">
      <c r="A176" s="692" t="s">
        <v>219</v>
      </c>
      <c r="B176" s="1175">
        <v>5.07</v>
      </c>
      <c r="C176" s="1175">
        <v>5.07</v>
      </c>
      <c r="D176" s="1175">
        <v>1</v>
      </c>
      <c r="E176" s="1175"/>
      <c r="F176" s="1175"/>
      <c r="G176" s="1175"/>
      <c r="H176" s="1175"/>
      <c r="I176" s="1175"/>
      <c r="J176" s="1175"/>
      <c r="K176" s="1175"/>
      <c r="L176" s="1175"/>
      <c r="M176" s="1175"/>
    </row>
    <row r="177" spans="1:13" x14ac:dyDescent="0.25">
      <c r="A177" s="692" t="s">
        <v>693</v>
      </c>
      <c r="B177" s="1175">
        <v>5.3875999999999999</v>
      </c>
      <c r="C177" s="1175">
        <v>5.49</v>
      </c>
      <c r="D177" s="1175">
        <v>6</v>
      </c>
      <c r="E177" s="1175"/>
      <c r="F177" s="1175"/>
      <c r="G177" s="1175"/>
      <c r="H177" s="1175"/>
      <c r="I177" s="1175"/>
      <c r="J177" s="1175"/>
      <c r="K177" s="1175"/>
      <c r="L177" s="1175"/>
      <c r="M177" s="1175"/>
    </row>
    <row r="178" spans="1:13" x14ac:dyDescent="0.25">
      <c r="A178" s="692" t="s">
        <v>1062</v>
      </c>
      <c r="B178" s="1175"/>
      <c r="C178" s="1175"/>
      <c r="D178" s="1175"/>
      <c r="E178" s="1175">
        <v>4.8738000000000001</v>
      </c>
      <c r="F178" s="1175">
        <v>4.8738000000000001</v>
      </c>
      <c r="G178" s="1175">
        <v>58</v>
      </c>
      <c r="H178" s="1175"/>
      <c r="I178" s="1175"/>
      <c r="J178" s="1175"/>
      <c r="K178" s="1175">
        <v>5.68</v>
      </c>
      <c r="L178" s="1175">
        <v>5.68</v>
      </c>
      <c r="M178" s="1175">
        <v>4</v>
      </c>
    </row>
    <row r="179" spans="1:13" x14ac:dyDescent="0.25">
      <c r="A179" s="692" t="s">
        <v>426</v>
      </c>
      <c r="B179" s="1175">
        <v>3.4</v>
      </c>
      <c r="C179" s="1175">
        <v>3.6779000000000002</v>
      </c>
      <c r="D179" s="1175">
        <v>7</v>
      </c>
      <c r="E179" s="1175"/>
      <c r="F179" s="1175"/>
      <c r="G179" s="1175"/>
      <c r="H179" s="1175"/>
      <c r="I179" s="1175"/>
      <c r="J179" s="1175"/>
      <c r="K179" s="1175"/>
      <c r="L179" s="1175"/>
      <c r="M179" s="1175"/>
    </row>
    <row r="180" spans="1:13" x14ac:dyDescent="0.25">
      <c r="A180" s="692" t="s">
        <v>1158</v>
      </c>
      <c r="B180" s="1175"/>
      <c r="C180" s="1175"/>
      <c r="D180" s="1175"/>
      <c r="E180" s="1175">
        <v>5.0987999999999998</v>
      </c>
      <c r="F180" s="1175">
        <v>5.0987999999999998</v>
      </c>
      <c r="G180" s="1175">
        <v>1</v>
      </c>
      <c r="H180" s="1175"/>
      <c r="I180" s="1175"/>
      <c r="J180" s="1175"/>
      <c r="K180" s="1175">
        <v>5.2511000000000001</v>
      </c>
      <c r="L180" s="1175">
        <v>6.5258000000000003</v>
      </c>
      <c r="M180" s="1175">
        <v>20</v>
      </c>
    </row>
    <row r="181" spans="1:13" x14ac:dyDescent="0.25">
      <c r="A181" s="692" t="s">
        <v>1334</v>
      </c>
      <c r="B181" s="1175"/>
      <c r="C181" s="1175"/>
      <c r="D181" s="1175"/>
      <c r="E181" s="1175"/>
      <c r="F181" s="1175"/>
      <c r="G181" s="1175"/>
      <c r="H181" s="1175"/>
      <c r="I181" s="1175"/>
      <c r="J181" s="1175"/>
      <c r="K181" s="1175">
        <v>4.2888000000000002</v>
      </c>
      <c r="L181" s="1175">
        <v>5.4028</v>
      </c>
      <c r="M181" s="1175">
        <v>20</v>
      </c>
    </row>
    <row r="182" spans="1:13" x14ac:dyDescent="0.25">
      <c r="A182" s="692" t="s">
        <v>1210</v>
      </c>
      <c r="B182" s="1175"/>
      <c r="C182" s="1175"/>
      <c r="D182" s="1175"/>
      <c r="E182" s="1175"/>
      <c r="F182" s="1175"/>
      <c r="G182" s="1175"/>
      <c r="H182" s="1175">
        <v>4.5</v>
      </c>
      <c r="I182" s="1175">
        <v>4.75</v>
      </c>
      <c r="J182" s="1175">
        <v>2</v>
      </c>
      <c r="K182" s="1175"/>
      <c r="L182" s="1175"/>
      <c r="M182" s="1175"/>
    </row>
    <row r="183" spans="1:13" x14ac:dyDescent="0.25">
      <c r="A183" s="692" t="s">
        <v>1215</v>
      </c>
      <c r="B183" s="1175"/>
      <c r="C183" s="1175"/>
      <c r="D183" s="1175"/>
      <c r="E183" s="1175"/>
      <c r="F183" s="1175"/>
      <c r="G183" s="1175"/>
      <c r="H183" s="1175">
        <v>2.5787</v>
      </c>
      <c r="I183" s="1175">
        <v>5.4596999999999998</v>
      </c>
      <c r="J183" s="1175">
        <v>7</v>
      </c>
      <c r="K183" s="1175"/>
      <c r="L183" s="1175"/>
      <c r="M183" s="1175"/>
    </row>
    <row r="184" spans="1:13" x14ac:dyDescent="0.25">
      <c r="A184" s="692" t="s">
        <v>392</v>
      </c>
      <c r="B184" s="1175">
        <v>3.8582999999999998</v>
      </c>
      <c r="C184" s="1175">
        <v>5.7554999999999996</v>
      </c>
      <c r="D184" s="1175">
        <v>5</v>
      </c>
      <c r="E184" s="1175"/>
      <c r="F184" s="1175"/>
      <c r="G184" s="1175"/>
      <c r="H184" s="1175"/>
      <c r="I184" s="1175"/>
      <c r="J184" s="1175"/>
      <c r="K184" s="1175"/>
      <c r="L184" s="1175"/>
      <c r="M184" s="1175"/>
    </row>
    <row r="185" spans="1:13" x14ac:dyDescent="0.25">
      <c r="A185" s="692" t="s">
        <v>1202</v>
      </c>
      <c r="B185" s="1175"/>
      <c r="C185" s="1175"/>
      <c r="D185" s="1175"/>
      <c r="E185" s="1175"/>
      <c r="F185" s="1175"/>
      <c r="G185" s="1175"/>
      <c r="H185" s="1175">
        <v>5.1092000000000004</v>
      </c>
      <c r="I185" s="1175">
        <v>7.6440999999999999</v>
      </c>
      <c r="J185" s="1175">
        <v>3</v>
      </c>
      <c r="K185" s="1175"/>
      <c r="L185" s="1175"/>
      <c r="M185" s="1175"/>
    </row>
    <row r="186" spans="1:13" x14ac:dyDescent="0.25">
      <c r="D186"/>
      <c r="G186"/>
      <c r="H186"/>
    </row>
    <row r="188" spans="1:13" ht="15.75" thickBot="1" x14ac:dyDescent="0.3"/>
    <row r="189" spans="1:13" s="674" customFormat="1" ht="15.75" thickBot="1" x14ac:dyDescent="0.3">
      <c r="A189" s="1089" t="s">
        <v>1467</v>
      </c>
      <c r="B189" s="1092" t="s">
        <v>991</v>
      </c>
      <c r="C189" s="1093"/>
      <c r="D189" s="1094"/>
      <c r="E189" s="1095" t="s">
        <v>1034</v>
      </c>
      <c r="F189" s="1096"/>
      <c r="G189" s="1097"/>
      <c r="H189" s="1112" t="s">
        <v>1201</v>
      </c>
      <c r="I189" s="1113"/>
      <c r="J189" s="1114"/>
      <c r="K189" s="1098" t="s">
        <v>1228</v>
      </c>
      <c r="L189" s="1099"/>
      <c r="M189" s="1100"/>
    </row>
    <row r="190" spans="1:13" s="674" customFormat="1" ht="115.5" x14ac:dyDescent="0.25">
      <c r="A190" s="1090"/>
      <c r="B190" s="880" t="s">
        <v>1461</v>
      </c>
      <c r="C190" s="880" t="s">
        <v>1469</v>
      </c>
      <c r="D190" s="880" t="s">
        <v>1470</v>
      </c>
      <c r="E190" s="881" t="s">
        <v>1461</v>
      </c>
      <c r="F190" s="881" t="s">
        <v>1469</v>
      </c>
      <c r="G190" s="881" t="s">
        <v>1470</v>
      </c>
      <c r="H190" s="882" t="s">
        <v>1461</v>
      </c>
      <c r="I190" s="882" t="s">
        <v>1469</v>
      </c>
      <c r="J190" s="882" t="s">
        <v>1470</v>
      </c>
      <c r="K190" s="883" t="s">
        <v>1461</v>
      </c>
      <c r="L190" s="883" t="s">
        <v>1469</v>
      </c>
      <c r="M190" s="883" t="s">
        <v>1470</v>
      </c>
    </row>
    <row r="191" spans="1:13" s="674" customFormat="1" ht="64.5" thickBot="1" x14ac:dyDescent="0.3">
      <c r="A191" s="1091"/>
      <c r="B191" s="869" t="s">
        <v>1468</v>
      </c>
      <c r="C191" s="869" t="s">
        <v>1468</v>
      </c>
      <c r="D191" s="869" t="s">
        <v>1468</v>
      </c>
      <c r="E191" s="870" t="s">
        <v>1468</v>
      </c>
      <c r="F191" s="870" t="s">
        <v>1468</v>
      </c>
      <c r="G191" s="870" t="s">
        <v>1468</v>
      </c>
      <c r="H191" s="875" t="s">
        <v>1468</v>
      </c>
      <c r="I191" s="875" t="s">
        <v>1468</v>
      </c>
      <c r="J191" s="875" t="s">
        <v>1468</v>
      </c>
      <c r="K191" s="872" t="s">
        <v>1468</v>
      </c>
      <c r="L191" s="872" t="s">
        <v>1468</v>
      </c>
      <c r="M191" s="872" t="s">
        <v>1468</v>
      </c>
    </row>
    <row r="192" spans="1:13" ht="26.25" thickBot="1" x14ac:dyDescent="0.3">
      <c r="A192" s="866" t="s">
        <v>1679</v>
      </c>
      <c r="B192" s="867">
        <v>3.6779000000000002</v>
      </c>
      <c r="C192" s="867">
        <v>3.4</v>
      </c>
      <c r="D192" s="867">
        <v>3.6779000000000002</v>
      </c>
      <c r="E192" s="868">
        <v>4.4043000000000001</v>
      </c>
      <c r="F192" s="868">
        <v>3.5950000000000002</v>
      </c>
      <c r="G192" s="868">
        <v>4.4043000000000001</v>
      </c>
      <c r="H192" s="1101" t="s">
        <v>1480</v>
      </c>
      <c r="I192" s="1102"/>
      <c r="J192" s="1103"/>
      <c r="K192" s="873" t="s">
        <v>1463</v>
      </c>
      <c r="L192" s="873">
        <f>GETPIVOTDATA("Min of Bid Price ",$A$171,"Technology","Ground Mounted Solar","GEA","GEA4")</f>
        <v>3.577</v>
      </c>
      <c r="M192" s="873">
        <f>GETPIVOTDATA("Max of Bid Price ",$A$171,"Technology","Ground Mounted Solar","GEA","GEA4")</f>
        <v>4.4832000000000001</v>
      </c>
    </row>
    <row r="193" spans="1:13" ht="15.75" thickBot="1" x14ac:dyDescent="0.3">
      <c r="A193" s="866" t="s">
        <v>1139</v>
      </c>
      <c r="B193" s="867">
        <v>6.0583999999999998</v>
      </c>
      <c r="C193" s="867">
        <v>3.8582999999999998</v>
      </c>
      <c r="D193" s="867">
        <v>5.7554999999999996</v>
      </c>
      <c r="E193" s="868">
        <v>5.8480999999999996</v>
      </c>
      <c r="F193" s="868">
        <v>5.2512999999999996</v>
      </c>
      <c r="G193" s="868">
        <v>5.8480999999999996</v>
      </c>
      <c r="H193" s="1101" t="s">
        <v>1480</v>
      </c>
      <c r="I193" s="1102"/>
      <c r="J193" s="1103"/>
      <c r="K193" s="873" t="s">
        <v>1465</v>
      </c>
      <c r="L193" s="873">
        <f>GETPIVOTDATA("Min of Bid Price ",$A$171,"Technology","Onshore Wind","GEA","GEA4")</f>
        <v>4.8776999999999999</v>
      </c>
      <c r="M193" s="873">
        <f>GETPIVOTDATA("Max of Bid Price ",$A$171,"Technology","Onshore Wind","GEA","GEA4")</f>
        <v>6.0858999999999996</v>
      </c>
    </row>
    <row r="194" spans="1:13" ht="15.75" thickBot="1" x14ac:dyDescent="0.3">
      <c r="A194" s="866" t="s">
        <v>219</v>
      </c>
      <c r="B194" s="867">
        <v>5.0796999999999999</v>
      </c>
      <c r="C194" s="1086">
        <v>5.07</v>
      </c>
      <c r="D194" s="1088"/>
      <c r="E194" s="868">
        <v>5.4024000000000001</v>
      </c>
      <c r="F194" s="1084" t="s">
        <v>1471</v>
      </c>
      <c r="G194" s="1085"/>
      <c r="H194" s="1101" t="s">
        <v>1480</v>
      </c>
      <c r="I194" s="1102"/>
      <c r="J194" s="1103"/>
      <c r="K194" s="1104" t="s">
        <v>1480</v>
      </c>
      <c r="L194" s="1105"/>
      <c r="M194" s="1106"/>
    </row>
    <row r="195" spans="1:13" ht="15.75" thickBot="1" x14ac:dyDescent="0.3">
      <c r="A195" s="866" t="s">
        <v>218</v>
      </c>
      <c r="B195" s="867">
        <v>5.4912999999999998</v>
      </c>
      <c r="C195" s="867">
        <v>5.3875999999999999</v>
      </c>
      <c r="D195" s="867">
        <v>5.49</v>
      </c>
      <c r="E195" s="868" t="s">
        <v>421</v>
      </c>
      <c r="F195" s="1084" t="s">
        <v>1472</v>
      </c>
      <c r="G195" s="1085"/>
      <c r="H195" s="1101" t="s">
        <v>1472</v>
      </c>
      <c r="I195" s="1102"/>
      <c r="J195" s="1103"/>
      <c r="K195" s="1104" t="s">
        <v>1472</v>
      </c>
      <c r="L195" s="1105"/>
      <c r="M195" s="1106"/>
    </row>
    <row r="196" spans="1:13" ht="15.75" thickBot="1" x14ac:dyDescent="0.3">
      <c r="A196" s="866" t="s">
        <v>1473</v>
      </c>
      <c r="B196" s="1086" t="s">
        <v>1474</v>
      </c>
      <c r="C196" s="1087"/>
      <c r="D196" s="1088"/>
      <c r="E196" s="868">
        <v>4.8738000000000001</v>
      </c>
      <c r="F196" s="868">
        <v>4.8738000000000001</v>
      </c>
      <c r="G196" s="868">
        <v>4.8738000000000001</v>
      </c>
      <c r="H196" s="1101" t="s">
        <v>1474</v>
      </c>
      <c r="I196" s="1102"/>
      <c r="J196" s="1103"/>
      <c r="K196" s="873" t="s">
        <v>1462</v>
      </c>
      <c r="L196" s="873">
        <f>GETPIVOTDATA("Min of Bid Price ",$A$171,"Technology","Roof Mounted Solar","GEA","GEA4")</f>
        <v>5.68</v>
      </c>
      <c r="M196" s="873">
        <f>GETPIVOTDATA("Max of Bid Price ",$A$171,"Technology","Roof Mounted Solar","GEA","GEA4")</f>
        <v>5.68</v>
      </c>
    </row>
    <row r="197" spans="1:13" ht="15.75" thickBot="1" x14ac:dyDescent="0.3">
      <c r="A197" s="866" t="s">
        <v>1158</v>
      </c>
      <c r="B197" s="1086" t="s">
        <v>1474</v>
      </c>
      <c r="C197" s="1087"/>
      <c r="D197" s="1088"/>
      <c r="E197" s="868">
        <v>5.3948</v>
      </c>
      <c r="F197" s="1084">
        <v>5.0987999999999998</v>
      </c>
      <c r="G197" s="1085"/>
      <c r="H197" s="1101" t="s">
        <v>1474</v>
      </c>
      <c r="I197" s="1102"/>
      <c r="J197" s="1103"/>
      <c r="K197" s="873" t="s">
        <v>1464</v>
      </c>
      <c r="L197" s="873">
        <f>GETPIVOTDATA("Min of Bid Price ",$A$171,"Technology","Floating Solar","GEA","GEA4")</f>
        <v>5.2511000000000001</v>
      </c>
      <c r="M197" s="873">
        <f>GETPIVOTDATA("Max of Bid Price ",$A$171,"Technology","Floating Solar","GEA","GEA4")</f>
        <v>6.5258000000000003</v>
      </c>
    </row>
    <row r="198" spans="1:13" ht="15.75" thickBot="1" x14ac:dyDescent="0.3">
      <c r="A198" s="871" t="s">
        <v>1475</v>
      </c>
      <c r="B198" s="1107" t="s">
        <v>1474</v>
      </c>
      <c r="C198" s="1108"/>
      <c r="D198" s="1109"/>
      <c r="E198" s="865">
        <v>6.2683</v>
      </c>
      <c r="F198" s="1110" t="s">
        <v>1471</v>
      </c>
      <c r="G198" s="1111"/>
      <c r="H198" s="1101" t="s">
        <v>1474</v>
      </c>
      <c r="I198" s="1102"/>
      <c r="J198" s="1103"/>
      <c r="K198" s="1104" t="s">
        <v>1474</v>
      </c>
      <c r="L198" s="1105"/>
      <c r="M198" s="1106"/>
    </row>
    <row r="199" spans="1:13" ht="26.25" thickBot="1" x14ac:dyDescent="0.3">
      <c r="A199" s="866" t="s">
        <v>1210</v>
      </c>
      <c r="B199" s="1086" t="s">
        <v>1477</v>
      </c>
      <c r="C199" s="1087"/>
      <c r="D199" s="1088"/>
      <c r="E199" s="1084" t="s">
        <v>1477</v>
      </c>
      <c r="F199" s="1115"/>
      <c r="G199" s="1085"/>
      <c r="H199" s="878"/>
      <c r="I199" s="876">
        <f>GETPIVOTDATA("Min of Bid Price ",$A$171,"Technology",A199,"GEA","GEA3")</f>
        <v>4.5</v>
      </c>
      <c r="J199" s="876">
        <f>GETPIVOTDATA("Max of Bid Price ",$A$171,"Technology",A199,"GEA","GEA3")</f>
        <v>4.75</v>
      </c>
      <c r="K199" s="1119" t="s">
        <v>1477</v>
      </c>
      <c r="L199" s="1120"/>
      <c r="M199" s="1121"/>
    </row>
    <row r="200" spans="1:13" ht="26.25" thickBot="1" x14ac:dyDescent="0.3">
      <c r="A200" s="866" t="s">
        <v>1215</v>
      </c>
      <c r="B200" s="1086" t="s">
        <v>1477</v>
      </c>
      <c r="C200" s="1087"/>
      <c r="D200" s="1088"/>
      <c r="E200" s="1084" t="s">
        <v>1477</v>
      </c>
      <c r="F200" s="1115"/>
      <c r="G200" s="1085"/>
      <c r="H200" s="878"/>
      <c r="I200" s="876">
        <f>GETPIVOTDATA("Min of Bid Price ",$A$171,"Technology",A200,"GEA","GEA3")</f>
        <v>2.5787</v>
      </c>
      <c r="J200" s="876">
        <f t="shared" ref="J200:J201" si="2">GETPIVOTDATA("Max of Bid Price ",$A$171,"Technology",A200,"GEA","GEA3")</f>
        <v>5.4596999999999998</v>
      </c>
      <c r="K200" s="1119" t="s">
        <v>1477</v>
      </c>
      <c r="L200" s="1120"/>
      <c r="M200" s="1121"/>
    </row>
    <row r="201" spans="1:13" ht="15.75" thickBot="1" x14ac:dyDescent="0.3">
      <c r="A201" s="866" t="s">
        <v>1202</v>
      </c>
      <c r="B201" s="1086" t="s">
        <v>1477</v>
      </c>
      <c r="C201" s="1087"/>
      <c r="D201" s="1088"/>
      <c r="E201" s="1084" t="s">
        <v>1477</v>
      </c>
      <c r="F201" s="1115"/>
      <c r="G201" s="1085"/>
      <c r="H201" s="879"/>
      <c r="I201" s="876">
        <f>GETPIVOTDATA("Min of Bid Price ",$A$171,"Technology",A201,"GEA","GEA3")</f>
        <v>5.1092000000000004</v>
      </c>
      <c r="J201" s="876">
        <f t="shared" si="2"/>
        <v>7.6440999999999999</v>
      </c>
      <c r="K201" s="1119" t="s">
        <v>1477</v>
      </c>
      <c r="L201" s="1120"/>
      <c r="M201" s="1121"/>
    </row>
    <row r="202" spans="1:13" ht="15.75" thickBot="1" x14ac:dyDescent="0.3">
      <c r="A202" s="866" t="s">
        <v>1334</v>
      </c>
      <c r="B202" s="1086" t="s">
        <v>1476</v>
      </c>
      <c r="C202" s="1087"/>
      <c r="D202" s="1088"/>
      <c r="E202" s="1084" t="s">
        <v>1476</v>
      </c>
      <c r="F202" s="1115"/>
      <c r="G202" s="1115"/>
      <c r="H202" s="1116" t="s">
        <v>1476</v>
      </c>
      <c r="I202" s="1117"/>
      <c r="J202" s="1118"/>
      <c r="K202" s="874" t="s">
        <v>1466</v>
      </c>
      <c r="L202" s="873">
        <f>GETPIVOTDATA("Min of Bid Price ",$A$171,"Technology","IRESS","GEA","GEA4")</f>
        <v>4.2888000000000002</v>
      </c>
      <c r="M202" s="873">
        <f>GETPIVOTDATA("Max of Bid Price ",$A$171,"Technology","IRESS","GEA","GEA4")</f>
        <v>5.4028</v>
      </c>
    </row>
  </sheetData>
  <mergeCells count="42">
    <mergeCell ref="B202:D202"/>
    <mergeCell ref="E202:G202"/>
    <mergeCell ref="H202:J202"/>
    <mergeCell ref="K199:M199"/>
    <mergeCell ref="K200:M200"/>
    <mergeCell ref="K201:M201"/>
    <mergeCell ref="B200:D200"/>
    <mergeCell ref="B201:D201"/>
    <mergeCell ref="E199:G199"/>
    <mergeCell ref="E200:G200"/>
    <mergeCell ref="E201:G201"/>
    <mergeCell ref="K189:M189"/>
    <mergeCell ref="B199:D199"/>
    <mergeCell ref="H198:J198"/>
    <mergeCell ref="H197:J197"/>
    <mergeCell ref="H196:J196"/>
    <mergeCell ref="H195:J195"/>
    <mergeCell ref="H194:J194"/>
    <mergeCell ref="H192:J192"/>
    <mergeCell ref="H193:J193"/>
    <mergeCell ref="K198:M198"/>
    <mergeCell ref="K195:M195"/>
    <mergeCell ref="K194:M194"/>
    <mergeCell ref="B198:D198"/>
    <mergeCell ref="F198:G198"/>
    <mergeCell ref="H189:J189"/>
    <mergeCell ref="C194:D194"/>
    <mergeCell ref="F194:G194"/>
    <mergeCell ref="F195:G195"/>
    <mergeCell ref="B196:D196"/>
    <mergeCell ref="B197:D197"/>
    <mergeCell ref="A189:A191"/>
    <mergeCell ref="B189:D189"/>
    <mergeCell ref="E189:G189"/>
    <mergeCell ref="F197:G197"/>
    <mergeCell ref="D69:D70"/>
    <mergeCell ref="A60:A68"/>
    <mergeCell ref="A50:A59"/>
    <mergeCell ref="A1:C1"/>
    <mergeCell ref="A69:B70"/>
    <mergeCell ref="C69:C70"/>
    <mergeCell ref="A38:A49"/>
  </mergeCells>
  <pageMargins left="0.7" right="0.7" top="0.75" bottom="0.75" header="0.3" footer="0.3"/>
  <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94E6C-A9C5-49F6-90E2-17D1E3D096E5}">
  <sheetPr codeName="Sheet21">
    <tabColor rgb="FF66FF99"/>
  </sheetPr>
  <dimension ref="A1:AH290"/>
  <sheetViews>
    <sheetView topLeftCell="C1" zoomScale="83" zoomScaleNormal="83" workbookViewId="0">
      <pane xSplit="3" ySplit="3" topLeftCell="O25" activePane="bottomRight" state="frozen"/>
      <selection activeCell="C1" sqref="C1"/>
      <selection pane="topRight" activeCell="F1" sqref="F1"/>
      <selection pane="bottomLeft" activeCell="C4" sqref="C4"/>
      <selection pane="bottomRight" activeCell="S47" sqref="S47"/>
    </sheetView>
  </sheetViews>
  <sheetFormatPr defaultColWidth="9.140625" defaultRowHeight="15" x14ac:dyDescent="0.25"/>
  <cols>
    <col min="1" max="1" width="9.140625" bestFit="1" customWidth="1"/>
    <col min="2" max="2" width="22.140625" bestFit="1" customWidth="1"/>
    <col min="3" max="4" width="8.7109375" bestFit="1" customWidth="1"/>
    <col min="5" max="5" width="53.5703125" bestFit="1" customWidth="1"/>
    <col min="6" max="6" width="64.7109375" bestFit="1" customWidth="1"/>
    <col min="7" max="7" width="18.42578125" hidden="1" customWidth="1"/>
    <col min="8" max="8" width="20.5703125" hidden="1" customWidth="1"/>
    <col min="9" max="9" width="20.5703125" style="556" hidden="1" customWidth="1"/>
    <col min="10" max="10" width="12" bestFit="1" customWidth="1"/>
    <col min="11" max="11" width="12" style="630" customWidth="1"/>
    <col min="12" max="12" width="14.140625" bestFit="1" customWidth="1"/>
    <col min="13" max="13" width="16.5703125" bestFit="1" customWidth="1"/>
    <col min="14" max="16" width="16.5703125" customWidth="1"/>
    <col min="17" max="17" width="12.28515625" customWidth="1"/>
    <col min="18" max="18" width="12.28515625" bestFit="1" customWidth="1"/>
    <col min="19" max="21" width="12.28515625" customWidth="1"/>
    <col min="22" max="22" width="23.85546875" customWidth="1"/>
    <col min="23" max="24" width="12.28515625" customWidth="1"/>
    <col min="25" max="25" width="13.7109375" bestFit="1" customWidth="1"/>
    <col min="26" max="26" width="12.5703125" customWidth="1"/>
    <col min="27" max="27" width="12.5703125" style="556" customWidth="1"/>
    <col min="28" max="28" width="25.42578125" customWidth="1"/>
    <col min="29" max="29" width="9.140625" customWidth="1"/>
    <col min="30" max="30" width="14.28515625" customWidth="1"/>
    <col min="34" max="34" width="12" customWidth="1"/>
  </cols>
  <sheetData>
    <row r="1" spans="1:34" ht="15.75" thickBot="1" x14ac:dyDescent="0.3">
      <c r="A1" s="565"/>
      <c r="D1" s="565"/>
      <c r="E1" s="751"/>
      <c r="F1" s="752"/>
      <c r="G1" s="752"/>
      <c r="H1" s="753"/>
      <c r="I1" s="941"/>
      <c r="J1" s="565"/>
      <c r="K1" s="929"/>
      <c r="L1" s="565"/>
      <c r="M1" s="565"/>
      <c r="N1" s="565"/>
      <c r="O1" s="565"/>
      <c r="P1" s="565"/>
      <c r="U1" s="902"/>
      <c r="V1" s="902"/>
      <c r="W1" s="902"/>
      <c r="X1" s="902"/>
      <c r="AA1"/>
      <c r="AC1" s="902"/>
    </row>
    <row r="2" spans="1:34" ht="15.75" thickBot="1" x14ac:dyDescent="0.3">
      <c r="A2" s="902" t="str">
        <f>'FIT Summary'!A1</f>
        <v>As of 30 June 2026</v>
      </c>
      <c r="B2" s="902"/>
      <c r="C2" s="902"/>
      <c r="D2" s="902"/>
      <c r="E2" s="902"/>
      <c r="F2" s="902"/>
      <c r="G2" s="902"/>
      <c r="H2" s="902"/>
      <c r="I2" s="942"/>
      <c r="J2" s="902"/>
      <c r="K2" s="902"/>
      <c r="L2" s="1125" t="s">
        <v>1520</v>
      </c>
      <c r="M2" s="1126"/>
      <c r="N2" s="1126"/>
      <c r="O2" s="1126"/>
      <c r="P2" s="1126"/>
      <c r="Q2" s="1126"/>
      <c r="R2" s="1126"/>
      <c r="S2" s="1126"/>
      <c r="T2" s="1127"/>
      <c r="U2" s="1128" t="s">
        <v>1741</v>
      </c>
      <c r="V2" s="1129"/>
      <c r="W2" s="1129"/>
      <c r="X2" s="1129"/>
      <c r="Y2" s="1129"/>
      <c r="Z2" s="1129"/>
      <c r="AA2" s="1129"/>
      <c r="AB2" s="939"/>
      <c r="AC2" s="1122" t="s">
        <v>1742</v>
      </c>
      <c r="AD2" s="1123"/>
      <c r="AE2" s="1123"/>
      <c r="AF2" s="1123"/>
      <c r="AG2" s="1124"/>
    </row>
    <row r="3" spans="1:34" s="907" customFormat="1" ht="38.25" x14ac:dyDescent="0.25">
      <c r="A3" s="754" t="s">
        <v>202</v>
      </c>
      <c r="B3" s="754" t="s">
        <v>339</v>
      </c>
      <c r="C3" s="754" t="s">
        <v>987</v>
      </c>
      <c r="D3" s="754" t="s">
        <v>986</v>
      </c>
      <c r="E3" s="754" t="s">
        <v>3</v>
      </c>
      <c r="F3" s="754" t="s">
        <v>1381</v>
      </c>
      <c r="G3" s="754" t="s">
        <v>1401</v>
      </c>
      <c r="H3" s="754" t="s">
        <v>63</v>
      </c>
      <c r="I3" s="943" t="s">
        <v>1702</v>
      </c>
      <c r="J3" s="754" t="s">
        <v>1382</v>
      </c>
      <c r="K3" s="930" t="s">
        <v>1479</v>
      </c>
      <c r="L3" s="937" t="s">
        <v>1478</v>
      </c>
      <c r="M3" s="937" t="s">
        <v>988</v>
      </c>
      <c r="N3" s="937" t="s">
        <v>1518</v>
      </c>
      <c r="O3" s="937" t="s">
        <v>1513</v>
      </c>
      <c r="P3" s="937" t="s">
        <v>1514</v>
      </c>
      <c r="Q3" s="937" t="s">
        <v>1515</v>
      </c>
      <c r="R3" s="937" t="s">
        <v>379</v>
      </c>
      <c r="S3" s="937" t="s">
        <v>1710</v>
      </c>
      <c r="T3" s="937" t="s">
        <v>1519</v>
      </c>
      <c r="U3" s="938" t="s">
        <v>796</v>
      </c>
      <c r="V3" s="938" t="s">
        <v>1712</v>
      </c>
      <c r="W3" s="938" t="s">
        <v>1707</v>
      </c>
      <c r="X3" s="938" t="s">
        <v>1706</v>
      </c>
      <c r="Y3" s="938" t="s">
        <v>1521</v>
      </c>
      <c r="Z3" s="938" t="s">
        <v>1522</v>
      </c>
      <c r="AA3" s="938" t="s">
        <v>1781</v>
      </c>
      <c r="AB3" s="938" t="s">
        <v>1439</v>
      </c>
      <c r="AC3" s="940" t="s">
        <v>1691</v>
      </c>
      <c r="AD3" s="940" t="s">
        <v>1693</v>
      </c>
      <c r="AE3" s="940" t="s">
        <v>1701</v>
      </c>
      <c r="AF3" s="940" t="s">
        <v>1709</v>
      </c>
      <c r="AG3" s="940" t="s">
        <v>1703</v>
      </c>
      <c r="AH3" s="754" t="s">
        <v>786</v>
      </c>
    </row>
    <row r="4" spans="1:34" hidden="1" x14ac:dyDescent="0.25">
      <c r="A4" s="755" t="s">
        <v>8</v>
      </c>
      <c r="B4" s="755" t="s">
        <v>219</v>
      </c>
      <c r="C4" s="755" t="s">
        <v>991</v>
      </c>
      <c r="D4" s="755">
        <v>1</v>
      </c>
      <c r="E4" s="750" t="s">
        <v>990</v>
      </c>
      <c r="F4" s="750" t="s">
        <v>989</v>
      </c>
      <c r="G4" s="750" t="s">
        <v>1383</v>
      </c>
      <c r="H4" s="755" t="s">
        <v>992</v>
      </c>
      <c r="I4" s="928"/>
      <c r="J4" s="859">
        <v>3.4</v>
      </c>
      <c r="K4" s="931">
        <v>5.0796999999999999</v>
      </c>
      <c r="L4" s="756">
        <v>5.07</v>
      </c>
      <c r="M4" s="757">
        <v>45256</v>
      </c>
      <c r="N4" s="757"/>
      <c r="O4" s="757"/>
      <c r="P4" s="757"/>
      <c r="Q4" s="757">
        <v>45342</v>
      </c>
      <c r="R4" s="750"/>
      <c r="S4" s="750"/>
      <c r="T4" s="905"/>
      <c r="U4" s="757"/>
      <c r="V4" s="757" t="str">
        <f>_xlfn.XLOOKUP(Table3[[#This Row],[RE Developer]],[2]GEA!$B:$B,[2]GEA!$K:$K,"",0,1)</f>
        <v>-</v>
      </c>
      <c r="W4" s="757"/>
      <c r="X4" s="757"/>
      <c r="Y4" s="905"/>
      <c r="Z4" s="905">
        <f>Table3[[#This Row],[Valid from]]+364</f>
        <v>364</v>
      </c>
      <c r="AA4" s="928" t="str">
        <f>_xlfn.XLOOKUP(Table3[[#This Row],[RE Developer]],[2]GEA!$B:$B,[2]GEA!$M:$M,"",0,1)</f>
        <v>-</v>
      </c>
      <c r="AB4" s="750" t="s">
        <v>1435</v>
      </c>
      <c r="AC4" s="905"/>
      <c r="AD4" s="905"/>
      <c r="AE4" s="905"/>
      <c r="AF4" s="905"/>
      <c r="AG4" s="905"/>
      <c r="AH4" s="905"/>
    </row>
    <row r="5" spans="1:34" hidden="1" x14ac:dyDescent="0.25">
      <c r="A5" s="755" t="s">
        <v>7</v>
      </c>
      <c r="B5" s="755" t="s">
        <v>693</v>
      </c>
      <c r="C5" s="755" t="s">
        <v>991</v>
      </c>
      <c r="D5" s="755">
        <v>2</v>
      </c>
      <c r="E5" s="750" t="s">
        <v>994</v>
      </c>
      <c r="F5" s="750" t="s">
        <v>993</v>
      </c>
      <c r="G5" s="750" t="s">
        <v>1388</v>
      </c>
      <c r="H5" s="755" t="s">
        <v>995</v>
      </c>
      <c r="I5" s="928"/>
      <c r="J5" s="859">
        <v>60</v>
      </c>
      <c r="K5" s="931">
        <v>5.4912999999999998</v>
      </c>
      <c r="L5" s="756">
        <v>5.3875999999999999</v>
      </c>
      <c r="M5" s="757">
        <v>46016</v>
      </c>
      <c r="N5" s="757"/>
      <c r="O5" s="757"/>
      <c r="P5" s="757"/>
      <c r="Q5" s="757"/>
      <c r="R5" s="750"/>
      <c r="S5" s="750"/>
      <c r="T5" s="905"/>
      <c r="U5" s="757"/>
      <c r="V5" s="757" t="str">
        <f>_xlfn.XLOOKUP(Table3[[#This Row],[RE Developer]],[2]GEA!$B:$B,[2]GEA!$K:$K,"",0,1)</f>
        <v>-</v>
      </c>
      <c r="W5" s="757"/>
      <c r="X5" s="757"/>
      <c r="Y5" s="905"/>
      <c r="Z5" s="905">
        <f>Table3[[#This Row],[Valid from]]+364</f>
        <v>364</v>
      </c>
      <c r="AA5" s="928" t="str">
        <f>_xlfn.XLOOKUP(Table3[[#This Row],[RE Developer]],[2]GEA!$B:$B,[2]GEA!$M:$M,"",0,1)</f>
        <v>-</v>
      </c>
      <c r="AB5" s="750"/>
      <c r="AC5" s="905"/>
      <c r="AD5" s="905"/>
      <c r="AE5" s="905"/>
      <c r="AF5" s="905"/>
      <c r="AG5" s="905"/>
      <c r="AH5" s="905"/>
    </row>
    <row r="6" spans="1:34" hidden="1" x14ac:dyDescent="0.25">
      <c r="A6" s="755" t="s">
        <v>7</v>
      </c>
      <c r="B6" s="755" t="s">
        <v>693</v>
      </c>
      <c r="C6" s="755" t="s">
        <v>991</v>
      </c>
      <c r="D6" s="755">
        <v>3</v>
      </c>
      <c r="E6" s="750" t="s">
        <v>271</v>
      </c>
      <c r="F6" s="750" t="s">
        <v>996</v>
      </c>
      <c r="G6" s="750" t="s">
        <v>1389</v>
      </c>
      <c r="H6" s="755" t="s">
        <v>995</v>
      </c>
      <c r="I6" s="928"/>
      <c r="J6" s="859">
        <v>20</v>
      </c>
      <c r="K6" s="931">
        <v>5.4912999999999998</v>
      </c>
      <c r="L6" s="756">
        <v>5.4714</v>
      </c>
      <c r="M6" s="757">
        <v>45987</v>
      </c>
      <c r="N6" s="757"/>
      <c r="O6" s="757"/>
      <c r="P6" s="757"/>
      <c r="Q6" s="757"/>
      <c r="R6" s="750"/>
      <c r="S6" s="750"/>
      <c r="T6" s="905"/>
      <c r="U6" s="757"/>
      <c r="V6" s="757" t="str">
        <f>_xlfn.XLOOKUP(Table3[[#This Row],[RE Developer]],[2]GEA!$B:$B,[2]GEA!$K:$K,"",0,1)</f>
        <v>-</v>
      </c>
      <c r="W6" s="757"/>
      <c r="X6" s="757"/>
      <c r="Y6" s="905"/>
      <c r="Z6" s="905">
        <f>Table3[[#This Row],[Valid from]]+364</f>
        <v>364</v>
      </c>
      <c r="AA6" s="928" t="str">
        <f>_xlfn.XLOOKUP(Table3[[#This Row],[RE Developer]],[2]GEA!$B:$B,[2]GEA!$M:$M,"",0,1)</f>
        <v>-</v>
      </c>
      <c r="AB6" s="750"/>
      <c r="AC6" s="905"/>
      <c r="AD6" s="905"/>
      <c r="AE6" s="905"/>
      <c r="AF6" s="905"/>
      <c r="AG6" s="905"/>
      <c r="AH6" s="905"/>
    </row>
    <row r="7" spans="1:34" hidden="1" x14ac:dyDescent="0.25">
      <c r="A7" s="755" t="s">
        <v>8</v>
      </c>
      <c r="B7" s="755" t="s">
        <v>693</v>
      </c>
      <c r="C7" s="755" t="s">
        <v>991</v>
      </c>
      <c r="D7" s="755">
        <v>4</v>
      </c>
      <c r="E7" s="750" t="s">
        <v>998</v>
      </c>
      <c r="F7" s="750" t="s">
        <v>997</v>
      </c>
      <c r="G7" s="750" t="s">
        <v>1390</v>
      </c>
      <c r="H7" s="755" t="s">
        <v>999</v>
      </c>
      <c r="I7" s="928"/>
      <c r="J7" s="859">
        <v>3.7</v>
      </c>
      <c r="K7" s="931">
        <v>5.4912999999999998</v>
      </c>
      <c r="L7" s="756">
        <v>5.49</v>
      </c>
      <c r="M7" s="757">
        <v>45991</v>
      </c>
      <c r="N7" s="757"/>
      <c r="O7" s="757"/>
      <c r="P7" s="757"/>
      <c r="Q7" s="757"/>
      <c r="R7" s="750"/>
      <c r="S7" s="750"/>
      <c r="T7" s="905"/>
      <c r="U7" s="757"/>
      <c r="V7" s="757" t="str">
        <f>_xlfn.XLOOKUP(Table3[[#This Row],[RE Developer]],[2]GEA!$B:$B,[2]GEA!$K:$K,"",0,1)</f>
        <v>-</v>
      </c>
      <c r="W7" s="757"/>
      <c r="X7" s="757"/>
      <c r="Y7" s="905"/>
      <c r="Z7" s="905">
        <f>Table3[[#This Row],[Valid from]]+364</f>
        <v>364</v>
      </c>
      <c r="AA7" s="928" t="str">
        <f>_xlfn.XLOOKUP(Table3[[#This Row],[RE Developer]],[2]GEA!$B:$B,[2]GEA!$M:$M,"",0,1)</f>
        <v>-</v>
      </c>
      <c r="AB7" s="750"/>
      <c r="AC7" s="905"/>
      <c r="AD7" s="905"/>
      <c r="AE7" s="905"/>
      <c r="AF7" s="905"/>
      <c r="AG7" s="905"/>
      <c r="AH7" s="905"/>
    </row>
    <row r="8" spans="1:34" hidden="1" x14ac:dyDescent="0.25">
      <c r="A8" s="755" t="s">
        <v>8</v>
      </c>
      <c r="B8" s="755" t="s">
        <v>693</v>
      </c>
      <c r="C8" s="755" t="s">
        <v>991</v>
      </c>
      <c r="D8" s="755">
        <v>5</v>
      </c>
      <c r="E8" s="750" t="s">
        <v>998</v>
      </c>
      <c r="F8" s="750" t="s">
        <v>1000</v>
      </c>
      <c r="G8" s="750" t="s">
        <v>1391</v>
      </c>
      <c r="H8" s="755" t="s">
        <v>999</v>
      </c>
      <c r="I8" s="928"/>
      <c r="J8" s="859">
        <v>3.7</v>
      </c>
      <c r="K8" s="931">
        <v>5.4912999999999998</v>
      </c>
      <c r="L8" s="756">
        <v>5.49</v>
      </c>
      <c r="M8" s="757">
        <v>45991</v>
      </c>
      <c r="N8" s="757"/>
      <c r="O8" s="757"/>
      <c r="P8" s="757"/>
      <c r="Q8" s="757"/>
      <c r="R8" s="750"/>
      <c r="S8" s="750"/>
      <c r="T8" s="905"/>
      <c r="U8" s="757"/>
      <c r="V8" s="757" t="str">
        <f>_xlfn.XLOOKUP(Table3[[#This Row],[RE Developer]],[2]GEA!$B:$B,[2]GEA!$K:$K,"",0,1)</f>
        <v>-</v>
      </c>
      <c r="W8" s="757"/>
      <c r="X8" s="757"/>
      <c r="Y8" s="905"/>
      <c r="Z8" s="905">
        <f>Table3[[#This Row],[Valid from]]+364</f>
        <v>364</v>
      </c>
      <c r="AA8" s="928" t="str">
        <f>_xlfn.XLOOKUP(Table3[[#This Row],[RE Developer]],[2]GEA!$B:$B,[2]GEA!$M:$M,"",0,1)</f>
        <v>-</v>
      </c>
      <c r="AB8" s="750"/>
      <c r="AC8" s="905"/>
      <c r="AD8" s="905"/>
      <c r="AE8" s="905"/>
      <c r="AF8" s="905"/>
      <c r="AG8" s="905"/>
      <c r="AH8" s="905"/>
    </row>
    <row r="9" spans="1:34" hidden="1" x14ac:dyDescent="0.25">
      <c r="A9" s="755" t="s">
        <v>8</v>
      </c>
      <c r="B9" s="755" t="s">
        <v>693</v>
      </c>
      <c r="C9" s="755" t="s">
        <v>991</v>
      </c>
      <c r="D9" s="755">
        <v>6</v>
      </c>
      <c r="E9" s="750" t="s">
        <v>1002</v>
      </c>
      <c r="F9" s="750" t="s">
        <v>1001</v>
      </c>
      <c r="G9" s="750" t="s">
        <v>1392</v>
      </c>
      <c r="H9" s="755" t="s">
        <v>1003</v>
      </c>
      <c r="I9" s="928"/>
      <c r="J9" s="859">
        <v>4.8499999999999996</v>
      </c>
      <c r="K9" s="931">
        <v>5.4912999999999998</v>
      </c>
      <c r="L9" s="756">
        <v>5.49</v>
      </c>
      <c r="M9" s="757">
        <v>45991</v>
      </c>
      <c r="N9" s="757"/>
      <c r="O9" s="757"/>
      <c r="P9" s="757"/>
      <c r="Q9" s="757"/>
      <c r="R9" s="750"/>
      <c r="S9" s="750"/>
      <c r="T9" s="905"/>
      <c r="U9" s="757"/>
      <c r="V9" s="757" t="str">
        <f>_xlfn.XLOOKUP(Table3[[#This Row],[RE Developer]],[2]GEA!$B:$B,[2]GEA!$K:$K,"",0,1)</f>
        <v>-</v>
      </c>
      <c r="W9" s="757"/>
      <c r="X9" s="757"/>
      <c r="Y9" s="905"/>
      <c r="Z9" s="905">
        <f>Table3[[#This Row],[Valid from]]+364</f>
        <v>364</v>
      </c>
      <c r="AA9" s="928" t="str">
        <f>_xlfn.XLOOKUP(Table3[[#This Row],[RE Developer]],[2]GEA!$B:$B,[2]GEA!$M:$M,"",0,1)</f>
        <v>-</v>
      </c>
      <c r="AB9" s="750"/>
      <c r="AC9" s="905"/>
      <c r="AD9" s="905"/>
      <c r="AE9" s="905"/>
      <c r="AF9" s="905"/>
      <c r="AG9" s="905"/>
      <c r="AH9" s="905"/>
    </row>
    <row r="10" spans="1:34" hidden="1" x14ac:dyDescent="0.25">
      <c r="A10" s="755" t="s">
        <v>8</v>
      </c>
      <c r="B10" s="755" t="s">
        <v>693</v>
      </c>
      <c r="C10" s="755" t="s">
        <v>991</v>
      </c>
      <c r="D10" s="755">
        <v>7</v>
      </c>
      <c r="E10" s="750" t="s">
        <v>1002</v>
      </c>
      <c r="F10" s="750" t="s">
        <v>1004</v>
      </c>
      <c r="G10" s="750" t="s">
        <v>1393</v>
      </c>
      <c r="H10" s="755" t="s">
        <v>1005</v>
      </c>
      <c r="I10" s="928"/>
      <c r="J10" s="859">
        <v>6.9</v>
      </c>
      <c r="K10" s="931">
        <v>5.4912999999999998</v>
      </c>
      <c r="L10" s="756">
        <v>5.49</v>
      </c>
      <c r="M10" s="757">
        <v>45991</v>
      </c>
      <c r="N10" s="757"/>
      <c r="O10" s="757"/>
      <c r="P10" s="757"/>
      <c r="Q10" s="757"/>
      <c r="R10" s="750"/>
      <c r="S10" s="750"/>
      <c r="T10" s="905"/>
      <c r="U10" s="757"/>
      <c r="V10" s="757" t="str">
        <f>_xlfn.XLOOKUP(Table3[[#This Row],[RE Developer]],[2]GEA!$B:$B,[2]GEA!$K:$K,"",0,1)</f>
        <v>-</v>
      </c>
      <c r="W10" s="757"/>
      <c r="X10" s="757"/>
      <c r="Y10" s="905"/>
      <c r="Z10" s="905">
        <f>Table3[[#This Row],[Valid from]]+364</f>
        <v>364</v>
      </c>
      <c r="AA10" s="928" t="str">
        <f>_xlfn.XLOOKUP(Table3[[#This Row],[RE Developer]],[2]GEA!$B:$B,[2]GEA!$M:$M,"",0,1)</f>
        <v>-</v>
      </c>
      <c r="AB10" s="750"/>
      <c r="AC10" s="905"/>
      <c r="AD10" s="905"/>
      <c r="AE10" s="905"/>
      <c r="AF10" s="905"/>
      <c r="AG10" s="905"/>
      <c r="AH10" s="905"/>
    </row>
    <row r="11" spans="1:34" hidden="1" x14ac:dyDescent="0.25">
      <c r="A11" s="755" t="s">
        <v>7</v>
      </c>
      <c r="B11" s="755" t="s">
        <v>426</v>
      </c>
      <c r="C11" s="755" t="s">
        <v>991</v>
      </c>
      <c r="D11" s="755">
        <v>8</v>
      </c>
      <c r="E11" s="750" t="s">
        <v>1007</v>
      </c>
      <c r="F11" s="750" t="s">
        <v>1006</v>
      </c>
      <c r="G11" s="750" t="s">
        <v>1394</v>
      </c>
      <c r="H11" s="755" t="s">
        <v>1008</v>
      </c>
      <c r="I11" s="928"/>
      <c r="J11" s="859">
        <v>40.4</v>
      </c>
      <c r="K11" s="931">
        <v>3.6779000000000002</v>
      </c>
      <c r="L11" s="756">
        <v>3.4</v>
      </c>
      <c r="M11" s="757">
        <v>45652</v>
      </c>
      <c r="N11" s="757"/>
      <c r="O11" s="757"/>
      <c r="P11" s="757"/>
      <c r="Q11" s="757"/>
      <c r="R11" s="750"/>
      <c r="S11" s="750"/>
      <c r="T11" s="905"/>
      <c r="U11" s="757"/>
      <c r="V11" s="757" t="str">
        <f>_xlfn.XLOOKUP(Table3[[#This Row],[RE Developer]],[2]GEA!$B:$B,[2]GEA!$K:$K,"",0,1)</f>
        <v/>
      </c>
      <c r="W11" s="757"/>
      <c r="X11" s="757"/>
      <c r="Y11" s="905"/>
      <c r="Z11" s="905">
        <f>Table3[[#This Row],[Valid from]]+364</f>
        <v>364</v>
      </c>
      <c r="AA11" s="928" t="str">
        <f>_xlfn.XLOOKUP(Table3[[#This Row],[RE Developer]],[2]GEA!$B:$B,[2]GEA!$M:$M,"",0,1)</f>
        <v/>
      </c>
      <c r="AB11" s="750"/>
      <c r="AC11" s="905"/>
      <c r="AD11" s="905"/>
      <c r="AE11" s="905"/>
      <c r="AF11" s="905"/>
      <c r="AG11" s="905"/>
      <c r="AH11" s="905"/>
    </row>
    <row r="12" spans="1:34" hidden="1" x14ac:dyDescent="0.25">
      <c r="A12" s="755" t="s">
        <v>7</v>
      </c>
      <c r="B12" s="755" t="s">
        <v>426</v>
      </c>
      <c r="C12" s="755" t="s">
        <v>991</v>
      </c>
      <c r="D12" s="755">
        <v>9</v>
      </c>
      <c r="E12" s="750" t="s">
        <v>1010</v>
      </c>
      <c r="F12" s="750" t="s">
        <v>1009</v>
      </c>
      <c r="G12" s="750" t="s">
        <v>1395</v>
      </c>
      <c r="H12" s="755" t="s">
        <v>262</v>
      </c>
      <c r="I12" s="928"/>
      <c r="J12" s="859">
        <v>99.98</v>
      </c>
      <c r="K12" s="931">
        <v>3.6779000000000002</v>
      </c>
      <c r="L12" s="756">
        <v>3.41</v>
      </c>
      <c r="M12" s="757">
        <v>45717</v>
      </c>
      <c r="N12" s="757"/>
      <c r="O12" s="757"/>
      <c r="P12" s="757"/>
      <c r="Q12" s="757"/>
      <c r="R12" s="750"/>
      <c r="S12" s="750"/>
      <c r="T12" s="905"/>
      <c r="U12" s="757"/>
      <c r="V12" s="757" t="str">
        <f>_xlfn.XLOOKUP(Table3[[#This Row],[RE Developer]],[2]GEA!$B:$B,[2]GEA!$K:$K,"",0,1)</f>
        <v/>
      </c>
      <c r="W12" s="757"/>
      <c r="X12" s="757"/>
      <c r="Y12" s="905"/>
      <c r="Z12" s="905">
        <f>Table3[[#This Row],[Valid from]]+364</f>
        <v>364</v>
      </c>
      <c r="AA12" s="928" t="str">
        <f>_xlfn.XLOOKUP(Table3[[#This Row],[RE Developer]],[2]GEA!$B:$B,[2]GEA!$M:$M,"",0,1)</f>
        <v/>
      </c>
      <c r="AB12" s="750"/>
      <c r="AC12" s="905"/>
      <c r="AD12" s="905"/>
      <c r="AE12" s="905"/>
      <c r="AF12" s="905"/>
      <c r="AG12" s="905"/>
      <c r="AH12" s="905"/>
    </row>
    <row r="13" spans="1:34" hidden="1" x14ac:dyDescent="0.25">
      <c r="A13" s="755" t="s">
        <v>7</v>
      </c>
      <c r="B13" s="755" t="s">
        <v>426</v>
      </c>
      <c r="C13" s="755" t="s">
        <v>991</v>
      </c>
      <c r="D13" s="755">
        <v>10</v>
      </c>
      <c r="E13" s="750" t="s">
        <v>352</v>
      </c>
      <c r="F13" s="750" t="s">
        <v>1011</v>
      </c>
      <c r="G13" s="750" t="s">
        <v>1396</v>
      </c>
      <c r="H13" s="755" t="s">
        <v>1012</v>
      </c>
      <c r="I13" s="928"/>
      <c r="J13" s="859">
        <v>200</v>
      </c>
      <c r="K13" s="931">
        <v>3.6779000000000002</v>
      </c>
      <c r="L13" s="756">
        <v>3.67</v>
      </c>
      <c r="M13" s="757">
        <v>46016</v>
      </c>
      <c r="N13" s="757"/>
      <c r="O13" s="757"/>
      <c r="P13" s="757"/>
      <c r="Q13" s="757"/>
      <c r="R13" s="750"/>
      <c r="S13" s="750"/>
      <c r="T13" s="905"/>
      <c r="U13" s="757"/>
      <c r="V13" s="757" t="str">
        <f>_xlfn.XLOOKUP(Table3[[#This Row],[RE Developer]],[2]GEA!$B:$B,[2]GEA!$K:$K,"",0,1)</f>
        <v>-</v>
      </c>
      <c r="W13" s="757"/>
      <c r="X13" s="757"/>
      <c r="Y13" s="905"/>
      <c r="Z13" s="905">
        <f>Table3[[#This Row],[Valid from]]+364</f>
        <v>364</v>
      </c>
      <c r="AA13" s="928" t="str">
        <f>_xlfn.XLOOKUP(Table3[[#This Row],[RE Developer]],[2]GEA!$B:$B,[2]GEA!$M:$M,"",0,1)</f>
        <v>-</v>
      </c>
      <c r="AB13" s="750"/>
      <c r="AC13" s="905"/>
      <c r="AD13" s="905"/>
      <c r="AE13" s="905"/>
      <c r="AF13" s="905"/>
      <c r="AG13" s="905"/>
      <c r="AH13" s="905"/>
    </row>
    <row r="14" spans="1:34" hidden="1" x14ac:dyDescent="0.25">
      <c r="A14" s="755" t="s">
        <v>7</v>
      </c>
      <c r="B14" s="755" t="s">
        <v>426</v>
      </c>
      <c r="C14" s="755" t="s">
        <v>991</v>
      </c>
      <c r="D14" s="755">
        <v>11</v>
      </c>
      <c r="E14" s="750" t="s">
        <v>1014</v>
      </c>
      <c r="F14" s="750" t="s">
        <v>1013</v>
      </c>
      <c r="G14" s="750" t="s">
        <v>1397</v>
      </c>
      <c r="H14" s="755" t="s">
        <v>262</v>
      </c>
      <c r="I14" s="928"/>
      <c r="J14" s="859">
        <v>280</v>
      </c>
      <c r="K14" s="931">
        <v>3.6779000000000002</v>
      </c>
      <c r="L14" s="756">
        <v>3.67</v>
      </c>
      <c r="M14" s="757">
        <v>46016</v>
      </c>
      <c r="N14" s="757"/>
      <c r="O14" s="757"/>
      <c r="P14" s="757"/>
      <c r="Q14" s="757"/>
      <c r="R14" s="750"/>
      <c r="S14" s="750"/>
      <c r="T14" s="905"/>
      <c r="U14" s="757"/>
      <c r="V14" s="757" t="str">
        <f>_xlfn.XLOOKUP(Table3[[#This Row],[RE Developer]],[2]GEA!$B:$B,[2]GEA!$K:$K,"",0,1)</f>
        <v>-</v>
      </c>
      <c r="W14" s="757"/>
      <c r="X14" s="757"/>
      <c r="Y14" s="905"/>
      <c r="Z14" s="905">
        <f>Table3[[#This Row],[Valid from]]+364</f>
        <v>364</v>
      </c>
      <c r="AA14" s="928" t="str">
        <f>_xlfn.XLOOKUP(Table3[[#This Row],[RE Developer]],[2]GEA!$B:$B,[2]GEA!$M:$M,"",0,1)</f>
        <v>-</v>
      </c>
      <c r="AB14" s="750"/>
      <c r="AC14" s="905"/>
      <c r="AD14" s="905"/>
      <c r="AE14" s="905"/>
      <c r="AF14" s="905"/>
      <c r="AG14" s="905"/>
      <c r="AH14" s="905"/>
    </row>
    <row r="15" spans="1:34" hidden="1" x14ac:dyDescent="0.25">
      <c r="A15" s="755" t="s">
        <v>7</v>
      </c>
      <c r="B15" s="755" t="s">
        <v>426</v>
      </c>
      <c r="C15" s="755" t="s">
        <v>991</v>
      </c>
      <c r="D15" s="755">
        <v>12</v>
      </c>
      <c r="E15" s="750" t="s">
        <v>352</v>
      </c>
      <c r="F15" s="750" t="s">
        <v>1015</v>
      </c>
      <c r="G15" s="750" t="s">
        <v>1398</v>
      </c>
      <c r="H15" s="755" t="s">
        <v>1016</v>
      </c>
      <c r="I15" s="928"/>
      <c r="J15" s="859">
        <v>450</v>
      </c>
      <c r="K15" s="931">
        <v>3.6779000000000002</v>
      </c>
      <c r="L15" s="756">
        <v>3.67</v>
      </c>
      <c r="M15" s="757">
        <v>46016</v>
      </c>
      <c r="N15" s="757"/>
      <c r="O15" s="757"/>
      <c r="P15" s="757"/>
      <c r="Q15" s="757"/>
      <c r="R15" s="750"/>
      <c r="S15" s="750"/>
      <c r="T15" s="905"/>
      <c r="U15" s="757"/>
      <c r="V15" s="757" t="str">
        <f>_xlfn.XLOOKUP(Table3[[#This Row],[RE Developer]],[2]GEA!$B:$B,[2]GEA!$K:$K,"",0,1)</f>
        <v>-</v>
      </c>
      <c r="W15" s="757"/>
      <c r="X15" s="757"/>
      <c r="Y15" s="905"/>
      <c r="Z15" s="905">
        <f>Table3[[#This Row],[Valid from]]+364</f>
        <v>364</v>
      </c>
      <c r="AA15" s="928" t="str">
        <f>_xlfn.XLOOKUP(Table3[[#This Row],[RE Developer]],[2]GEA!$B:$B,[2]GEA!$M:$M,"",0,1)</f>
        <v>-</v>
      </c>
      <c r="AB15" s="750"/>
      <c r="AC15" s="905"/>
      <c r="AD15" s="905"/>
      <c r="AE15" s="905"/>
      <c r="AF15" s="905"/>
      <c r="AG15" s="905"/>
      <c r="AH15" s="905"/>
    </row>
    <row r="16" spans="1:34" hidden="1" x14ac:dyDescent="0.25">
      <c r="A16" s="755" t="s">
        <v>8</v>
      </c>
      <c r="B16" s="755" t="s">
        <v>426</v>
      </c>
      <c r="C16" s="755" t="s">
        <v>991</v>
      </c>
      <c r="D16" s="755">
        <v>13</v>
      </c>
      <c r="E16" s="750" t="s">
        <v>352</v>
      </c>
      <c r="F16" s="750" t="s">
        <v>1017</v>
      </c>
      <c r="G16" s="750" t="s">
        <v>1400</v>
      </c>
      <c r="H16" s="755" t="s">
        <v>259</v>
      </c>
      <c r="I16" s="928"/>
      <c r="J16" s="859">
        <v>120</v>
      </c>
      <c r="K16" s="931">
        <v>3.6779000000000002</v>
      </c>
      <c r="L16" s="756">
        <v>3.6779000000000002</v>
      </c>
      <c r="M16" s="757">
        <v>46016</v>
      </c>
      <c r="N16" s="757"/>
      <c r="O16" s="757"/>
      <c r="P16" s="757"/>
      <c r="Q16" s="757"/>
      <c r="R16" s="750"/>
      <c r="S16" s="750"/>
      <c r="T16" s="905"/>
      <c r="U16" s="757"/>
      <c r="V16" s="757" t="str">
        <f>_xlfn.XLOOKUP(Table3[[#This Row],[RE Developer]],[2]GEA!$B:$B,[2]GEA!$K:$K,"",0,1)</f>
        <v>-</v>
      </c>
      <c r="W16" s="757"/>
      <c r="X16" s="757"/>
      <c r="Y16" s="905"/>
      <c r="Z16" s="905">
        <f>Table3[[#This Row],[Valid from]]+364</f>
        <v>364</v>
      </c>
      <c r="AA16" s="928" t="str">
        <f>_xlfn.XLOOKUP(Table3[[#This Row],[RE Developer]],[2]GEA!$B:$B,[2]GEA!$M:$M,"",0,1)</f>
        <v>-</v>
      </c>
      <c r="AB16" s="750"/>
      <c r="AC16" s="905"/>
      <c r="AD16" s="905"/>
      <c r="AE16" s="905"/>
      <c r="AF16" s="905"/>
      <c r="AG16" s="905"/>
      <c r="AH16" s="905"/>
    </row>
    <row r="17" spans="1:34" hidden="1" x14ac:dyDescent="0.25">
      <c r="A17" s="755" t="s">
        <v>32</v>
      </c>
      <c r="B17" s="755" t="s">
        <v>426</v>
      </c>
      <c r="C17" s="755" t="s">
        <v>991</v>
      </c>
      <c r="D17" s="755">
        <v>14</v>
      </c>
      <c r="E17" s="750" t="s">
        <v>1019</v>
      </c>
      <c r="F17" s="750" t="s">
        <v>1018</v>
      </c>
      <c r="G17" s="750" t="s">
        <v>1399</v>
      </c>
      <c r="H17" s="755" t="s">
        <v>1020</v>
      </c>
      <c r="I17" s="928"/>
      <c r="J17" s="859">
        <v>300</v>
      </c>
      <c r="K17" s="931">
        <v>3.6779000000000002</v>
      </c>
      <c r="L17" s="756">
        <v>3.6779000000000002</v>
      </c>
      <c r="M17" s="757">
        <v>46016</v>
      </c>
      <c r="N17" s="757"/>
      <c r="O17" s="757"/>
      <c r="P17" s="757"/>
      <c r="Q17" s="757"/>
      <c r="R17" s="750"/>
      <c r="S17" s="750"/>
      <c r="T17" s="905"/>
      <c r="U17" s="757"/>
      <c r="V17" s="757" t="str">
        <f>_xlfn.XLOOKUP(Table3[[#This Row],[RE Developer]],[2]GEA!$B:$B,[2]GEA!$K:$K,"",0,1)</f>
        <v>-</v>
      </c>
      <c r="W17" s="757"/>
      <c r="X17" s="757"/>
      <c r="Y17" s="905"/>
      <c r="Z17" s="905">
        <f>Table3[[#This Row],[Valid from]]+364</f>
        <v>364</v>
      </c>
      <c r="AA17" s="928" t="str">
        <f>_xlfn.XLOOKUP(Table3[[#This Row],[RE Developer]],[2]GEA!$B:$B,[2]GEA!$M:$M,"",0,1)</f>
        <v>-</v>
      </c>
      <c r="AB17" s="750"/>
      <c r="AC17" s="905"/>
      <c r="AD17" s="905"/>
      <c r="AE17" s="905"/>
      <c r="AF17" s="905"/>
      <c r="AG17" s="905"/>
      <c r="AH17" s="905"/>
    </row>
    <row r="18" spans="1:34" hidden="1" x14ac:dyDescent="0.25">
      <c r="A18" s="755" t="s">
        <v>7</v>
      </c>
      <c r="B18" s="755" t="s">
        <v>392</v>
      </c>
      <c r="C18" s="755" t="s">
        <v>991</v>
      </c>
      <c r="D18" s="755">
        <v>15</v>
      </c>
      <c r="E18" s="750" t="s">
        <v>1022</v>
      </c>
      <c r="F18" s="750" t="s">
        <v>1021</v>
      </c>
      <c r="G18" s="750" t="s">
        <v>1384</v>
      </c>
      <c r="H18" s="755" t="s">
        <v>1023</v>
      </c>
      <c r="I18" s="928"/>
      <c r="J18" s="859">
        <v>70</v>
      </c>
      <c r="K18" s="931">
        <v>6.0583999999999998</v>
      </c>
      <c r="L18" s="756">
        <v>3.8582999999999998</v>
      </c>
      <c r="M18" s="757">
        <v>46015</v>
      </c>
      <c r="N18" s="757"/>
      <c r="O18" s="757"/>
      <c r="P18" s="757"/>
      <c r="Q18" s="757"/>
      <c r="R18" s="750"/>
      <c r="S18" s="750"/>
      <c r="T18" s="905"/>
      <c r="U18" s="757" t="s">
        <v>1524</v>
      </c>
      <c r="V18" s="757" t="s">
        <v>1779</v>
      </c>
      <c r="W18" s="757"/>
      <c r="X18" s="757">
        <v>45868</v>
      </c>
      <c r="Y18" s="905">
        <v>45868</v>
      </c>
      <c r="Z18" s="905">
        <f>Table3[[#This Row],[Valid from]]+364</f>
        <v>46232</v>
      </c>
      <c r="AA18" s="928">
        <v>50000</v>
      </c>
      <c r="AB18" s="750"/>
      <c r="AC18" s="905"/>
      <c r="AD18" s="905"/>
      <c r="AE18" s="905"/>
      <c r="AF18" s="905"/>
      <c r="AG18" s="905"/>
      <c r="AH18" s="905"/>
    </row>
    <row r="19" spans="1:34" hidden="1" x14ac:dyDescent="0.25">
      <c r="A19" s="755" t="s">
        <v>7</v>
      </c>
      <c r="B19" s="755" t="s">
        <v>392</v>
      </c>
      <c r="C19" s="755" t="s">
        <v>991</v>
      </c>
      <c r="D19" s="755">
        <v>16</v>
      </c>
      <c r="E19" s="750" t="s">
        <v>100</v>
      </c>
      <c r="F19" s="750" t="s">
        <v>1024</v>
      </c>
      <c r="G19" s="750" t="s">
        <v>1385</v>
      </c>
      <c r="H19" s="755" t="s">
        <v>235</v>
      </c>
      <c r="I19" s="928"/>
      <c r="J19" s="859">
        <v>30</v>
      </c>
      <c r="K19" s="931">
        <v>6.0583999999999998</v>
      </c>
      <c r="L19" s="756">
        <v>4.1997999999999998</v>
      </c>
      <c r="M19" s="757">
        <v>46016</v>
      </c>
      <c r="N19" s="757"/>
      <c r="O19" s="757"/>
      <c r="P19" s="757"/>
      <c r="Q19" s="757"/>
      <c r="R19" s="750"/>
      <c r="S19" s="750"/>
      <c r="T19" s="905"/>
      <c r="U19" s="757"/>
      <c r="V19" s="757" t="str">
        <f>_xlfn.XLOOKUP(Table3[[#This Row],[RE Developer]],[2]GEA!$B:$B,[2]GEA!$K:$K,"",0,1)</f>
        <v>-</v>
      </c>
      <c r="W19" s="757"/>
      <c r="X19" s="757"/>
      <c r="Y19" s="905"/>
      <c r="Z19" s="905">
        <f>Table3[[#This Row],[Valid from]]+364</f>
        <v>364</v>
      </c>
      <c r="AA19" s="928" t="str">
        <f>_xlfn.XLOOKUP(Table3[[#This Row],[RE Developer]],[2]GEA!$B:$B,[2]GEA!$M:$M,"",0,1)</f>
        <v>-</v>
      </c>
      <c r="AB19" s="750"/>
      <c r="AC19" s="905"/>
      <c r="AD19" s="905"/>
      <c r="AE19" s="905"/>
      <c r="AF19" s="905"/>
      <c r="AG19" s="905"/>
      <c r="AH19" s="905"/>
    </row>
    <row r="20" spans="1:34" hidden="1" x14ac:dyDescent="0.25">
      <c r="A20" s="755" t="s">
        <v>7</v>
      </c>
      <c r="B20" s="755" t="s">
        <v>392</v>
      </c>
      <c r="C20" s="755" t="s">
        <v>991</v>
      </c>
      <c r="D20" s="755">
        <v>17</v>
      </c>
      <c r="E20" s="750" t="s">
        <v>1026</v>
      </c>
      <c r="F20" s="750" t="s">
        <v>1025</v>
      </c>
      <c r="G20" s="750" t="s">
        <v>1384</v>
      </c>
      <c r="H20" s="755" t="s">
        <v>1023</v>
      </c>
      <c r="I20" s="928"/>
      <c r="J20" s="859">
        <v>160</v>
      </c>
      <c r="K20" s="931">
        <v>6.0583999999999998</v>
      </c>
      <c r="L20" s="756">
        <v>4.4386000000000001</v>
      </c>
      <c r="M20" s="757">
        <v>46015</v>
      </c>
      <c r="N20" s="757"/>
      <c r="O20" s="757"/>
      <c r="P20" s="757"/>
      <c r="Q20" s="757"/>
      <c r="R20" s="750"/>
      <c r="S20" s="750"/>
      <c r="T20" s="905"/>
      <c r="U20" s="757" t="s">
        <v>1524</v>
      </c>
      <c r="V20" s="757" t="s">
        <v>1780</v>
      </c>
      <c r="W20" s="757"/>
      <c r="X20" s="757">
        <v>45874</v>
      </c>
      <c r="Y20" s="905">
        <v>45874</v>
      </c>
      <c r="Z20" s="905">
        <f>Table3[[#This Row],[Valid from]]+364</f>
        <v>46238</v>
      </c>
      <c r="AA20" s="928">
        <v>25000</v>
      </c>
      <c r="AB20" s="750" t="s">
        <v>1436</v>
      </c>
      <c r="AC20" s="905"/>
      <c r="AD20" s="905"/>
      <c r="AE20" s="905"/>
      <c r="AF20" s="905"/>
      <c r="AG20" s="905"/>
      <c r="AH20" s="905"/>
    </row>
    <row r="21" spans="1:34" hidden="1" x14ac:dyDescent="0.25">
      <c r="A21" s="755" t="s">
        <v>7</v>
      </c>
      <c r="B21" s="755" t="s">
        <v>392</v>
      </c>
      <c r="C21" s="755" t="s">
        <v>991</v>
      </c>
      <c r="D21" s="755">
        <v>18</v>
      </c>
      <c r="E21" s="750" t="s">
        <v>1028</v>
      </c>
      <c r="F21" s="750" t="s">
        <v>1027</v>
      </c>
      <c r="G21" s="750" t="s">
        <v>1386</v>
      </c>
      <c r="H21" s="755" t="s">
        <v>1029</v>
      </c>
      <c r="I21" s="928"/>
      <c r="J21" s="859">
        <v>100.8</v>
      </c>
      <c r="K21" s="931">
        <v>6.0583999999999998</v>
      </c>
      <c r="L21" s="756">
        <v>4.6368</v>
      </c>
      <c r="M21" s="757">
        <v>45901</v>
      </c>
      <c r="N21" s="757"/>
      <c r="O21" s="757"/>
      <c r="P21" s="757"/>
      <c r="Q21" s="757"/>
      <c r="R21" s="750" t="s">
        <v>1523</v>
      </c>
      <c r="S21" s="750"/>
      <c r="T21" s="905"/>
      <c r="U21" s="757"/>
      <c r="V21" s="757" t="str">
        <f>_xlfn.XLOOKUP(Table3[[#This Row],[RE Developer]],[2]GEA!$B:$B,[2]GEA!$K:$K,"",0,1)</f>
        <v/>
      </c>
      <c r="W21" s="757"/>
      <c r="X21" s="757"/>
      <c r="Y21" s="905"/>
      <c r="Z21" s="905">
        <f>Table3[[#This Row],[Valid from]]+364</f>
        <v>364</v>
      </c>
      <c r="AA21" s="928" t="str">
        <f>_xlfn.XLOOKUP(Table3[[#This Row],[RE Developer]],[2]GEA!$B:$B,[2]GEA!$M:$M,"",0,1)</f>
        <v/>
      </c>
      <c r="AB21" s="750"/>
      <c r="AC21" s="905"/>
      <c r="AD21" s="905"/>
      <c r="AE21" s="905"/>
      <c r="AF21" s="905"/>
      <c r="AG21" s="905"/>
      <c r="AH21" s="905"/>
    </row>
    <row r="22" spans="1:34" hidden="1" x14ac:dyDescent="0.25">
      <c r="A22" s="755" t="s">
        <v>32</v>
      </c>
      <c r="B22" s="755" t="s">
        <v>392</v>
      </c>
      <c r="C22" s="755" t="s">
        <v>991</v>
      </c>
      <c r="D22" s="755">
        <v>19</v>
      </c>
      <c r="E22" s="750" t="s">
        <v>413</v>
      </c>
      <c r="F22" s="750" t="s">
        <v>1030</v>
      </c>
      <c r="G22" s="750" t="s">
        <v>1387</v>
      </c>
      <c r="H22" s="755" t="s">
        <v>1031</v>
      </c>
      <c r="I22" s="928"/>
      <c r="J22" s="859">
        <v>13.2</v>
      </c>
      <c r="K22" s="931">
        <v>6.0583999999999998</v>
      </c>
      <c r="L22" s="756">
        <v>5.7554999999999996</v>
      </c>
      <c r="M22" s="757">
        <v>45802</v>
      </c>
      <c r="N22" s="757"/>
      <c r="O22" s="757"/>
      <c r="P22" s="757"/>
      <c r="Q22" s="757"/>
      <c r="R22" s="750"/>
      <c r="S22" s="750"/>
      <c r="T22" s="905"/>
      <c r="U22" s="757" t="s">
        <v>1524</v>
      </c>
      <c r="V22" s="757" t="s">
        <v>1782</v>
      </c>
      <c r="W22" s="757"/>
      <c r="X22" s="757">
        <v>46163</v>
      </c>
      <c r="Y22" s="905">
        <v>46163</v>
      </c>
      <c r="Z22" s="905">
        <f>Table3[[#This Row],[Valid from]]+364</f>
        <v>46527</v>
      </c>
      <c r="AA22" s="928">
        <v>13560</v>
      </c>
      <c r="AB22" s="750"/>
      <c r="AC22" s="905"/>
      <c r="AD22" s="905"/>
      <c r="AE22" s="905"/>
      <c r="AF22" s="905"/>
      <c r="AG22" s="905"/>
      <c r="AH22" s="905"/>
    </row>
    <row r="23" spans="1:34" x14ac:dyDescent="0.25">
      <c r="A23" s="755" t="s">
        <v>7</v>
      </c>
      <c r="B23" s="755" t="s">
        <v>1035</v>
      </c>
      <c r="C23" s="755" t="s">
        <v>1034</v>
      </c>
      <c r="D23" s="755">
        <v>20</v>
      </c>
      <c r="E23" s="750" t="s">
        <v>1033</v>
      </c>
      <c r="F23" s="750" t="s">
        <v>1032</v>
      </c>
      <c r="G23" s="750"/>
      <c r="H23" s="755" t="s">
        <v>262</v>
      </c>
      <c r="I23" s="928">
        <v>42936</v>
      </c>
      <c r="J23" s="859">
        <v>30.933</v>
      </c>
      <c r="K23" s="931">
        <v>4.4043000000000001</v>
      </c>
      <c r="L23" s="756">
        <v>4.3998999999999997</v>
      </c>
      <c r="M23" s="757">
        <v>45657</v>
      </c>
      <c r="N23" s="757">
        <v>45657</v>
      </c>
      <c r="O23" s="757">
        <v>45657</v>
      </c>
      <c r="P23" s="757"/>
      <c r="Q23" s="757">
        <v>45719</v>
      </c>
      <c r="R23" s="750"/>
      <c r="S23" s="750" t="s">
        <v>1714</v>
      </c>
      <c r="T23" s="905">
        <v>45730</v>
      </c>
      <c r="U23" s="757" t="s">
        <v>1524</v>
      </c>
      <c r="V23" s="757" t="s">
        <v>1783</v>
      </c>
      <c r="W23" s="757"/>
      <c r="X23" s="757">
        <v>45719</v>
      </c>
      <c r="Y23" s="905">
        <v>45719</v>
      </c>
      <c r="Z23" s="905">
        <f>Table3[[#This Row],[Valid from]]+364</f>
        <v>46083</v>
      </c>
      <c r="AA23" s="928">
        <v>42936</v>
      </c>
      <c r="AB23" s="750"/>
      <c r="AC23" s="924" t="s">
        <v>1692</v>
      </c>
      <c r="AD23" s="905" t="s">
        <v>1708</v>
      </c>
      <c r="AE23" s="905">
        <v>45719</v>
      </c>
      <c r="AF23" s="905">
        <v>45843</v>
      </c>
      <c r="AG23" s="905" t="s">
        <v>1704</v>
      </c>
      <c r="AH23" s="905"/>
    </row>
    <row r="24" spans="1:34" x14ac:dyDescent="0.25">
      <c r="A24" s="755" t="s">
        <v>7</v>
      </c>
      <c r="B24" s="755" t="s">
        <v>1035</v>
      </c>
      <c r="C24" s="755" t="s">
        <v>1034</v>
      </c>
      <c r="D24" s="755">
        <v>21</v>
      </c>
      <c r="E24" s="750" t="s">
        <v>1037</v>
      </c>
      <c r="F24" s="750" t="s">
        <v>1036</v>
      </c>
      <c r="G24" s="750"/>
      <c r="H24" s="755" t="s">
        <v>1038</v>
      </c>
      <c r="I24" s="928">
        <v>56578</v>
      </c>
      <c r="J24" s="859">
        <v>41.244</v>
      </c>
      <c r="K24" s="931">
        <v>4.4043000000000001</v>
      </c>
      <c r="L24" s="756">
        <v>4.3998999999999997</v>
      </c>
      <c r="M24" s="757">
        <v>45657</v>
      </c>
      <c r="N24" s="757">
        <v>45689</v>
      </c>
      <c r="O24" s="757"/>
      <c r="P24" s="757"/>
      <c r="Q24" s="757">
        <v>45964</v>
      </c>
      <c r="R24" s="750"/>
      <c r="S24" s="750" t="s">
        <v>1716</v>
      </c>
      <c r="T24" s="905">
        <v>45750</v>
      </c>
      <c r="U24" s="757" t="s">
        <v>1715</v>
      </c>
      <c r="V24" s="757" t="s">
        <v>1784</v>
      </c>
      <c r="W24" s="757"/>
      <c r="X24" s="757">
        <v>45727</v>
      </c>
      <c r="Y24" s="757">
        <v>46092</v>
      </c>
      <c r="Z24" s="757">
        <f>Table3[[#This Row],[Valid from]]+364</f>
        <v>46456</v>
      </c>
      <c r="AA24" s="928">
        <f>_xlfn.XLOOKUP(Table3[[#This Row],[RE Developer]],[2]GEA!$B:$B,[2]GEA!$M:$M,"",0,1)</f>
        <v>56578</v>
      </c>
      <c r="AB24" s="750"/>
      <c r="AC24" s="925">
        <v>1002</v>
      </c>
      <c r="AD24" s="905" t="s">
        <v>1708</v>
      </c>
      <c r="AE24" s="905">
        <v>45964</v>
      </c>
      <c r="AF24" s="905">
        <v>45843</v>
      </c>
      <c r="AG24" s="905" t="s">
        <v>1704</v>
      </c>
      <c r="AH24" s="905"/>
    </row>
    <row r="25" spans="1:34" x14ac:dyDescent="0.25">
      <c r="A25" s="755" t="s">
        <v>7</v>
      </c>
      <c r="B25" s="755" t="s">
        <v>1035</v>
      </c>
      <c r="C25" s="755" t="s">
        <v>1034</v>
      </c>
      <c r="D25" s="755">
        <v>22</v>
      </c>
      <c r="E25" s="750" t="s">
        <v>1040</v>
      </c>
      <c r="F25" s="750" t="s">
        <v>1039</v>
      </c>
      <c r="G25" s="750"/>
      <c r="H25" s="755" t="s">
        <v>1012</v>
      </c>
      <c r="I25" s="928">
        <v>7000</v>
      </c>
      <c r="J25" s="859">
        <v>5.88</v>
      </c>
      <c r="K25" s="931">
        <v>4.4043000000000001</v>
      </c>
      <c r="L25" s="756">
        <v>4.4043000000000001</v>
      </c>
      <c r="M25" s="757">
        <v>45652</v>
      </c>
      <c r="N25" s="757">
        <v>45652</v>
      </c>
      <c r="O25" s="757"/>
      <c r="P25" s="757"/>
      <c r="Q25" s="757">
        <v>42419</v>
      </c>
      <c r="R25" s="750"/>
      <c r="S25" s="750" t="s">
        <v>1711</v>
      </c>
      <c r="T25" s="905"/>
      <c r="U25" s="757" t="s">
        <v>1524</v>
      </c>
      <c r="V25" s="757" t="s">
        <v>1785</v>
      </c>
      <c r="W25" s="757"/>
      <c r="X25" s="757">
        <v>45810</v>
      </c>
      <c r="Y25" s="757">
        <v>45810</v>
      </c>
      <c r="Z25" s="905">
        <f>Table3[[#This Row],[Valid from]]+364</f>
        <v>46174</v>
      </c>
      <c r="AA25" s="928">
        <f>_xlfn.XLOOKUP(Table3[[#This Row],[RE Developer]],[2]GEA!$B:$B,[2]GEA!$M:$M,"",0,1)</f>
        <v>7479</v>
      </c>
      <c r="AB25" s="750" t="s">
        <v>1437</v>
      </c>
      <c r="AC25" s="925" t="s">
        <v>1694</v>
      </c>
      <c r="AD25" s="905" t="s">
        <v>1708</v>
      </c>
      <c r="AE25" s="905">
        <v>45652</v>
      </c>
      <c r="AF25" s="905">
        <v>45856</v>
      </c>
      <c r="AG25" s="905" t="s">
        <v>1705</v>
      </c>
      <c r="AH25" s="905"/>
    </row>
    <row r="26" spans="1:34" x14ac:dyDescent="0.25">
      <c r="A26" s="755" t="s">
        <v>7</v>
      </c>
      <c r="B26" s="755" t="s">
        <v>1035</v>
      </c>
      <c r="C26" s="755" t="s">
        <v>1034</v>
      </c>
      <c r="D26" s="755">
        <v>23</v>
      </c>
      <c r="E26" s="750" t="s">
        <v>1042</v>
      </c>
      <c r="F26" s="750" t="s">
        <v>1041</v>
      </c>
      <c r="G26" s="750"/>
      <c r="H26" s="755" t="s">
        <v>1012</v>
      </c>
      <c r="I26" s="928">
        <v>8840</v>
      </c>
      <c r="J26" s="859">
        <v>7.1</v>
      </c>
      <c r="K26" s="931">
        <v>4.4043000000000001</v>
      </c>
      <c r="L26" s="756">
        <v>4.4043000000000001</v>
      </c>
      <c r="M26" s="757">
        <v>45652</v>
      </c>
      <c r="N26" s="757">
        <v>45652</v>
      </c>
      <c r="O26" s="757"/>
      <c r="P26" s="757"/>
      <c r="Q26" s="757">
        <v>42419</v>
      </c>
      <c r="R26" s="750"/>
      <c r="S26" s="750" t="s">
        <v>1713</v>
      </c>
      <c r="T26" s="905"/>
      <c r="U26" s="757" t="s">
        <v>1524</v>
      </c>
      <c r="V26" s="757" t="s">
        <v>1786</v>
      </c>
      <c r="W26" s="757"/>
      <c r="X26" s="757">
        <v>45810</v>
      </c>
      <c r="Y26" s="757">
        <v>45810</v>
      </c>
      <c r="Z26" s="905">
        <f>Table3[[#This Row],[Valid from]]+364</f>
        <v>46174</v>
      </c>
      <c r="AA26" s="928">
        <f>_xlfn.XLOOKUP(Table3[[#This Row],[RE Developer]],[2]GEA!$B:$B,[2]GEA!$M:$M,"",0,1)</f>
        <v>8836</v>
      </c>
      <c r="AB26" s="750" t="s">
        <v>1437</v>
      </c>
      <c r="AC26" s="925" t="s">
        <v>1695</v>
      </c>
      <c r="AD26" s="905" t="s">
        <v>1708</v>
      </c>
      <c r="AE26" s="905">
        <v>45652</v>
      </c>
      <c r="AF26" s="905">
        <v>45856</v>
      </c>
      <c r="AG26" s="905" t="s">
        <v>1705</v>
      </c>
      <c r="AH26" s="905"/>
    </row>
    <row r="27" spans="1:34" hidden="1" x14ac:dyDescent="0.25">
      <c r="A27" s="755" t="s">
        <v>7</v>
      </c>
      <c r="B27" s="755" t="s">
        <v>1035</v>
      </c>
      <c r="C27" s="755" t="s">
        <v>1034</v>
      </c>
      <c r="D27" s="755">
        <v>24</v>
      </c>
      <c r="E27" s="750" t="s">
        <v>1044</v>
      </c>
      <c r="F27" s="750" t="s">
        <v>1043</v>
      </c>
      <c r="G27" s="750"/>
      <c r="H27" s="755" t="s">
        <v>235</v>
      </c>
      <c r="I27" s="928"/>
      <c r="J27" s="859">
        <v>50</v>
      </c>
      <c r="K27" s="931">
        <v>4.4043000000000001</v>
      </c>
      <c r="L27" s="756">
        <v>4.4043000000000001</v>
      </c>
      <c r="M27" s="757">
        <v>45652</v>
      </c>
      <c r="N27" s="757"/>
      <c r="O27" s="757"/>
      <c r="P27" s="757"/>
      <c r="Q27" s="757"/>
      <c r="R27" s="750"/>
      <c r="S27" s="750"/>
      <c r="T27" s="905"/>
      <c r="U27" s="757"/>
      <c r="V27" s="757" t="str">
        <f>_xlfn.XLOOKUP(Table3[[#This Row],[RE Developer]],[2]GEA!$B:$B,[2]GEA!$K:$K,"",0,1)</f>
        <v>-</v>
      </c>
      <c r="W27" s="757"/>
      <c r="X27" s="757"/>
      <c r="Y27" s="905"/>
      <c r="Z27" s="905">
        <f>Table3[[#This Row],[Valid from]]+364</f>
        <v>364</v>
      </c>
      <c r="AA27" s="928" t="str">
        <f>_xlfn.XLOOKUP(Table3[[#This Row],[RE Developer]],[2]GEA!$B:$B,[2]GEA!$M:$M,"",0,1)</f>
        <v>-</v>
      </c>
      <c r="AB27" s="750"/>
      <c r="AC27" s="925"/>
      <c r="AD27" s="905"/>
      <c r="AE27" s="905"/>
      <c r="AF27" s="905"/>
      <c r="AG27" s="905"/>
      <c r="AH27" s="905"/>
    </row>
    <row r="28" spans="1:34" hidden="1" x14ac:dyDescent="0.25">
      <c r="A28" s="755" t="s">
        <v>7</v>
      </c>
      <c r="B28" s="755" t="s">
        <v>1035</v>
      </c>
      <c r="C28" s="755" t="s">
        <v>1034</v>
      </c>
      <c r="D28" s="755">
        <v>25</v>
      </c>
      <c r="E28" s="750" t="s">
        <v>1046</v>
      </c>
      <c r="F28" s="750" t="s">
        <v>1045</v>
      </c>
      <c r="G28" s="750"/>
      <c r="H28" s="755" t="s">
        <v>1047</v>
      </c>
      <c r="I28" s="928"/>
      <c r="J28" s="859">
        <v>75</v>
      </c>
      <c r="K28" s="931">
        <v>4.4043000000000001</v>
      </c>
      <c r="L28" s="756">
        <v>4.4043000000000001</v>
      </c>
      <c r="M28" s="757">
        <v>45652</v>
      </c>
      <c r="N28" s="757"/>
      <c r="O28" s="757"/>
      <c r="P28" s="757"/>
      <c r="Q28" s="757"/>
      <c r="R28" s="750"/>
      <c r="S28" s="750"/>
      <c r="T28" s="905"/>
      <c r="U28" s="757"/>
      <c r="V28" s="757" t="str">
        <f>_xlfn.XLOOKUP(Table3[[#This Row],[RE Developer]],[2]GEA!$B:$B,[2]GEA!$K:$K,"",0,1)</f>
        <v/>
      </c>
      <c r="W28" s="757"/>
      <c r="X28" s="757"/>
      <c r="Y28" s="905"/>
      <c r="Z28" s="905">
        <f>Table3[[#This Row],[Valid from]]+364</f>
        <v>364</v>
      </c>
      <c r="AA28" s="928" t="str">
        <f>_xlfn.XLOOKUP(Table3[[#This Row],[RE Developer]],[2]GEA!$B:$B,[2]GEA!$M:$M,"",0,1)</f>
        <v/>
      </c>
      <c r="AB28" s="750"/>
      <c r="AC28" s="925"/>
      <c r="AD28" s="905"/>
      <c r="AE28" s="905"/>
      <c r="AF28" s="905"/>
      <c r="AG28" s="905"/>
      <c r="AH28" s="905"/>
    </row>
    <row r="29" spans="1:34" x14ac:dyDescent="0.25">
      <c r="A29" s="755" t="s">
        <v>7</v>
      </c>
      <c r="B29" s="755" t="s">
        <v>1035</v>
      </c>
      <c r="C29" s="755" t="s">
        <v>1034</v>
      </c>
      <c r="D29" s="755">
        <v>26</v>
      </c>
      <c r="E29" s="750" t="s">
        <v>1049</v>
      </c>
      <c r="F29" s="750" t="s">
        <v>1048</v>
      </c>
      <c r="G29" s="750"/>
      <c r="H29" s="755" t="s">
        <v>1047</v>
      </c>
      <c r="I29" s="928">
        <v>42041</v>
      </c>
      <c r="J29" s="859">
        <v>30</v>
      </c>
      <c r="K29" s="931">
        <v>4.4043000000000001</v>
      </c>
      <c r="L29" s="756">
        <v>4.4043000000000001</v>
      </c>
      <c r="M29" s="757">
        <v>45652</v>
      </c>
      <c r="N29" s="757">
        <v>46173</v>
      </c>
      <c r="O29" s="757"/>
      <c r="P29" s="757"/>
      <c r="Q29" s="757"/>
      <c r="R29" s="750" t="s">
        <v>1720</v>
      </c>
      <c r="S29" s="750"/>
      <c r="T29" s="905"/>
      <c r="U29" s="757" t="s">
        <v>1524</v>
      </c>
      <c r="V29" s="757" t="str">
        <f>_xlfn.XLOOKUP(Table3[[#This Row],[RE Developer]],[2]GEA!$B:$B,[2]GEA!$K:$K,"",0,1)</f>
        <v>26-02-10-M-PAO-N-0559L</v>
      </c>
      <c r="W29" s="757">
        <v>46125</v>
      </c>
      <c r="X29" s="757">
        <v>46128</v>
      </c>
      <c r="Y29" s="905">
        <v>46125</v>
      </c>
      <c r="Z29" s="905">
        <v>46486</v>
      </c>
      <c r="AA29" s="928">
        <f>_xlfn.XLOOKUP(Table3[[#This Row],[RE Developer]],[2]GEA!$B:$B,[2]GEA!$M:$M,"",0,1)</f>
        <v>42041</v>
      </c>
      <c r="AB29" s="750"/>
      <c r="AC29" s="925" t="s">
        <v>1791</v>
      </c>
      <c r="AD29" s="905" t="s">
        <v>1792</v>
      </c>
      <c r="AE29" s="997"/>
      <c r="AF29" s="997"/>
      <c r="AG29" s="997"/>
      <c r="AH29" s="905" t="s">
        <v>1746</v>
      </c>
    </row>
    <row r="30" spans="1:34" hidden="1" x14ac:dyDescent="0.25">
      <c r="A30" s="755" t="s">
        <v>7</v>
      </c>
      <c r="B30" s="755" t="s">
        <v>1035</v>
      </c>
      <c r="C30" s="755" t="s">
        <v>1034</v>
      </c>
      <c r="D30" s="755">
        <v>27</v>
      </c>
      <c r="E30" s="750" t="s">
        <v>1051</v>
      </c>
      <c r="F30" s="750" t="s">
        <v>1050</v>
      </c>
      <c r="G30" s="750"/>
      <c r="H30" s="755" t="s">
        <v>1052</v>
      </c>
      <c r="I30" s="928"/>
      <c r="J30" s="859">
        <v>70.5</v>
      </c>
      <c r="K30" s="931">
        <v>4.4043000000000001</v>
      </c>
      <c r="L30" s="756">
        <v>4.4043000000000001</v>
      </c>
      <c r="M30" s="757">
        <v>45652</v>
      </c>
      <c r="N30" s="757"/>
      <c r="O30" s="757"/>
      <c r="P30" s="757"/>
      <c r="Q30" s="757"/>
      <c r="R30" s="750"/>
      <c r="S30" s="750"/>
      <c r="T30" s="905"/>
      <c r="U30" s="757"/>
      <c r="V30" s="757" t="str">
        <f>_xlfn.XLOOKUP(Table3[[#This Row],[RE Developer]],[2]GEA!$B:$B,[2]GEA!$K:$K,"",0,1)</f>
        <v>-</v>
      </c>
      <c r="W30" s="757"/>
      <c r="X30" s="757"/>
      <c r="Y30" s="905"/>
      <c r="Z30" s="905">
        <f>Table3[[#This Row],[Valid from]]+364</f>
        <v>364</v>
      </c>
      <c r="AA30" s="928" t="str">
        <f>_xlfn.XLOOKUP(Table3[[#This Row],[RE Developer]],[2]GEA!$B:$B,[2]GEA!$M:$M,"",0,1)</f>
        <v>-</v>
      </c>
      <c r="AB30" s="750"/>
      <c r="AC30" s="925"/>
      <c r="AD30" s="905"/>
      <c r="AE30" s="905"/>
      <c r="AF30" s="905"/>
      <c r="AG30" s="905"/>
      <c r="AH30" s="905"/>
    </row>
    <row r="31" spans="1:34" hidden="1" x14ac:dyDescent="0.25">
      <c r="A31" s="755" t="s">
        <v>7</v>
      </c>
      <c r="B31" s="755" t="s">
        <v>1035</v>
      </c>
      <c r="C31" s="755" t="s">
        <v>1034</v>
      </c>
      <c r="D31" s="755">
        <v>28</v>
      </c>
      <c r="E31" s="750" t="s">
        <v>1054</v>
      </c>
      <c r="F31" s="750" t="s">
        <v>1053</v>
      </c>
      <c r="G31" s="750"/>
      <c r="H31" s="755" t="s">
        <v>1052</v>
      </c>
      <c r="I31" s="928"/>
      <c r="J31" s="859">
        <v>27</v>
      </c>
      <c r="K31" s="931">
        <v>4.4043000000000001</v>
      </c>
      <c r="L31" s="756">
        <v>4.4043000000000001</v>
      </c>
      <c r="M31" s="757">
        <v>45652</v>
      </c>
      <c r="N31" s="757"/>
      <c r="O31" s="757"/>
      <c r="P31" s="757"/>
      <c r="Q31" s="757"/>
      <c r="R31" s="750"/>
      <c r="S31" s="750"/>
      <c r="T31" s="905"/>
      <c r="U31" s="757"/>
      <c r="V31" s="757" t="str">
        <f>_xlfn.XLOOKUP(Table3[[#This Row],[RE Developer]],[2]GEA!$B:$B,[2]GEA!$K:$K,"",0,1)</f>
        <v/>
      </c>
      <c r="W31" s="757"/>
      <c r="X31" s="757"/>
      <c r="Y31" s="905"/>
      <c r="Z31" s="905">
        <f>Table3[[#This Row],[Valid from]]+364</f>
        <v>364</v>
      </c>
      <c r="AA31" s="928" t="str">
        <f>_xlfn.XLOOKUP(Table3[[#This Row],[RE Developer]],[2]GEA!$B:$B,[2]GEA!$M:$M,"",0,1)</f>
        <v/>
      </c>
      <c r="AB31" s="750"/>
      <c r="AC31" s="925"/>
      <c r="AD31" s="905"/>
      <c r="AE31" s="905"/>
      <c r="AF31" s="905"/>
      <c r="AG31" s="905"/>
      <c r="AH31" s="905"/>
    </row>
    <row r="32" spans="1:34" hidden="1" x14ac:dyDescent="0.25">
      <c r="A32" s="755" t="s">
        <v>7</v>
      </c>
      <c r="B32" s="755" t="s">
        <v>1035</v>
      </c>
      <c r="C32" s="755" t="s">
        <v>1034</v>
      </c>
      <c r="D32" s="755">
        <v>29</v>
      </c>
      <c r="E32" s="750" t="s">
        <v>1056</v>
      </c>
      <c r="F32" s="750" t="s">
        <v>1055</v>
      </c>
      <c r="G32" s="750"/>
      <c r="H32" s="755" t="s">
        <v>1057</v>
      </c>
      <c r="I32" s="928"/>
      <c r="J32" s="859">
        <v>90</v>
      </c>
      <c r="K32" s="931">
        <v>4.4043000000000001</v>
      </c>
      <c r="L32" s="756">
        <v>4.4043000000000001</v>
      </c>
      <c r="M32" s="757">
        <v>45652</v>
      </c>
      <c r="N32" s="757"/>
      <c r="O32" s="757"/>
      <c r="P32" s="757"/>
      <c r="Q32" s="757"/>
      <c r="R32" s="750"/>
      <c r="S32" s="750"/>
      <c r="T32" s="905"/>
      <c r="U32" s="757"/>
      <c r="V32" s="757" t="str">
        <f>_xlfn.XLOOKUP(Table3[[#This Row],[RE Developer]],[2]GEA!$B:$B,[2]GEA!$K:$K,"",0,1)</f>
        <v>-</v>
      </c>
      <c r="W32" s="757"/>
      <c r="X32" s="757"/>
      <c r="Y32" s="905"/>
      <c r="Z32" s="905">
        <f>Table3[[#This Row],[Valid from]]+364</f>
        <v>364</v>
      </c>
      <c r="AA32" s="928" t="str">
        <f>_xlfn.XLOOKUP(Table3[[#This Row],[RE Developer]],[2]GEA!$B:$B,[2]GEA!$M:$M,"",0,1)</f>
        <v>-</v>
      </c>
      <c r="AB32" s="750"/>
      <c r="AC32" s="925"/>
      <c r="AD32" s="905"/>
      <c r="AE32" s="905"/>
      <c r="AF32" s="905"/>
      <c r="AG32" s="905"/>
      <c r="AH32" s="905"/>
    </row>
    <row r="33" spans="1:34" hidden="1" x14ac:dyDescent="0.25">
      <c r="A33" s="755" t="s">
        <v>7</v>
      </c>
      <c r="B33" s="755" t="s">
        <v>1035</v>
      </c>
      <c r="C33" s="755" t="s">
        <v>1034</v>
      </c>
      <c r="D33" s="755">
        <v>30</v>
      </c>
      <c r="E33" s="750" t="s">
        <v>1059</v>
      </c>
      <c r="F33" s="750" t="s">
        <v>1058</v>
      </c>
      <c r="G33" s="750"/>
      <c r="H33" s="755" t="s">
        <v>1057</v>
      </c>
      <c r="I33" s="928"/>
      <c r="J33" s="859">
        <v>80.099999999999994</v>
      </c>
      <c r="K33" s="931">
        <v>4.4043000000000001</v>
      </c>
      <c r="L33" s="756">
        <v>4.4043000000000001</v>
      </c>
      <c r="M33" s="757">
        <v>45652</v>
      </c>
      <c r="N33" s="757"/>
      <c r="O33" s="757"/>
      <c r="P33" s="757"/>
      <c r="Q33" s="757"/>
      <c r="R33" s="750"/>
      <c r="S33" s="750"/>
      <c r="T33" s="905"/>
      <c r="U33" s="757"/>
      <c r="V33" s="757" t="str">
        <f>_xlfn.XLOOKUP(Table3[[#This Row],[RE Developer]],[2]GEA!$B:$B,[2]GEA!$K:$K,"",0,1)</f>
        <v>-</v>
      </c>
      <c r="W33" s="757"/>
      <c r="X33" s="757"/>
      <c r="Y33" s="905"/>
      <c r="Z33" s="905">
        <f>Table3[[#This Row],[Valid from]]+364</f>
        <v>364</v>
      </c>
      <c r="AA33" s="928" t="str">
        <f>_xlfn.XLOOKUP(Table3[[#This Row],[RE Developer]],[2]GEA!$B:$B,[2]GEA!$M:$M,"",0,1)</f>
        <v>-</v>
      </c>
      <c r="AB33" s="750"/>
      <c r="AC33" s="925"/>
      <c r="AD33" s="905"/>
      <c r="AE33" s="905"/>
      <c r="AF33" s="905"/>
      <c r="AG33" s="905"/>
      <c r="AH33" s="905"/>
    </row>
    <row r="34" spans="1:34" hidden="1" x14ac:dyDescent="0.25">
      <c r="A34" s="755" t="s">
        <v>7</v>
      </c>
      <c r="B34" s="755" t="s">
        <v>1062</v>
      </c>
      <c r="C34" s="755" t="s">
        <v>1034</v>
      </c>
      <c r="D34" s="755">
        <v>31</v>
      </c>
      <c r="E34" s="750" t="s">
        <v>1061</v>
      </c>
      <c r="F34" s="750" t="s">
        <v>1060</v>
      </c>
      <c r="G34" s="750"/>
      <c r="H34" s="755" t="s">
        <v>1063</v>
      </c>
      <c r="I34" s="928"/>
      <c r="J34" s="859">
        <v>0.18</v>
      </c>
      <c r="K34" s="931">
        <v>4.8738000000000001</v>
      </c>
      <c r="L34" s="756">
        <v>4.8738000000000001</v>
      </c>
      <c r="M34" s="757">
        <v>45639</v>
      </c>
      <c r="N34" s="757"/>
      <c r="O34" s="757"/>
      <c r="P34" s="757"/>
      <c r="Q34" s="757"/>
      <c r="R34" s="750"/>
      <c r="S34" s="750"/>
      <c r="T34" s="905"/>
      <c r="U34" s="757"/>
      <c r="V34" s="757" t="str">
        <f>_xlfn.XLOOKUP(Table3[[#This Row],[RE Developer]],[2]GEA!$B:$B,[2]GEA!$K:$K,"",0,1)</f>
        <v>-</v>
      </c>
      <c r="W34" s="757"/>
      <c r="X34" s="757"/>
      <c r="Y34" s="905"/>
      <c r="Z34" s="905">
        <f>Table3[[#This Row],[Valid from]]+364</f>
        <v>364</v>
      </c>
      <c r="AA34" s="928" t="str">
        <f>_xlfn.XLOOKUP(Table3[[#This Row],[RE Developer]],[2]GEA!$B:$B,[2]GEA!$M:$M,"",0,1)</f>
        <v>-</v>
      </c>
      <c r="AB34" s="750"/>
      <c r="AC34" s="925"/>
      <c r="AD34" s="905"/>
      <c r="AE34" s="905"/>
      <c r="AF34" s="905"/>
      <c r="AG34" s="905"/>
      <c r="AH34" s="905"/>
    </row>
    <row r="35" spans="1:34" hidden="1" x14ac:dyDescent="0.25">
      <c r="A35" s="755" t="s">
        <v>7</v>
      </c>
      <c r="B35" s="755" t="s">
        <v>1062</v>
      </c>
      <c r="C35" s="755" t="s">
        <v>1034</v>
      </c>
      <c r="D35" s="755">
        <v>32</v>
      </c>
      <c r="E35" s="750" t="s">
        <v>1061</v>
      </c>
      <c r="F35" s="750" t="s">
        <v>1064</v>
      </c>
      <c r="G35" s="750"/>
      <c r="H35" s="755" t="s">
        <v>1063</v>
      </c>
      <c r="I35" s="928"/>
      <c r="J35" s="859">
        <v>0.13</v>
      </c>
      <c r="K35" s="931">
        <v>4.8738000000000001</v>
      </c>
      <c r="L35" s="756">
        <v>4.8738000000000001</v>
      </c>
      <c r="M35" s="757">
        <v>45640</v>
      </c>
      <c r="N35" s="757"/>
      <c r="O35" s="757"/>
      <c r="P35" s="757"/>
      <c r="Q35" s="757"/>
      <c r="R35" s="750"/>
      <c r="S35" s="750"/>
      <c r="T35" s="905"/>
      <c r="U35" s="757"/>
      <c r="V35" s="757" t="str">
        <f>_xlfn.XLOOKUP(Table3[[#This Row],[RE Developer]],[2]GEA!$B:$B,[2]GEA!$K:$K,"",0,1)</f>
        <v>-</v>
      </c>
      <c r="W35" s="757"/>
      <c r="X35" s="757"/>
      <c r="Y35" s="905"/>
      <c r="Z35" s="905">
        <f>Table3[[#This Row],[Valid from]]+364</f>
        <v>364</v>
      </c>
      <c r="AA35" s="928" t="str">
        <f>_xlfn.XLOOKUP(Table3[[#This Row],[RE Developer]],[2]GEA!$B:$B,[2]GEA!$M:$M,"",0,1)</f>
        <v>-</v>
      </c>
      <c r="AB35" s="750"/>
      <c r="AC35" s="925"/>
      <c r="AD35" s="905"/>
      <c r="AE35" s="905"/>
      <c r="AF35" s="905"/>
      <c r="AG35" s="905"/>
      <c r="AH35" s="905"/>
    </row>
    <row r="36" spans="1:34" hidden="1" x14ac:dyDescent="0.25">
      <c r="A36" s="755" t="s">
        <v>7</v>
      </c>
      <c r="B36" s="755" t="s">
        <v>1062</v>
      </c>
      <c r="C36" s="755" t="s">
        <v>1034</v>
      </c>
      <c r="D36" s="755">
        <v>33</v>
      </c>
      <c r="E36" s="750" t="s">
        <v>1061</v>
      </c>
      <c r="F36" s="750" t="s">
        <v>1065</v>
      </c>
      <c r="G36" s="750"/>
      <c r="H36" s="755" t="s">
        <v>1063</v>
      </c>
      <c r="I36" s="928"/>
      <c r="J36" s="859">
        <v>0.13</v>
      </c>
      <c r="K36" s="931">
        <v>4.8738000000000001</v>
      </c>
      <c r="L36" s="756">
        <v>4.8738000000000001</v>
      </c>
      <c r="M36" s="757">
        <v>45640</v>
      </c>
      <c r="N36" s="757"/>
      <c r="O36" s="757"/>
      <c r="P36" s="757"/>
      <c r="Q36" s="757"/>
      <c r="R36" s="750"/>
      <c r="S36" s="750"/>
      <c r="T36" s="905"/>
      <c r="U36" s="757"/>
      <c r="V36" s="757" t="str">
        <f>_xlfn.XLOOKUP(Table3[[#This Row],[RE Developer]],[2]GEA!$B:$B,[2]GEA!$K:$K,"",0,1)</f>
        <v>-</v>
      </c>
      <c r="W36" s="757"/>
      <c r="X36" s="757"/>
      <c r="Y36" s="905"/>
      <c r="Z36" s="905">
        <f>Table3[[#This Row],[Valid from]]+364</f>
        <v>364</v>
      </c>
      <c r="AA36" s="928" t="str">
        <f>_xlfn.XLOOKUP(Table3[[#This Row],[RE Developer]],[2]GEA!$B:$B,[2]GEA!$M:$M,"",0,1)</f>
        <v>-</v>
      </c>
      <c r="AB36" s="750"/>
      <c r="AC36" s="925"/>
      <c r="AD36" s="905"/>
      <c r="AE36" s="905"/>
      <c r="AF36" s="905"/>
      <c r="AG36" s="905"/>
      <c r="AH36" s="905"/>
    </row>
    <row r="37" spans="1:34" hidden="1" x14ac:dyDescent="0.25">
      <c r="A37" s="755" t="s">
        <v>7</v>
      </c>
      <c r="B37" s="755" t="s">
        <v>1062</v>
      </c>
      <c r="C37" s="755" t="s">
        <v>1034</v>
      </c>
      <c r="D37" s="755">
        <v>34</v>
      </c>
      <c r="E37" s="750" t="s">
        <v>1061</v>
      </c>
      <c r="F37" s="750" t="s">
        <v>1066</v>
      </c>
      <c r="G37" s="750"/>
      <c r="H37" s="755" t="s">
        <v>1063</v>
      </c>
      <c r="I37" s="928"/>
      <c r="J37" s="859">
        <v>0.13</v>
      </c>
      <c r="K37" s="931">
        <v>4.8738000000000001</v>
      </c>
      <c r="L37" s="756">
        <v>4.8738000000000001</v>
      </c>
      <c r="M37" s="757">
        <v>45640</v>
      </c>
      <c r="N37" s="757"/>
      <c r="O37" s="757"/>
      <c r="P37" s="757"/>
      <c r="Q37" s="757"/>
      <c r="R37" s="750"/>
      <c r="S37" s="750"/>
      <c r="T37" s="905"/>
      <c r="U37" s="757"/>
      <c r="V37" s="757" t="str">
        <f>_xlfn.XLOOKUP(Table3[[#This Row],[RE Developer]],[2]GEA!$B:$B,[2]GEA!$K:$K,"",0,1)</f>
        <v>-</v>
      </c>
      <c r="W37" s="757"/>
      <c r="X37" s="757"/>
      <c r="Y37" s="905"/>
      <c r="Z37" s="905">
        <f>Table3[[#This Row],[Valid from]]+364</f>
        <v>364</v>
      </c>
      <c r="AA37" s="928" t="str">
        <f>_xlfn.XLOOKUP(Table3[[#This Row],[RE Developer]],[2]GEA!$B:$B,[2]GEA!$M:$M,"",0,1)</f>
        <v>-</v>
      </c>
      <c r="AB37" s="750"/>
      <c r="AC37" s="925"/>
      <c r="AD37" s="905"/>
      <c r="AE37" s="905"/>
      <c r="AF37" s="905"/>
      <c r="AG37" s="905"/>
      <c r="AH37" s="905"/>
    </row>
    <row r="38" spans="1:34" hidden="1" x14ac:dyDescent="0.25">
      <c r="A38" s="755" t="s">
        <v>7</v>
      </c>
      <c r="B38" s="755" t="s">
        <v>1062</v>
      </c>
      <c r="C38" s="755" t="s">
        <v>1034</v>
      </c>
      <c r="D38" s="755">
        <v>35</v>
      </c>
      <c r="E38" s="750" t="s">
        <v>1061</v>
      </c>
      <c r="F38" s="750" t="s">
        <v>1067</v>
      </c>
      <c r="G38" s="750"/>
      <c r="H38" s="755" t="s">
        <v>1063</v>
      </c>
      <c r="I38" s="928"/>
      <c r="J38" s="859">
        <v>0.13</v>
      </c>
      <c r="K38" s="931">
        <v>4.8738000000000001</v>
      </c>
      <c r="L38" s="756">
        <v>4.8738000000000001</v>
      </c>
      <c r="M38" s="757">
        <v>45640</v>
      </c>
      <c r="N38" s="757"/>
      <c r="O38" s="757"/>
      <c r="P38" s="757"/>
      <c r="Q38" s="757"/>
      <c r="R38" s="750"/>
      <c r="S38" s="750"/>
      <c r="T38" s="905"/>
      <c r="U38" s="757"/>
      <c r="V38" s="757" t="str">
        <f>_xlfn.XLOOKUP(Table3[[#This Row],[RE Developer]],[2]GEA!$B:$B,[2]GEA!$K:$K,"",0,1)</f>
        <v>-</v>
      </c>
      <c r="W38" s="757"/>
      <c r="X38" s="757"/>
      <c r="Y38" s="905"/>
      <c r="Z38" s="905">
        <f>Table3[[#This Row],[Valid from]]+364</f>
        <v>364</v>
      </c>
      <c r="AA38" s="928" t="str">
        <f>_xlfn.XLOOKUP(Table3[[#This Row],[RE Developer]],[2]GEA!$B:$B,[2]GEA!$M:$M,"",0,1)</f>
        <v>-</v>
      </c>
      <c r="AB38" s="750"/>
      <c r="AC38" s="925"/>
      <c r="AD38" s="905"/>
      <c r="AE38" s="905"/>
      <c r="AF38" s="905"/>
      <c r="AG38" s="905"/>
      <c r="AH38" s="905"/>
    </row>
    <row r="39" spans="1:34" hidden="1" x14ac:dyDescent="0.25">
      <c r="A39" s="755" t="s">
        <v>7</v>
      </c>
      <c r="B39" s="755" t="s">
        <v>1062</v>
      </c>
      <c r="C39" s="755" t="s">
        <v>1034</v>
      </c>
      <c r="D39" s="755">
        <v>36</v>
      </c>
      <c r="E39" s="750" t="s">
        <v>1061</v>
      </c>
      <c r="F39" s="750" t="s">
        <v>1068</v>
      </c>
      <c r="G39" s="750"/>
      <c r="H39" s="755" t="s">
        <v>1063</v>
      </c>
      <c r="I39" s="928"/>
      <c r="J39" s="859">
        <v>0.06</v>
      </c>
      <c r="K39" s="931">
        <v>4.8738000000000001</v>
      </c>
      <c r="L39" s="756">
        <v>4.8738000000000001</v>
      </c>
      <c r="M39" s="757">
        <v>45640</v>
      </c>
      <c r="N39" s="757"/>
      <c r="O39" s="757"/>
      <c r="P39" s="757"/>
      <c r="Q39" s="757"/>
      <c r="R39" s="750"/>
      <c r="S39" s="750"/>
      <c r="T39" s="905"/>
      <c r="U39" s="757"/>
      <c r="V39" s="757" t="str">
        <f>_xlfn.XLOOKUP(Table3[[#This Row],[RE Developer]],[2]GEA!$B:$B,[2]GEA!$K:$K,"",0,1)</f>
        <v>-</v>
      </c>
      <c r="W39" s="757"/>
      <c r="X39" s="757"/>
      <c r="Y39" s="905"/>
      <c r="Z39" s="905">
        <f>Table3[[#This Row],[Valid from]]+364</f>
        <v>364</v>
      </c>
      <c r="AA39" s="928" t="str">
        <f>_xlfn.XLOOKUP(Table3[[#This Row],[RE Developer]],[2]GEA!$B:$B,[2]GEA!$M:$M,"",0,1)</f>
        <v>-</v>
      </c>
      <c r="AB39" s="750"/>
      <c r="AC39" s="925"/>
      <c r="AD39" s="905"/>
      <c r="AE39" s="905"/>
      <c r="AF39" s="905"/>
      <c r="AG39" s="905"/>
      <c r="AH39" s="905"/>
    </row>
    <row r="40" spans="1:34" hidden="1" x14ac:dyDescent="0.25">
      <c r="A40" s="755" t="s">
        <v>7</v>
      </c>
      <c r="B40" s="755" t="s">
        <v>1062</v>
      </c>
      <c r="C40" s="755" t="s">
        <v>1034</v>
      </c>
      <c r="D40" s="755">
        <v>37</v>
      </c>
      <c r="E40" s="750" t="s">
        <v>1061</v>
      </c>
      <c r="F40" s="750" t="s">
        <v>1069</v>
      </c>
      <c r="G40" s="750"/>
      <c r="H40" s="755" t="s">
        <v>1063</v>
      </c>
      <c r="I40" s="928"/>
      <c r="J40" s="859">
        <v>0.15</v>
      </c>
      <c r="K40" s="931">
        <v>4.8738000000000001</v>
      </c>
      <c r="L40" s="756">
        <v>4.8738000000000001</v>
      </c>
      <c r="M40" s="757">
        <v>45640</v>
      </c>
      <c r="N40" s="757"/>
      <c r="O40" s="757"/>
      <c r="P40" s="757"/>
      <c r="Q40" s="757"/>
      <c r="R40" s="750"/>
      <c r="S40" s="750"/>
      <c r="T40" s="905"/>
      <c r="U40" s="757"/>
      <c r="V40" s="757" t="str">
        <f>_xlfn.XLOOKUP(Table3[[#This Row],[RE Developer]],[2]GEA!$B:$B,[2]GEA!$K:$K,"",0,1)</f>
        <v>-</v>
      </c>
      <c r="W40" s="757"/>
      <c r="X40" s="757"/>
      <c r="Y40" s="905"/>
      <c r="Z40" s="905">
        <f>Table3[[#This Row],[Valid from]]+364</f>
        <v>364</v>
      </c>
      <c r="AA40" s="928" t="str">
        <f>_xlfn.XLOOKUP(Table3[[#This Row],[RE Developer]],[2]GEA!$B:$B,[2]GEA!$M:$M,"",0,1)</f>
        <v>-</v>
      </c>
      <c r="AB40" s="750"/>
      <c r="AC40" s="925"/>
      <c r="AD40" s="905"/>
      <c r="AE40" s="905"/>
      <c r="AF40" s="905"/>
      <c r="AG40" s="905"/>
      <c r="AH40" s="905"/>
    </row>
    <row r="41" spans="1:34" hidden="1" x14ac:dyDescent="0.25">
      <c r="A41" s="755" t="s">
        <v>7</v>
      </c>
      <c r="B41" s="755" t="s">
        <v>1062</v>
      </c>
      <c r="C41" s="755" t="s">
        <v>1034</v>
      </c>
      <c r="D41" s="755">
        <v>38</v>
      </c>
      <c r="E41" s="750" t="s">
        <v>1061</v>
      </c>
      <c r="F41" s="750" t="s">
        <v>1070</v>
      </c>
      <c r="G41" s="750"/>
      <c r="H41" s="755" t="s">
        <v>1063</v>
      </c>
      <c r="I41" s="928"/>
      <c r="J41" s="859">
        <v>0.15</v>
      </c>
      <c r="K41" s="931">
        <v>4.8738000000000001</v>
      </c>
      <c r="L41" s="756">
        <v>4.8738000000000001</v>
      </c>
      <c r="M41" s="757">
        <v>45640</v>
      </c>
      <c r="N41" s="757"/>
      <c r="O41" s="757"/>
      <c r="P41" s="757"/>
      <c r="Q41" s="757"/>
      <c r="R41" s="750"/>
      <c r="S41" s="750"/>
      <c r="T41" s="905"/>
      <c r="U41" s="757"/>
      <c r="V41" s="757" t="str">
        <f>_xlfn.XLOOKUP(Table3[[#This Row],[RE Developer]],[2]GEA!$B:$B,[2]GEA!$K:$K,"",0,1)</f>
        <v>-</v>
      </c>
      <c r="W41" s="757"/>
      <c r="X41" s="757"/>
      <c r="Y41" s="905"/>
      <c r="Z41" s="905">
        <f>Table3[[#This Row],[Valid from]]+364</f>
        <v>364</v>
      </c>
      <c r="AA41" s="928" t="str">
        <f>_xlfn.XLOOKUP(Table3[[#This Row],[RE Developer]],[2]GEA!$B:$B,[2]GEA!$M:$M,"",0,1)</f>
        <v>-</v>
      </c>
      <c r="AB41" s="750"/>
      <c r="AC41" s="925"/>
      <c r="AD41" s="905"/>
      <c r="AE41" s="905"/>
      <c r="AF41" s="905"/>
      <c r="AG41" s="905"/>
      <c r="AH41" s="905"/>
    </row>
    <row r="42" spans="1:34" hidden="1" x14ac:dyDescent="0.25">
      <c r="A42" s="755" t="s">
        <v>7</v>
      </c>
      <c r="B42" s="755" t="s">
        <v>1062</v>
      </c>
      <c r="C42" s="755" t="s">
        <v>1034</v>
      </c>
      <c r="D42" s="755">
        <v>39</v>
      </c>
      <c r="E42" s="750" t="s">
        <v>1061</v>
      </c>
      <c r="F42" s="750" t="s">
        <v>1071</v>
      </c>
      <c r="G42" s="750"/>
      <c r="H42" s="755" t="s">
        <v>1063</v>
      </c>
      <c r="I42" s="928"/>
      <c r="J42" s="859">
        <v>0.09</v>
      </c>
      <c r="K42" s="931">
        <v>4.8738000000000001</v>
      </c>
      <c r="L42" s="756">
        <v>4.8738000000000001</v>
      </c>
      <c r="M42" s="757">
        <v>45640</v>
      </c>
      <c r="N42" s="757"/>
      <c r="O42" s="757"/>
      <c r="P42" s="757"/>
      <c r="Q42" s="757"/>
      <c r="R42" s="750"/>
      <c r="S42" s="750"/>
      <c r="T42" s="905"/>
      <c r="U42" s="757"/>
      <c r="V42" s="757" t="str">
        <f>_xlfn.XLOOKUP(Table3[[#This Row],[RE Developer]],[2]GEA!$B:$B,[2]GEA!$K:$K,"",0,1)</f>
        <v>-</v>
      </c>
      <c r="W42" s="757"/>
      <c r="X42" s="757"/>
      <c r="Y42" s="905"/>
      <c r="Z42" s="905">
        <f>Table3[[#This Row],[Valid from]]+364</f>
        <v>364</v>
      </c>
      <c r="AA42" s="928" t="str">
        <f>_xlfn.XLOOKUP(Table3[[#This Row],[RE Developer]],[2]GEA!$B:$B,[2]GEA!$M:$M,"",0,1)</f>
        <v>-</v>
      </c>
      <c r="AB42" s="750"/>
      <c r="AC42" s="925"/>
      <c r="AD42" s="905"/>
      <c r="AE42" s="905"/>
      <c r="AF42" s="905"/>
      <c r="AG42" s="905"/>
      <c r="AH42" s="905"/>
    </row>
    <row r="43" spans="1:34" hidden="1" x14ac:dyDescent="0.25">
      <c r="A43" s="755" t="s">
        <v>7</v>
      </c>
      <c r="B43" s="755" t="s">
        <v>1035</v>
      </c>
      <c r="C43" s="755" t="s">
        <v>1034</v>
      </c>
      <c r="D43" s="755">
        <v>40</v>
      </c>
      <c r="E43" s="750" t="s">
        <v>1073</v>
      </c>
      <c r="F43" s="750" t="s">
        <v>1072</v>
      </c>
      <c r="G43" s="750"/>
      <c r="H43" s="755" t="s">
        <v>1057</v>
      </c>
      <c r="I43" s="928"/>
      <c r="J43" s="859">
        <v>200</v>
      </c>
      <c r="K43" s="931">
        <v>4.4043000000000001</v>
      </c>
      <c r="L43" s="756">
        <v>3.5950000000000002</v>
      </c>
      <c r="M43" s="757">
        <v>45948</v>
      </c>
      <c r="N43" s="757"/>
      <c r="O43" s="757"/>
      <c r="P43" s="757"/>
      <c r="Q43" s="757"/>
      <c r="R43" s="750"/>
      <c r="S43" s="750"/>
      <c r="T43" s="905"/>
      <c r="U43" s="757"/>
      <c r="V43" s="757" t="str">
        <f>_xlfn.XLOOKUP(Table3[[#This Row],[RE Developer]],[2]GEA!$B:$B,[2]GEA!$K:$K,"",0,1)</f>
        <v>-</v>
      </c>
      <c r="W43" s="757"/>
      <c r="X43" s="757"/>
      <c r="Y43" s="905"/>
      <c r="Z43" s="905">
        <f>Table3[[#This Row],[Valid from]]+364</f>
        <v>364</v>
      </c>
      <c r="AA43" s="928" t="str">
        <f>_xlfn.XLOOKUP(Table3[[#This Row],[RE Developer]],[2]GEA!$B:$B,[2]GEA!$M:$M,"",0,1)</f>
        <v>-</v>
      </c>
      <c r="AB43" s="750"/>
      <c r="AC43" s="925"/>
      <c r="AD43" s="905"/>
      <c r="AE43" s="905"/>
      <c r="AF43" s="905"/>
      <c r="AG43" s="905"/>
      <c r="AH43" s="905"/>
    </row>
    <row r="44" spans="1:34" hidden="1" x14ac:dyDescent="0.25">
      <c r="A44" s="755" t="s">
        <v>7</v>
      </c>
      <c r="B44" s="755" t="s">
        <v>1035</v>
      </c>
      <c r="C44" s="755" t="s">
        <v>1034</v>
      </c>
      <c r="D44" s="755">
        <v>41</v>
      </c>
      <c r="E44" s="750" t="s">
        <v>1075</v>
      </c>
      <c r="F44" s="750" t="s">
        <v>1074</v>
      </c>
      <c r="G44" s="750"/>
      <c r="H44" s="755" t="s">
        <v>1012</v>
      </c>
      <c r="I44" s="928"/>
      <c r="J44" s="859">
        <v>49.9</v>
      </c>
      <c r="K44" s="931">
        <v>4.4043000000000001</v>
      </c>
      <c r="L44" s="756">
        <v>3.8788</v>
      </c>
      <c r="M44" s="757">
        <v>46014</v>
      </c>
      <c r="N44" s="757"/>
      <c r="O44" s="757"/>
      <c r="P44" s="757"/>
      <c r="Q44" s="757"/>
      <c r="R44" s="750"/>
      <c r="S44" s="750"/>
      <c r="T44" s="905"/>
      <c r="U44" s="757"/>
      <c r="V44" s="757" t="str">
        <f>_xlfn.XLOOKUP(Table3[[#This Row],[RE Developer]],[2]GEA!$B:$B,[2]GEA!$K:$K,"",0,1)</f>
        <v/>
      </c>
      <c r="W44" s="757"/>
      <c r="X44" s="757"/>
      <c r="Y44" s="905"/>
      <c r="Z44" s="905">
        <f>Table3[[#This Row],[Valid from]]+364</f>
        <v>364</v>
      </c>
      <c r="AA44" s="928" t="str">
        <f>_xlfn.XLOOKUP(Table3[[#This Row],[RE Developer]],[2]GEA!$B:$B,[2]GEA!$M:$M,"",0,1)</f>
        <v/>
      </c>
      <c r="AB44" s="750"/>
      <c r="AC44" s="925"/>
      <c r="AD44" s="905"/>
      <c r="AE44" s="905"/>
      <c r="AF44" s="905"/>
      <c r="AG44" s="905"/>
      <c r="AH44" s="905"/>
    </row>
    <row r="45" spans="1:34" hidden="1" x14ac:dyDescent="0.25">
      <c r="A45" s="755" t="s">
        <v>7</v>
      </c>
      <c r="B45" s="755" t="s">
        <v>1035</v>
      </c>
      <c r="C45" s="755" t="s">
        <v>1034</v>
      </c>
      <c r="D45" s="755">
        <v>42</v>
      </c>
      <c r="E45" s="750" t="s">
        <v>1077</v>
      </c>
      <c r="F45" s="750" t="s">
        <v>1076</v>
      </c>
      <c r="G45" s="750"/>
      <c r="H45" s="755" t="s">
        <v>235</v>
      </c>
      <c r="I45" s="928"/>
      <c r="J45" s="859">
        <v>50</v>
      </c>
      <c r="K45" s="931">
        <v>4.4043000000000001</v>
      </c>
      <c r="L45" s="756">
        <v>4.0999999999999996</v>
      </c>
      <c r="M45" s="757">
        <v>46005</v>
      </c>
      <c r="N45" s="757"/>
      <c r="O45" s="757"/>
      <c r="P45" s="757"/>
      <c r="Q45" s="757"/>
      <c r="R45" s="750"/>
      <c r="S45" s="750"/>
      <c r="T45" s="905"/>
      <c r="U45" s="757"/>
      <c r="V45" s="757" t="str">
        <f>_xlfn.XLOOKUP(Table3[[#This Row],[RE Developer]],[2]GEA!$B:$B,[2]GEA!$K:$K,"",0,1)</f>
        <v>-</v>
      </c>
      <c r="W45" s="757"/>
      <c r="X45" s="757"/>
      <c r="Y45" s="905"/>
      <c r="Z45" s="905">
        <f>Table3[[#This Row],[Valid from]]+364</f>
        <v>364</v>
      </c>
      <c r="AA45" s="928" t="str">
        <f>_xlfn.XLOOKUP(Table3[[#This Row],[RE Developer]],[2]GEA!$B:$B,[2]GEA!$M:$M,"",0,1)</f>
        <v>-</v>
      </c>
      <c r="AB45" s="750"/>
      <c r="AC45" s="925"/>
      <c r="AD45" s="905"/>
      <c r="AE45" s="905"/>
      <c r="AF45" s="905"/>
      <c r="AG45" s="905"/>
      <c r="AH45" s="905"/>
    </row>
    <row r="46" spans="1:34" hidden="1" x14ac:dyDescent="0.25">
      <c r="A46" s="755" t="s">
        <v>7</v>
      </c>
      <c r="B46" s="755" t="s">
        <v>1035</v>
      </c>
      <c r="C46" s="755" t="s">
        <v>1034</v>
      </c>
      <c r="D46" s="755">
        <v>43</v>
      </c>
      <c r="E46" s="750" t="s">
        <v>1079</v>
      </c>
      <c r="F46" s="750" t="s">
        <v>1078</v>
      </c>
      <c r="G46" s="750"/>
      <c r="H46" s="755" t="s">
        <v>1029</v>
      </c>
      <c r="I46" s="928"/>
      <c r="J46" s="859">
        <v>49.4</v>
      </c>
      <c r="K46" s="931">
        <v>4.4043000000000001</v>
      </c>
      <c r="L46" s="756">
        <v>4.1997999999999998</v>
      </c>
      <c r="M46" s="757">
        <v>45992</v>
      </c>
      <c r="N46" s="757"/>
      <c r="O46" s="757"/>
      <c r="P46" s="757"/>
      <c r="Q46" s="757"/>
      <c r="R46" s="750"/>
      <c r="S46" s="750"/>
      <c r="T46" s="905"/>
      <c r="U46" s="757"/>
      <c r="V46" s="757" t="str">
        <f>_xlfn.XLOOKUP(Table3[[#This Row],[RE Developer]],[2]GEA!$B:$B,[2]GEA!$K:$K,"",0,1)</f>
        <v/>
      </c>
      <c r="W46" s="757"/>
      <c r="X46" s="757"/>
      <c r="Y46" s="905"/>
      <c r="Z46" s="905">
        <f>Table3[[#This Row],[Valid from]]+364</f>
        <v>364</v>
      </c>
      <c r="AA46" s="928" t="str">
        <f>_xlfn.XLOOKUP(Table3[[#This Row],[RE Developer]],[2]GEA!$B:$B,[2]GEA!$M:$M,"",0,1)</f>
        <v/>
      </c>
      <c r="AB46" s="750"/>
      <c r="AC46" s="925"/>
      <c r="AD46" s="905"/>
      <c r="AE46" s="905"/>
      <c r="AF46" s="905"/>
      <c r="AG46" s="905"/>
      <c r="AH46" s="905"/>
    </row>
    <row r="47" spans="1:34" x14ac:dyDescent="0.25">
      <c r="A47" s="755" t="s">
        <v>7</v>
      </c>
      <c r="B47" s="755" t="s">
        <v>1035</v>
      </c>
      <c r="C47" s="755" t="s">
        <v>1034</v>
      </c>
      <c r="D47" s="755">
        <v>44</v>
      </c>
      <c r="E47" s="750" t="s">
        <v>1788</v>
      </c>
      <c r="F47" s="750" t="s">
        <v>1080</v>
      </c>
      <c r="G47" s="750"/>
      <c r="H47" s="755" t="s">
        <v>1038</v>
      </c>
      <c r="I47" s="928">
        <v>63961</v>
      </c>
      <c r="J47" s="859">
        <v>49</v>
      </c>
      <c r="K47" s="931">
        <v>4.4043000000000001</v>
      </c>
      <c r="L47" s="756">
        <v>4.2346000000000004</v>
      </c>
      <c r="M47" s="757">
        <v>45839</v>
      </c>
      <c r="N47" s="757">
        <v>45839</v>
      </c>
      <c r="O47" s="757"/>
      <c r="P47" s="757"/>
      <c r="Q47" s="757"/>
      <c r="R47" s="750" t="s">
        <v>1717</v>
      </c>
      <c r="S47" s="750" t="s">
        <v>1718</v>
      </c>
      <c r="T47" s="905"/>
      <c r="U47" s="757" t="s">
        <v>1524</v>
      </c>
      <c r="V47" s="757" t="str">
        <f>_xlfn.XLOOKUP(Table3[[#This Row],[RE Developer]],[2]GEA!$B:$B,[2]GEA!$K:$K,"",0,1)</f>
        <v>26-03-27-M-PAO-N-0569L</v>
      </c>
      <c r="W47" s="757">
        <v>46108</v>
      </c>
      <c r="X47" s="757">
        <v>46119</v>
      </c>
      <c r="Y47" s="905">
        <v>46108</v>
      </c>
      <c r="Z47" s="905">
        <f>Table3[[#This Row],[Valid from]]+364</f>
        <v>46472</v>
      </c>
      <c r="AA47" s="928">
        <f>_xlfn.XLOOKUP(Table3[[#This Row],[RE Developer]],[2]GEA!$B:$B,[2]GEA!$M:$M,"",0,1)</f>
        <v>63961</v>
      </c>
      <c r="AB47" s="750"/>
      <c r="AC47" s="925" t="s">
        <v>1790</v>
      </c>
      <c r="AD47" s="905" t="s">
        <v>1708</v>
      </c>
      <c r="AE47" s="997"/>
      <c r="AF47" s="997"/>
      <c r="AG47" s="997"/>
      <c r="AH47" s="905"/>
    </row>
    <row r="48" spans="1:34" x14ac:dyDescent="0.25">
      <c r="A48" s="755" t="s">
        <v>7</v>
      </c>
      <c r="B48" s="755" t="s">
        <v>1035</v>
      </c>
      <c r="C48" s="755" t="s">
        <v>1034</v>
      </c>
      <c r="D48" s="755">
        <v>45</v>
      </c>
      <c r="E48" s="750" t="s">
        <v>1081</v>
      </c>
      <c r="F48" s="750" t="s">
        <v>1032</v>
      </c>
      <c r="G48" s="750"/>
      <c r="H48" s="755" t="s">
        <v>262</v>
      </c>
      <c r="I48" s="928"/>
      <c r="J48" s="859">
        <v>18.75</v>
      </c>
      <c r="K48" s="931">
        <v>4.4043000000000001</v>
      </c>
      <c r="L48" s="756">
        <v>4.2380000000000004</v>
      </c>
      <c r="M48" s="757">
        <v>45839</v>
      </c>
      <c r="N48" s="757">
        <v>45839</v>
      </c>
      <c r="O48" s="757"/>
      <c r="P48" s="757"/>
      <c r="Q48" s="757"/>
      <c r="R48" s="750" t="s">
        <v>1717</v>
      </c>
      <c r="S48" s="750" t="s">
        <v>1719</v>
      </c>
      <c r="T48" s="905"/>
      <c r="U48" s="757" t="s">
        <v>1715</v>
      </c>
      <c r="V48" s="757" t="s">
        <v>1787</v>
      </c>
      <c r="W48" s="757"/>
      <c r="X48" s="757">
        <v>45937</v>
      </c>
      <c r="Y48" s="757">
        <v>45937</v>
      </c>
      <c r="Z48" s="757">
        <f>Table3[[#This Row],[Valid from]]+364</f>
        <v>46301</v>
      </c>
      <c r="AA48" s="998">
        <f>_xlfn.XLOOKUP(Table3[[#This Row],[RE Developer]],[2]GEA!$B:$B,[2]GEA!$M:$M,"",0,1)</f>
        <v>25537</v>
      </c>
      <c r="AB48" s="750"/>
      <c r="AC48" s="925" t="s">
        <v>1696</v>
      </c>
      <c r="AD48" s="905" t="s">
        <v>1708</v>
      </c>
      <c r="AE48" s="997"/>
      <c r="AF48" s="997"/>
      <c r="AG48" s="997"/>
      <c r="AH48" s="905"/>
    </row>
    <row r="49" spans="1:34" hidden="1" x14ac:dyDescent="0.25">
      <c r="A49" s="755" t="s">
        <v>7</v>
      </c>
      <c r="B49" s="755" t="s">
        <v>1035</v>
      </c>
      <c r="C49" s="755" t="s">
        <v>1034</v>
      </c>
      <c r="D49" s="755">
        <v>46</v>
      </c>
      <c r="E49" s="750" t="s">
        <v>1083</v>
      </c>
      <c r="F49" s="750" t="s">
        <v>1082</v>
      </c>
      <c r="G49" s="750"/>
      <c r="H49" s="755" t="s">
        <v>1029</v>
      </c>
      <c r="I49" s="928"/>
      <c r="J49" s="859">
        <v>43.75</v>
      </c>
      <c r="K49" s="931">
        <v>4.4043000000000001</v>
      </c>
      <c r="L49" s="756">
        <v>4.3898000000000001</v>
      </c>
      <c r="M49" s="757">
        <v>46006</v>
      </c>
      <c r="N49" s="757"/>
      <c r="O49" s="757"/>
      <c r="P49" s="757"/>
      <c r="Q49" s="757"/>
      <c r="R49" s="750"/>
      <c r="S49" s="750"/>
      <c r="T49" s="905"/>
      <c r="U49" s="757"/>
      <c r="V49" s="757" t="str">
        <f>_xlfn.XLOOKUP(Table3[[#This Row],[RE Developer]],[2]GEA!$B:$B,[2]GEA!$K:$K,"",0,1)</f>
        <v>-</v>
      </c>
      <c r="W49" s="757"/>
      <c r="X49" s="757"/>
      <c r="Y49" s="905"/>
      <c r="Z49" s="905">
        <f>Table3[[#This Row],[Valid from]]+364</f>
        <v>364</v>
      </c>
      <c r="AA49" s="928" t="str">
        <f>_xlfn.XLOOKUP(Table3[[#This Row],[RE Developer]],[2]GEA!$B:$B,[2]GEA!$M:$M,"",0,1)</f>
        <v>-</v>
      </c>
      <c r="AB49" s="750"/>
      <c r="AC49" s="925"/>
      <c r="AD49" s="905"/>
      <c r="AE49" s="905"/>
      <c r="AF49" s="905"/>
      <c r="AG49" s="905"/>
      <c r="AH49" s="905"/>
    </row>
    <row r="50" spans="1:34" hidden="1" x14ac:dyDescent="0.25">
      <c r="A50" s="755" t="s">
        <v>7</v>
      </c>
      <c r="B50" s="755" t="s">
        <v>1035</v>
      </c>
      <c r="C50" s="755" t="s">
        <v>1034</v>
      </c>
      <c r="D50" s="755">
        <v>47</v>
      </c>
      <c r="E50" s="750" t="s">
        <v>1085</v>
      </c>
      <c r="F50" s="750" t="s">
        <v>1084</v>
      </c>
      <c r="G50" s="750"/>
      <c r="H50" s="755" t="s">
        <v>1038</v>
      </c>
      <c r="I50" s="928"/>
      <c r="J50" s="859">
        <v>28</v>
      </c>
      <c r="K50" s="931">
        <v>4.4043000000000001</v>
      </c>
      <c r="L50" s="756">
        <v>4.4043000000000001</v>
      </c>
      <c r="M50" s="757">
        <v>45992</v>
      </c>
      <c r="N50" s="757"/>
      <c r="O50" s="757"/>
      <c r="P50" s="757"/>
      <c r="Q50" s="757"/>
      <c r="R50" s="750"/>
      <c r="S50" s="750"/>
      <c r="T50" s="905"/>
      <c r="U50" s="757" t="s">
        <v>1715</v>
      </c>
      <c r="V50" s="757" t="str">
        <f>_xlfn.XLOOKUP(Table3[[#This Row],[RE Developer]],[2]GEA!$B:$B,[2]GEA!$K:$K,"",0,1)</f>
        <v>26-06-M-00402L</v>
      </c>
      <c r="W50" s="757"/>
      <c r="X50" s="757">
        <v>46181</v>
      </c>
      <c r="Y50" s="757">
        <v>46181</v>
      </c>
      <c r="Z50" s="757">
        <f>Table3[[#This Row],[Valid from]]+364</f>
        <v>46545</v>
      </c>
      <c r="AA50" s="928">
        <f>_xlfn.XLOOKUP(Table3[[#This Row],[RE Developer]],[2]GEA!$B:$B,[2]GEA!$M:$M,"",0,1)</f>
        <v>33831</v>
      </c>
      <c r="AB50" s="750"/>
      <c r="AC50" s="925"/>
      <c r="AD50" s="905"/>
      <c r="AE50" s="905"/>
      <c r="AF50" s="905"/>
      <c r="AG50" s="905"/>
      <c r="AH50" s="905"/>
    </row>
    <row r="51" spans="1:34" hidden="1" x14ac:dyDescent="0.25">
      <c r="A51" s="755" t="s">
        <v>7</v>
      </c>
      <c r="B51" s="755" t="s">
        <v>1035</v>
      </c>
      <c r="C51" s="755" t="s">
        <v>1034</v>
      </c>
      <c r="D51" s="755">
        <v>48</v>
      </c>
      <c r="E51" s="750" t="s">
        <v>1087</v>
      </c>
      <c r="F51" s="750" t="s">
        <v>1086</v>
      </c>
      <c r="G51" s="750"/>
      <c r="H51" s="755" t="s">
        <v>1057</v>
      </c>
      <c r="I51" s="928"/>
      <c r="J51" s="859">
        <v>18.559999999999999</v>
      </c>
      <c r="K51" s="931">
        <v>4.4043000000000001</v>
      </c>
      <c r="L51" s="756">
        <v>4.4043000000000001</v>
      </c>
      <c r="M51" s="757">
        <v>45992</v>
      </c>
      <c r="N51" s="757"/>
      <c r="O51" s="757"/>
      <c r="P51" s="757"/>
      <c r="Q51" s="757"/>
      <c r="R51" s="750"/>
      <c r="S51" s="750"/>
      <c r="T51" s="905"/>
      <c r="U51" s="757"/>
      <c r="V51" s="757" t="str">
        <f>_xlfn.XLOOKUP(Table3[[#This Row],[RE Developer]],[2]GEA!$B:$B,[2]GEA!$K:$K,"",0,1)</f>
        <v>-</v>
      </c>
      <c r="W51" s="757"/>
      <c r="X51" s="757"/>
      <c r="Y51" s="905"/>
      <c r="Z51" s="905">
        <f>Table3[[#This Row],[Valid from]]+364</f>
        <v>364</v>
      </c>
      <c r="AA51" s="928" t="str">
        <f>_xlfn.XLOOKUP(Table3[[#This Row],[RE Developer]],[2]GEA!$B:$B,[2]GEA!$M:$M,"",0,1)</f>
        <v>-</v>
      </c>
      <c r="AB51" s="750"/>
      <c r="AC51" s="925"/>
      <c r="AD51" s="905"/>
      <c r="AE51" s="905"/>
      <c r="AF51" s="905"/>
      <c r="AG51" s="905"/>
      <c r="AH51" s="905"/>
    </row>
    <row r="52" spans="1:34" hidden="1" x14ac:dyDescent="0.25">
      <c r="A52" s="755" t="s">
        <v>7</v>
      </c>
      <c r="B52" s="755" t="s">
        <v>1062</v>
      </c>
      <c r="C52" s="755" t="s">
        <v>1034</v>
      </c>
      <c r="D52" s="755">
        <v>49</v>
      </c>
      <c r="E52" s="750" t="s">
        <v>1061</v>
      </c>
      <c r="F52" s="750" t="s">
        <v>1088</v>
      </c>
      <c r="G52" s="750"/>
      <c r="H52" s="755" t="s">
        <v>1047</v>
      </c>
      <c r="I52" s="928"/>
      <c r="J52" s="859">
        <v>0.18</v>
      </c>
      <c r="K52" s="931">
        <v>4.8738000000000001</v>
      </c>
      <c r="L52" s="756">
        <v>4.8738000000000001</v>
      </c>
      <c r="M52" s="757">
        <v>46003</v>
      </c>
      <c r="N52" s="757"/>
      <c r="O52" s="757"/>
      <c r="P52" s="757"/>
      <c r="Q52" s="757"/>
      <c r="R52" s="750"/>
      <c r="S52" s="750"/>
      <c r="T52" s="905"/>
      <c r="U52" s="757"/>
      <c r="V52" s="757" t="str">
        <f>_xlfn.XLOOKUP(Table3[[#This Row],[RE Developer]],[2]GEA!$B:$B,[2]GEA!$K:$K,"",0,1)</f>
        <v>-</v>
      </c>
      <c r="W52" s="757"/>
      <c r="X52" s="757"/>
      <c r="Y52" s="905"/>
      <c r="Z52" s="905">
        <f>Table3[[#This Row],[Valid from]]+364</f>
        <v>364</v>
      </c>
      <c r="AA52" s="928" t="str">
        <f>_xlfn.XLOOKUP(Table3[[#This Row],[RE Developer]],[2]GEA!$B:$B,[2]GEA!$M:$M,"",0,1)</f>
        <v>-</v>
      </c>
      <c r="AB52" s="750"/>
      <c r="AC52" s="925"/>
      <c r="AD52" s="905"/>
      <c r="AE52" s="905"/>
      <c r="AF52" s="905"/>
      <c r="AG52" s="905"/>
      <c r="AH52" s="905"/>
    </row>
    <row r="53" spans="1:34" hidden="1" x14ac:dyDescent="0.25">
      <c r="A53" s="755" t="s">
        <v>7</v>
      </c>
      <c r="B53" s="755" t="s">
        <v>1062</v>
      </c>
      <c r="C53" s="755" t="s">
        <v>1034</v>
      </c>
      <c r="D53" s="755">
        <v>50</v>
      </c>
      <c r="E53" s="750" t="s">
        <v>1061</v>
      </c>
      <c r="F53" s="750" t="s">
        <v>1089</v>
      </c>
      <c r="G53" s="750"/>
      <c r="H53" s="755" t="s">
        <v>1063</v>
      </c>
      <c r="I53" s="928"/>
      <c r="J53" s="859">
        <v>0.13</v>
      </c>
      <c r="K53" s="931">
        <v>4.8738000000000001</v>
      </c>
      <c r="L53" s="756">
        <v>4.8738000000000001</v>
      </c>
      <c r="M53" s="757">
        <v>46003</v>
      </c>
      <c r="N53" s="757"/>
      <c r="O53" s="757"/>
      <c r="P53" s="757"/>
      <c r="Q53" s="757"/>
      <c r="R53" s="750"/>
      <c r="S53" s="750"/>
      <c r="T53" s="905"/>
      <c r="U53" s="757"/>
      <c r="V53" s="757" t="str">
        <f>_xlfn.XLOOKUP(Table3[[#This Row],[RE Developer]],[2]GEA!$B:$B,[2]GEA!$K:$K,"",0,1)</f>
        <v>-</v>
      </c>
      <c r="W53" s="757"/>
      <c r="X53" s="757"/>
      <c r="Y53" s="905"/>
      <c r="Z53" s="905">
        <f>Table3[[#This Row],[Valid from]]+364</f>
        <v>364</v>
      </c>
      <c r="AA53" s="928" t="str">
        <f>_xlfn.XLOOKUP(Table3[[#This Row],[RE Developer]],[2]GEA!$B:$B,[2]GEA!$M:$M,"",0,1)</f>
        <v>-</v>
      </c>
      <c r="AB53" s="750"/>
      <c r="AC53" s="925"/>
      <c r="AD53" s="905"/>
      <c r="AE53" s="905"/>
      <c r="AF53" s="905"/>
      <c r="AG53" s="905"/>
      <c r="AH53" s="905"/>
    </row>
    <row r="54" spans="1:34" hidden="1" x14ac:dyDescent="0.25">
      <c r="A54" s="755" t="s">
        <v>7</v>
      </c>
      <c r="B54" s="755" t="s">
        <v>1062</v>
      </c>
      <c r="C54" s="755" t="s">
        <v>1034</v>
      </c>
      <c r="D54" s="755">
        <v>51</v>
      </c>
      <c r="E54" s="750" t="s">
        <v>1061</v>
      </c>
      <c r="F54" s="750" t="s">
        <v>1090</v>
      </c>
      <c r="G54" s="750"/>
      <c r="H54" s="755" t="s">
        <v>1029</v>
      </c>
      <c r="I54" s="928"/>
      <c r="J54" s="859">
        <v>0.15</v>
      </c>
      <c r="K54" s="931">
        <v>4.8738000000000001</v>
      </c>
      <c r="L54" s="756">
        <v>4.8738000000000001</v>
      </c>
      <c r="M54" s="757">
        <v>46003</v>
      </c>
      <c r="N54" s="757"/>
      <c r="O54" s="757"/>
      <c r="P54" s="757"/>
      <c r="Q54" s="757"/>
      <c r="R54" s="750"/>
      <c r="S54" s="750"/>
      <c r="T54" s="905"/>
      <c r="U54" s="757"/>
      <c r="V54" s="757" t="str">
        <f>_xlfn.XLOOKUP(Table3[[#This Row],[RE Developer]],[2]GEA!$B:$B,[2]GEA!$K:$K,"",0,1)</f>
        <v>-</v>
      </c>
      <c r="W54" s="757"/>
      <c r="X54" s="757"/>
      <c r="Y54" s="905"/>
      <c r="Z54" s="905">
        <f>Table3[[#This Row],[Valid from]]+364</f>
        <v>364</v>
      </c>
      <c r="AA54" s="928" t="str">
        <f>_xlfn.XLOOKUP(Table3[[#This Row],[RE Developer]],[2]GEA!$B:$B,[2]GEA!$M:$M,"",0,1)</f>
        <v>-</v>
      </c>
      <c r="AB54" s="750"/>
      <c r="AC54" s="925"/>
      <c r="AD54" s="905"/>
      <c r="AE54" s="905"/>
      <c r="AF54" s="905"/>
      <c r="AG54" s="905"/>
      <c r="AH54" s="905"/>
    </row>
    <row r="55" spans="1:34" hidden="1" x14ac:dyDescent="0.25">
      <c r="A55" s="755" t="s">
        <v>7</v>
      </c>
      <c r="B55" s="755" t="s">
        <v>1062</v>
      </c>
      <c r="C55" s="755" t="s">
        <v>1034</v>
      </c>
      <c r="D55" s="755">
        <v>52</v>
      </c>
      <c r="E55" s="750" t="s">
        <v>1092</v>
      </c>
      <c r="F55" s="750" t="s">
        <v>1091</v>
      </c>
      <c r="G55" s="750"/>
      <c r="H55" s="755" t="s">
        <v>1063</v>
      </c>
      <c r="I55" s="928"/>
      <c r="J55" s="859">
        <v>0.2</v>
      </c>
      <c r="K55" s="931">
        <v>4.8738000000000001</v>
      </c>
      <c r="L55" s="756">
        <v>4.8738000000000001</v>
      </c>
      <c r="M55" s="757">
        <v>46003</v>
      </c>
      <c r="N55" s="757"/>
      <c r="O55" s="757"/>
      <c r="P55" s="757"/>
      <c r="Q55" s="757"/>
      <c r="R55" s="750"/>
      <c r="S55" s="750"/>
      <c r="T55" s="905"/>
      <c r="U55" s="757"/>
      <c r="V55" s="757" t="str">
        <f>_xlfn.XLOOKUP(Table3[[#This Row],[RE Developer]],[2]GEA!$B:$B,[2]GEA!$K:$K,"",0,1)</f>
        <v/>
      </c>
      <c r="W55" s="757"/>
      <c r="X55" s="757"/>
      <c r="Y55" s="905"/>
      <c r="Z55" s="905">
        <f>Table3[[#This Row],[Valid from]]+364</f>
        <v>364</v>
      </c>
      <c r="AA55" s="928" t="str">
        <f>_xlfn.XLOOKUP(Table3[[#This Row],[RE Developer]],[2]GEA!$B:$B,[2]GEA!$M:$M,"",0,1)</f>
        <v/>
      </c>
      <c r="AB55" s="750"/>
      <c r="AC55" s="925"/>
      <c r="AD55" s="905"/>
      <c r="AE55" s="905"/>
      <c r="AF55" s="905"/>
      <c r="AG55" s="905"/>
      <c r="AH55" s="905"/>
    </row>
    <row r="56" spans="1:34" hidden="1" x14ac:dyDescent="0.25">
      <c r="A56" s="755" t="s">
        <v>7</v>
      </c>
      <c r="B56" s="755" t="s">
        <v>1062</v>
      </c>
      <c r="C56" s="755" t="s">
        <v>1034</v>
      </c>
      <c r="D56" s="755">
        <v>53</v>
      </c>
      <c r="E56" s="750" t="s">
        <v>1061</v>
      </c>
      <c r="F56" s="750" t="s">
        <v>1093</v>
      </c>
      <c r="G56" s="750"/>
      <c r="H56" s="755" t="s">
        <v>1063</v>
      </c>
      <c r="I56" s="928"/>
      <c r="J56" s="859">
        <v>0.14000000000000001</v>
      </c>
      <c r="K56" s="931">
        <v>4.8738000000000001</v>
      </c>
      <c r="L56" s="756">
        <v>4.8738000000000001</v>
      </c>
      <c r="M56" s="757">
        <v>46003</v>
      </c>
      <c r="N56" s="757"/>
      <c r="O56" s="757"/>
      <c r="P56" s="757"/>
      <c r="Q56" s="757"/>
      <c r="R56" s="750"/>
      <c r="S56" s="750"/>
      <c r="T56" s="905"/>
      <c r="U56" s="757"/>
      <c r="V56" s="757" t="str">
        <f>_xlfn.XLOOKUP(Table3[[#This Row],[RE Developer]],[2]GEA!$B:$B,[2]GEA!$K:$K,"",0,1)</f>
        <v>-</v>
      </c>
      <c r="W56" s="757"/>
      <c r="X56" s="757"/>
      <c r="Y56" s="905"/>
      <c r="Z56" s="905">
        <f>Table3[[#This Row],[Valid from]]+364</f>
        <v>364</v>
      </c>
      <c r="AA56" s="928" t="str">
        <f>_xlfn.XLOOKUP(Table3[[#This Row],[RE Developer]],[2]GEA!$B:$B,[2]GEA!$M:$M,"",0,1)</f>
        <v>-</v>
      </c>
      <c r="AB56" s="750"/>
      <c r="AC56" s="925"/>
      <c r="AD56" s="905"/>
      <c r="AE56" s="905"/>
      <c r="AF56" s="905"/>
      <c r="AG56" s="905"/>
      <c r="AH56" s="905"/>
    </row>
    <row r="57" spans="1:34" hidden="1" x14ac:dyDescent="0.25">
      <c r="A57" s="755" t="s">
        <v>7</v>
      </c>
      <c r="B57" s="755" t="s">
        <v>1062</v>
      </c>
      <c r="C57" s="755" t="s">
        <v>1034</v>
      </c>
      <c r="D57" s="755">
        <v>54</v>
      </c>
      <c r="E57" s="750" t="s">
        <v>1061</v>
      </c>
      <c r="F57" s="750" t="s">
        <v>1094</v>
      </c>
      <c r="G57" s="750"/>
      <c r="H57" s="755" t="s">
        <v>1029</v>
      </c>
      <c r="I57" s="928"/>
      <c r="J57" s="859">
        <v>0.45</v>
      </c>
      <c r="K57" s="931">
        <v>4.8738000000000001</v>
      </c>
      <c r="L57" s="756">
        <v>4.8738000000000001</v>
      </c>
      <c r="M57" s="757">
        <v>46003</v>
      </c>
      <c r="N57" s="757"/>
      <c r="O57" s="757"/>
      <c r="P57" s="757"/>
      <c r="Q57" s="757"/>
      <c r="R57" s="750"/>
      <c r="S57" s="750"/>
      <c r="T57" s="905"/>
      <c r="U57" s="757"/>
      <c r="V57" s="757" t="str">
        <f>_xlfn.XLOOKUP(Table3[[#This Row],[RE Developer]],[2]GEA!$B:$B,[2]GEA!$K:$K,"",0,1)</f>
        <v>-</v>
      </c>
      <c r="W57" s="757"/>
      <c r="X57" s="757"/>
      <c r="Y57" s="905"/>
      <c r="Z57" s="905">
        <f>Table3[[#This Row],[Valid from]]+364</f>
        <v>364</v>
      </c>
      <c r="AA57" s="928" t="str">
        <f>_xlfn.XLOOKUP(Table3[[#This Row],[RE Developer]],[2]GEA!$B:$B,[2]GEA!$M:$M,"",0,1)</f>
        <v>-</v>
      </c>
      <c r="AB57" s="750"/>
      <c r="AC57" s="925"/>
      <c r="AD57" s="905"/>
      <c r="AE57" s="905"/>
      <c r="AF57" s="905"/>
      <c r="AG57" s="905"/>
      <c r="AH57" s="905"/>
    </row>
    <row r="58" spans="1:34" hidden="1" x14ac:dyDescent="0.25">
      <c r="A58" s="755" t="s">
        <v>7</v>
      </c>
      <c r="B58" s="755" t="s">
        <v>1062</v>
      </c>
      <c r="C58" s="755" t="s">
        <v>1034</v>
      </c>
      <c r="D58" s="755">
        <v>55</v>
      </c>
      <c r="E58" s="750" t="s">
        <v>1061</v>
      </c>
      <c r="F58" s="750" t="s">
        <v>1095</v>
      </c>
      <c r="G58" s="750"/>
      <c r="H58" s="755" t="s">
        <v>1063</v>
      </c>
      <c r="I58" s="928"/>
      <c r="J58" s="859">
        <v>0.09</v>
      </c>
      <c r="K58" s="931">
        <v>4.8738000000000001</v>
      </c>
      <c r="L58" s="756">
        <v>4.8738000000000001</v>
      </c>
      <c r="M58" s="757">
        <v>46003</v>
      </c>
      <c r="N58" s="757"/>
      <c r="O58" s="757"/>
      <c r="P58" s="757"/>
      <c r="Q58" s="757"/>
      <c r="R58" s="750"/>
      <c r="S58" s="750"/>
      <c r="T58" s="905"/>
      <c r="U58" s="757"/>
      <c r="V58" s="757" t="str">
        <f>_xlfn.XLOOKUP(Table3[[#This Row],[RE Developer]],[2]GEA!$B:$B,[2]GEA!$K:$K,"",0,1)</f>
        <v>-</v>
      </c>
      <c r="W58" s="757"/>
      <c r="X58" s="757"/>
      <c r="Y58" s="905"/>
      <c r="Z58" s="905">
        <f>Table3[[#This Row],[Valid from]]+364</f>
        <v>364</v>
      </c>
      <c r="AA58" s="928" t="str">
        <f>_xlfn.XLOOKUP(Table3[[#This Row],[RE Developer]],[2]GEA!$B:$B,[2]GEA!$M:$M,"",0,1)</f>
        <v>-</v>
      </c>
      <c r="AB58" s="750"/>
      <c r="AC58" s="925"/>
      <c r="AD58" s="905"/>
      <c r="AE58" s="905"/>
      <c r="AF58" s="905"/>
      <c r="AG58" s="905"/>
      <c r="AH58" s="905"/>
    </row>
    <row r="59" spans="1:34" hidden="1" x14ac:dyDescent="0.25">
      <c r="A59" s="755" t="s">
        <v>7</v>
      </c>
      <c r="B59" s="755" t="s">
        <v>1062</v>
      </c>
      <c r="C59" s="755" t="s">
        <v>1034</v>
      </c>
      <c r="D59" s="755">
        <v>56</v>
      </c>
      <c r="E59" s="750" t="s">
        <v>1061</v>
      </c>
      <c r="F59" s="750" t="s">
        <v>1096</v>
      </c>
      <c r="G59" s="750"/>
      <c r="H59" s="755" t="s">
        <v>1063</v>
      </c>
      <c r="I59" s="928"/>
      <c r="J59" s="859">
        <v>0.9</v>
      </c>
      <c r="K59" s="931">
        <v>4.8738000000000001</v>
      </c>
      <c r="L59" s="756">
        <v>4.8738000000000001</v>
      </c>
      <c r="M59" s="757">
        <v>46003</v>
      </c>
      <c r="N59" s="757"/>
      <c r="O59" s="757"/>
      <c r="P59" s="757"/>
      <c r="Q59" s="757"/>
      <c r="R59" s="750"/>
      <c r="S59" s="750"/>
      <c r="T59" s="905"/>
      <c r="U59" s="757"/>
      <c r="V59" s="757" t="str">
        <f>_xlfn.XLOOKUP(Table3[[#This Row],[RE Developer]],[2]GEA!$B:$B,[2]GEA!$K:$K,"",0,1)</f>
        <v>-</v>
      </c>
      <c r="W59" s="757"/>
      <c r="X59" s="757"/>
      <c r="Y59" s="905"/>
      <c r="Z59" s="905">
        <f>Table3[[#This Row],[Valid from]]+364</f>
        <v>364</v>
      </c>
      <c r="AA59" s="928" t="str">
        <f>_xlfn.XLOOKUP(Table3[[#This Row],[RE Developer]],[2]GEA!$B:$B,[2]GEA!$M:$M,"",0,1)</f>
        <v>-</v>
      </c>
      <c r="AB59" s="750"/>
      <c r="AC59" s="925"/>
      <c r="AD59" s="905"/>
      <c r="AE59" s="905"/>
      <c r="AF59" s="905"/>
      <c r="AG59" s="905"/>
      <c r="AH59" s="905"/>
    </row>
    <row r="60" spans="1:34" hidden="1" x14ac:dyDescent="0.25">
      <c r="A60" s="755" t="s">
        <v>7</v>
      </c>
      <c r="B60" s="755" t="s">
        <v>1062</v>
      </c>
      <c r="C60" s="755" t="s">
        <v>1034</v>
      </c>
      <c r="D60" s="755">
        <v>57</v>
      </c>
      <c r="E60" s="750" t="s">
        <v>1061</v>
      </c>
      <c r="F60" s="750" t="s">
        <v>1097</v>
      </c>
      <c r="G60" s="750"/>
      <c r="H60" s="755" t="s">
        <v>1063</v>
      </c>
      <c r="I60" s="928"/>
      <c r="J60" s="859">
        <v>0.15</v>
      </c>
      <c r="K60" s="931">
        <v>4.8738000000000001</v>
      </c>
      <c r="L60" s="756">
        <v>4.8738000000000001</v>
      </c>
      <c r="M60" s="757">
        <v>46003</v>
      </c>
      <c r="N60" s="757"/>
      <c r="O60" s="757"/>
      <c r="P60" s="757"/>
      <c r="Q60" s="757"/>
      <c r="R60" s="750"/>
      <c r="S60" s="750"/>
      <c r="T60" s="905"/>
      <c r="U60" s="757"/>
      <c r="V60" s="757" t="str">
        <f>_xlfn.XLOOKUP(Table3[[#This Row],[RE Developer]],[2]GEA!$B:$B,[2]GEA!$K:$K,"",0,1)</f>
        <v>-</v>
      </c>
      <c r="W60" s="757"/>
      <c r="X60" s="757"/>
      <c r="Y60" s="905"/>
      <c r="Z60" s="905">
        <f>Table3[[#This Row],[Valid from]]+364</f>
        <v>364</v>
      </c>
      <c r="AA60" s="928" t="str">
        <f>_xlfn.XLOOKUP(Table3[[#This Row],[RE Developer]],[2]GEA!$B:$B,[2]GEA!$M:$M,"",0,1)</f>
        <v>-</v>
      </c>
      <c r="AB60" s="750"/>
      <c r="AC60" s="925"/>
      <c r="AD60" s="905"/>
      <c r="AE60" s="905"/>
      <c r="AF60" s="905"/>
      <c r="AG60" s="905"/>
      <c r="AH60" s="905"/>
    </row>
    <row r="61" spans="1:34" hidden="1" x14ac:dyDescent="0.25">
      <c r="A61" s="755" t="s">
        <v>7</v>
      </c>
      <c r="B61" s="755" t="s">
        <v>1062</v>
      </c>
      <c r="C61" s="755" t="s">
        <v>1034</v>
      </c>
      <c r="D61" s="755">
        <v>58</v>
      </c>
      <c r="E61" s="750" t="s">
        <v>1061</v>
      </c>
      <c r="F61" s="750" t="s">
        <v>1098</v>
      </c>
      <c r="G61" s="750"/>
      <c r="H61" s="755" t="s">
        <v>1063</v>
      </c>
      <c r="I61" s="928"/>
      <c r="J61" s="859">
        <v>0.28000000000000003</v>
      </c>
      <c r="K61" s="931">
        <v>4.8738000000000001</v>
      </c>
      <c r="L61" s="756">
        <v>4.8738000000000001</v>
      </c>
      <c r="M61" s="757">
        <v>46003</v>
      </c>
      <c r="N61" s="757"/>
      <c r="O61" s="757"/>
      <c r="P61" s="757"/>
      <c r="Q61" s="757"/>
      <c r="R61" s="750"/>
      <c r="S61" s="750"/>
      <c r="T61" s="905"/>
      <c r="U61" s="757"/>
      <c r="V61" s="757" t="str">
        <f>_xlfn.XLOOKUP(Table3[[#This Row],[RE Developer]],[2]GEA!$B:$B,[2]GEA!$K:$K,"",0,1)</f>
        <v>-</v>
      </c>
      <c r="W61" s="757"/>
      <c r="X61" s="757"/>
      <c r="Y61" s="905"/>
      <c r="Z61" s="905">
        <f>Table3[[#This Row],[Valid from]]+364</f>
        <v>364</v>
      </c>
      <c r="AA61" s="928" t="str">
        <f>_xlfn.XLOOKUP(Table3[[#This Row],[RE Developer]],[2]GEA!$B:$B,[2]GEA!$M:$M,"",0,1)</f>
        <v>-</v>
      </c>
      <c r="AB61" s="750"/>
      <c r="AC61" s="925"/>
      <c r="AD61" s="905"/>
      <c r="AE61" s="905"/>
      <c r="AF61" s="905"/>
      <c r="AG61" s="905"/>
      <c r="AH61" s="905"/>
    </row>
    <row r="62" spans="1:34" hidden="1" x14ac:dyDescent="0.25">
      <c r="A62" s="755" t="s">
        <v>7</v>
      </c>
      <c r="B62" s="755" t="s">
        <v>1062</v>
      </c>
      <c r="C62" s="755" t="s">
        <v>1034</v>
      </c>
      <c r="D62" s="755">
        <v>59</v>
      </c>
      <c r="E62" s="750" t="s">
        <v>1061</v>
      </c>
      <c r="F62" s="750" t="s">
        <v>1099</v>
      </c>
      <c r="G62" s="750"/>
      <c r="H62" s="755" t="s">
        <v>1063</v>
      </c>
      <c r="I62" s="928"/>
      <c r="J62" s="859">
        <v>0.2</v>
      </c>
      <c r="K62" s="931">
        <v>4.8738000000000001</v>
      </c>
      <c r="L62" s="756">
        <v>4.8738000000000001</v>
      </c>
      <c r="M62" s="757">
        <v>46003</v>
      </c>
      <c r="N62" s="757"/>
      <c r="O62" s="757"/>
      <c r="P62" s="757"/>
      <c r="Q62" s="757"/>
      <c r="R62" s="750"/>
      <c r="S62" s="750"/>
      <c r="T62" s="905"/>
      <c r="U62" s="757"/>
      <c r="V62" s="757" t="str">
        <f>_xlfn.XLOOKUP(Table3[[#This Row],[RE Developer]],[2]GEA!$B:$B,[2]GEA!$K:$K,"",0,1)</f>
        <v>-</v>
      </c>
      <c r="W62" s="757"/>
      <c r="X62" s="757"/>
      <c r="Y62" s="905"/>
      <c r="Z62" s="905">
        <f>Table3[[#This Row],[Valid from]]+364</f>
        <v>364</v>
      </c>
      <c r="AA62" s="928" t="str">
        <f>_xlfn.XLOOKUP(Table3[[#This Row],[RE Developer]],[2]GEA!$B:$B,[2]GEA!$M:$M,"",0,1)</f>
        <v>-</v>
      </c>
      <c r="AB62" s="750"/>
      <c r="AC62" s="925"/>
      <c r="AD62" s="905"/>
      <c r="AE62" s="905"/>
      <c r="AF62" s="905"/>
      <c r="AG62" s="905"/>
      <c r="AH62" s="905"/>
    </row>
    <row r="63" spans="1:34" hidden="1" x14ac:dyDescent="0.25">
      <c r="A63" s="755" t="s">
        <v>7</v>
      </c>
      <c r="B63" s="755" t="s">
        <v>1062</v>
      </c>
      <c r="C63" s="755" t="s">
        <v>1034</v>
      </c>
      <c r="D63" s="755">
        <v>60</v>
      </c>
      <c r="E63" s="750" t="s">
        <v>1061</v>
      </c>
      <c r="F63" s="750" t="s">
        <v>1100</v>
      </c>
      <c r="G63" s="750"/>
      <c r="H63" s="755" t="s">
        <v>235</v>
      </c>
      <c r="I63" s="928"/>
      <c r="J63" s="859">
        <v>0.09</v>
      </c>
      <c r="K63" s="931">
        <v>4.8738000000000001</v>
      </c>
      <c r="L63" s="756">
        <v>4.8738000000000001</v>
      </c>
      <c r="M63" s="757">
        <v>46003</v>
      </c>
      <c r="N63" s="757"/>
      <c r="O63" s="757"/>
      <c r="P63" s="757"/>
      <c r="Q63" s="757"/>
      <c r="R63" s="750"/>
      <c r="S63" s="750"/>
      <c r="T63" s="905"/>
      <c r="U63" s="757"/>
      <c r="V63" s="757" t="str">
        <f>_xlfn.XLOOKUP(Table3[[#This Row],[RE Developer]],[2]GEA!$B:$B,[2]GEA!$K:$K,"",0,1)</f>
        <v>-</v>
      </c>
      <c r="W63" s="757"/>
      <c r="X63" s="757"/>
      <c r="Y63" s="905"/>
      <c r="Z63" s="905">
        <f>Table3[[#This Row],[Valid from]]+364</f>
        <v>364</v>
      </c>
      <c r="AA63" s="928" t="str">
        <f>_xlfn.XLOOKUP(Table3[[#This Row],[RE Developer]],[2]GEA!$B:$B,[2]GEA!$M:$M,"",0,1)</f>
        <v>-</v>
      </c>
      <c r="AB63" s="750"/>
      <c r="AC63" s="925"/>
      <c r="AD63" s="905"/>
      <c r="AE63" s="905"/>
      <c r="AF63" s="905"/>
      <c r="AG63" s="905"/>
      <c r="AH63" s="905"/>
    </row>
    <row r="64" spans="1:34" hidden="1" x14ac:dyDescent="0.25">
      <c r="A64" s="755" t="s">
        <v>7</v>
      </c>
      <c r="B64" s="755" t="s">
        <v>1062</v>
      </c>
      <c r="C64" s="755" t="s">
        <v>1034</v>
      </c>
      <c r="D64" s="755">
        <v>61</v>
      </c>
      <c r="E64" s="750" t="s">
        <v>1061</v>
      </c>
      <c r="F64" s="750" t="s">
        <v>1101</v>
      </c>
      <c r="G64" s="750"/>
      <c r="H64" s="755" t="s">
        <v>1063</v>
      </c>
      <c r="I64" s="928"/>
      <c r="J64" s="859">
        <v>0.18</v>
      </c>
      <c r="K64" s="931">
        <v>4.8738000000000001</v>
      </c>
      <c r="L64" s="756">
        <v>4.8738000000000001</v>
      </c>
      <c r="M64" s="757">
        <v>46003</v>
      </c>
      <c r="N64" s="757"/>
      <c r="O64" s="757"/>
      <c r="P64" s="757"/>
      <c r="Q64" s="757"/>
      <c r="R64" s="750"/>
      <c r="S64" s="750"/>
      <c r="T64" s="905"/>
      <c r="U64" s="757"/>
      <c r="V64" s="757" t="str">
        <f>_xlfn.XLOOKUP(Table3[[#This Row],[RE Developer]],[2]GEA!$B:$B,[2]GEA!$K:$K,"",0,1)</f>
        <v>-</v>
      </c>
      <c r="W64" s="757"/>
      <c r="X64" s="757"/>
      <c r="Y64" s="905"/>
      <c r="Z64" s="905">
        <f>Table3[[#This Row],[Valid from]]+364</f>
        <v>364</v>
      </c>
      <c r="AA64" s="928" t="str">
        <f>_xlfn.XLOOKUP(Table3[[#This Row],[RE Developer]],[2]GEA!$B:$B,[2]GEA!$M:$M,"",0,1)</f>
        <v>-</v>
      </c>
      <c r="AB64" s="750"/>
      <c r="AC64" s="925"/>
      <c r="AD64" s="905"/>
      <c r="AE64" s="905"/>
      <c r="AF64" s="905"/>
      <c r="AG64" s="905"/>
      <c r="AH64" s="905"/>
    </row>
    <row r="65" spans="1:34" hidden="1" x14ac:dyDescent="0.25">
      <c r="A65" s="755" t="s">
        <v>7</v>
      </c>
      <c r="B65" s="755" t="s">
        <v>1062</v>
      </c>
      <c r="C65" s="755" t="s">
        <v>1034</v>
      </c>
      <c r="D65" s="755">
        <v>62</v>
      </c>
      <c r="E65" s="750" t="s">
        <v>1061</v>
      </c>
      <c r="F65" s="750" t="s">
        <v>1102</v>
      </c>
      <c r="G65" s="750"/>
      <c r="H65" s="755" t="s">
        <v>1063</v>
      </c>
      <c r="I65" s="928"/>
      <c r="J65" s="859">
        <v>0.09</v>
      </c>
      <c r="K65" s="931">
        <v>4.8738000000000001</v>
      </c>
      <c r="L65" s="756">
        <v>4.8738000000000001</v>
      </c>
      <c r="M65" s="757">
        <v>46003</v>
      </c>
      <c r="N65" s="757"/>
      <c r="O65" s="757"/>
      <c r="P65" s="757"/>
      <c r="Q65" s="757"/>
      <c r="R65" s="750"/>
      <c r="S65" s="750"/>
      <c r="T65" s="905"/>
      <c r="U65" s="757"/>
      <c r="V65" s="757" t="str">
        <f>_xlfn.XLOOKUP(Table3[[#This Row],[RE Developer]],[2]GEA!$B:$B,[2]GEA!$K:$K,"",0,1)</f>
        <v>-</v>
      </c>
      <c r="W65" s="757"/>
      <c r="X65" s="757"/>
      <c r="Y65" s="905"/>
      <c r="Z65" s="905">
        <f>Table3[[#This Row],[Valid from]]+364</f>
        <v>364</v>
      </c>
      <c r="AA65" s="928" t="str">
        <f>_xlfn.XLOOKUP(Table3[[#This Row],[RE Developer]],[2]GEA!$B:$B,[2]GEA!$M:$M,"",0,1)</f>
        <v>-</v>
      </c>
      <c r="AB65" s="750"/>
      <c r="AC65" s="925"/>
      <c r="AD65" s="905"/>
      <c r="AE65" s="905"/>
      <c r="AF65" s="905"/>
      <c r="AG65" s="905"/>
      <c r="AH65" s="905"/>
    </row>
    <row r="66" spans="1:34" hidden="1" x14ac:dyDescent="0.25">
      <c r="A66" s="755" t="s">
        <v>7</v>
      </c>
      <c r="B66" s="755" t="s">
        <v>1062</v>
      </c>
      <c r="C66" s="755" t="s">
        <v>1034</v>
      </c>
      <c r="D66" s="755">
        <v>63</v>
      </c>
      <c r="E66" s="750" t="s">
        <v>1061</v>
      </c>
      <c r="F66" s="750" t="s">
        <v>1103</v>
      </c>
      <c r="G66" s="750"/>
      <c r="H66" s="755" t="s">
        <v>1063</v>
      </c>
      <c r="I66" s="928"/>
      <c r="J66" s="859">
        <v>0.13</v>
      </c>
      <c r="K66" s="931">
        <v>4.8738000000000001</v>
      </c>
      <c r="L66" s="756">
        <v>4.8738000000000001</v>
      </c>
      <c r="M66" s="757">
        <v>46003</v>
      </c>
      <c r="N66" s="757"/>
      <c r="O66" s="757"/>
      <c r="P66" s="757"/>
      <c r="Q66" s="757"/>
      <c r="R66" s="750"/>
      <c r="S66" s="750"/>
      <c r="T66" s="905"/>
      <c r="U66" s="757"/>
      <c r="V66" s="757" t="str">
        <f>_xlfn.XLOOKUP(Table3[[#This Row],[RE Developer]],[2]GEA!$B:$B,[2]GEA!$K:$K,"",0,1)</f>
        <v>-</v>
      </c>
      <c r="W66" s="757"/>
      <c r="X66" s="757"/>
      <c r="Y66" s="905"/>
      <c r="Z66" s="905">
        <f>Table3[[#This Row],[Valid from]]+364</f>
        <v>364</v>
      </c>
      <c r="AA66" s="928" t="str">
        <f>_xlfn.XLOOKUP(Table3[[#This Row],[RE Developer]],[2]GEA!$B:$B,[2]GEA!$M:$M,"",0,1)</f>
        <v>-</v>
      </c>
      <c r="AB66" s="750"/>
      <c r="AC66" s="925"/>
      <c r="AD66" s="905"/>
      <c r="AE66" s="905"/>
      <c r="AF66" s="905"/>
      <c r="AG66" s="905"/>
      <c r="AH66" s="905"/>
    </row>
    <row r="67" spans="1:34" hidden="1" x14ac:dyDescent="0.25">
      <c r="A67" s="755" t="s">
        <v>7</v>
      </c>
      <c r="B67" s="755" t="s">
        <v>1062</v>
      </c>
      <c r="C67" s="755" t="s">
        <v>1034</v>
      </c>
      <c r="D67" s="755">
        <v>64</v>
      </c>
      <c r="E67" s="750" t="s">
        <v>1061</v>
      </c>
      <c r="F67" s="750" t="s">
        <v>1104</v>
      </c>
      <c r="G67" s="750"/>
      <c r="H67" s="755" t="s">
        <v>1063</v>
      </c>
      <c r="I67" s="928"/>
      <c r="J67" s="859">
        <v>0.18</v>
      </c>
      <c r="K67" s="931">
        <v>4.8738000000000001</v>
      </c>
      <c r="L67" s="756">
        <v>4.8738000000000001</v>
      </c>
      <c r="M67" s="757">
        <v>46003</v>
      </c>
      <c r="N67" s="757"/>
      <c r="O67" s="757"/>
      <c r="P67" s="757"/>
      <c r="Q67" s="757"/>
      <c r="R67" s="750"/>
      <c r="S67" s="750"/>
      <c r="T67" s="905"/>
      <c r="U67" s="757"/>
      <c r="V67" s="757" t="str">
        <f>_xlfn.XLOOKUP(Table3[[#This Row],[RE Developer]],[2]GEA!$B:$B,[2]GEA!$K:$K,"",0,1)</f>
        <v>-</v>
      </c>
      <c r="W67" s="757"/>
      <c r="X67" s="757"/>
      <c r="Y67" s="905"/>
      <c r="Z67" s="905">
        <f>Table3[[#This Row],[Valid from]]+364</f>
        <v>364</v>
      </c>
      <c r="AA67" s="928" t="str">
        <f>_xlfn.XLOOKUP(Table3[[#This Row],[RE Developer]],[2]GEA!$B:$B,[2]GEA!$M:$M,"",0,1)</f>
        <v>-</v>
      </c>
      <c r="AB67" s="750"/>
      <c r="AC67" s="925"/>
      <c r="AD67" s="905"/>
      <c r="AE67" s="905"/>
      <c r="AF67" s="905"/>
      <c r="AG67" s="905"/>
      <c r="AH67" s="905"/>
    </row>
    <row r="68" spans="1:34" hidden="1" x14ac:dyDescent="0.25">
      <c r="A68" s="755" t="s">
        <v>7</v>
      </c>
      <c r="B68" s="755" t="s">
        <v>1062</v>
      </c>
      <c r="C68" s="755" t="s">
        <v>1034</v>
      </c>
      <c r="D68" s="755">
        <v>65</v>
      </c>
      <c r="E68" s="750" t="s">
        <v>1061</v>
      </c>
      <c r="F68" s="750" t="s">
        <v>1105</v>
      </c>
      <c r="G68" s="750"/>
      <c r="H68" s="755" t="s">
        <v>1106</v>
      </c>
      <c r="I68" s="928"/>
      <c r="J68" s="859">
        <v>0.09</v>
      </c>
      <c r="K68" s="931">
        <v>4.8738000000000001</v>
      </c>
      <c r="L68" s="756">
        <v>4.8738000000000001</v>
      </c>
      <c r="M68" s="757">
        <v>46003</v>
      </c>
      <c r="N68" s="757"/>
      <c r="O68" s="757"/>
      <c r="P68" s="757"/>
      <c r="Q68" s="757"/>
      <c r="R68" s="750"/>
      <c r="S68" s="750"/>
      <c r="T68" s="905"/>
      <c r="U68" s="757"/>
      <c r="V68" s="757" t="str">
        <f>_xlfn.XLOOKUP(Table3[[#This Row],[RE Developer]],[2]GEA!$B:$B,[2]GEA!$K:$K,"",0,1)</f>
        <v>-</v>
      </c>
      <c r="W68" s="757"/>
      <c r="X68" s="757"/>
      <c r="Y68" s="905"/>
      <c r="Z68" s="905">
        <f>Table3[[#This Row],[Valid from]]+364</f>
        <v>364</v>
      </c>
      <c r="AA68" s="928" t="str">
        <f>_xlfn.XLOOKUP(Table3[[#This Row],[RE Developer]],[2]GEA!$B:$B,[2]GEA!$M:$M,"",0,1)</f>
        <v>-</v>
      </c>
      <c r="AB68" s="750"/>
      <c r="AC68" s="925"/>
      <c r="AD68" s="905"/>
      <c r="AE68" s="905"/>
      <c r="AF68" s="905"/>
      <c r="AG68" s="905"/>
      <c r="AH68" s="905"/>
    </row>
    <row r="69" spans="1:34" hidden="1" x14ac:dyDescent="0.25">
      <c r="A69" s="755" t="s">
        <v>7</v>
      </c>
      <c r="B69" s="755" t="s">
        <v>1062</v>
      </c>
      <c r="C69" s="755" t="s">
        <v>1034</v>
      </c>
      <c r="D69" s="755">
        <v>66</v>
      </c>
      <c r="E69" s="750" t="s">
        <v>1061</v>
      </c>
      <c r="F69" s="750" t="s">
        <v>1107</v>
      </c>
      <c r="G69" s="750"/>
      <c r="H69" s="755" t="s">
        <v>1047</v>
      </c>
      <c r="I69" s="928"/>
      <c r="J69" s="859">
        <v>0.1</v>
      </c>
      <c r="K69" s="931">
        <v>4.8738000000000001</v>
      </c>
      <c r="L69" s="756">
        <v>4.8738000000000001</v>
      </c>
      <c r="M69" s="757">
        <v>46003</v>
      </c>
      <c r="N69" s="757"/>
      <c r="O69" s="757"/>
      <c r="P69" s="757"/>
      <c r="Q69" s="757"/>
      <c r="R69" s="750"/>
      <c r="S69" s="750"/>
      <c r="T69" s="905"/>
      <c r="U69" s="757"/>
      <c r="V69" s="757" t="str">
        <f>_xlfn.XLOOKUP(Table3[[#This Row],[RE Developer]],[2]GEA!$B:$B,[2]GEA!$K:$K,"",0,1)</f>
        <v>-</v>
      </c>
      <c r="W69" s="757"/>
      <c r="X69" s="757"/>
      <c r="Y69" s="905"/>
      <c r="Z69" s="905">
        <f>Table3[[#This Row],[Valid from]]+364</f>
        <v>364</v>
      </c>
      <c r="AA69" s="928" t="str">
        <f>_xlfn.XLOOKUP(Table3[[#This Row],[RE Developer]],[2]GEA!$B:$B,[2]GEA!$M:$M,"",0,1)</f>
        <v>-</v>
      </c>
      <c r="AB69" s="750"/>
      <c r="AC69" s="925"/>
      <c r="AD69" s="905"/>
      <c r="AE69" s="905"/>
      <c r="AF69" s="905"/>
      <c r="AG69" s="905"/>
      <c r="AH69" s="905"/>
    </row>
    <row r="70" spans="1:34" hidden="1" x14ac:dyDescent="0.25">
      <c r="A70" s="755" t="s">
        <v>7</v>
      </c>
      <c r="B70" s="755" t="s">
        <v>1062</v>
      </c>
      <c r="C70" s="755" t="s">
        <v>1034</v>
      </c>
      <c r="D70" s="755">
        <v>67</v>
      </c>
      <c r="E70" s="750" t="s">
        <v>1061</v>
      </c>
      <c r="F70" s="750" t="s">
        <v>1108</v>
      </c>
      <c r="G70" s="750"/>
      <c r="H70" s="755" t="s">
        <v>1063</v>
      </c>
      <c r="I70" s="928"/>
      <c r="J70" s="859">
        <v>0.1</v>
      </c>
      <c r="K70" s="931">
        <v>4.8738000000000001</v>
      </c>
      <c r="L70" s="756">
        <v>4.8738000000000001</v>
      </c>
      <c r="M70" s="757">
        <v>46003</v>
      </c>
      <c r="N70" s="757"/>
      <c r="O70" s="757"/>
      <c r="P70" s="757"/>
      <c r="Q70" s="757"/>
      <c r="R70" s="750"/>
      <c r="S70" s="750"/>
      <c r="T70" s="905"/>
      <c r="U70" s="757"/>
      <c r="V70" s="757" t="str">
        <f>_xlfn.XLOOKUP(Table3[[#This Row],[RE Developer]],[2]GEA!$B:$B,[2]GEA!$K:$K,"",0,1)</f>
        <v>-</v>
      </c>
      <c r="W70" s="757"/>
      <c r="X70" s="757"/>
      <c r="Y70" s="905"/>
      <c r="Z70" s="905">
        <f>Table3[[#This Row],[Valid from]]+364</f>
        <v>364</v>
      </c>
      <c r="AA70" s="928" t="str">
        <f>_xlfn.XLOOKUP(Table3[[#This Row],[RE Developer]],[2]GEA!$B:$B,[2]GEA!$M:$M,"",0,1)</f>
        <v>-</v>
      </c>
      <c r="AB70" s="750"/>
      <c r="AC70" s="925"/>
      <c r="AD70" s="905"/>
      <c r="AE70" s="905"/>
      <c r="AF70" s="905"/>
      <c r="AG70" s="905"/>
      <c r="AH70" s="905"/>
    </row>
    <row r="71" spans="1:34" hidden="1" x14ac:dyDescent="0.25">
      <c r="A71" s="755" t="s">
        <v>7</v>
      </c>
      <c r="B71" s="755" t="s">
        <v>1062</v>
      </c>
      <c r="C71" s="755" t="s">
        <v>1034</v>
      </c>
      <c r="D71" s="755">
        <v>68</v>
      </c>
      <c r="E71" s="750" t="s">
        <v>1061</v>
      </c>
      <c r="F71" s="750" t="s">
        <v>1109</v>
      </c>
      <c r="G71" s="750"/>
      <c r="H71" s="755" t="s">
        <v>1063</v>
      </c>
      <c r="I71" s="928"/>
      <c r="J71" s="859">
        <v>0.28000000000000003</v>
      </c>
      <c r="K71" s="931">
        <v>4.8738000000000001</v>
      </c>
      <c r="L71" s="756">
        <v>4.8738000000000001</v>
      </c>
      <c r="M71" s="757">
        <v>46003</v>
      </c>
      <c r="N71" s="757"/>
      <c r="O71" s="757"/>
      <c r="P71" s="757"/>
      <c r="Q71" s="757"/>
      <c r="R71" s="750"/>
      <c r="S71" s="750"/>
      <c r="T71" s="905"/>
      <c r="U71" s="757"/>
      <c r="V71" s="757" t="str">
        <f>_xlfn.XLOOKUP(Table3[[#This Row],[RE Developer]],[2]GEA!$B:$B,[2]GEA!$K:$K,"",0,1)</f>
        <v>-</v>
      </c>
      <c r="W71" s="757"/>
      <c r="X71" s="757"/>
      <c r="Y71" s="905"/>
      <c r="Z71" s="905">
        <f>Table3[[#This Row],[Valid from]]+364</f>
        <v>364</v>
      </c>
      <c r="AA71" s="928" t="str">
        <f>_xlfn.XLOOKUP(Table3[[#This Row],[RE Developer]],[2]GEA!$B:$B,[2]GEA!$M:$M,"",0,1)</f>
        <v>-</v>
      </c>
      <c r="AB71" s="750"/>
      <c r="AC71" s="925"/>
      <c r="AD71" s="905"/>
      <c r="AE71" s="905"/>
      <c r="AF71" s="905"/>
      <c r="AG71" s="905"/>
      <c r="AH71" s="905"/>
    </row>
    <row r="72" spans="1:34" hidden="1" x14ac:dyDescent="0.25">
      <c r="A72" s="755" t="s">
        <v>7</v>
      </c>
      <c r="B72" s="755" t="s">
        <v>1062</v>
      </c>
      <c r="C72" s="755" t="s">
        <v>1034</v>
      </c>
      <c r="D72" s="755">
        <v>69</v>
      </c>
      <c r="E72" s="750" t="s">
        <v>1061</v>
      </c>
      <c r="F72" s="750" t="s">
        <v>1110</v>
      </c>
      <c r="G72" s="750"/>
      <c r="H72" s="755" t="s">
        <v>1063</v>
      </c>
      <c r="I72" s="928"/>
      <c r="J72" s="859">
        <v>0.23</v>
      </c>
      <c r="K72" s="931">
        <v>4.8738000000000001</v>
      </c>
      <c r="L72" s="756">
        <v>4.8738000000000001</v>
      </c>
      <c r="M72" s="757">
        <v>46003</v>
      </c>
      <c r="N72" s="757"/>
      <c r="O72" s="757"/>
      <c r="P72" s="757"/>
      <c r="Q72" s="757"/>
      <c r="R72" s="750"/>
      <c r="S72" s="750"/>
      <c r="T72" s="905"/>
      <c r="U72" s="757"/>
      <c r="V72" s="757" t="str">
        <f>_xlfn.XLOOKUP(Table3[[#This Row],[RE Developer]],[2]GEA!$B:$B,[2]GEA!$K:$K,"",0,1)</f>
        <v>-</v>
      </c>
      <c r="W72" s="757"/>
      <c r="X72" s="757"/>
      <c r="Y72" s="905"/>
      <c r="Z72" s="905">
        <f>Table3[[#This Row],[Valid from]]+364</f>
        <v>364</v>
      </c>
      <c r="AA72" s="928" t="str">
        <f>_xlfn.XLOOKUP(Table3[[#This Row],[RE Developer]],[2]GEA!$B:$B,[2]GEA!$M:$M,"",0,1)</f>
        <v>-</v>
      </c>
      <c r="AB72" s="750"/>
      <c r="AC72" s="925"/>
      <c r="AD72" s="905"/>
      <c r="AE72" s="905"/>
      <c r="AF72" s="905"/>
      <c r="AG72" s="905"/>
      <c r="AH72" s="905"/>
    </row>
    <row r="73" spans="1:34" hidden="1" x14ac:dyDescent="0.25">
      <c r="A73" s="755" t="s">
        <v>7</v>
      </c>
      <c r="B73" s="755" t="s">
        <v>1062</v>
      </c>
      <c r="C73" s="755" t="s">
        <v>1034</v>
      </c>
      <c r="D73" s="755">
        <v>70</v>
      </c>
      <c r="E73" s="750" t="s">
        <v>1061</v>
      </c>
      <c r="F73" s="750" t="s">
        <v>1111</v>
      </c>
      <c r="G73" s="750"/>
      <c r="H73" s="755" t="s">
        <v>1063</v>
      </c>
      <c r="I73" s="928"/>
      <c r="J73" s="859">
        <v>0.2</v>
      </c>
      <c r="K73" s="931">
        <v>4.8738000000000001</v>
      </c>
      <c r="L73" s="756">
        <v>4.8738000000000001</v>
      </c>
      <c r="M73" s="757">
        <v>46003</v>
      </c>
      <c r="N73" s="757"/>
      <c r="O73" s="757"/>
      <c r="P73" s="757"/>
      <c r="Q73" s="757"/>
      <c r="R73" s="750"/>
      <c r="S73" s="750"/>
      <c r="T73" s="905"/>
      <c r="U73" s="757"/>
      <c r="V73" s="757" t="str">
        <f>_xlfn.XLOOKUP(Table3[[#This Row],[RE Developer]],[2]GEA!$B:$B,[2]GEA!$K:$K,"",0,1)</f>
        <v>-</v>
      </c>
      <c r="W73" s="757"/>
      <c r="X73" s="757"/>
      <c r="Y73" s="905"/>
      <c r="Z73" s="905">
        <f>Table3[[#This Row],[Valid from]]+364</f>
        <v>364</v>
      </c>
      <c r="AA73" s="928" t="str">
        <f>_xlfn.XLOOKUP(Table3[[#This Row],[RE Developer]],[2]GEA!$B:$B,[2]GEA!$M:$M,"",0,1)</f>
        <v>-</v>
      </c>
      <c r="AB73" s="750"/>
      <c r="AC73" s="925"/>
      <c r="AD73" s="905"/>
      <c r="AE73" s="905"/>
      <c r="AF73" s="905"/>
      <c r="AG73" s="905"/>
      <c r="AH73" s="905"/>
    </row>
    <row r="74" spans="1:34" hidden="1" x14ac:dyDescent="0.25">
      <c r="A74" s="755" t="s">
        <v>7</v>
      </c>
      <c r="B74" s="755" t="s">
        <v>1062</v>
      </c>
      <c r="C74" s="755" t="s">
        <v>1034</v>
      </c>
      <c r="D74" s="755">
        <v>71</v>
      </c>
      <c r="E74" s="750" t="s">
        <v>1061</v>
      </c>
      <c r="F74" s="750" t="s">
        <v>1112</v>
      </c>
      <c r="G74" s="750"/>
      <c r="H74" s="755" t="s">
        <v>1063</v>
      </c>
      <c r="I74" s="928"/>
      <c r="J74" s="859">
        <v>0.14000000000000001</v>
      </c>
      <c r="K74" s="931">
        <v>4.8738000000000001</v>
      </c>
      <c r="L74" s="756">
        <v>4.8738000000000001</v>
      </c>
      <c r="M74" s="757">
        <v>46003</v>
      </c>
      <c r="N74" s="757"/>
      <c r="O74" s="757"/>
      <c r="P74" s="757"/>
      <c r="Q74" s="757"/>
      <c r="R74" s="750"/>
      <c r="S74" s="750"/>
      <c r="T74" s="905"/>
      <c r="U74" s="757"/>
      <c r="V74" s="757" t="str">
        <f>_xlfn.XLOOKUP(Table3[[#This Row],[RE Developer]],[2]GEA!$B:$B,[2]GEA!$K:$K,"",0,1)</f>
        <v>-</v>
      </c>
      <c r="W74" s="757"/>
      <c r="X74" s="757"/>
      <c r="Y74" s="905"/>
      <c r="Z74" s="905">
        <f>Table3[[#This Row],[Valid from]]+364</f>
        <v>364</v>
      </c>
      <c r="AA74" s="928" t="str">
        <f>_xlfn.XLOOKUP(Table3[[#This Row],[RE Developer]],[2]GEA!$B:$B,[2]GEA!$M:$M,"",0,1)</f>
        <v>-</v>
      </c>
      <c r="AB74" s="750"/>
      <c r="AC74" s="925"/>
      <c r="AD74" s="905"/>
      <c r="AE74" s="905"/>
      <c r="AF74" s="905"/>
      <c r="AG74" s="905"/>
      <c r="AH74" s="905"/>
    </row>
    <row r="75" spans="1:34" hidden="1" x14ac:dyDescent="0.25">
      <c r="A75" s="755" t="s">
        <v>7</v>
      </c>
      <c r="B75" s="755" t="s">
        <v>1062</v>
      </c>
      <c r="C75" s="755" t="s">
        <v>1034</v>
      </c>
      <c r="D75" s="755">
        <v>72</v>
      </c>
      <c r="E75" s="750" t="s">
        <v>1061</v>
      </c>
      <c r="F75" s="750" t="s">
        <v>1113</v>
      </c>
      <c r="G75" s="750"/>
      <c r="H75" s="755" t="s">
        <v>1063</v>
      </c>
      <c r="I75" s="928"/>
      <c r="J75" s="859">
        <v>0.18</v>
      </c>
      <c r="K75" s="931">
        <v>4.8738000000000001</v>
      </c>
      <c r="L75" s="756">
        <v>4.8738000000000001</v>
      </c>
      <c r="M75" s="757">
        <v>46003</v>
      </c>
      <c r="N75" s="757"/>
      <c r="O75" s="757"/>
      <c r="P75" s="757"/>
      <c r="Q75" s="757"/>
      <c r="R75" s="750"/>
      <c r="S75" s="750"/>
      <c r="T75" s="905"/>
      <c r="U75" s="757"/>
      <c r="V75" s="757" t="str">
        <f>_xlfn.XLOOKUP(Table3[[#This Row],[RE Developer]],[2]GEA!$B:$B,[2]GEA!$K:$K,"",0,1)</f>
        <v>-</v>
      </c>
      <c r="W75" s="757"/>
      <c r="X75" s="757"/>
      <c r="Y75" s="905"/>
      <c r="Z75" s="905">
        <f>Table3[[#This Row],[Valid from]]+364</f>
        <v>364</v>
      </c>
      <c r="AA75" s="928" t="str">
        <f>_xlfn.XLOOKUP(Table3[[#This Row],[RE Developer]],[2]GEA!$B:$B,[2]GEA!$M:$M,"",0,1)</f>
        <v>-</v>
      </c>
      <c r="AB75" s="750"/>
      <c r="AC75" s="925"/>
      <c r="AD75" s="905"/>
      <c r="AE75" s="905"/>
      <c r="AF75" s="905"/>
      <c r="AG75" s="905"/>
      <c r="AH75" s="905"/>
    </row>
    <row r="76" spans="1:34" hidden="1" x14ac:dyDescent="0.25">
      <c r="A76" s="755" t="s">
        <v>7</v>
      </c>
      <c r="B76" s="755" t="s">
        <v>1062</v>
      </c>
      <c r="C76" s="755" t="s">
        <v>1034</v>
      </c>
      <c r="D76" s="755">
        <v>73</v>
      </c>
      <c r="E76" s="750" t="s">
        <v>1061</v>
      </c>
      <c r="F76" s="750" t="s">
        <v>1114</v>
      </c>
      <c r="G76" s="750"/>
      <c r="H76" s="755" t="s">
        <v>1029</v>
      </c>
      <c r="I76" s="928"/>
      <c r="J76" s="859">
        <v>0.06</v>
      </c>
      <c r="K76" s="931">
        <v>4.8738000000000001</v>
      </c>
      <c r="L76" s="756">
        <v>4.8738000000000001</v>
      </c>
      <c r="M76" s="757">
        <v>46003</v>
      </c>
      <c r="N76" s="757"/>
      <c r="O76" s="757"/>
      <c r="P76" s="757"/>
      <c r="Q76" s="757"/>
      <c r="R76" s="750"/>
      <c r="S76" s="750"/>
      <c r="T76" s="905"/>
      <c r="U76" s="757"/>
      <c r="V76" s="757" t="str">
        <f>_xlfn.XLOOKUP(Table3[[#This Row],[RE Developer]],[2]GEA!$B:$B,[2]GEA!$K:$K,"",0,1)</f>
        <v>-</v>
      </c>
      <c r="W76" s="757"/>
      <c r="X76" s="757"/>
      <c r="Y76" s="905"/>
      <c r="Z76" s="905">
        <f>Table3[[#This Row],[Valid from]]+364</f>
        <v>364</v>
      </c>
      <c r="AA76" s="928" t="str">
        <f>_xlfn.XLOOKUP(Table3[[#This Row],[RE Developer]],[2]GEA!$B:$B,[2]GEA!$M:$M,"",0,1)</f>
        <v>-</v>
      </c>
      <c r="AB76" s="750"/>
      <c r="AC76" s="925"/>
      <c r="AD76" s="905"/>
      <c r="AE76" s="905"/>
      <c r="AF76" s="905"/>
      <c r="AG76" s="905"/>
      <c r="AH76" s="905"/>
    </row>
    <row r="77" spans="1:34" hidden="1" x14ac:dyDescent="0.25">
      <c r="A77" s="755" t="s">
        <v>7</v>
      </c>
      <c r="B77" s="755" t="s">
        <v>1062</v>
      </c>
      <c r="C77" s="755" t="s">
        <v>1034</v>
      </c>
      <c r="D77" s="755">
        <v>74</v>
      </c>
      <c r="E77" s="750" t="s">
        <v>1061</v>
      </c>
      <c r="F77" s="750" t="s">
        <v>1115</v>
      </c>
      <c r="G77" s="750"/>
      <c r="H77" s="755" t="s">
        <v>1063</v>
      </c>
      <c r="I77" s="928"/>
      <c r="J77" s="859">
        <v>0.2</v>
      </c>
      <c r="K77" s="931">
        <v>4.8738000000000001</v>
      </c>
      <c r="L77" s="756">
        <v>4.8738000000000001</v>
      </c>
      <c r="M77" s="757">
        <v>46003</v>
      </c>
      <c r="N77" s="757"/>
      <c r="O77" s="757"/>
      <c r="P77" s="757"/>
      <c r="Q77" s="757"/>
      <c r="R77" s="750"/>
      <c r="S77" s="750"/>
      <c r="T77" s="905"/>
      <c r="U77" s="757"/>
      <c r="V77" s="757" t="str">
        <f>_xlfn.XLOOKUP(Table3[[#This Row],[RE Developer]],[2]GEA!$B:$B,[2]GEA!$K:$K,"",0,1)</f>
        <v>-</v>
      </c>
      <c r="W77" s="757"/>
      <c r="X77" s="757"/>
      <c r="Y77" s="905"/>
      <c r="Z77" s="905">
        <f>Table3[[#This Row],[Valid from]]+364</f>
        <v>364</v>
      </c>
      <c r="AA77" s="928" t="str">
        <f>_xlfn.XLOOKUP(Table3[[#This Row],[RE Developer]],[2]GEA!$B:$B,[2]GEA!$M:$M,"",0,1)</f>
        <v>-</v>
      </c>
      <c r="AB77" s="750"/>
      <c r="AC77" s="925"/>
      <c r="AD77" s="905"/>
      <c r="AE77" s="905"/>
      <c r="AF77" s="905"/>
      <c r="AG77" s="905"/>
      <c r="AH77" s="905"/>
    </row>
    <row r="78" spans="1:34" hidden="1" x14ac:dyDescent="0.25">
      <c r="A78" s="755" t="s">
        <v>7</v>
      </c>
      <c r="B78" s="755" t="s">
        <v>1062</v>
      </c>
      <c r="C78" s="755" t="s">
        <v>1034</v>
      </c>
      <c r="D78" s="755">
        <v>75</v>
      </c>
      <c r="E78" s="750" t="s">
        <v>1061</v>
      </c>
      <c r="F78" s="750" t="s">
        <v>1116</v>
      </c>
      <c r="G78" s="750"/>
      <c r="H78" s="755" t="s">
        <v>1117</v>
      </c>
      <c r="I78" s="928"/>
      <c r="J78" s="859">
        <v>0.2</v>
      </c>
      <c r="K78" s="931">
        <v>4.8738000000000001</v>
      </c>
      <c r="L78" s="756">
        <v>4.8738000000000001</v>
      </c>
      <c r="M78" s="757">
        <v>46003</v>
      </c>
      <c r="N78" s="757"/>
      <c r="O78" s="757"/>
      <c r="P78" s="757"/>
      <c r="Q78" s="757"/>
      <c r="R78" s="750"/>
      <c r="S78" s="750"/>
      <c r="T78" s="905"/>
      <c r="U78" s="757"/>
      <c r="V78" s="757" t="str">
        <f>_xlfn.XLOOKUP(Table3[[#This Row],[RE Developer]],[2]GEA!$B:$B,[2]GEA!$K:$K,"",0,1)</f>
        <v>-</v>
      </c>
      <c r="W78" s="757"/>
      <c r="X78" s="757"/>
      <c r="Y78" s="905"/>
      <c r="Z78" s="905">
        <f>Table3[[#This Row],[Valid from]]+364</f>
        <v>364</v>
      </c>
      <c r="AA78" s="928" t="str">
        <f>_xlfn.XLOOKUP(Table3[[#This Row],[RE Developer]],[2]GEA!$B:$B,[2]GEA!$M:$M,"",0,1)</f>
        <v>-</v>
      </c>
      <c r="AB78" s="750"/>
      <c r="AC78" s="925"/>
      <c r="AD78" s="905"/>
      <c r="AE78" s="905"/>
      <c r="AF78" s="905"/>
      <c r="AG78" s="905"/>
      <c r="AH78" s="905"/>
    </row>
    <row r="79" spans="1:34" hidden="1" x14ac:dyDescent="0.25">
      <c r="A79" s="755" t="s">
        <v>7</v>
      </c>
      <c r="B79" s="755" t="s">
        <v>1062</v>
      </c>
      <c r="C79" s="755" t="s">
        <v>1034</v>
      </c>
      <c r="D79" s="755">
        <v>76</v>
      </c>
      <c r="E79" s="750" t="s">
        <v>1061</v>
      </c>
      <c r="F79" s="750" t="s">
        <v>1118</v>
      </c>
      <c r="G79" s="750"/>
      <c r="H79" s="755" t="s">
        <v>1063</v>
      </c>
      <c r="I79" s="928"/>
      <c r="J79" s="859">
        <v>0.23</v>
      </c>
      <c r="K79" s="931">
        <v>4.8738000000000001</v>
      </c>
      <c r="L79" s="756">
        <v>4.8738000000000001</v>
      </c>
      <c r="M79" s="757">
        <v>46003</v>
      </c>
      <c r="N79" s="757"/>
      <c r="O79" s="757"/>
      <c r="P79" s="757"/>
      <c r="Q79" s="757"/>
      <c r="R79" s="750"/>
      <c r="S79" s="750"/>
      <c r="T79" s="905"/>
      <c r="U79" s="757"/>
      <c r="V79" s="757" t="str">
        <f>_xlfn.XLOOKUP(Table3[[#This Row],[RE Developer]],[2]GEA!$B:$B,[2]GEA!$K:$K,"",0,1)</f>
        <v>-</v>
      </c>
      <c r="W79" s="757"/>
      <c r="X79" s="757"/>
      <c r="Y79" s="905"/>
      <c r="Z79" s="905">
        <f>Table3[[#This Row],[Valid from]]+364</f>
        <v>364</v>
      </c>
      <c r="AA79" s="928" t="str">
        <f>_xlfn.XLOOKUP(Table3[[#This Row],[RE Developer]],[2]GEA!$B:$B,[2]GEA!$M:$M,"",0,1)</f>
        <v>-</v>
      </c>
      <c r="AB79" s="750"/>
      <c r="AC79" s="925"/>
      <c r="AD79" s="905"/>
      <c r="AE79" s="905"/>
      <c r="AF79" s="905"/>
      <c r="AG79" s="905"/>
      <c r="AH79" s="905"/>
    </row>
    <row r="80" spans="1:34" hidden="1" x14ac:dyDescent="0.25">
      <c r="A80" s="755" t="s">
        <v>7</v>
      </c>
      <c r="B80" s="755" t="s">
        <v>1062</v>
      </c>
      <c r="C80" s="755" t="s">
        <v>1034</v>
      </c>
      <c r="D80" s="755">
        <v>77</v>
      </c>
      <c r="E80" s="750" t="s">
        <v>1061</v>
      </c>
      <c r="F80" s="750" t="s">
        <v>1119</v>
      </c>
      <c r="G80" s="750"/>
      <c r="H80" s="755" t="s">
        <v>1063</v>
      </c>
      <c r="I80" s="928"/>
      <c r="J80" s="859">
        <v>0.15</v>
      </c>
      <c r="K80" s="931">
        <v>4.8738000000000001</v>
      </c>
      <c r="L80" s="756">
        <v>4.8738000000000001</v>
      </c>
      <c r="M80" s="757">
        <v>46003</v>
      </c>
      <c r="N80" s="757"/>
      <c r="O80" s="757"/>
      <c r="P80" s="757"/>
      <c r="Q80" s="757"/>
      <c r="R80" s="750"/>
      <c r="S80" s="750"/>
      <c r="T80" s="905"/>
      <c r="U80" s="757"/>
      <c r="V80" s="757" t="str">
        <f>_xlfn.XLOOKUP(Table3[[#This Row],[RE Developer]],[2]GEA!$B:$B,[2]GEA!$K:$K,"",0,1)</f>
        <v>-</v>
      </c>
      <c r="W80" s="757"/>
      <c r="X80" s="757"/>
      <c r="Y80" s="905"/>
      <c r="Z80" s="905">
        <f>Table3[[#This Row],[Valid from]]+364</f>
        <v>364</v>
      </c>
      <c r="AA80" s="928" t="str">
        <f>_xlfn.XLOOKUP(Table3[[#This Row],[RE Developer]],[2]GEA!$B:$B,[2]GEA!$M:$M,"",0,1)</f>
        <v>-</v>
      </c>
      <c r="AB80" s="750"/>
      <c r="AC80" s="925"/>
      <c r="AD80" s="905"/>
      <c r="AE80" s="905"/>
      <c r="AF80" s="905"/>
      <c r="AG80" s="905"/>
      <c r="AH80" s="905"/>
    </row>
    <row r="81" spans="1:34" hidden="1" x14ac:dyDescent="0.25">
      <c r="A81" s="755" t="s">
        <v>7</v>
      </c>
      <c r="B81" s="755" t="s">
        <v>1062</v>
      </c>
      <c r="C81" s="755" t="s">
        <v>1034</v>
      </c>
      <c r="D81" s="755">
        <v>78</v>
      </c>
      <c r="E81" s="750" t="s">
        <v>1061</v>
      </c>
      <c r="F81" s="750" t="s">
        <v>1120</v>
      </c>
      <c r="G81" s="750"/>
      <c r="H81" s="755" t="s">
        <v>1063</v>
      </c>
      <c r="I81" s="928"/>
      <c r="J81" s="859">
        <v>0.18</v>
      </c>
      <c r="K81" s="931">
        <v>4.8738000000000001</v>
      </c>
      <c r="L81" s="756">
        <v>4.8738000000000001</v>
      </c>
      <c r="M81" s="757">
        <v>46003</v>
      </c>
      <c r="N81" s="757"/>
      <c r="O81" s="757"/>
      <c r="P81" s="757"/>
      <c r="Q81" s="757"/>
      <c r="R81" s="750"/>
      <c r="S81" s="750"/>
      <c r="T81" s="905"/>
      <c r="U81" s="757"/>
      <c r="V81" s="757" t="str">
        <f>_xlfn.XLOOKUP(Table3[[#This Row],[RE Developer]],[2]GEA!$B:$B,[2]GEA!$K:$K,"",0,1)</f>
        <v>-</v>
      </c>
      <c r="W81" s="757"/>
      <c r="X81" s="757"/>
      <c r="Y81" s="905"/>
      <c r="Z81" s="905">
        <f>Table3[[#This Row],[Valid from]]+364</f>
        <v>364</v>
      </c>
      <c r="AA81" s="928" t="str">
        <f>_xlfn.XLOOKUP(Table3[[#This Row],[RE Developer]],[2]GEA!$B:$B,[2]GEA!$M:$M,"",0,1)</f>
        <v>-</v>
      </c>
      <c r="AB81" s="750"/>
      <c r="AC81" s="925"/>
      <c r="AD81" s="905"/>
      <c r="AE81" s="905"/>
      <c r="AF81" s="905"/>
      <c r="AG81" s="905"/>
      <c r="AH81" s="905"/>
    </row>
    <row r="82" spans="1:34" hidden="1" x14ac:dyDescent="0.25">
      <c r="A82" s="755" t="s">
        <v>7</v>
      </c>
      <c r="B82" s="755" t="s">
        <v>1062</v>
      </c>
      <c r="C82" s="755" t="s">
        <v>1034</v>
      </c>
      <c r="D82" s="755">
        <v>79</v>
      </c>
      <c r="E82" s="750" t="s">
        <v>1061</v>
      </c>
      <c r="F82" s="750" t="s">
        <v>1121</v>
      </c>
      <c r="G82" s="750"/>
      <c r="H82" s="755" t="s">
        <v>1063</v>
      </c>
      <c r="I82" s="928"/>
      <c r="J82" s="859">
        <v>0.24</v>
      </c>
      <c r="K82" s="931">
        <v>4.8738000000000001</v>
      </c>
      <c r="L82" s="756">
        <v>4.8738000000000001</v>
      </c>
      <c r="M82" s="757">
        <v>46003</v>
      </c>
      <c r="N82" s="757"/>
      <c r="O82" s="757"/>
      <c r="P82" s="757"/>
      <c r="Q82" s="757"/>
      <c r="R82" s="750"/>
      <c r="S82" s="750"/>
      <c r="T82" s="905"/>
      <c r="U82" s="757"/>
      <c r="V82" s="757" t="str">
        <f>_xlfn.XLOOKUP(Table3[[#This Row],[RE Developer]],[2]GEA!$B:$B,[2]GEA!$K:$K,"",0,1)</f>
        <v>-</v>
      </c>
      <c r="W82" s="757"/>
      <c r="X82" s="757"/>
      <c r="Y82" s="905"/>
      <c r="Z82" s="905">
        <f>Table3[[#This Row],[Valid from]]+364</f>
        <v>364</v>
      </c>
      <c r="AA82" s="928" t="str">
        <f>_xlfn.XLOOKUP(Table3[[#This Row],[RE Developer]],[2]GEA!$B:$B,[2]GEA!$M:$M,"",0,1)</f>
        <v>-</v>
      </c>
      <c r="AB82" s="750"/>
      <c r="AC82" s="925"/>
      <c r="AD82" s="905"/>
      <c r="AE82" s="905"/>
      <c r="AF82" s="905"/>
      <c r="AG82" s="905"/>
      <c r="AH82" s="905"/>
    </row>
    <row r="83" spans="1:34" hidden="1" x14ac:dyDescent="0.25">
      <c r="A83" s="755" t="s">
        <v>7</v>
      </c>
      <c r="B83" s="755" t="s">
        <v>1062</v>
      </c>
      <c r="C83" s="755" t="s">
        <v>1034</v>
      </c>
      <c r="D83" s="755">
        <v>80</v>
      </c>
      <c r="E83" s="750" t="s">
        <v>1061</v>
      </c>
      <c r="F83" s="750" t="s">
        <v>1122</v>
      </c>
      <c r="G83" s="750"/>
      <c r="H83" s="755" t="s">
        <v>1063</v>
      </c>
      <c r="I83" s="928"/>
      <c r="J83" s="859">
        <v>0.08</v>
      </c>
      <c r="K83" s="931">
        <v>4.8738000000000001</v>
      </c>
      <c r="L83" s="756">
        <v>4.8738000000000001</v>
      </c>
      <c r="M83" s="757">
        <v>46003</v>
      </c>
      <c r="N83" s="757"/>
      <c r="O83" s="757"/>
      <c r="P83" s="757"/>
      <c r="Q83" s="757"/>
      <c r="R83" s="750"/>
      <c r="S83" s="750"/>
      <c r="T83" s="905"/>
      <c r="U83" s="757"/>
      <c r="V83" s="757" t="str">
        <f>_xlfn.XLOOKUP(Table3[[#This Row],[RE Developer]],[2]GEA!$B:$B,[2]GEA!$K:$K,"",0,1)</f>
        <v>-</v>
      </c>
      <c r="W83" s="757"/>
      <c r="X83" s="757"/>
      <c r="Y83" s="905"/>
      <c r="Z83" s="905">
        <f>Table3[[#This Row],[Valid from]]+364</f>
        <v>364</v>
      </c>
      <c r="AA83" s="928" t="str">
        <f>_xlfn.XLOOKUP(Table3[[#This Row],[RE Developer]],[2]GEA!$B:$B,[2]GEA!$M:$M,"",0,1)</f>
        <v>-</v>
      </c>
      <c r="AB83" s="750"/>
      <c r="AC83" s="925"/>
      <c r="AD83" s="905"/>
      <c r="AE83" s="905"/>
      <c r="AF83" s="905"/>
      <c r="AG83" s="905"/>
      <c r="AH83" s="905"/>
    </row>
    <row r="84" spans="1:34" hidden="1" x14ac:dyDescent="0.25">
      <c r="A84" s="755" t="s">
        <v>7</v>
      </c>
      <c r="B84" s="755" t="s">
        <v>1062</v>
      </c>
      <c r="C84" s="755" t="s">
        <v>1034</v>
      </c>
      <c r="D84" s="755">
        <v>81</v>
      </c>
      <c r="E84" s="750" t="s">
        <v>1061</v>
      </c>
      <c r="F84" s="750" t="s">
        <v>1123</v>
      </c>
      <c r="G84" s="750"/>
      <c r="H84" s="755" t="s">
        <v>1063</v>
      </c>
      <c r="I84" s="928"/>
      <c r="J84" s="859">
        <v>0.13</v>
      </c>
      <c r="K84" s="931">
        <v>4.8738000000000001</v>
      </c>
      <c r="L84" s="756">
        <v>4.8738000000000001</v>
      </c>
      <c r="M84" s="757">
        <v>46003</v>
      </c>
      <c r="N84" s="757"/>
      <c r="O84" s="757"/>
      <c r="P84" s="757"/>
      <c r="Q84" s="757"/>
      <c r="R84" s="750"/>
      <c r="S84" s="750"/>
      <c r="T84" s="905"/>
      <c r="U84" s="757"/>
      <c r="V84" s="757" t="str">
        <f>_xlfn.XLOOKUP(Table3[[#This Row],[RE Developer]],[2]GEA!$B:$B,[2]GEA!$K:$K,"",0,1)</f>
        <v>-</v>
      </c>
      <c r="W84" s="757"/>
      <c r="X84" s="757"/>
      <c r="Y84" s="905"/>
      <c r="Z84" s="905">
        <f>Table3[[#This Row],[Valid from]]+364</f>
        <v>364</v>
      </c>
      <c r="AA84" s="928" t="str">
        <f>_xlfn.XLOOKUP(Table3[[#This Row],[RE Developer]],[2]GEA!$B:$B,[2]GEA!$M:$M,"",0,1)</f>
        <v>-</v>
      </c>
      <c r="AB84" s="750"/>
      <c r="AC84" s="925"/>
      <c r="AD84" s="905"/>
      <c r="AE84" s="905"/>
      <c r="AF84" s="905"/>
      <c r="AG84" s="905"/>
      <c r="AH84" s="905"/>
    </row>
    <row r="85" spans="1:34" hidden="1" x14ac:dyDescent="0.25">
      <c r="A85" s="755" t="s">
        <v>7</v>
      </c>
      <c r="B85" s="755" t="s">
        <v>1062</v>
      </c>
      <c r="C85" s="755" t="s">
        <v>1034</v>
      </c>
      <c r="D85" s="755">
        <v>82</v>
      </c>
      <c r="E85" s="750" t="s">
        <v>1061</v>
      </c>
      <c r="F85" s="750" t="s">
        <v>1124</v>
      </c>
      <c r="G85" s="750"/>
      <c r="H85" s="755" t="s">
        <v>1063</v>
      </c>
      <c r="I85" s="928"/>
      <c r="J85" s="859">
        <v>0.16800000000000001</v>
      </c>
      <c r="K85" s="931">
        <v>4.8738000000000001</v>
      </c>
      <c r="L85" s="756">
        <v>4.8738000000000001</v>
      </c>
      <c r="M85" s="757">
        <v>46003</v>
      </c>
      <c r="N85" s="757"/>
      <c r="O85" s="757"/>
      <c r="P85" s="757"/>
      <c r="Q85" s="757"/>
      <c r="R85" s="750"/>
      <c r="S85" s="750"/>
      <c r="T85" s="905"/>
      <c r="U85" s="757"/>
      <c r="V85" s="757" t="str">
        <f>_xlfn.XLOOKUP(Table3[[#This Row],[RE Developer]],[2]GEA!$B:$B,[2]GEA!$K:$K,"",0,1)</f>
        <v>-</v>
      </c>
      <c r="W85" s="757"/>
      <c r="X85" s="757"/>
      <c r="Y85" s="905"/>
      <c r="Z85" s="905">
        <f>Table3[[#This Row],[Valid from]]+364</f>
        <v>364</v>
      </c>
      <c r="AA85" s="928" t="str">
        <f>_xlfn.XLOOKUP(Table3[[#This Row],[RE Developer]],[2]GEA!$B:$B,[2]GEA!$M:$M,"",0,1)</f>
        <v>-</v>
      </c>
      <c r="AB85" s="750"/>
      <c r="AC85" s="925"/>
      <c r="AD85" s="905"/>
      <c r="AE85" s="905"/>
      <c r="AF85" s="905"/>
      <c r="AG85" s="905"/>
      <c r="AH85" s="905"/>
    </row>
    <row r="86" spans="1:34" hidden="1" x14ac:dyDescent="0.25">
      <c r="A86" s="755" t="s">
        <v>7</v>
      </c>
      <c r="B86" s="755" t="s">
        <v>1062</v>
      </c>
      <c r="C86" s="755" t="s">
        <v>1034</v>
      </c>
      <c r="D86" s="755">
        <v>83</v>
      </c>
      <c r="E86" s="750" t="s">
        <v>1061</v>
      </c>
      <c r="F86" s="750" t="s">
        <v>1125</v>
      </c>
      <c r="G86" s="750"/>
      <c r="H86" s="755" t="s">
        <v>1063</v>
      </c>
      <c r="I86" s="928"/>
      <c r="J86" s="859">
        <v>4.2000000000000003E-2</v>
      </c>
      <c r="K86" s="931">
        <v>4.8738000000000001</v>
      </c>
      <c r="L86" s="756">
        <v>4.8738000000000001</v>
      </c>
      <c r="M86" s="757">
        <v>46003</v>
      </c>
      <c r="N86" s="757"/>
      <c r="O86" s="757"/>
      <c r="P86" s="757"/>
      <c r="Q86" s="757"/>
      <c r="R86" s="750"/>
      <c r="S86" s="750"/>
      <c r="T86" s="905"/>
      <c r="U86" s="757"/>
      <c r="V86" s="757" t="str">
        <f>_xlfn.XLOOKUP(Table3[[#This Row],[RE Developer]],[2]GEA!$B:$B,[2]GEA!$K:$K,"",0,1)</f>
        <v>-</v>
      </c>
      <c r="W86" s="757"/>
      <c r="X86" s="757"/>
      <c r="Y86" s="905"/>
      <c r="Z86" s="905">
        <f>Table3[[#This Row],[Valid from]]+364</f>
        <v>364</v>
      </c>
      <c r="AA86" s="928" t="str">
        <f>_xlfn.XLOOKUP(Table3[[#This Row],[RE Developer]],[2]GEA!$B:$B,[2]GEA!$M:$M,"",0,1)</f>
        <v>-</v>
      </c>
      <c r="AB86" s="750"/>
      <c r="AC86" s="925"/>
      <c r="AD86" s="905"/>
      <c r="AE86" s="905"/>
      <c r="AF86" s="905"/>
      <c r="AG86" s="905"/>
      <c r="AH86" s="905"/>
    </row>
    <row r="87" spans="1:34" hidden="1" x14ac:dyDescent="0.25">
      <c r="A87" s="755" t="s">
        <v>7</v>
      </c>
      <c r="B87" s="755" t="s">
        <v>1062</v>
      </c>
      <c r="C87" s="755" t="s">
        <v>1034</v>
      </c>
      <c r="D87" s="755">
        <v>84</v>
      </c>
      <c r="E87" s="750" t="s">
        <v>1061</v>
      </c>
      <c r="F87" s="750" t="s">
        <v>1126</v>
      </c>
      <c r="G87" s="750"/>
      <c r="H87" s="755" t="s">
        <v>1063</v>
      </c>
      <c r="I87" s="928"/>
      <c r="J87" s="859">
        <v>0.1</v>
      </c>
      <c r="K87" s="931">
        <v>4.8738000000000001</v>
      </c>
      <c r="L87" s="756">
        <v>4.8738000000000001</v>
      </c>
      <c r="M87" s="757">
        <v>46003</v>
      </c>
      <c r="N87" s="757"/>
      <c r="O87" s="757"/>
      <c r="P87" s="757"/>
      <c r="Q87" s="757"/>
      <c r="R87" s="750"/>
      <c r="S87" s="750"/>
      <c r="T87" s="905"/>
      <c r="U87" s="757"/>
      <c r="V87" s="757" t="str">
        <f>_xlfn.XLOOKUP(Table3[[#This Row],[RE Developer]],[2]GEA!$B:$B,[2]GEA!$K:$K,"",0,1)</f>
        <v>-</v>
      </c>
      <c r="W87" s="757"/>
      <c r="X87" s="757"/>
      <c r="Y87" s="905"/>
      <c r="Z87" s="905">
        <f>Table3[[#This Row],[Valid from]]+364</f>
        <v>364</v>
      </c>
      <c r="AA87" s="928" t="str">
        <f>_xlfn.XLOOKUP(Table3[[#This Row],[RE Developer]],[2]GEA!$B:$B,[2]GEA!$M:$M,"",0,1)</f>
        <v>-</v>
      </c>
      <c r="AB87" s="750"/>
      <c r="AC87" s="925"/>
      <c r="AD87" s="905"/>
      <c r="AE87" s="905"/>
      <c r="AF87" s="905"/>
      <c r="AG87" s="905"/>
      <c r="AH87" s="905"/>
    </row>
    <row r="88" spans="1:34" hidden="1" x14ac:dyDescent="0.25">
      <c r="A88" s="755" t="s">
        <v>7</v>
      </c>
      <c r="B88" s="755" t="s">
        <v>1062</v>
      </c>
      <c r="C88" s="755" t="s">
        <v>1034</v>
      </c>
      <c r="D88" s="755">
        <v>85</v>
      </c>
      <c r="E88" s="750" t="s">
        <v>1061</v>
      </c>
      <c r="F88" s="750" t="s">
        <v>1127</v>
      </c>
      <c r="G88" s="750"/>
      <c r="H88" s="755" t="s">
        <v>1063</v>
      </c>
      <c r="I88" s="928"/>
      <c r="J88" s="859">
        <v>0.1</v>
      </c>
      <c r="K88" s="931">
        <v>4.8738000000000001</v>
      </c>
      <c r="L88" s="756">
        <v>4.8738000000000001</v>
      </c>
      <c r="M88" s="757">
        <v>46003</v>
      </c>
      <c r="N88" s="757"/>
      <c r="O88" s="757"/>
      <c r="P88" s="757"/>
      <c r="Q88" s="757"/>
      <c r="R88" s="750"/>
      <c r="S88" s="750"/>
      <c r="T88" s="905"/>
      <c r="U88" s="757"/>
      <c r="V88" s="757" t="str">
        <f>_xlfn.XLOOKUP(Table3[[#This Row],[RE Developer]],[2]GEA!$B:$B,[2]GEA!$K:$K,"",0,1)</f>
        <v>-</v>
      </c>
      <c r="W88" s="757"/>
      <c r="X88" s="757"/>
      <c r="Y88" s="905"/>
      <c r="Z88" s="905">
        <f>Table3[[#This Row],[Valid from]]+364</f>
        <v>364</v>
      </c>
      <c r="AA88" s="928" t="str">
        <f>_xlfn.XLOOKUP(Table3[[#This Row],[RE Developer]],[2]GEA!$B:$B,[2]GEA!$M:$M,"",0,1)</f>
        <v>-</v>
      </c>
      <c r="AB88" s="750"/>
      <c r="AC88" s="925"/>
      <c r="AD88" s="905"/>
      <c r="AE88" s="905"/>
      <c r="AF88" s="905"/>
      <c r="AG88" s="905"/>
      <c r="AH88" s="905"/>
    </row>
    <row r="89" spans="1:34" hidden="1" x14ac:dyDescent="0.25">
      <c r="A89" s="755" t="s">
        <v>7</v>
      </c>
      <c r="B89" s="755" t="s">
        <v>1062</v>
      </c>
      <c r="C89" s="755" t="s">
        <v>1034</v>
      </c>
      <c r="D89" s="755">
        <v>86</v>
      </c>
      <c r="E89" s="750" t="s">
        <v>1129</v>
      </c>
      <c r="F89" s="750" t="s">
        <v>1128</v>
      </c>
      <c r="G89" s="750"/>
      <c r="H89" s="755" t="s">
        <v>1063</v>
      </c>
      <c r="I89" s="928"/>
      <c r="J89" s="859">
        <v>0.14000000000000001</v>
      </c>
      <c r="K89" s="931">
        <v>4.8738000000000001</v>
      </c>
      <c r="L89" s="756">
        <v>4.8738000000000001</v>
      </c>
      <c r="M89" s="757">
        <v>46003</v>
      </c>
      <c r="N89" s="757"/>
      <c r="O89" s="757"/>
      <c r="P89" s="757"/>
      <c r="Q89" s="757"/>
      <c r="R89" s="750"/>
      <c r="S89" s="750"/>
      <c r="T89" s="905"/>
      <c r="U89" s="757"/>
      <c r="V89" s="757" t="str">
        <f>_xlfn.XLOOKUP(Table3[[#This Row],[RE Developer]],[2]GEA!$B:$B,[2]GEA!$K:$K,"",0,1)</f>
        <v/>
      </c>
      <c r="W89" s="757"/>
      <c r="X89" s="757"/>
      <c r="Y89" s="905"/>
      <c r="Z89" s="905">
        <f>Table3[[#This Row],[Valid from]]+364</f>
        <v>364</v>
      </c>
      <c r="AA89" s="928" t="str">
        <f>_xlfn.XLOOKUP(Table3[[#This Row],[RE Developer]],[2]GEA!$B:$B,[2]GEA!$M:$M,"",0,1)</f>
        <v/>
      </c>
      <c r="AB89" s="750"/>
      <c r="AC89" s="925"/>
      <c r="AD89" s="905"/>
      <c r="AE89" s="905"/>
      <c r="AF89" s="905"/>
      <c r="AG89" s="905"/>
      <c r="AH89" s="905"/>
    </row>
    <row r="90" spans="1:34" hidden="1" x14ac:dyDescent="0.25">
      <c r="A90" s="755" t="s">
        <v>7</v>
      </c>
      <c r="B90" s="755" t="s">
        <v>1062</v>
      </c>
      <c r="C90" s="755" t="s">
        <v>1034</v>
      </c>
      <c r="D90" s="755">
        <v>87</v>
      </c>
      <c r="E90" s="750" t="s">
        <v>1061</v>
      </c>
      <c r="F90" s="750" t="s">
        <v>1130</v>
      </c>
      <c r="G90" s="750"/>
      <c r="H90" s="755" t="s">
        <v>1063</v>
      </c>
      <c r="I90" s="928"/>
      <c r="J90" s="859">
        <v>0.05</v>
      </c>
      <c r="K90" s="931">
        <v>4.8738000000000001</v>
      </c>
      <c r="L90" s="756">
        <v>4.8738000000000001</v>
      </c>
      <c r="M90" s="757">
        <v>46003</v>
      </c>
      <c r="N90" s="757"/>
      <c r="O90" s="757"/>
      <c r="P90" s="757"/>
      <c r="Q90" s="757"/>
      <c r="R90" s="750"/>
      <c r="S90" s="750"/>
      <c r="T90" s="905"/>
      <c r="U90" s="757"/>
      <c r="V90" s="757" t="str">
        <f>_xlfn.XLOOKUP(Table3[[#This Row],[RE Developer]],[2]GEA!$B:$B,[2]GEA!$K:$K,"",0,1)</f>
        <v>-</v>
      </c>
      <c r="W90" s="757"/>
      <c r="X90" s="757"/>
      <c r="Y90" s="905"/>
      <c r="Z90" s="905">
        <f>Table3[[#This Row],[Valid from]]+364</f>
        <v>364</v>
      </c>
      <c r="AA90" s="928" t="str">
        <f>_xlfn.XLOOKUP(Table3[[#This Row],[RE Developer]],[2]GEA!$B:$B,[2]GEA!$M:$M,"",0,1)</f>
        <v>-</v>
      </c>
      <c r="AB90" s="750"/>
      <c r="AC90" s="925"/>
      <c r="AD90" s="905"/>
      <c r="AE90" s="905"/>
      <c r="AF90" s="905"/>
      <c r="AG90" s="905"/>
      <c r="AH90" s="905"/>
    </row>
    <row r="91" spans="1:34" hidden="1" x14ac:dyDescent="0.25">
      <c r="A91" s="755" t="s">
        <v>7</v>
      </c>
      <c r="B91" s="755" t="s">
        <v>1062</v>
      </c>
      <c r="C91" s="755" t="s">
        <v>1034</v>
      </c>
      <c r="D91" s="755">
        <v>88</v>
      </c>
      <c r="E91" s="750" t="s">
        <v>1061</v>
      </c>
      <c r="F91" s="750" t="s">
        <v>1131</v>
      </c>
      <c r="G91" s="750"/>
      <c r="H91" s="755" t="s">
        <v>1063</v>
      </c>
      <c r="I91" s="928"/>
      <c r="J91" s="859">
        <v>0.13</v>
      </c>
      <c r="K91" s="931">
        <v>4.8738000000000001</v>
      </c>
      <c r="L91" s="756">
        <v>4.8738000000000001</v>
      </c>
      <c r="M91" s="757">
        <v>46003</v>
      </c>
      <c r="N91" s="757"/>
      <c r="O91" s="757"/>
      <c r="P91" s="757"/>
      <c r="Q91" s="757"/>
      <c r="R91" s="750"/>
      <c r="S91" s="750"/>
      <c r="T91" s="905"/>
      <c r="U91" s="757"/>
      <c r="V91" s="757" t="str">
        <f>_xlfn.XLOOKUP(Table3[[#This Row],[RE Developer]],[2]GEA!$B:$B,[2]GEA!$K:$K,"",0,1)</f>
        <v>-</v>
      </c>
      <c r="W91" s="757"/>
      <c r="X91" s="757"/>
      <c r="Y91" s="905"/>
      <c r="Z91" s="905">
        <f>Table3[[#This Row],[Valid from]]+364</f>
        <v>364</v>
      </c>
      <c r="AA91" s="928" t="str">
        <f>_xlfn.XLOOKUP(Table3[[#This Row],[RE Developer]],[2]GEA!$B:$B,[2]GEA!$M:$M,"",0,1)</f>
        <v>-</v>
      </c>
      <c r="AB91" s="750"/>
      <c r="AC91" s="925"/>
      <c r="AD91" s="905"/>
      <c r="AE91" s="905"/>
      <c r="AF91" s="905"/>
      <c r="AG91" s="905"/>
      <c r="AH91" s="905"/>
    </row>
    <row r="92" spans="1:34" hidden="1" x14ac:dyDescent="0.25">
      <c r="A92" s="755" t="s">
        <v>7</v>
      </c>
      <c r="B92" s="755" t="s">
        <v>1062</v>
      </c>
      <c r="C92" s="755" t="s">
        <v>1034</v>
      </c>
      <c r="D92" s="755">
        <v>89</v>
      </c>
      <c r="E92" s="750" t="s">
        <v>1061</v>
      </c>
      <c r="F92" s="750" t="s">
        <v>1132</v>
      </c>
      <c r="G92" s="750"/>
      <c r="H92" s="755" t="s">
        <v>1063</v>
      </c>
      <c r="I92" s="928"/>
      <c r="J92" s="859">
        <v>0.12</v>
      </c>
      <c r="K92" s="931">
        <v>4.8738000000000001</v>
      </c>
      <c r="L92" s="756">
        <v>4.8738000000000001</v>
      </c>
      <c r="M92" s="757">
        <v>46003</v>
      </c>
      <c r="N92" s="757"/>
      <c r="O92" s="757"/>
      <c r="P92" s="757"/>
      <c r="Q92" s="757"/>
      <c r="R92" s="750"/>
      <c r="S92" s="750"/>
      <c r="T92" s="905"/>
      <c r="U92" s="757"/>
      <c r="V92" s="757" t="str">
        <f>_xlfn.XLOOKUP(Table3[[#This Row],[RE Developer]],[2]GEA!$B:$B,[2]GEA!$K:$K,"",0,1)</f>
        <v>-</v>
      </c>
      <c r="W92" s="757"/>
      <c r="X92" s="757"/>
      <c r="Y92" s="905"/>
      <c r="Z92" s="905">
        <f>Table3[[#This Row],[Valid from]]+364</f>
        <v>364</v>
      </c>
      <c r="AA92" s="928" t="str">
        <f>_xlfn.XLOOKUP(Table3[[#This Row],[RE Developer]],[2]GEA!$B:$B,[2]GEA!$M:$M,"",0,1)</f>
        <v>-</v>
      </c>
      <c r="AB92" s="750"/>
      <c r="AC92" s="925"/>
      <c r="AD92" s="905"/>
      <c r="AE92" s="905"/>
      <c r="AF92" s="905"/>
      <c r="AG92" s="905"/>
      <c r="AH92" s="905"/>
    </row>
    <row r="93" spans="1:34" hidden="1" x14ac:dyDescent="0.25">
      <c r="A93" s="755" t="s">
        <v>7</v>
      </c>
      <c r="B93" s="755" t="s">
        <v>1062</v>
      </c>
      <c r="C93" s="755" t="s">
        <v>1034</v>
      </c>
      <c r="D93" s="755">
        <v>90</v>
      </c>
      <c r="E93" s="750" t="s">
        <v>1061</v>
      </c>
      <c r="F93" s="750" t="s">
        <v>1133</v>
      </c>
      <c r="G93" s="750"/>
      <c r="H93" s="755" t="s">
        <v>1063</v>
      </c>
      <c r="I93" s="928"/>
      <c r="J93" s="859">
        <v>0.23</v>
      </c>
      <c r="K93" s="931">
        <v>4.8738000000000001</v>
      </c>
      <c r="L93" s="756">
        <v>4.8738000000000001</v>
      </c>
      <c r="M93" s="757">
        <v>46003</v>
      </c>
      <c r="N93" s="757"/>
      <c r="O93" s="757"/>
      <c r="P93" s="757"/>
      <c r="Q93" s="757"/>
      <c r="R93" s="750"/>
      <c r="S93" s="750"/>
      <c r="T93" s="905"/>
      <c r="U93" s="757"/>
      <c r="V93" s="757" t="str">
        <f>_xlfn.XLOOKUP(Table3[[#This Row],[RE Developer]],[2]GEA!$B:$B,[2]GEA!$K:$K,"",0,1)</f>
        <v>-</v>
      </c>
      <c r="W93" s="757"/>
      <c r="X93" s="757"/>
      <c r="Y93" s="905"/>
      <c r="Z93" s="905">
        <f>Table3[[#This Row],[Valid from]]+364</f>
        <v>364</v>
      </c>
      <c r="AA93" s="928" t="str">
        <f>_xlfn.XLOOKUP(Table3[[#This Row],[RE Developer]],[2]GEA!$B:$B,[2]GEA!$M:$M,"",0,1)</f>
        <v>-</v>
      </c>
      <c r="AB93" s="750"/>
      <c r="AC93" s="925"/>
      <c r="AD93" s="905"/>
      <c r="AE93" s="905"/>
      <c r="AF93" s="905"/>
      <c r="AG93" s="905"/>
      <c r="AH93" s="905"/>
    </row>
    <row r="94" spans="1:34" hidden="1" x14ac:dyDescent="0.25">
      <c r="A94" s="755" t="s">
        <v>7</v>
      </c>
      <c r="B94" s="755" t="s">
        <v>1062</v>
      </c>
      <c r="C94" s="755" t="s">
        <v>1034</v>
      </c>
      <c r="D94" s="755">
        <v>91</v>
      </c>
      <c r="E94" s="750" t="s">
        <v>1061</v>
      </c>
      <c r="F94" s="750" t="s">
        <v>1134</v>
      </c>
      <c r="G94" s="750"/>
      <c r="H94" s="755" t="s">
        <v>1063</v>
      </c>
      <c r="I94" s="928"/>
      <c r="J94" s="859">
        <v>0.14000000000000001</v>
      </c>
      <c r="K94" s="931">
        <v>4.8738000000000001</v>
      </c>
      <c r="L94" s="756">
        <v>4.8738000000000001</v>
      </c>
      <c r="M94" s="757">
        <v>46003</v>
      </c>
      <c r="N94" s="757"/>
      <c r="O94" s="757"/>
      <c r="P94" s="757"/>
      <c r="Q94" s="757"/>
      <c r="R94" s="750"/>
      <c r="S94" s="750"/>
      <c r="T94" s="905"/>
      <c r="U94" s="757"/>
      <c r="V94" s="757" t="str">
        <f>_xlfn.XLOOKUP(Table3[[#This Row],[RE Developer]],[2]GEA!$B:$B,[2]GEA!$K:$K,"",0,1)</f>
        <v>-</v>
      </c>
      <c r="W94" s="757"/>
      <c r="X94" s="757"/>
      <c r="Y94" s="905"/>
      <c r="Z94" s="905">
        <f>Table3[[#This Row],[Valid from]]+364</f>
        <v>364</v>
      </c>
      <c r="AA94" s="928" t="str">
        <f>_xlfn.XLOOKUP(Table3[[#This Row],[RE Developer]],[2]GEA!$B:$B,[2]GEA!$M:$M,"",0,1)</f>
        <v>-</v>
      </c>
      <c r="AB94" s="750"/>
      <c r="AC94" s="925"/>
      <c r="AD94" s="905"/>
      <c r="AE94" s="905"/>
      <c r="AF94" s="905"/>
      <c r="AG94" s="905"/>
      <c r="AH94" s="905"/>
    </row>
    <row r="95" spans="1:34" hidden="1" x14ac:dyDescent="0.25">
      <c r="A95" s="755" t="s">
        <v>7</v>
      </c>
      <c r="B95" s="755" t="s">
        <v>1062</v>
      </c>
      <c r="C95" s="755" t="s">
        <v>1034</v>
      </c>
      <c r="D95" s="755">
        <v>92</v>
      </c>
      <c r="E95" s="750" t="s">
        <v>1061</v>
      </c>
      <c r="F95" s="750" t="s">
        <v>1135</v>
      </c>
      <c r="G95" s="750"/>
      <c r="H95" s="755" t="s">
        <v>1063</v>
      </c>
      <c r="I95" s="928"/>
      <c r="J95" s="859">
        <v>0.12</v>
      </c>
      <c r="K95" s="931">
        <v>4.8738000000000001</v>
      </c>
      <c r="L95" s="756">
        <v>4.8738000000000001</v>
      </c>
      <c r="M95" s="757">
        <v>46003</v>
      </c>
      <c r="N95" s="757"/>
      <c r="O95" s="757"/>
      <c r="P95" s="757"/>
      <c r="Q95" s="757"/>
      <c r="R95" s="750"/>
      <c r="S95" s="750"/>
      <c r="T95" s="905"/>
      <c r="U95" s="757"/>
      <c r="V95" s="757" t="str">
        <f>_xlfn.XLOOKUP(Table3[[#This Row],[RE Developer]],[2]GEA!$B:$B,[2]GEA!$K:$K,"",0,1)</f>
        <v>-</v>
      </c>
      <c r="W95" s="757"/>
      <c r="X95" s="757"/>
      <c r="Y95" s="905"/>
      <c r="Z95" s="905">
        <f>Table3[[#This Row],[Valid from]]+364</f>
        <v>364</v>
      </c>
      <c r="AA95" s="928" t="str">
        <f>_xlfn.XLOOKUP(Table3[[#This Row],[RE Developer]],[2]GEA!$B:$B,[2]GEA!$M:$M,"",0,1)</f>
        <v>-</v>
      </c>
      <c r="AB95" s="750"/>
      <c r="AC95" s="925"/>
      <c r="AD95" s="905"/>
      <c r="AE95" s="905"/>
      <c r="AF95" s="905"/>
      <c r="AG95" s="905"/>
      <c r="AH95" s="905"/>
    </row>
    <row r="96" spans="1:34" hidden="1" x14ac:dyDescent="0.25">
      <c r="A96" s="755" t="s">
        <v>7</v>
      </c>
      <c r="B96" s="755" t="s">
        <v>1062</v>
      </c>
      <c r="C96" s="755" t="s">
        <v>1034</v>
      </c>
      <c r="D96" s="755">
        <v>93</v>
      </c>
      <c r="E96" s="750" t="s">
        <v>1061</v>
      </c>
      <c r="F96" s="750" t="s">
        <v>1136</v>
      </c>
      <c r="G96" s="750"/>
      <c r="H96" s="755" t="s">
        <v>1063</v>
      </c>
      <c r="I96" s="928"/>
      <c r="J96" s="859">
        <v>0.14000000000000001</v>
      </c>
      <c r="K96" s="931">
        <v>4.8738000000000001</v>
      </c>
      <c r="L96" s="756">
        <v>4.8738000000000001</v>
      </c>
      <c r="M96" s="757">
        <v>46003</v>
      </c>
      <c r="N96" s="757"/>
      <c r="O96" s="757"/>
      <c r="P96" s="757"/>
      <c r="Q96" s="757"/>
      <c r="R96" s="750"/>
      <c r="S96" s="750"/>
      <c r="T96" s="905"/>
      <c r="U96" s="757"/>
      <c r="V96" s="757" t="str">
        <f>_xlfn.XLOOKUP(Table3[[#This Row],[RE Developer]],[2]GEA!$B:$B,[2]GEA!$K:$K,"",0,1)</f>
        <v>-</v>
      </c>
      <c r="W96" s="757"/>
      <c r="X96" s="757"/>
      <c r="Y96" s="905"/>
      <c r="Z96" s="905">
        <f>Table3[[#This Row],[Valid from]]+364</f>
        <v>364</v>
      </c>
      <c r="AA96" s="928" t="str">
        <f>_xlfn.XLOOKUP(Table3[[#This Row],[RE Developer]],[2]GEA!$B:$B,[2]GEA!$M:$M,"",0,1)</f>
        <v>-</v>
      </c>
      <c r="AB96" s="750"/>
      <c r="AC96" s="925"/>
      <c r="AD96" s="905"/>
      <c r="AE96" s="905"/>
      <c r="AF96" s="905"/>
      <c r="AG96" s="905"/>
      <c r="AH96" s="905"/>
    </row>
    <row r="97" spans="1:34" hidden="1" x14ac:dyDescent="0.25">
      <c r="A97" s="755" t="s">
        <v>7</v>
      </c>
      <c r="B97" s="755" t="s">
        <v>1139</v>
      </c>
      <c r="C97" s="755" t="s">
        <v>1034</v>
      </c>
      <c r="D97" s="755">
        <v>94</v>
      </c>
      <c r="E97" s="750" t="s">
        <v>1138</v>
      </c>
      <c r="F97" s="750" t="s">
        <v>1137</v>
      </c>
      <c r="G97" s="750"/>
      <c r="H97" s="755" t="s">
        <v>1016</v>
      </c>
      <c r="I97" s="928"/>
      <c r="J97" s="859">
        <v>54.6</v>
      </c>
      <c r="K97" s="931">
        <v>5.8480999999999996</v>
      </c>
      <c r="L97" s="756">
        <v>5.2888000000000002</v>
      </c>
      <c r="M97" s="757">
        <v>45989</v>
      </c>
      <c r="N97" s="757"/>
      <c r="O97" s="757"/>
      <c r="P97" s="757"/>
      <c r="Q97" s="757"/>
      <c r="R97" s="750"/>
      <c r="S97" s="750"/>
      <c r="T97" s="905"/>
      <c r="U97" s="757"/>
      <c r="V97" s="757" t="str">
        <f>_xlfn.XLOOKUP(Table3[[#This Row],[RE Developer]],[2]GEA!$B:$B,[2]GEA!$K:$K,"",0,1)</f>
        <v/>
      </c>
      <c r="W97" s="757"/>
      <c r="X97" s="757"/>
      <c r="Y97" s="905"/>
      <c r="Z97" s="905">
        <f>Table3[[#This Row],[Valid from]]+364</f>
        <v>364</v>
      </c>
      <c r="AA97" s="928" t="str">
        <f>_xlfn.XLOOKUP(Table3[[#This Row],[RE Developer]],[2]GEA!$B:$B,[2]GEA!$M:$M,"",0,1)</f>
        <v/>
      </c>
      <c r="AB97" s="750"/>
      <c r="AC97" s="925"/>
      <c r="AD97" s="905"/>
      <c r="AE97" s="905"/>
      <c r="AF97" s="905"/>
      <c r="AG97" s="905"/>
      <c r="AH97" s="905"/>
    </row>
    <row r="98" spans="1:34" hidden="1" x14ac:dyDescent="0.25">
      <c r="A98" s="755" t="s">
        <v>7</v>
      </c>
      <c r="B98" s="755" t="s">
        <v>1139</v>
      </c>
      <c r="C98" s="755" t="s">
        <v>1034</v>
      </c>
      <c r="D98" s="755">
        <v>95</v>
      </c>
      <c r="E98" s="750" t="s">
        <v>1138</v>
      </c>
      <c r="F98" s="750" t="s">
        <v>1140</v>
      </c>
      <c r="G98" s="750"/>
      <c r="H98" s="755" t="s">
        <v>1141</v>
      </c>
      <c r="I98" s="928"/>
      <c r="J98" s="859">
        <v>85.8</v>
      </c>
      <c r="K98" s="931">
        <v>5.8480999999999996</v>
      </c>
      <c r="L98" s="756">
        <v>5.3087999999999997</v>
      </c>
      <c r="M98" s="757">
        <v>45988</v>
      </c>
      <c r="N98" s="757"/>
      <c r="O98" s="757"/>
      <c r="P98" s="757"/>
      <c r="Q98" s="757"/>
      <c r="R98" s="750"/>
      <c r="S98" s="750"/>
      <c r="T98" s="905"/>
      <c r="U98" s="757"/>
      <c r="V98" s="757" t="str">
        <f>_xlfn.XLOOKUP(Table3[[#This Row],[RE Developer]],[2]GEA!$B:$B,[2]GEA!$K:$K,"",0,1)</f>
        <v/>
      </c>
      <c r="W98" s="757"/>
      <c r="X98" s="757"/>
      <c r="Y98" s="905"/>
      <c r="Z98" s="905">
        <f>Table3[[#This Row],[Valid from]]+364</f>
        <v>364</v>
      </c>
      <c r="AA98" s="928" t="str">
        <f>_xlfn.XLOOKUP(Table3[[#This Row],[RE Developer]],[2]GEA!$B:$B,[2]GEA!$M:$M,"",0,1)</f>
        <v/>
      </c>
      <c r="AB98" s="750"/>
      <c r="AC98" s="925"/>
      <c r="AD98" s="905"/>
      <c r="AE98" s="905"/>
      <c r="AF98" s="905"/>
      <c r="AG98" s="905"/>
      <c r="AH98" s="905"/>
    </row>
    <row r="99" spans="1:34" hidden="1" x14ac:dyDescent="0.25">
      <c r="A99" s="755" t="s">
        <v>7</v>
      </c>
      <c r="B99" s="755" t="s">
        <v>1139</v>
      </c>
      <c r="C99" s="755" t="s">
        <v>1034</v>
      </c>
      <c r="D99" s="755">
        <v>96</v>
      </c>
      <c r="E99" s="750" t="s">
        <v>1143</v>
      </c>
      <c r="F99" s="750" t="s">
        <v>1142</v>
      </c>
      <c r="G99" s="750"/>
      <c r="H99" s="755" t="s">
        <v>1141</v>
      </c>
      <c r="I99" s="928"/>
      <c r="J99" s="859">
        <v>90</v>
      </c>
      <c r="K99" s="931">
        <v>5.8480999999999996</v>
      </c>
      <c r="L99" s="756">
        <v>5.8051000000000004</v>
      </c>
      <c r="M99" s="757">
        <v>46006</v>
      </c>
      <c r="N99" s="757"/>
      <c r="O99" s="757"/>
      <c r="P99" s="757"/>
      <c r="Q99" s="757"/>
      <c r="R99" s="750"/>
      <c r="S99" s="750"/>
      <c r="T99" s="905"/>
      <c r="U99" s="757"/>
      <c r="V99" s="757" t="str">
        <f>_xlfn.XLOOKUP(Table3[[#This Row],[RE Developer]],[2]GEA!$B:$B,[2]GEA!$K:$K,"",0,1)</f>
        <v>-</v>
      </c>
      <c r="W99" s="757"/>
      <c r="X99" s="757"/>
      <c r="Y99" s="905"/>
      <c r="Z99" s="905">
        <f>Table3[[#This Row],[Valid from]]+364</f>
        <v>364</v>
      </c>
      <c r="AA99" s="928" t="str">
        <f>_xlfn.XLOOKUP(Table3[[#This Row],[RE Developer]],[2]GEA!$B:$B,[2]GEA!$M:$M,"",0,1)</f>
        <v>-</v>
      </c>
      <c r="AB99" s="750"/>
      <c r="AC99" s="925"/>
      <c r="AD99" s="905"/>
      <c r="AE99" s="905"/>
      <c r="AF99" s="905"/>
      <c r="AG99" s="905"/>
      <c r="AH99" s="905"/>
    </row>
    <row r="100" spans="1:34" hidden="1" x14ac:dyDescent="0.25">
      <c r="A100" s="755" t="s">
        <v>7</v>
      </c>
      <c r="B100" s="755" t="s">
        <v>1035</v>
      </c>
      <c r="C100" s="755" t="s">
        <v>1034</v>
      </c>
      <c r="D100" s="755">
        <v>97</v>
      </c>
      <c r="E100" s="750" t="s">
        <v>1145</v>
      </c>
      <c r="F100" s="750" t="s">
        <v>1144</v>
      </c>
      <c r="G100" s="750"/>
      <c r="H100" s="755" t="s">
        <v>1146</v>
      </c>
      <c r="I100" s="928"/>
      <c r="J100" s="859">
        <v>149.94999999999999</v>
      </c>
      <c r="K100" s="931">
        <v>4.4043000000000001</v>
      </c>
      <c r="L100" s="756">
        <v>3.9853000000000001</v>
      </c>
      <c r="M100" s="757">
        <v>46371</v>
      </c>
      <c r="N100" s="757"/>
      <c r="O100" s="757"/>
      <c r="P100" s="757"/>
      <c r="Q100" s="757"/>
      <c r="R100" s="750"/>
      <c r="S100" s="750"/>
      <c r="T100" s="905"/>
      <c r="U100" s="757"/>
      <c r="V100" s="757" t="str">
        <f>_xlfn.XLOOKUP(Table3[[#This Row],[RE Developer]],[2]GEA!$B:$B,[2]GEA!$K:$K,"",0,1)</f>
        <v>-</v>
      </c>
      <c r="W100" s="757"/>
      <c r="X100" s="757"/>
      <c r="Y100" s="905"/>
      <c r="Z100" s="905">
        <f>Table3[[#This Row],[Valid from]]+364</f>
        <v>364</v>
      </c>
      <c r="AA100" s="928" t="str">
        <f>_xlfn.XLOOKUP(Table3[[#This Row],[RE Developer]],[2]GEA!$B:$B,[2]GEA!$M:$M,"",0,1)</f>
        <v>-</v>
      </c>
      <c r="AB100" s="750"/>
      <c r="AC100" s="925"/>
      <c r="AD100" s="905"/>
      <c r="AE100" s="905"/>
      <c r="AF100" s="905"/>
      <c r="AG100" s="905"/>
      <c r="AH100" s="905"/>
    </row>
    <row r="101" spans="1:34" hidden="1" x14ac:dyDescent="0.25">
      <c r="A101" s="755" t="s">
        <v>7</v>
      </c>
      <c r="B101" s="755" t="s">
        <v>1035</v>
      </c>
      <c r="C101" s="755" t="s">
        <v>1034</v>
      </c>
      <c r="D101" s="755">
        <v>98</v>
      </c>
      <c r="E101" s="750" t="s">
        <v>1148</v>
      </c>
      <c r="F101" s="750" t="s">
        <v>1147</v>
      </c>
      <c r="G101" s="750"/>
      <c r="H101" s="755" t="s">
        <v>1057</v>
      </c>
      <c r="I101" s="928"/>
      <c r="J101" s="859">
        <v>274.73500000000001</v>
      </c>
      <c r="K101" s="931">
        <v>4.4043000000000001</v>
      </c>
      <c r="L101" s="756">
        <v>4.0984999999999996</v>
      </c>
      <c r="M101" s="757">
        <v>46371</v>
      </c>
      <c r="N101" s="757"/>
      <c r="O101" s="757"/>
      <c r="P101" s="757"/>
      <c r="Q101" s="757"/>
      <c r="R101" s="750"/>
      <c r="S101" s="750"/>
      <c r="T101" s="905"/>
      <c r="U101" s="757"/>
      <c r="V101" s="757" t="str">
        <f>_xlfn.XLOOKUP(Table3[[#This Row],[RE Developer]],[2]GEA!$B:$B,[2]GEA!$K:$K,"",0,1)</f>
        <v/>
      </c>
      <c r="W101" s="757"/>
      <c r="X101" s="757"/>
      <c r="Y101" s="905"/>
      <c r="Z101" s="905">
        <f>Table3[[#This Row],[Valid from]]+364</f>
        <v>364</v>
      </c>
      <c r="AA101" s="928" t="str">
        <f>_xlfn.XLOOKUP(Table3[[#This Row],[RE Developer]],[2]GEA!$B:$B,[2]GEA!$M:$M,"",0,1)</f>
        <v/>
      </c>
      <c r="AB101" s="750"/>
      <c r="AC101" s="925"/>
      <c r="AD101" s="905"/>
      <c r="AE101" s="905"/>
      <c r="AF101" s="905"/>
      <c r="AG101" s="905"/>
      <c r="AH101" s="905"/>
    </row>
    <row r="102" spans="1:34" hidden="1" x14ac:dyDescent="0.25">
      <c r="A102" s="755" t="s">
        <v>7</v>
      </c>
      <c r="B102" s="755" t="s">
        <v>1035</v>
      </c>
      <c r="C102" s="755" t="s">
        <v>1034</v>
      </c>
      <c r="D102" s="755">
        <v>99</v>
      </c>
      <c r="E102" s="750" t="s">
        <v>1079</v>
      </c>
      <c r="F102" s="750" t="s">
        <v>1149</v>
      </c>
      <c r="G102" s="750"/>
      <c r="H102" s="755" t="s">
        <v>1029</v>
      </c>
      <c r="I102" s="928"/>
      <c r="J102" s="859">
        <v>79.040000000000006</v>
      </c>
      <c r="K102" s="931">
        <v>4.4043000000000001</v>
      </c>
      <c r="L102" s="756">
        <v>4.1997999999999998</v>
      </c>
      <c r="M102" s="757">
        <v>46357</v>
      </c>
      <c r="N102" s="757"/>
      <c r="O102" s="757"/>
      <c r="P102" s="757"/>
      <c r="Q102" s="757"/>
      <c r="R102" s="750"/>
      <c r="S102" s="750"/>
      <c r="T102" s="905"/>
      <c r="U102" s="757"/>
      <c r="V102" s="757" t="str">
        <f>_xlfn.XLOOKUP(Table3[[#This Row],[RE Developer]],[2]GEA!$B:$B,[2]GEA!$K:$K,"",0,1)</f>
        <v/>
      </c>
      <c r="W102" s="757"/>
      <c r="X102" s="757"/>
      <c r="Y102" s="905"/>
      <c r="Z102" s="905">
        <f>Table3[[#This Row],[Valid from]]+364</f>
        <v>364</v>
      </c>
      <c r="AA102" s="928" t="str">
        <f>_xlfn.XLOOKUP(Table3[[#This Row],[RE Developer]],[2]GEA!$B:$B,[2]GEA!$M:$M,"",0,1)</f>
        <v/>
      </c>
      <c r="AB102" s="750"/>
      <c r="AC102" s="925"/>
      <c r="AD102" s="905"/>
      <c r="AE102" s="905"/>
      <c r="AF102" s="905"/>
      <c r="AG102" s="905"/>
      <c r="AH102" s="905"/>
    </row>
    <row r="103" spans="1:34" hidden="1" x14ac:dyDescent="0.25">
      <c r="A103" s="755" t="s">
        <v>7</v>
      </c>
      <c r="B103" s="755" t="s">
        <v>1035</v>
      </c>
      <c r="C103" s="755" t="s">
        <v>1034</v>
      </c>
      <c r="D103" s="755">
        <v>100</v>
      </c>
      <c r="E103" s="750" t="s">
        <v>1151</v>
      </c>
      <c r="F103" s="750" t="s">
        <v>1150</v>
      </c>
      <c r="G103" s="750"/>
      <c r="H103" s="755" t="s">
        <v>1029</v>
      </c>
      <c r="I103" s="928"/>
      <c r="J103" s="859">
        <v>20</v>
      </c>
      <c r="K103" s="931">
        <v>4.4043000000000001</v>
      </c>
      <c r="L103" s="756">
        <v>4.2999000000000001</v>
      </c>
      <c r="M103" s="757">
        <v>46381</v>
      </c>
      <c r="N103" s="757"/>
      <c r="O103" s="757"/>
      <c r="P103" s="757"/>
      <c r="Q103" s="757"/>
      <c r="R103" s="750"/>
      <c r="S103" s="750"/>
      <c r="T103" s="905"/>
      <c r="U103" s="757"/>
      <c r="V103" s="757" t="str">
        <f>_xlfn.XLOOKUP(Table3[[#This Row],[RE Developer]],[2]GEA!$B:$B,[2]GEA!$K:$K,"",0,1)</f>
        <v/>
      </c>
      <c r="W103" s="757"/>
      <c r="X103" s="757"/>
      <c r="Y103" s="905"/>
      <c r="Z103" s="905">
        <f>Table3[[#This Row],[Valid from]]+364</f>
        <v>364</v>
      </c>
      <c r="AA103" s="928" t="str">
        <f>_xlfn.XLOOKUP(Table3[[#This Row],[RE Developer]],[2]GEA!$B:$B,[2]GEA!$M:$M,"",0,1)</f>
        <v/>
      </c>
      <c r="AB103" s="750"/>
      <c r="AC103" s="925"/>
      <c r="AD103" s="905"/>
      <c r="AE103" s="905"/>
      <c r="AF103" s="905"/>
      <c r="AG103" s="905"/>
      <c r="AH103" s="905"/>
    </row>
    <row r="104" spans="1:34" hidden="1" x14ac:dyDescent="0.25">
      <c r="A104" s="755" t="s">
        <v>7</v>
      </c>
      <c r="B104" s="755" t="s">
        <v>1035</v>
      </c>
      <c r="C104" s="755" t="s">
        <v>1034</v>
      </c>
      <c r="D104" s="755">
        <v>101</v>
      </c>
      <c r="E104" s="750" t="s">
        <v>1153</v>
      </c>
      <c r="F104" s="750" t="s">
        <v>1152</v>
      </c>
      <c r="G104" s="750"/>
      <c r="H104" s="755" t="s">
        <v>1146</v>
      </c>
      <c r="I104" s="928">
        <v>100099</v>
      </c>
      <c r="J104" s="859">
        <v>49</v>
      </c>
      <c r="K104" s="931">
        <v>4.4043000000000001</v>
      </c>
      <c r="L104" s="756">
        <v>4.4000000000000004</v>
      </c>
      <c r="M104" s="757">
        <v>46203</v>
      </c>
      <c r="N104" s="757"/>
      <c r="O104" s="757"/>
      <c r="P104" s="757"/>
      <c r="Q104" s="757"/>
      <c r="R104" s="750"/>
      <c r="S104" s="750"/>
      <c r="T104" s="905"/>
      <c r="U104" s="757" t="s">
        <v>1524</v>
      </c>
      <c r="V104" s="757" t="str">
        <f>_xlfn.XLOOKUP(Table3[[#This Row],[RE Developer]],[2]GEA!$B:$B,[2]GEA!$K:$K,"",0,1)</f>
        <v>26-1-26-M-PAO-N-0552L</v>
      </c>
      <c r="W104" s="757">
        <v>46048</v>
      </c>
      <c r="X104" s="757">
        <v>46052</v>
      </c>
      <c r="Y104" s="905">
        <v>46048</v>
      </c>
      <c r="Z104" s="905">
        <f>Table3[[#This Row],[Valid from]]+364</f>
        <v>46412</v>
      </c>
      <c r="AA104" s="928">
        <f>_xlfn.XLOOKUP(Table3[[#This Row],[RE Developer]],[2]GEA!$B:$B,[2]GEA!$M:$M,"",0,1)</f>
        <v>100099</v>
      </c>
      <c r="AB104" s="750"/>
      <c r="AC104" s="925"/>
      <c r="AD104" s="905"/>
      <c r="AE104" s="905"/>
      <c r="AF104" s="905"/>
      <c r="AG104" s="905"/>
      <c r="AH104" s="905"/>
    </row>
    <row r="105" spans="1:34" hidden="1" x14ac:dyDescent="0.25">
      <c r="A105" s="755" t="s">
        <v>7</v>
      </c>
      <c r="B105" s="755" t="s">
        <v>1035</v>
      </c>
      <c r="C105" s="755" t="s">
        <v>1034</v>
      </c>
      <c r="D105" s="755">
        <v>102</v>
      </c>
      <c r="E105" s="750" t="s">
        <v>1155</v>
      </c>
      <c r="F105" s="750" t="s">
        <v>1154</v>
      </c>
      <c r="G105" s="750"/>
      <c r="H105" s="755" t="s">
        <v>1038</v>
      </c>
      <c r="I105" s="928"/>
      <c r="J105" s="859">
        <v>70.14</v>
      </c>
      <c r="K105" s="931">
        <v>4.4043000000000001</v>
      </c>
      <c r="L105" s="756">
        <v>4.4043000000000001</v>
      </c>
      <c r="M105" s="757">
        <v>46387</v>
      </c>
      <c r="N105" s="757"/>
      <c r="O105" s="757"/>
      <c r="P105" s="757"/>
      <c r="Q105" s="757"/>
      <c r="R105" s="750"/>
      <c r="S105" s="750"/>
      <c r="T105" s="905"/>
      <c r="U105" s="757"/>
      <c r="V105" s="757" t="str">
        <f>_xlfn.XLOOKUP(Table3[[#This Row],[RE Developer]],[2]GEA!$B:$B,[2]GEA!$K:$K,"",0,1)</f>
        <v>-</v>
      </c>
      <c r="W105" s="757"/>
      <c r="X105" s="757"/>
      <c r="Y105" s="905"/>
      <c r="Z105" s="905">
        <f>Table3[[#This Row],[Valid from]]+364</f>
        <v>364</v>
      </c>
      <c r="AA105" s="928" t="str">
        <f>_xlfn.XLOOKUP(Table3[[#This Row],[RE Developer]],[2]GEA!$B:$B,[2]GEA!$M:$M,"",0,1)</f>
        <v>-</v>
      </c>
      <c r="AB105" s="750"/>
      <c r="AC105" s="925"/>
      <c r="AD105" s="905"/>
      <c r="AE105" s="905"/>
      <c r="AF105" s="905"/>
      <c r="AG105" s="905"/>
      <c r="AH105" s="905"/>
    </row>
    <row r="106" spans="1:34" hidden="1" x14ac:dyDescent="0.25">
      <c r="A106" s="755" t="s">
        <v>7</v>
      </c>
      <c r="B106" s="755" t="s">
        <v>1158</v>
      </c>
      <c r="C106" s="755" t="s">
        <v>1034</v>
      </c>
      <c r="D106" s="755">
        <v>103</v>
      </c>
      <c r="E106" s="750" t="s">
        <v>1157</v>
      </c>
      <c r="F106" s="750" t="s">
        <v>1156</v>
      </c>
      <c r="G106" s="750"/>
      <c r="H106" s="755" t="s">
        <v>1029</v>
      </c>
      <c r="I106" s="928"/>
      <c r="J106" s="859">
        <v>90</v>
      </c>
      <c r="K106" s="931">
        <v>5.3948</v>
      </c>
      <c r="L106" s="756">
        <v>5.0987999999999998</v>
      </c>
      <c r="M106" s="757">
        <v>46371</v>
      </c>
      <c r="N106" s="757"/>
      <c r="O106" s="757"/>
      <c r="P106" s="757"/>
      <c r="Q106" s="757"/>
      <c r="R106" s="750"/>
      <c r="S106" s="750"/>
      <c r="T106" s="905"/>
      <c r="U106" s="757"/>
      <c r="V106" s="757" t="str">
        <f>_xlfn.XLOOKUP(Table3[[#This Row],[RE Developer]],[2]GEA!$B:$B,[2]GEA!$K:$K,"",0,1)</f>
        <v>-</v>
      </c>
      <c r="W106" s="757"/>
      <c r="X106" s="757"/>
      <c r="Y106" s="905"/>
      <c r="Z106" s="905">
        <f>Table3[[#This Row],[Valid from]]+364</f>
        <v>364</v>
      </c>
      <c r="AA106" s="928" t="str">
        <f>_xlfn.XLOOKUP(Table3[[#This Row],[RE Developer]],[2]GEA!$B:$B,[2]GEA!$M:$M,"",0,1)</f>
        <v>-</v>
      </c>
      <c r="AB106" s="750"/>
      <c r="AC106" s="925"/>
      <c r="AD106" s="905"/>
      <c r="AE106" s="905"/>
      <c r="AF106" s="905"/>
      <c r="AG106" s="905"/>
      <c r="AH106" s="905"/>
    </row>
    <row r="107" spans="1:34" hidden="1" x14ac:dyDescent="0.25">
      <c r="A107" s="755" t="s">
        <v>7</v>
      </c>
      <c r="B107" s="755" t="s">
        <v>1139</v>
      </c>
      <c r="C107" s="755" t="s">
        <v>1034</v>
      </c>
      <c r="D107" s="755">
        <v>104</v>
      </c>
      <c r="E107" s="750" t="s">
        <v>1160</v>
      </c>
      <c r="F107" s="750" t="s">
        <v>1159</v>
      </c>
      <c r="G107" s="750"/>
      <c r="H107" s="755" t="s">
        <v>1016</v>
      </c>
      <c r="I107" s="928"/>
      <c r="J107" s="859">
        <v>239.98500000000001</v>
      </c>
      <c r="K107" s="931">
        <v>5.8480999999999996</v>
      </c>
      <c r="L107" s="756">
        <v>5.2512999999999996</v>
      </c>
      <c r="M107" s="757">
        <v>46371</v>
      </c>
      <c r="N107" s="757"/>
      <c r="O107" s="757"/>
      <c r="P107" s="757"/>
      <c r="Q107" s="757"/>
      <c r="R107" s="750"/>
      <c r="S107" s="750"/>
      <c r="T107" s="905"/>
      <c r="U107" s="757"/>
      <c r="V107" s="757" t="str">
        <f>_xlfn.XLOOKUP(Table3[[#This Row],[RE Developer]],[2]GEA!$B:$B,[2]GEA!$K:$K,"",0,1)</f>
        <v>-</v>
      </c>
      <c r="W107" s="757"/>
      <c r="X107" s="757"/>
      <c r="Y107" s="905"/>
      <c r="Z107" s="905">
        <f>Table3[[#This Row],[Valid from]]+364</f>
        <v>364</v>
      </c>
      <c r="AA107" s="928" t="str">
        <f>_xlfn.XLOOKUP(Table3[[#This Row],[RE Developer]],[2]GEA!$B:$B,[2]GEA!$M:$M,"",0,1)</f>
        <v>-</v>
      </c>
      <c r="AB107" s="750"/>
      <c r="AC107" s="925"/>
      <c r="AD107" s="905"/>
      <c r="AE107" s="905"/>
      <c r="AF107" s="905"/>
      <c r="AG107" s="905"/>
      <c r="AH107" s="905"/>
    </row>
    <row r="108" spans="1:34" hidden="1" x14ac:dyDescent="0.25">
      <c r="A108" s="755" t="s">
        <v>7</v>
      </c>
      <c r="B108" s="755" t="s">
        <v>1139</v>
      </c>
      <c r="C108" s="755" t="s">
        <v>1034</v>
      </c>
      <c r="D108" s="755">
        <v>105</v>
      </c>
      <c r="E108" s="750" t="s">
        <v>1162</v>
      </c>
      <c r="F108" s="750" t="s">
        <v>1161</v>
      </c>
      <c r="G108" s="750"/>
      <c r="H108" s="755" t="s">
        <v>1008</v>
      </c>
      <c r="I108" s="928"/>
      <c r="J108" s="859">
        <v>49.999000000000002</v>
      </c>
      <c r="K108" s="931">
        <v>5.8480999999999996</v>
      </c>
      <c r="L108" s="756">
        <v>5.4387999999999996</v>
      </c>
      <c r="M108" s="757">
        <v>46379</v>
      </c>
      <c r="N108" s="757"/>
      <c r="O108" s="757"/>
      <c r="P108" s="757"/>
      <c r="Q108" s="757"/>
      <c r="R108" s="750"/>
      <c r="S108" s="750"/>
      <c r="T108" s="905"/>
      <c r="U108" s="757"/>
      <c r="V108" s="757" t="str">
        <f>_xlfn.XLOOKUP(Table3[[#This Row],[RE Developer]],[2]GEA!$B:$B,[2]GEA!$K:$K,"",0,1)</f>
        <v/>
      </c>
      <c r="W108" s="757"/>
      <c r="X108" s="757"/>
      <c r="Y108" s="905"/>
      <c r="Z108" s="905">
        <f>Table3[[#This Row],[Valid from]]+364</f>
        <v>364</v>
      </c>
      <c r="AA108" s="928" t="str">
        <f>_xlfn.XLOOKUP(Table3[[#This Row],[RE Developer]],[2]GEA!$B:$B,[2]GEA!$M:$M,"",0,1)</f>
        <v/>
      </c>
      <c r="AB108" s="750"/>
      <c r="AC108" s="925"/>
      <c r="AD108" s="905"/>
      <c r="AE108" s="905"/>
      <c r="AF108" s="905"/>
      <c r="AG108" s="905"/>
      <c r="AH108" s="905"/>
    </row>
    <row r="109" spans="1:34" hidden="1" x14ac:dyDescent="0.25">
      <c r="A109" s="755" t="s">
        <v>7</v>
      </c>
      <c r="B109" s="755" t="s">
        <v>1139</v>
      </c>
      <c r="C109" s="755" t="s">
        <v>1034</v>
      </c>
      <c r="D109" s="755">
        <v>106</v>
      </c>
      <c r="E109" s="750" t="s">
        <v>1164</v>
      </c>
      <c r="F109" s="750" t="s">
        <v>1163</v>
      </c>
      <c r="G109" s="750"/>
      <c r="H109" s="755" t="s">
        <v>1057</v>
      </c>
      <c r="I109" s="928"/>
      <c r="J109" s="859">
        <v>80</v>
      </c>
      <c r="K109" s="931">
        <v>5.8480999999999996</v>
      </c>
      <c r="L109" s="756">
        <v>5.5587999999999997</v>
      </c>
      <c r="M109" s="757">
        <v>46382</v>
      </c>
      <c r="N109" s="757"/>
      <c r="O109" s="757"/>
      <c r="P109" s="757"/>
      <c r="Q109" s="757"/>
      <c r="R109" s="750"/>
      <c r="S109" s="750"/>
      <c r="T109" s="905"/>
      <c r="U109" s="757"/>
      <c r="V109" s="757" t="str">
        <f>_xlfn.XLOOKUP(Table3[[#This Row],[RE Developer]],[2]GEA!$B:$B,[2]GEA!$K:$K,"",0,1)</f>
        <v>-</v>
      </c>
      <c r="W109" s="757"/>
      <c r="X109" s="757"/>
      <c r="Y109" s="905"/>
      <c r="Z109" s="905">
        <f>Table3[[#This Row],[Valid from]]+364</f>
        <v>364</v>
      </c>
      <c r="AA109" s="928" t="str">
        <f>_xlfn.XLOOKUP(Table3[[#This Row],[RE Developer]],[2]GEA!$B:$B,[2]GEA!$M:$M,"",0,1)</f>
        <v>-</v>
      </c>
      <c r="AB109" s="750"/>
      <c r="AC109" s="925"/>
      <c r="AD109" s="905"/>
      <c r="AE109" s="905"/>
      <c r="AF109" s="905"/>
      <c r="AG109" s="905"/>
      <c r="AH109" s="905"/>
    </row>
    <row r="110" spans="1:34" hidden="1" x14ac:dyDescent="0.25">
      <c r="A110" s="755" t="s">
        <v>7</v>
      </c>
      <c r="B110" s="755" t="s">
        <v>1139</v>
      </c>
      <c r="C110" s="755" t="s">
        <v>1034</v>
      </c>
      <c r="D110" s="755">
        <v>107</v>
      </c>
      <c r="E110" s="750" t="s">
        <v>1164</v>
      </c>
      <c r="F110" s="750" t="s">
        <v>1165</v>
      </c>
      <c r="G110" s="750"/>
      <c r="H110" s="755" t="s">
        <v>1166</v>
      </c>
      <c r="I110" s="928"/>
      <c r="J110" s="859">
        <v>100</v>
      </c>
      <c r="K110" s="931">
        <v>5.8480999999999996</v>
      </c>
      <c r="L110" s="756">
        <v>5.6588000000000003</v>
      </c>
      <c r="M110" s="757">
        <v>46382</v>
      </c>
      <c r="N110" s="757"/>
      <c r="O110" s="757"/>
      <c r="P110" s="757"/>
      <c r="Q110" s="757"/>
      <c r="R110" s="750"/>
      <c r="S110" s="750"/>
      <c r="T110" s="905"/>
      <c r="U110" s="757"/>
      <c r="V110" s="757" t="str">
        <f>_xlfn.XLOOKUP(Table3[[#This Row],[RE Developer]],[2]GEA!$B:$B,[2]GEA!$K:$K,"",0,1)</f>
        <v>-</v>
      </c>
      <c r="W110" s="757"/>
      <c r="X110" s="757"/>
      <c r="Y110" s="905"/>
      <c r="Z110" s="905">
        <f>Table3[[#This Row],[Valid from]]+364</f>
        <v>364</v>
      </c>
      <c r="AA110" s="928" t="str">
        <f>_xlfn.XLOOKUP(Table3[[#This Row],[RE Developer]],[2]GEA!$B:$B,[2]GEA!$M:$M,"",0,1)</f>
        <v>-</v>
      </c>
      <c r="AB110" s="750"/>
      <c r="AC110" s="925"/>
      <c r="AD110" s="905"/>
      <c r="AE110" s="905"/>
      <c r="AF110" s="905"/>
      <c r="AG110" s="905"/>
      <c r="AH110" s="905"/>
    </row>
    <row r="111" spans="1:34" hidden="1" x14ac:dyDescent="0.25">
      <c r="A111" s="755" t="s">
        <v>7</v>
      </c>
      <c r="B111" s="755" t="s">
        <v>1139</v>
      </c>
      <c r="C111" s="755" t="s">
        <v>1034</v>
      </c>
      <c r="D111" s="755">
        <v>108</v>
      </c>
      <c r="E111" s="750" t="s">
        <v>1168</v>
      </c>
      <c r="F111" s="750" t="s">
        <v>1167</v>
      </c>
      <c r="G111" s="750"/>
      <c r="H111" s="755" t="s">
        <v>1029</v>
      </c>
      <c r="I111" s="928"/>
      <c r="J111" s="859">
        <v>230</v>
      </c>
      <c r="K111" s="931">
        <v>5.8480999999999996</v>
      </c>
      <c r="L111" s="756">
        <v>5.7885999999999997</v>
      </c>
      <c r="M111" s="757">
        <v>46380</v>
      </c>
      <c r="N111" s="757"/>
      <c r="O111" s="757"/>
      <c r="P111" s="757"/>
      <c r="Q111" s="757"/>
      <c r="R111" s="750"/>
      <c r="S111" s="750"/>
      <c r="T111" s="905"/>
      <c r="U111" s="757"/>
      <c r="V111" s="757" t="str">
        <f>_xlfn.XLOOKUP(Table3[[#This Row],[RE Developer]],[2]GEA!$B:$B,[2]GEA!$K:$K,"",0,1)</f>
        <v>-</v>
      </c>
      <c r="W111" s="757"/>
      <c r="X111" s="757"/>
      <c r="Y111" s="905"/>
      <c r="Z111" s="905">
        <f>Table3[[#This Row],[Valid from]]+364</f>
        <v>364</v>
      </c>
      <c r="AA111" s="928" t="str">
        <f>_xlfn.XLOOKUP(Table3[[#This Row],[RE Developer]],[2]GEA!$B:$B,[2]GEA!$M:$M,"",0,1)</f>
        <v>-</v>
      </c>
      <c r="AB111" s="750"/>
      <c r="AC111" s="925"/>
      <c r="AD111" s="905"/>
      <c r="AE111" s="905"/>
      <c r="AF111" s="905"/>
      <c r="AG111" s="905"/>
      <c r="AH111" s="905"/>
    </row>
    <row r="112" spans="1:34" hidden="1" x14ac:dyDescent="0.25">
      <c r="A112" s="755" t="s">
        <v>7</v>
      </c>
      <c r="B112" s="755" t="s">
        <v>1139</v>
      </c>
      <c r="C112" s="755" t="s">
        <v>1034</v>
      </c>
      <c r="D112" s="755">
        <v>109</v>
      </c>
      <c r="E112" s="750" t="s">
        <v>1164</v>
      </c>
      <c r="F112" s="750" t="s">
        <v>1169</v>
      </c>
      <c r="G112" s="750"/>
      <c r="H112" s="755" t="s">
        <v>1008</v>
      </c>
      <c r="I112" s="928"/>
      <c r="J112" s="859">
        <v>30</v>
      </c>
      <c r="K112" s="931">
        <v>5.8480999999999996</v>
      </c>
      <c r="L112" s="756">
        <v>5.8480999999999996</v>
      </c>
      <c r="M112" s="757">
        <v>46382</v>
      </c>
      <c r="N112" s="757"/>
      <c r="O112" s="757"/>
      <c r="P112" s="757"/>
      <c r="Q112" s="757"/>
      <c r="R112" s="750"/>
      <c r="S112" s="750"/>
      <c r="T112" s="905"/>
      <c r="U112" s="757"/>
      <c r="V112" s="757" t="str">
        <f>_xlfn.XLOOKUP(Table3[[#This Row],[RE Developer]],[2]GEA!$B:$B,[2]GEA!$K:$K,"",0,1)</f>
        <v>-</v>
      </c>
      <c r="W112" s="757"/>
      <c r="X112" s="757"/>
      <c r="Y112" s="905"/>
      <c r="Z112" s="905">
        <f>Table3[[#This Row],[Valid from]]+364</f>
        <v>364</v>
      </c>
      <c r="AA112" s="928" t="str">
        <f>_xlfn.XLOOKUP(Table3[[#This Row],[RE Developer]],[2]GEA!$B:$B,[2]GEA!$M:$M,"",0,1)</f>
        <v>-</v>
      </c>
      <c r="AB112" s="750"/>
      <c r="AC112" s="925"/>
      <c r="AD112" s="905"/>
      <c r="AE112" s="905"/>
      <c r="AF112" s="905"/>
      <c r="AG112" s="905"/>
      <c r="AH112" s="905"/>
    </row>
    <row r="113" spans="1:34" hidden="1" x14ac:dyDescent="0.25">
      <c r="A113" s="755" t="s">
        <v>8</v>
      </c>
      <c r="B113" s="755" t="s">
        <v>1035</v>
      </c>
      <c r="C113" s="755" t="s">
        <v>1034</v>
      </c>
      <c r="D113" s="755">
        <v>110</v>
      </c>
      <c r="E113" s="750" t="s">
        <v>1171</v>
      </c>
      <c r="F113" s="750" t="s">
        <v>1170</v>
      </c>
      <c r="G113" s="750"/>
      <c r="H113" s="755" t="s">
        <v>1172</v>
      </c>
      <c r="I113" s="928"/>
      <c r="J113" s="859">
        <v>8</v>
      </c>
      <c r="K113" s="931">
        <v>4.4043000000000001</v>
      </c>
      <c r="L113" s="756">
        <v>4.4000000000000004</v>
      </c>
      <c r="M113" s="757">
        <v>46022</v>
      </c>
      <c r="N113" s="757"/>
      <c r="O113" s="757"/>
      <c r="P113" s="757"/>
      <c r="Q113" s="757"/>
      <c r="R113" s="750"/>
      <c r="S113" s="750"/>
      <c r="T113" s="905"/>
      <c r="U113" s="757"/>
      <c r="V113" s="757" t="str">
        <f>_xlfn.XLOOKUP(Table3[[#This Row],[RE Developer]],[2]GEA!$B:$B,[2]GEA!$K:$K,"",0,1)</f>
        <v/>
      </c>
      <c r="W113" s="757"/>
      <c r="X113" s="757"/>
      <c r="Y113" s="905"/>
      <c r="Z113" s="905">
        <f>Table3[[#This Row],[Valid from]]+364</f>
        <v>364</v>
      </c>
      <c r="AA113" s="928" t="str">
        <f>_xlfn.XLOOKUP(Table3[[#This Row],[RE Developer]],[2]GEA!$B:$B,[2]GEA!$M:$M,"",0,1)</f>
        <v/>
      </c>
      <c r="AB113" s="750"/>
      <c r="AC113" s="925"/>
      <c r="AD113" s="905"/>
      <c r="AE113" s="905"/>
      <c r="AF113" s="905"/>
      <c r="AG113" s="905"/>
      <c r="AH113" s="905"/>
    </row>
    <row r="114" spans="1:34" hidden="1" x14ac:dyDescent="0.25">
      <c r="A114" s="755" t="s">
        <v>8</v>
      </c>
      <c r="B114" s="755" t="s">
        <v>1062</v>
      </c>
      <c r="C114" s="755" t="s">
        <v>1034</v>
      </c>
      <c r="D114" s="755">
        <v>111</v>
      </c>
      <c r="E114" s="750" t="s">
        <v>1061</v>
      </c>
      <c r="F114" s="750" t="s">
        <v>1173</v>
      </c>
      <c r="G114" s="750"/>
      <c r="H114" s="755" t="s">
        <v>1174</v>
      </c>
      <c r="I114" s="928"/>
      <c r="J114" s="859">
        <v>0.11</v>
      </c>
      <c r="K114" s="931">
        <v>4.8738000000000001</v>
      </c>
      <c r="L114" s="756">
        <v>4.8738000000000001</v>
      </c>
      <c r="M114" s="757">
        <v>46003</v>
      </c>
      <c r="N114" s="757"/>
      <c r="O114" s="757"/>
      <c r="P114" s="757"/>
      <c r="Q114" s="757"/>
      <c r="R114" s="750"/>
      <c r="S114" s="750"/>
      <c r="T114" s="905"/>
      <c r="U114" s="757"/>
      <c r="V114" s="757" t="str">
        <f>_xlfn.XLOOKUP(Table3[[#This Row],[RE Developer]],[2]GEA!$B:$B,[2]GEA!$K:$K,"",0,1)</f>
        <v>-</v>
      </c>
      <c r="W114" s="757"/>
      <c r="X114" s="757"/>
      <c r="Y114" s="905"/>
      <c r="Z114" s="905">
        <f>Table3[[#This Row],[Valid from]]+364</f>
        <v>364</v>
      </c>
      <c r="AA114" s="928" t="str">
        <f>_xlfn.XLOOKUP(Table3[[#This Row],[RE Developer]],[2]GEA!$B:$B,[2]GEA!$M:$M,"",0,1)</f>
        <v>-</v>
      </c>
      <c r="AB114" s="750"/>
      <c r="AC114" s="925"/>
      <c r="AD114" s="905"/>
      <c r="AE114" s="905"/>
      <c r="AF114" s="905"/>
      <c r="AG114" s="905"/>
      <c r="AH114" s="905"/>
    </row>
    <row r="115" spans="1:34" hidden="1" x14ac:dyDescent="0.25">
      <c r="A115" s="755" t="s">
        <v>8</v>
      </c>
      <c r="B115" s="755" t="s">
        <v>1062</v>
      </c>
      <c r="C115" s="755" t="s">
        <v>1034</v>
      </c>
      <c r="D115" s="755">
        <v>112</v>
      </c>
      <c r="E115" s="750" t="s">
        <v>1061</v>
      </c>
      <c r="F115" s="750" t="s">
        <v>1175</v>
      </c>
      <c r="G115" s="750"/>
      <c r="H115" s="755" t="s">
        <v>1172</v>
      </c>
      <c r="I115" s="928"/>
      <c r="J115" s="859">
        <v>7.0000000000000007E-2</v>
      </c>
      <c r="K115" s="931">
        <v>4.8738000000000001</v>
      </c>
      <c r="L115" s="756">
        <v>4.8738000000000001</v>
      </c>
      <c r="M115" s="757">
        <v>46003</v>
      </c>
      <c r="N115" s="757"/>
      <c r="O115" s="757"/>
      <c r="P115" s="757"/>
      <c r="Q115" s="757"/>
      <c r="R115" s="750"/>
      <c r="S115" s="750"/>
      <c r="T115" s="905"/>
      <c r="U115" s="757"/>
      <c r="V115" s="757" t="str">
        <f>_xlfn.XLOOKUP(Table3[[#This Row],[RE Developer]],[2]GEA!$B:$B,[2]GEA!$K:$K,"",0,1)</f>
        <v>-</v>
      </c>
      <c r="W115" s="757"/>
      <c r="X115" s="757"/>
      <c r="Y115" s="905"/>
      <c r="Z115" s="905">
        <f>Table3[[#This Row],[Valid from]]+364</f>
        <v>364</v>
      </c>
      <c r="AA115" s="928" t="str">
        <f>_xlfn.XLOOKUP(Table3[[#This Row],[RE Developer]],[2]GEA!$B:$B,[2]GEA!$M:$M,"",0,1)</f>
        <v>-</v>
      </c>
      <c r="AB115" s="750"/>
      <c r="AC115" s="925"/>
      <c r="AD115" s="905"/>
      <c r="AE115" s="905"/>
      <c r="AF115" s="905"/>
      <c r="AG115" s="905"/>
      <c r="AH115" s="905"/>
    </row>
    <row r="116" spans="1:34" hidden="1" x14ac:dyDescent="0.25">
      <c r="A116" s="755" t="s">
        <v>8</v>
      </c>
      <c r="B116" s="755" t="s">
        <v>1035</v>
      </c>
      <c r="C116" s="755" t="s">
        <v>1034</v>
      </c>
      <c r="D116" s="755">
        <v>113</v>
      </c>
      <c r="E116" s="750" t="s">
        <v>1177</v>
      </c>
      <c r="F116" s="750" t="s">
        <v>1176</v>
      </c>
      <c r="G116" s="750"/>
      <c r="H116" s="755" t="s">
        <v>259</v>
      </c>
      <c r="I116" s="928"/>
      <c r="J116" s="859">
        <v>40</v>
      </c>
      <c r="K116" s="931">
        <v>4.4043000000000001</v>
      </c>
      <c r="L116" s="756">
        <v>4.4032999999999998</v>
      </c>
      <c r="M116" s="757">
        <v>46387</v>
      </c>
      <c r="N116" s="757"/>
      <c r="O116" s="757"/>
      <c r="P116" s="757"/>
      <c r="Q116" s="757"/>
      <c r="R116" s="750"/>
      <c r="S116" s="750"/>
      <c r="T116" s="905"/>
      <c r="U116" s="757"/>
      <c r="V116" s="757" t="str">
        <f>_xlfn.XLOOKUP(Table3[[#This Row],[RE Developer]],[2]GEA!$B:$B,[2]GEA!$K:$K,"",0,1)</f>
        <v/>
      </c>
      <c r="W116" s="757"/>
      <c r="X116" s="757"/>
      <c r="Y116" s="905"/>
      <c r="Z116" s="905">
        <f>Table3[[#This Row],[Valid from]]+364</f>
        <v>364</v>
      </c>
      <c r="AA116" s="928" t="str">
        <f>_xlfn.XLOOKUP(Table3[[#This Row],[RE Developer]],[2]GEA!$B:$B,[2]GEA!$M:$M,"",0,1)</f>
        <v/>
      </c>
      <c r="AB116" s="750"/>
      <c r="AC116" s="925"/>
      <c r="AD116" s="905"/>
      <c r="AE116" s="905"/>
      <c r="AF116" s="905"/>
      <c r="AG116" s="905"/>
      <c r="AH116" s="905"/>
    </row>
    <row r="117" spans="1:34" hidden="1" x14ac:dyDescent="0.25">
      <c r="A117" s="755" t="s">
        <v>32</v>
      </c>
      <c r="B117" s="755" t="s">
        <v>1062</v>
      </c>
      <c r="C117" s="755" t="s">
        <v>1034</v>
      </c>
      <c r="D117" s="755">
        <v>114</v>
      </c>
      <c r="E117" s="750" t="s">
        <v>1061</v>
      </c>
      <c r="F117" s="750" t="s">
        <v>1178</v>
      </c>
      <c r="G117" s="750"/>
      <c r="H117" s="755" t="s">
        <v>258</v>
      </c>
      <c r="I117" s="928"/>
      <c r="J117" s="859">
        <v>0.12</v>
      </c>
      <c r="K117" s="931">
        <v>4.8738000000000001</v>
      </c>
      <c r="L117" s="756">
        <v>4.8738000000000001</v>
      </c>
      <c r="M117" s="757">
        <v>46003</v>
      </c>
      <c r="N117" s="757"/>
      <c r="O117" s="757"/>
      <c r="P117" s="757"/>
      <c r="Q117" s="757"/>
      <c r="R117" s="750"/>
      <c r="S117" s="750"/>
      <c r="T117" s="905"/>
      <c r="U117" s="757"/>
      <c r="V117" s="757" t="str">
        <f>_xlfn.XLOOKUP(Table3[[#This Row],[RE Developer]],[2]GEA!$B:$B,[2]GEA!$K:$K,"",0,1)</f>
        <v>-</v>
      </c>
      <c r="W117" s="757"/>
      <c r="X117" s="757"/>
      <c r="Y117" s="905"/>
      <c r="Z117" s="905">
        <f>Table3[[#This Row],[Valid from]]+364</f>
        <v>364</v>
      </c>
      <c r="AA117" s="928" t="str">
        <f>_xlfn.XLOOKUP(Table3[[#This Row],[RE Developer]],[2]GEA!$B:$B,[2]GEA!$M:$M,"",0,1)</f>
        <v>-</v>
      </c>
      <c r="AB117" s="750"/>
      <c r="AC117" s="925"/>
      <c r="AD117" s="905"/>
      <c r="AE117" s="905"/>
      <c r="AF117" s="905"/>
      <c r="AG117" s="905"/>
      <c r="AH117" s="905"/>
    </row>
    <row r="118" spans="1:34" hidden="1" x14ac:dyDescent="0.25">
      <c r="A118" s="755" t="s">
        <v>32</v>
      </c>
      <c r="B118" s="755" t="s">
        <v>1062</v>
      </c>
      <c r="C118" s="755" t="s">
        <v>1034</v>
      </c>
      <c r="D118" s="755">
        <v>115</v>
      </c>
      <c r="E118" s="750" t="s">
        <v>1061</v>
      </c>
      <c r="F118" s="750" t="s">
        <v>1179</v>
      </c>
      <c r="G118" s="750"/>
      <c r="H118" s="755" t="s">
        <v>1180</v>
      </c>
      <c r="I118" s="928"/>
      <c r="J118" s="859">
        <v>0.13</v>
      </c>
      <c r="K118" s="931">
        <v>4.8738000000000001</v>
      </c>
      <c r="L118" s="756">
        <v>4.8738000000000001</v>
      </c>
      <c r="M118" s="757">
        <v>46003</v>
      </c>
      <c r="N118" s="757"/>
      <c r="O118" s="757"/>
      <c r="P118" s="757"/>
      <c r="Q118" s="757"/>
      <c r="R118" s="750"/>
      <c r="S118" s="750"/>
      <c r="T118" s="905"/>
      <c r="U118" s="757"/>
      <c r="V118" s="757" t="str">
        <f>_xlfn.XLOOKUP(Table3[[#This Row],[RE Developer]],[2]GEA!$B:$B,[2]GEA!$K:$K,"",0,1)</f>
        <v>-</v>
      </c>
      <c r="W118" s="757"/>
      <c r="X118" s="757"/>
      <c r="Y118" s="905"/>
      <c r="Z118" s="905">
        <f>Table3[[#This Row],[Valid from]]+364</f>
        <v>364</v>
      </c>
      <c r="AA118" s="928" t="str">
        <f>_xlfn.XLOOKUP(Table3[[#This Row],[RE Developer]],[2]GEA!$B:$B,[2]GEA!$M:$M,"",0,1)</f>
        <v>-</v>
      </c>
      <c r="AB118" s="750"/>
      <c r="AC118" s="925"/>
      <c r="AD118" s="905"/>
      <c r="AE118" s="905"/>
      <c r="AF118" s="905"/>
      <c r="AG118" s="905"/>
      <c r="AH118" s="905"/>
    </row>
    <row r="119" spans="1:34" hidden="1" x14ac:dyDescent="0.25">
      <c r="A119" s="755" t="s">
        <v>32</v>
      </c>
      <c r="B119" s="755" t="s">
        <v>1035</v>
      </c>
      <c r="C119" s="755" t="s">
        <v>1034</v>
      </c>
      <c r="D119" s="755">
        <v>116</v>
      </c>
      <c r="E119" s="750" t="s">
        <v>1182</v>
      </c>
      <c r="F119" s="750" t="s">
        <v>1181</v>
      </c>
      <c r="G119" s="750"/>
      <c r="H119" s="755" t="s">
        <v>257</v>
      </c>
      <c r="I119" s="928"/>
      <c r="J119" s="859">
        <v>14</v>
      </c>
      <c r="K119" s="931">
        <v>4.4043000000000001</v>
      </c>
      <c r="L119" s="756">
        <v>4.3543000000000003</v>
      </c>
      <c r="M119" s="757">
        <v>46352</v>
      </c>
      <c r="N119" s="757"/>
      <c r="O119" s="757"/>
      <c r="P119" s="757"/>
      <c r="Q119" s="757"/>
      <c r="R119" s="750"/>
      <c r="S119" s="750"/>
      <c r="T119" s="905"/>
      <c r="U119" s="757"/>
      <c r="V119" s="757" t="str">
        <f>_xlfn.XLOOKUP(Table3[[#This Row],[RE Developer]],[2]GEA!$B:$B,[2]GEA!$K:$K,"",0,1)</f>
        <v/>
      </c>
      <c r="W119" s="757"/>
      <c r="X119" s="757"/>
      <c r="Y119" s="905"/>
      <c r="Z119" s="905">
        <f>Table3[[#This Row],[Valid from]]+364</f>
        <v>364</v>
      </c>
      <c r="AA119" s="928" t="str">
        <f>_xlfn.XLOOKUP(Table3[[#This Row],[RE Developer]],[2]GEA!$B:$B,[2]GEA!$M:$M,"",0,1)</f>
        <v/>
      </c>
      <c r="AB119" s="750"/>
      <c r="AC119" s="925"/>
      <c r="AD119" s="905"/>
      <c r="AE119" s="905"/>
      <c r="AF119" s="905"/>
      <c r="AG119" s="905"/>
      <c r="AH119" s="905"/>
    </row>
    <row r="120" spans="1:34" hidden="1" x14ac:dyDescent="0.25">
      <c r="A120" s="755" t="s">
        <v>32</v>
      </c>
      <c r="B120" s="755" t="s">
        <v>1035</v>
      </c>
      <c r="C120" s="755" t="s">
        <v>1034</v>
      </c>
      <c r="D120" s="755">
        <v>117</v>
      </c>
      <c r="E120" s="750" t="s">
        <v>1184</v>
      </c>
      <c r="F120" s="750" t="s">
        <v>1183</v>
      </c>
      <c r="G120" s="750"/>
      <c r="H120" s="755" t="s">
        <v>257</v>
      </c>
      <c r="I120" s="928"/>
      <c r="J120" s="859">
        <v>40</v>
      </c>
      <c r="K120" s="931">
        <v>4.4043000000000001</v>
      </c>
      <c r="L120" s="756">
        <v>4.3552999999999997</v>
      </c>
      <c r="M120" s="757">
        <v>46387</v>
      </c>
      <c r="N120" s="757"/>
      <c r="O120" s="757"/>
      <c r="P120" s="757"/>
      <c r="Q120" s="757"/>
      <c r="R120" s="750"/>
      <c r="S120" s="750"/>
      <c r="T120" s="905"/>
      <c r="U120" s="757"/>
      <c r="V120" s="757" t="str">
        <f>_xlfn.XLOOKUP(Table3[[#This Row],[RE Developer]],[2]GEA!$B:$B,[2]GEA!$K:$K,"",0,1)</f>
        <v>-</v>
      </c>
      <c r="W120" s="757"/>
      <c r="X120" s="757"/>
      <c r="Y120" s="905"/>
      <c r="Z120" s="905">
        <f>Table3[[#This Row],[Valid from]]+364</f>
        <v>364</v>
      </c>
      <c r="AA120" s="928" t="str">
        <f>_xlfn.XLOOKUP(Table3[[#This Row],[RE Developer]],[2]GEA!$B:$B,[2]GEA!$M:$M,"",0,1)</f>
        <v>-</v>
      </c>
      <c r="AB120" s="750"/>
      <c r="AC120" s="925"/>
      <c r="AD120" s="905"/>
      <c r="AE120" s="905"/>
      <c r="AF120" s="905"/>
      <c r="AG120" s="905"/>
      <c r="AH120" s="905"/>
    </row>
    <row r="121" spans="1:34" hidden="1" x14ac:dyDescent="0.25">
      <c r="A121" s="755" t="s">
        <v>32</v>
      </c>
      <c r="B121" s="755" t="s">
        <v>1035</v>
      </c>
      <c r="C121" s="755" t="s">
        <v>1034</v>
      </c>
      <c r="D121" s="755">
        <v>118</v>
      </c>
      <c r="E121" s="750" t="s">
        <v>1186</v>
      </c>
      <c r="F121" s="750" t="s">
        <v>1185</v>
      </c>
      <c r="G121" s="750"/>
      <c r="H121" s="755" t="s">
        <v>258</v>
      </c>
      <c r="I121" s="928"/>
      <c r="J121" s="859">
        <v>20</v>
      </c>
      <c r="K121" s="931">
        <v>4.4043000000000001</v>
      </c>
      <c r="L121" s="756">
        <v>4.4043000000000001</v>
      </c>
      <c r="M121" s="757">
        <v>46382</v>
      </c>
      <c r="N121" s="757"/>
      <c r="O121" s="757"/>
      <c r="P121" s="757"/>
      <c r="Q121" s="757"/>
      <c r="R121" s="750"/>
      <c r="S121" s="750"/>
      <c r="T121" s="905"/>
      <c r="U121" s="757"/>
      <c r="V121" s="757" t="str">
        <f>_xlfn.XLOOKUP(Table3[[#This Row],[RE Developer]],[2]GEA!$B:$B,[2]GEA!$K:$K,"",0,1)</f>
        <v/>
      </c>
      <c r="W121" s="757"/>
      <c r="X121" s="757"/>
      <c r="Y121" s="905"/>
      <c r="Z121" s="905">
        <f>Table3[[#This Row],[Valid from]]+364</f>
        <v>364</v>
      </c>
      <c r="AA121" s="928" t="str">
        <f>_xlfn.XLOOKUP(Table3[[#This Row],[RE Developer]],[2]GEA!$B:$B,[2]GEA!$M:$M,"",0,1)</f>
        <v/>
      </c>
      <c r="AB121" s="750"/>
      <c r="AC121" s="925"/>
      <c r="AD121" s="905"/>
      <c r="AE121" s="905"/>
      <c r="AF121" s="905"/>
      <c r="AG121" s="905"/>
      <c r="AH121" s="905"/>
    </row>
    <row r="122" spans="1:34" hidden="1" x14ac:dyDescent="0.25">
      <c r="A122" s="755" t="s">
        <v>32</v>
      </c>
      <c r="B122" s="755" t="s">
        <v>1035</v>
      </c>
      <c r="C122" s="755" t="s">
        <v>1034</v>
      </c>
      <c r="D122" s="755">
        <v>119</v>
      </c>
      <c r="E122" s="750" t="s">
        <v>1188</v>
      </c>
      <c r="F122" s="750" t="s">
        <v>1187</v>
      </c>
      <c r="G122" s="750"/>
      <c r="H122" s="755" t="s">
        <v>1180</v>
      </c>
      <c r="I122" s="928"/>
      <c r="J122" s="859">
        <v>49</v>
      </c>
      <c r="K122" s="931">
        <v>4.4043000000000001</v>
      </c>
      <c r="L122" s="756">
        <v>4.4043000000000001</v>
      </c>
      <c r="M122" s="757">
        <v>46382</v>
      </c>
      <c r="N122" s="757"/>
      <c r="O122" s="757"/>
      <c r="P122" s="757"/>
      <c r="Q122" s="757"/>
      <c r="R122" s="750"/>
      <c r="S122" s="750"/>
      <c r="T122" s="905"/>
      <c r="U122" s="757" t="s">
        <v>1524</v>
      </c>
      <c r="V122" s="757" t="str">
        <f>_xlfn.XLOOKUP(Table3[[#This Row],[RE Developer]],[2]GEA!$B:$B,[2]GEA!$K:$K,"",0,1)</f>
        <v>25-07-01-M-PAO-E-0118V</v>
      </c>
      <c r="W122" s="757"/>
      <c r="X122" s="757">
        <v>45839</v>
      </c>
      <c r="Y122" s="757">
        <v>45839</v>
      </c>
      <c r="Z122" s="905">
        <f>Table3[[#This Row],[Valid from]]+364</f>
        <v>46203</v>
      </c>
      <c r="AA122" s="928">
        <f>_xlfn.XLOOKUP(Table3[[#This Row],[RE Developer]],[2]GEA!$B:$B,[2]GEA!$M:$M,"",0,1)</f>
        <v>59966</v>
      </c>
      <c r="AB122" s="750"/>
      <c r="AC122" s="925"/>
      <c r="AD122" s="905"/>
      <c r="AE122" s="905"/>
      <c r="AF122" s="905"/>
      <c r="AG122" s="905"/>
      <c r="AH122" s="905"/>
    </row>
    <row r="123" spans="1:34" hidden="1" x14ac:dyDescent="0.25">
      <c r="A123" s="755" t="s">
        <v>32</v>
      </c>
      <c r="B123" s="755" t="s">
        <v>1035</v>
      </c>
      <c r="C123" s="755" t="s">
        <v>1034</v>
      </c>
      <c r="D123" s="755">
        <v>120</v>
      </c>
      <c r="E123" s="750" t="s">
        <v>1190</v>
      </c>
      <c r="F123" s="750" t="s">
        <v>1189</v>
      </c>
      <c r="G123" s="750"/>
      <c r="H123" s="755" t="s">
        <v>258</v>
      </c>
      <c r="I123" s="928"/>
      <c r="J123" s="859">
        <v>30</v>
      </c>
      <c r="K123" s="931">
        <v>4.4043000000000001</v>
      </c>
      <c r="L123" s="756">
        <v>4.4043000000000001</v>
      </c>
      <c r="M123" s="757">
        <v>46382</v>
      </c>
      <c r="N123" s="757"/>
      <c r="O123" s="757"/>
      <c r="P123" s="757"/>
      <c r="Q123" s="757"/>
      <c r="R123" s="750"/>
      <c r="S123" s="750"/>
      <c r="T123" s="905"/>
      <c r="U123" s="757"/>
      <c r="V123" s="757" t="str">
        <f>_xlfn.XLOOKUP(Table3[[#This Row],[RE Developer]],[2]GEA!$B:$B,[2]GEA!$K:$K,"",0,1)</f>
        <v>-</v>
      </c>
      <c r="W123" s="757"/>
      <c r="X123" s="757"/>
      <c r="Y123" s="905"/>
      <c r="Z123" s="905">
        <f>Table3[[#This Row],[Valid from]]+364</f>
        <v>364</v>
      </c>
      <c r="AA123" s="928" t="str">
        <f>_xlfn.XLOOKUP(Table3[[#This Row],[RE Developer]],[2]GEA!$B:$B,[2]GEA!$M:$M,"",0,1)</f>
        <v>-</v>
      </c>
      <c r="AB123" s="750"/>
      <c r="AC123" s="925"/>
      <c r="AD123" s="905"/>
      <c r="AE123" s="905"/>
      <c r="AF123" s="905"/>
      <c r="AG123" s="905"/>
      <c r="AH123" s="905"/>
    </row>
    <row r="124" spans="1:34" hidden="1" x14ac:dyDescent="0.25">
      <c r="A124" s="755" t="s">
        <v>32</v>
      </c>
      <c r="B124" s="755" t="s">
        <v>1035</v>
      </c>
      <c r="C124" s="755" t="s">
        <v>1034</v>
      </c>
      <c r="D124" s="755">
        <v>121</v>
      </c>
      <c r="E124" s="750" t="s">
        <v>1192</v>
      </c>
      <c r="F124" s="750" t="s">
        <v>1191</v>
      </c>
      <c r="G124" s="750"/>
      <c r="H124" s="755" t="s">
        <v>258</v>
      </c>
      <c r="I124" s="928"/>
      <c r="J124" s="859">
        <v>50</v>
      </c>
      <c r="K124" s="931">
        <v>4.4043000000000001</v>
      </c>
      <c r="L124" s="756">
        <v>4.4043000000000001</v>
      </c>
      <c r="M124" s="757">
        <v>46382</v>
      </c>
      <c r="N124" s="757"/>
      <c r="O124" s="757"/>
      <c r="P124" s="757"/>
      <c r="Q124" s="757"/>
      <c r="R124" s="750"/>
      <c r="S124" s="750"/>
      <c r="T124" s="905"/>
      <c r="U124" s="757" t="s">
        <v>1524</v>
      </c>
      <c r="V124" s="757" t="str">
        <f>_xlfn.XLOOKUP(Table3[[#This Row],[RE Developer]],[2]GEA!$B:$B,[2]GEA!$K:$K,"",0,1)</f>
        <v>25-07-07-M-PAO-E-0044V (1)</v>
      </c>
      <c r="W124" s="757"/>
      <c r="X124" s="757">
        <v>45845</v>
      </c>
      <c r="Y124" s="757">
        <v>45845</v>
      </c>
      <c r="Z124" s="905">
        <f>Table3[[#This Row],[Valid from]]+364</f>
        <v>46209</v>
      </c>
      <c r="AA124" s="928">
        <f>_xlfn.XLOOKUP(Table3[[#This Row],[RE Developer]],[2]GEA!$B:$B,[2]GEA!$M:$M,"",0,1)</f>
        <v>25026</v>
      </c>
      <c r="AB124" s="750"/>
      <c r="AC124" s="925"/>
      <c r="AD124" s="905"/>
      <c r="AE124" s="905"/>
      <c r="AF124" s="905"/>
      <c r="AG124" s="905"/>
      <c r="AH124" s="905"/>
    </row>
    <row r="125" spans="1:34" hidden="1" x14ac:dyDescent="0.25">
      <c r="A125" s="755" t="s">
        <v>32</v>
      </c>
      <c r="B125" s="755" t="s">
        <v>1139</v>
      </c>
      <c r="C125" s="755" t="s">
        <v>1034</v>
      </c>
      <c r="D125" s="755">
        <v>122</v>
      </c>
      <c r="E125" s="750" t="s">
        <v>1164</v>
      </c>
      <c r="F125" s="750" t="s">
        <v>1193</v>
      </c>
      <c r="G125" s="750"/>
      <c r="H125" s="755" t="s">
        <v>257</v>
      </c>
      <c r="I125" s="928"/>
      <c r="J125" s="859">
        <v>152</v>
      </c>
      <c r="K125" s="931">
        <v>5.8480999999999996</v>
      </c>
      <c r="L125" s="756">
        <v>5.6887999999999996</v>
      </c>
      <c r="M125" s="757">
        <v>46382</v>
      </c>
      <c r="N125" s="757"/>
      <c r="O125" s="757"/>
      <c r="P125" s="757"/>
      <c r="Q125" s="757"/>
      <c r="R125" s="750"/>
      <c r="S125" s="750"/>
      <c r="T125" s="905"/>
      <c r="U125" s="757"/>
      <c r="V125" s="757" t="str">
        <f>_xlfn.XLOOKUP(Table3[[#This Row],[RE Developer]],[2]GEA!$B:$B,[2]GEA!$K:$K,"",0,1)</f>
        <v>-</v>
      </c>
      <c r="W125" s="757"/>
      <c r="X125" s="757"/>
      <c r="Y125" s="905"/>
      <c r="Z125" s="905">
        <f>Table3[[#This Row],[Valid from]]+364</f>
        <v>364</v>
      </c>
      <c r="AA125" s="928" t="str">
        <f>_xlfn.XLOOKUP(Table3[[#This Row],[RE Developer]],[2]GEA!$B:$B,[2]GEA!$M:$M,"",0,1)</f>
        <v>-</v>
      </c>
      <c r="AB125" s="750"/>
      <c r="AC125" s="925"/>
      <c r="AD125" s="905"/>
      <c r="AE125" s="905"/>
      <c r="AF125" s="905"/>
      <c r="AG125" s="905"/>
      <c r="AH125" s="905"/>
    </row>
    <row r="126" spans="1:34" hidden="1" x14ac:dyDescent="0.25">
      <c r="A126" s="755" t="s">
        <v>32</v>
      </c>
      <c r="B126" s="755" t="s">
        <v>1139</v>
      </c>
      <c r="C126" s="755" t="s">
        <v>1034</v>
      </c>
      <c r="D126" s="755">
        <v>123</v>
      </c>
      <c r="E126" s="750" t="s">
        <v>1195</v>
      </c>
      <c r="F126" s="750" t="s">
        <v>1194</v>
      </c>
      <c r="G126" s="750"/>
      <c r="H126" s="755" t="s">
        <v>1196</v>
      </c>
      <c r="I126" s="928"/>
      <c r="J126" s="859">
        <v>200</v>
      </c>
      <c r="K126" s="931">
        <v>5.8480999999999996</v>
      </c>
      <c r="L126" s="756">
        <v>5.7530999999999999</v>
      </c>
      <c r="M126" s="757">
        <v>46371</v>
      </c>
      <c r="N126" s="757"/>
      <c r="O126" s="757"/>
      <c r="P126" s="757"/>
      <c r="Q126" s="757"/>
      <c r="R126" s="750"/>
      <c r="S126" s="750"/>
      <c r="T126" s="905"/>
      <c r="U126" s="757"/>
      <c r="V126" s="757" t="str">
        <f>_xlfn.XLOOKUP(Table3[[#This Row],[RE Developer]],[2]GEA!$B:$B,[2]GEA!$K:$K,"",0,1)</f>
        <v>-</v>
      </c>
      <c r="W126" s="757"/>
      <c r="X126" s="757"/>
      <c r="Y126" s="905"/>
      <c r="Z126" s="905">
        <f>Table3[[#This Row],[Valid from]]+364</f>
        <v>364</v>
      </c>
      <c r="AA126" s="928" t="str">
        <f>_xlfn.XLOOKUP(Table3[[#This Row],[RE Developer]],[2]GEA!$B:$B,[2]GEA!$M:$M,"",0,1)</f>
        <v>-</v>
      </c>
      <c r="AB126" s="750"/>
      <c r="AC126" s="925"/>
      <c r="AD126" s="905"/>
      <c r="AE126" s="905"/>
      <c r="AF126" s="905"/>
      <c r="AG126" s="905"/>
      <c r="AH126" s="905"/>
    </row>
    <row r="127" spans="1:34" hidden="1" x14ac:dyDescent="0.25">
      <c r="A127" s="755" t="s">
        <v>32</v>
      </c>
      <c r="B127" s="755" t="s">
        <v>1139</v>
      </c>
      <c r="C127" s="755" t="s">
        <v>1034</v>
      </c>
      <c r="D127" s="755">
        <v>124</v>
      </c>
      <c r="E127" s="750" t="s">
        <v>1198</v>
      </c>
      <c r="F127" s="750" t="s">
        <v>1197</v>
      </c>
      <c r="G127" s="750"/>
      <c r="H127" s="755" t="s">
        <v>258</v>
      </c>
      <c r="I127" s="928"/>
      <c r="J127" s="859">
        <v>150</v>
      </c>
      <c r="K127" s="931">
        <v>5.8480999999999996</v>
      </c>
      <c r="L127" s="756">
        <v>5.8479999999999999</v>
      </c>
      <c r="M127" s="757">
        <v>46382</v>
      </c>
      <c r="N127" s="757"/>
      <c r="O127" s="757"/>
      <c r="P127" s="757"/>
      <c r="Q127" s="757"/>
      <c r="R127" s="750"/>
      <c r="S127" s="750"/>
      <c r="T127" s="905"/>
      <c r="U127" s="757"/>
      <c r="V127" s="757" t="str">
        <f>_xlfn.XLOOKUP(Table3[[#This Row],[RE Developer]],[2]GEA!$B:$B,[2]GEA!$K:$K,"",0,1)</f>
        <v/>
      </c>
      <c r="W127" s="757"/>
      <c r="X127" s="757"/>
      <c r="Y127" s="905"/>
      <c r="Z127" s="905">
        <f>Table3[[#This Row],[Valid from]]+364</f>
        <v>364</v>
      </c>
      <c r="AA127" s="928" t="str">
        <f>_xlfn.XLOOKUP(Table3[[#This Row],[RE Developer]],[2]GEA!$B:$B,[2]GEA!$M:$M,"",0,1)</f>
        <v/>
      </c>
      <c r="AB127" s="750"/>
      <c r="AC127" s="925"/>
      <c r="AD127" s="905"/>
      <c r="AE127" s="905"/>
      <c r="AF127" s="905"/>
      <c r="AG127" s="905"/>
      <c r="AH127" s="905"/>
    </row>
    <row r="128" spans="1:34" hidden="1" x14ac:dyDescent="0.25">
      <c r="A128" s="755" t="s">
        <v>7</v>
      </c>
      <c r="B128" s="755" t="s">
        <v>1202</v>
      </c>
      <c r="C128" s="755" t="s">
        <v>1201</v>
      </c>
      <c r="D128" s="755">
        <v>125</v>
      </c>
      <c r="E128" s="750" t="s">
        <v>1200</v>
      </c>
      <c r="F128" s="750" t="s">
        <v>1199</v>
      </c>
      <c r="G128" s="750"/>
      <c r="H128" s="755" t="s">
        <v>1203</v>
      </c>
      <c r="I128" s="928"/>
      <c r="J128" s="859">
        <v>21.573</v>
      </c>
      <c r="K128" s="931">
        <v>7.7725999999999997</v>
      </c>
      <c r="L128" s="756">
        <v>7.6440999999999999</v>
      </c>
      <c r="M128" s="757">
        <v>46112</v>
      </c>
      <c r="N128" s="757"/>
      <c r="O128" s="757"/>
      <c r="P128" s="757"/>
      <c r="Q128" s="757">
        <v>45887</v>
      </c>
      <c r="R128" s="859"/>
      <c r="S128" s="859"/>
      <c r="T128" s="905"/>
      <c r="U128" s="757" t="s">
        <v>1524</v>
      </c>
      <c r="V128" s="757" t="str">
        <f>_xlfn.XLOOKUP(Table3[[#This Row],[RE Developer]],[2]GEA!$B:$B,[2]GEA!$K:$K,"",0,1)</f>
        <v>25-08-18-M-PAO-N-0494L</v>
      </c>
      <c r="W128" s="757"/>
      <c r="X128" s="757">
        <v>45887</v>
      </c>
      <c r="Y128" s="757">
        <v>45887</v>
      </c>
      <c r="Z128" s="905">
        <f>Table3[[#This Row],[Valid from]]+364</f>
        <v>46251</v>
      </c>
      <c r="AA128" s="928">
        <f>_xlfn.XLOOKUP(Table3[[#This Row],[RE Developer]],[2]GEA!$B:$B,[2]GEA!$M:$M,"",0,1)</f>
        <v>21573</v>
      </c>
      <c r="AB128" s="750"/>
      <c r="AC128" s="905"/>
      <c r="AD128" s="905"/>
      <c r="AE128" s="905"/>
      <c r="AF128" s="905"/>
      <c r="AG128" s="905"/>
      <c r="AH128" s="905"/>
    </row>
    <row r="129" spans="1:34" hidden="1" x14ac:dyDescent="0.25">
      <c r="A129" s="755" t="s">
        <v>8</v>
      </c>
      <c r="B129" s="755" t="s">
        <v>1202</v>
      </c>
      <c r="C129" s="755" t="s">
        <v>1201</v>
      </c>
      <c r="D129" s="755">
        <v>126</v>
      </c>
      <c r="E129" s="750" t="s">
        <v>1205</v>
      </c>
      <c r="F129" s="750" t="s">
        <v>1204</v>
      </c>
      <c r="G129" s="750"/>
      <c r="H129" s="755" t="s">
        <v>1206</v>
      </c>
      <c r="I129" s="928"/>
      <c r="J129" s="859">
        <v>3.669</v>
      </c>
      <c r="K129" s="931">
        <v>5.1163999999999996</v>
      </c>
      <c r="L129" s="756">
        <v>5.1092000000000004</v>
      </c>
      <c r="M129" s="757">
        <v>45992</v>
      </c>
      <c r="N129" s="757"/>
      <c r="O129" s="757"/>
      <c r="P129" s="757"/>
      <c r="Q129" s="757"/>
      <c r="R129" s="750"/>
      <c r="S129" s="750"/>
      <c r="T129" s="905"/>
      <c r="U129" s="757"/>
      <c r="V129" s="757" t="str">
        <f>_xlfn.XLOOKUP(Table3[[#This Row],[RE Developer]],[2]GEA!$B:$B,[2]GEA!$K:$K,"",0,1)</f>
        <v>-</v>
      </c>
      <c r="W129" s="757"/>
      <c r="X129" s="757"/>
      <c r="Y129" s="905"/>
      <c r="Z129" s="905">
        <f>Table3[[#This Row],[Valid from]]+364</f>
        <v>364</v>
      </c>
      <c r="AA129" s="928" t="str">
        <f>_xlfn.XLOOKUP(Table3[[#This Row],[RE Developer]],[2]GEA!$B:$B,[2]GEA!$M:$M,"",0,1)</f>
        <v>-</v>
      </c>
      <c r="AB129" s="750"/>
      <c r="AC129" s="905"/>
      <c r="AD129" s="905"/>
      <c r="AE129" s="905"/>
      <c r="AF129" s="905"/>
      <c r="AG129" s="905"/>
      <c r="AH129" s="905"/>
    </row>
    <row r="130" spans="1:34" hidden="1" x14ac:dyDescent="0.25">
      <c r="A130" s="755" t="s">
        <v>32</v>
      </c>
      <c r="B130" s="755" t="s">
        <v>1202</v>
      </c>
      <c r="C130" s="755" t="s">
        <v>1201</v>
      </c>
      <c r="D130" s="755">
        <v>127</v>
      </c>
      <c r="E130" s="750" t="s">
        <v>1205</v>
      </c>
      <c r="F130" s="750" t="s">
        <v>1207</v>
      </c>
      <c r="G130" s="750"/>
      <c r="H130" s="755" t="s">
        <v>258</v>
      </c>
      <c r="I130" s="928"/>
      <c r="J130" s="859">
        <v>5.6449999999999996</v>
      </c>
      <c r="K130" s="931">
        <v>8.1173000000000002</v>
      </c>
      <c r="L130" s="756">
        <v>7.6440999999999999</v>
      </c>
      <c r="M130" s="757">
        <v>46387</v>
      </c>
      <c r="N130" s="757"/>
      <c r="O130" s="757"/>
      <c r="P130" s="757"/>
      <c r="Q130" s="757"/>
      <c r="R130" s="750"/>
      <c r="S130" s="750"/>
      <c r="T130" s="905"/>
      <c r="U130" s="757"/>
      <c r="V130" s="757" t="str">
        <f>_xlfn.XLOOKUP(Table3[[#This Row],[RE Developer]],[2]GEA!$B:$B,[2]GEA!$K:$K,"",0,1)</f>
        <v>-</v>
      </c>
      <c r="W130" s="757"/>
      <c r="X130" s="757"/>
      <c r="Y130" s="905"/>
      <c r="Z130" s="905">
        <f>Table3[[#This Row],[Valid from]]+364</f>
        <v>364</v>
      </c>
      <c r="AA130" s="928" t="str">
        <f>_xlfn.XLOOKUP(Table3[[#This Row],[RE Developer]],[2]GEA!$B:$B,[2]GEA!$M:$M,"",0,1)</f>
        <v>-</v>
      </c>
      <c r="AB130" s="750"/>
      <c r="AC130" s="905"/>
      <c r="AD130" s="905"/>
      <c r="AE130" s="905"/>
      <c r="AF130" s="905"/>
      <c r="AG130" s="905"/>
      <c r="AH130" s="905"/>
    </row>
    <row r="131" spans="1:34" hidden="1" x14ac:dyDescent="0.25">
      <c r="A131" s="755" t="s">
        <v>7</v>
      </c>
      <c r="B131" s="755" t="s">
        <v>1210</v>
      </c>
      <c r="C131" s="755" t="s">
        <v>1201</v>
      </c>
      <c r="D131" s="755">
        <v>128</v>
      </c>
      <c r="E131" s="750" t="s">
        <v>1209</v>
      </c>
      <c r="F131" s="750" t="s">
        <v>1208</v>
      </c>
      <c r="G131" s="750"/>
      <c r="H131" s="755" t="s">
        <v>1211</v>
      </c>
      <c r="I131" s="928"/>
      <c r="J131" s="859">
        <v>150</v>
      </c>
      <c r="K131" s="931">
        <v>4.5042</v>
      </c>
      <c r="L131" s="756">
        <v>4.5</v>
      </c>
      <c r="M131" s="757">
        <v>47847</v>
      </c>
      <c r="N131" s="757"/>
      <c r="O131" s="757"/>
      <c r="P131" s="757"/>
      <c r="Q131" s="757"/>
      <c r="R131" s="877"/>
      <c r="S131" s="877"/>
      <c r="T131" s="905"/>
      <c r="U131" s="757"/>
      <c r="V131" s="757" t="str">
        <f>_xlfn.XLOOKUP(Table3[[#This Row],[RE Developer]],[2]GEA!$B:$B,[2]GEA!$K:$K,"",0,1)</f>
        <v>-</v>
      </c>
      <c r="W131" s="757"/>
      <c r="X131" s="757"/>
      <c r="Y131" s="905"/>
      <c r="Z131" s="905">
        <f>Table3[[#This Row],[Valid from]]+364</f>
        <v>364</v>
      </c>
      <c r="AA131" s="928" t="str">
        <f>_xlfn.XLOOKUP(Table3[[#This Row],[RE Developer]],[2]GEA!$B:$B,[2]GEA!$M:$M,"",0,1)</f>
        <v>-</v>
      </c>
      <c r="AB131" s="750"/>
      <c r="AC131" s="905"/>
      <c r="AD131" s="905"/>
      <c r="AE131" s="905"/>
      <c r="AF131" s="905"/>
      <c r="AG131" s="905"/>
      <c r="AH131" s="905"/>
    </row>
    <row r="132" spans="1:34" hidden="1" x14ac:dyDescent="0.25">
      <c r="A132" s="755" t="s">
        <v>7</v>
      </c>
      <c r="B132" s="755" t="s">
        <v>1210</v>
      </c>
      <c r="C132" s="755" t="s">
        <v>1201</v>
      </c>
      <c r="D132" s="755">
        <v>129</v>
      </c>
      <c r="E132" s="750" t="s">
        <v>1209</v>
      </c>
      <c r="F132" s="750" t="s">
        <v>1212</v>
      </c>
      <c r="G132" s="750"/>
      <c r="H132" s="755" t="s">
        <v>1211</v>
      </c>
      <c r="I132" s="928"/>
      <c r="J132" s="859">
        <v>150</v>
      </c>
      <c r="K132" s="931">
        <v>4.7546999999999997</v>
      </c>
      <c r="L132" s="756">
        <v>4.75</v>
      </c>
      <c r="M132" s="757">
        <v>47847</v>
      </c>
      <c r="N132" s="757"/>
      <c r="O132" s="757"/>
      <c r="P132" s="757"/>
      <c r="Q132" s="757"/>
      <c r="R132" s="750"/>
      <c r="S132" s="750"/>
      <c r="T132" s="905"/>
      <c r="U132" s="757"/>
      <c r="V132" s="757" t="str">
        <f>_xlfn.XLOOKUP(Table3[[#This Row],[RE Developer]],[2]GEA!$B:$B,[2]GEA!$K:$K,"",0,1)</f>
        <v>-</v>
      </c>
      <c r="W132" s="757"/>
      <c r="X132" s="757"/>
      <c r="Y132" s="905"/>
      <c r="Z132" s="905">
        <f>Table3[[#This Row],[Valid from]]+364</f>
        <v>364</v>
      </c>
      <c r="AA132" s="928" t="str">
        <f>_xlfn.XLOOKUP(Table3[[#This Row],[RE Developer]],[2]GEA!$B:$B,[2]GEA!$M:$M,"",0,1)</f>
        <v>-</v>
      </c>
      <c r="AB132" s="750"/>
      <c r="AC132" s="905"/>
      <c r="AD132" s="905"/>
      <c r="AE132" s="905"/>
      <c r="AF132" s="905"/>
      <c r="AG132" s="905"/>
      <c r="AH132" s="905"/>
    </row>
    <row r="133" spans="1:34" hidden="1" x14ac:dyDescent="0.25">
      <c r="A133" s="755" t="s">
        <v>7</v>
      </c>
      <c r="B133" s="755" t="s">
        <v>1215</v>
      </c>
      <c r="C133" s="755" t="s">
        <v>1201</v>
      </c>
      <c r="D133" s="755">
        <v>130</v>
      </c>
      <c r="E133" s="750" t="s">
        <v>1214</v>
      </c>
      <c r="F133" s="750" t="s">
        <v>1213</v>
      </c>
      <c r="G133" s="750"/>
      <c r="H133" s="755" t="s">
        <v>995</v>
      </c>
      <c r="I133" s="928"/>
      <c r="J133" s="859">
        <v>500</v>
      </c>
      <c r="K133" s="931">
        <v>2.5787</v>
      </c>
      <c r="L133" s="756">
        <v>2.5787</v>
      </c>
      <c r="M133" s="757">
        <v>47848</v>
      </c>
      <c r="N133" s="757"/>
      <c r="O133" s="757"/>
      <c r="P133" s="757"/>
      <c r="Q133" s="757"/>
      <c r="R133" s="750"/>
      <c r="S133" s="750"/>
      <c r="T133" s="905"/>
      <c r="U133" s="757"/>
      <c r="V133" s="757" t="str">
        <f>_xlfn.XLOOKUP(Table3[[#This Row],[RE Developer]],[2]GEA!$B:$B,[2]GEA!$K:$K,"",0,1)</f>
        <v>-</v>
      </c>
      <c r="W133" s="757"/>
      <c r="X133" s="757"/>
      <c r="Y133" s="905"/>
      <c r="Z133" s="905">
        <f>Table3[[#This Row],[Valid from]]+364</f>
        <v>364</v>
      </c>
      <c r="AA133" s="928" t="str">
        <f>_xlfn.XLOOKUP(Table3[[#This Row],[RE Developer]],[2]GEA!$B:$B,[2]GEA!$M:$M,"",0,1)</f>
        <v>-</v>
      </c>
      <c r="AB133" s="750"/>
      <c r="AC133" s="905"/>
      <c r="AD133" s="905"/>
      <c r="AE133" s="905"/>
      <c r="AF133" s="905"/>
      <c r="AG133" s="905"/>
      <c r="AH133" s="905"/>
    </row>
    <row r="134" spans="1:34" hidden="1" x14ac:dyDescent="0.25">
      <c r="A134" s="755" t="s">
        <v>7</v>
      </c>
      <c r="B134" s="755" t="s">
        <v>1215</v>
      </c>
      <c r="C134" s="755" t="s">
        <v>1201</v>
      </c>
      <c r="D134" s="755">
        <v>131</v>
      </c>
      <c r="E134" s="750" t="s">
        <v>1217</v>
      </c>
      <c r="F134" s="750" t="s">
        <v>1216</v>
      </c>
      <c r="G134" s="750"/>
      <c r="H134" s="755" t="s">
        <v>1218</v>
      </c>
      <c r="I134" s="928"/>
      <c r="J134" s="859">
        <v>600</v>
      </c>
      <c r="K134" s="931">
        <v>5.3560999999999996</v>
      </c>
      <c r="L134" s="756">
        <v>5.3560999999999996</v>
      </c>
      <c r="M134" s="757">
        <v>47848</v>
      </c>
      <c r="N134" s="757"/>
      <c r="O134" s="757"/>
      <c r="P134" s="757"/>
      <c r="Q134" s="757"/>
      <c r="R134" s="750"/>
      <c r="S134" s="750"/>
      <c r="T134" s="905"/>
      <c r="U134" s="757"/>
      <c r="V134" s="757" t="str">
        <f>_xlfn.XLOOKUP(Table3[[#This Row],[RE Developer]],[2]GEA!$B:$B,[2]GEA!$K:$K,"",0,1)</f>
        <v>-</v>
      </c>
      <c r="W134" s="757"/>
      <c r="X134" s="757"/>
      <c r="Y134" s="905"/>
      <c r="Z134" s="905">
        <f>Table3[[#This Row],[Valid from]]+364</f>
        <v>364</v>
      </c>
      <c r="AA134" s="928" t="str">
        <f>_xlfn.XLOOKUP(Table3[[#This Row],[RE Developer]],[2]GEA!$B:$B,[2]GEA!$M:$M,"",0,1)</f>
        <v>-</v>
      </c>
      <c r="AB134" s="750"/>
      <c r="AC134" s="905"/>
      <c r="AD134" s="905"/>
      <c r="AE134" s="905"/>
      <c r="AF134" s="905"/>
      <c r="AG134" s="905"/>
      <c r="AH134" s="905"/>
    </row>
    <row r="135" spans="1:34" hidden="1" x14ac:dyDescent="0.25">
      <c r="A135" s="755" t="s">
        <v>7</v>
      </c>
      <c r="B135" s="755" t="s">
        <v>1215</v>
      </c>
      <c r="C135" s="755" t="s">
        <v>1201</v>
      </c>
      <c r="D135" s="755">
        <v>132</v>
      </c>
      <c r="E135" s="750" t="s">
        <v>1220</v>
      </c>
      <c r="F135" s="750" t="s">
        <v>1219</v>
      </c>
      <c r="G135" s="750"/>
      <c r="H135" s="755" t="s">
        <v>1029</v>
      </c>
      <c r="I135" s="928"/>
      <c r="J135" s="859">
        <v>1400</v>
      </c>
      <c r="K135" s="931">
        <v>5.4596999999999998</v>
      </c>
      <c r="L135" s="756">
        <v>5.4596999999999998</v>
      </c>
      <c r="M135" s="757">
        <v>47848</v>
      </c>
      <c r="N135" s="757"/>
      <c r="O135" s="757"/>
      <c r="P135" s="757"/>
      <c r="Q135" s="757"/>
      <c r="R135" s="750"/>
      <c r="S135" s="750"/>
      <c r="T135" s="905"/>
      <c r="U135" s="757"/>
      <c r="V135" s="757" t="str">
        <f>_xlfn.XLOOKUP(Table3[[#This Row],[RE Developer]],[2]GEA!$B:$B,[2]GEA!$K:$K,"",0,1)</f>
        <v>-</v>
      </c>
      <c r="W135" s="757"/>
      <c r="X135" s="757"/>
      <c r="Y135" s="905"/>
      <c r="Z135" s="905">
        <f>Table3[[#This Row],[Valid from]]+364</f>
        <v>364</v>
      </c>
      <c r="AA135" s="928" t="str">
        <f>_xlfn.XLOOKUP(Table3[[#This Row],[RE Developer]],[2]GEA!$B:$B,[2]GEA!$M:$M,"",0,1)</f>
        <v>-</v>
      </c>
      <c r="AB135" s="750"/>
      <c r="AC135" s="905"/>
      <c r="AD135" s="905"/>
      <c r="AE135" s="905"/>
      <c r="AF135" s="905"/>
      <c r="AG135" s="905"/>
      <c r="AH135" s="905"/>
    </row>
    <row r="136" spans="1:34" hidden="1" x14ac:dyDescent="0.25">
      <c r="A136" s="755" t="s">
        <v>7</v>
      </c>
      <c r="B136" s="755" t="s">
        <v>1215</v>
      </c>
      <c r="C136" s="755" t="s">
        <v>1201</v>
      </c>
      <c r="D136" s="755">
        <v>133</v>
      </c>
      <c r="E136" s="750" t="s">
        <v>1222</v>
      </c>
      <c r="F136" s="750" t="s">
        <v>1221</v>
      </c>
      <c r="G136" s="750"/>
      <c r="H136" s="755" t="s">
        <v>995</v>
      </c>
      <c r="I136" s="928"/>
      <c r="J136" s="859">
        <v>800</v>
      </c>
      <c r="K136" s="931">
        <v>3.2581000000000002</v>
      </c>
      <c r="L136" s="756">
        <v>3.25</v>
      </c>
      <c r="M136" s="757">
        <v>48488</v>
      </c>
      <c r="N136" s="757"/>
      <c r="O136" s="757"/>
      <c r="P136" s="757"/>
      <c r="Q136" s="757"/>
      <c r="R136" s="750"/>
      <c r="S136" s="750"/>
      <c r="T136" s="905"/>
      <c r="U136" s="757"/>
      <c r="V136" s="757" t="str">
        <f>_xlfn.XLOOKUP(Table3[[#This Row],[RE Developer]],[2]GEA!$B:$B,[2]GEA!$K:$K,"",0,1)</f>
        <v>-</v>
      </c>
      <c r="W136" s="757"/>
      <c r="X136" s="757"/>
      <c r="Y136" s="905"/>
      <c r="Z136" s="905">
        <f>Table3[[#This Row],[Valid from]]+364</f>
        <v>364</v>
      </c>
      <c r="AA136" s="928" t="str">
        <f>_xlfn.XLOOKUP(Table3[[#This Row],[RE Developer]],[2]GEA!$B:$B,[2]GEA!$M:$M,"",0,1)</f>
        <v>-</v>
      </c>
      <c r="AB136" s="750"/>
      <c r="AC136" s="905"/>
      <c r="AD136" s="905"/>
      <c r="AE136" s="905"/>
      <c r="AF136" s="905"/>
      <c r="AG136" s="905"/>
      <c r="AH136" s="905"/>
    </row>
    <row r="137" spans="1:34" hidden="1" x14ac:dyDescent="0.25">
      <c r="A137" s="755" t="s">
        <v>7</v>
      </c>
      <c r="B137" s="755" t="s">
        <v>1215</v>
      </c>
      <c r="C137" s="755" t="s">
        <v>1201</v>
      </c>
      <c r="D137" s="755">
        <v>134</v>
      </c>
      <c r="E137" s="750" t="s">
        <v>1222</v>
      </c>
      <c r="F137" s="750" t="s">
        <v>1223</v>
      </c>
      <c r="G137" s="750"/>
      <c r="H137" s="755" t="s">
        <v>995</v>
      </c>
      <c r="I137" s="928"/>
      <c r="J137" s="859">
        <v>800</v>
      </c>
      <c r="K137" s="931">
        <v>3.3544999999999998</v>
      </c>
      <c r="L137" s="756">
        <v>3.35</v>
      </c>
      <c r="M137" s="757">
        <v>48488</v>
      </c>
      <c r="N137" s="757"/>
      <c r="O137" s="757"/>
      <c r="P137" s="757"/>
      <c r="Q137" s="757"/>
      <c r="R137" s="750"/>
      <c r="S137" s="750"/>
      <c r="T137" s="905"/>
      <c r="U137" s="757"/>
      <c r="V137" s="757" t="str">
        <f>_xlfn.XLOOKUP(Table3[[#This Row],[RE Developer]],[2]GEA!$B:$B,[2]GEA!$K:$K,"",0,1)</f>
        <v>-</v>
      </c>
      <c r="W137" s="757"/>
      <c r="X137" s="757"/>
      <c r="Y137" s="905"/>
      <c r="Z137" s="905">
        <f>Table3[[#This Row],[Valid from]]+364</f>
        <v>364</v>
      </c>
      <c r="AA137" s="928" t="str">
        <f>_xlfn.XLOOKUP(Table3[[#This Row],[RE Developer]],[2]GEA!$B:$B,[2]GEA!$M:$M,"",0,1)</f>
        <v>-</v>
      </c>
      <c r="AB137" s="750"/>
      <c r="AC137" s="905"/>
      <c r="AD137" s="905"/>
      <c r="AE137" s="905"/>
      <c r="AF137" s="905"/>
      <c r="AG137" s="905"/>
      <c r="AH137" s="905"/>
    </row>
    <row r="138" spans="1:34" hidden="1" x14ac:dyDescent="0.25">
      <c r="A138" s="755" t="s">
        <v>7</v>
      </c>
      <c r="B138" s="755" t="s">
        <v>1215</v>
      </c>
      <c r="C138" s="755" t="s">
        <v>1201</v>
      </c>
      <c r="D138" s="755">
        <v>135</v>
      </c>
      <c r="E138" s="750" t="s">
        <v>1209</v>
      </c>
      <c r="F138" s="750" t="s">
        <v>1224</v>
      </c>
      <c r="G138" s="750"/>
      <c r="H138" s="755" t="s">
        <v>1225</v>
      </c>
      <c r="I138" s="928"/>
      <c r="J138" s="859">
        <v>2000</v>
      </c>
      <c r="K138" s="931">
        <v>3.5038999999999998</v>
      </c>
      <c r="L138" s="756">
        <v>3.5</v>
      </c>
      <c r="M138" s="757">
        <v>48212</v>
      </c>
      <c r="N138" s="757"/>
      <c r="O138" s="757"/>
      <c r="P138" s="757"/>
      <c r="Q138" s="757"/>
      <c r="R138" s="750"/>
      <c r="S138" s="750"/>
      <c r="T138" s="905"/>
      <c r="U138" s="757"/>
      <c r="V138" s="757" t="str">
        <f>_xlfn.XLOOKUP(Table3[[#This Row],[RE Developer]],[2]GEA!$B:$B,[2]GEA!$K:$K,"",0,1)</f>
        <v>-</v>
      </c>
      <c r="W138" s="757"/>
      <c r="X138" s="757"/>
      <c r="Y138" s="905"/>
      <c r="Z138" s="905">
        <f>Table3[[#This Row],[Valid from]]+364</f>
        <v>364</v>
      </c>
      <c r="AA138" s="928" t="str">
        <f>_xlfn.XLOOKUP(Table3[[#This Row],[RE Developer]],[2]GEA!$B:$B,[2]GEA!$M:$M,"",0,1)</f>
        <v>-</v>
      </c>
      <c r="AB138" s="750"/>
      <c r="AC138" s="905"/>
      <c r="AD138" s="905"/>
      <c r="AE138" s="905"/>
      <c r="AF138" s="905"/>
      <c r="AG138" s="905"/>
      <c r="AH138" s="905"/>
    </row>
    <row r="139" spans="1:34" hidden="1" x14ac:dyDescent="0.25">
      <c r="A139" s="755" t="s">
        <v>32</v>
      </c>
      <c r="B139" s="755" t="s">
        <v>1215</v>
      </c>
      <c r="C139" s="755" t="s">
        <v>1201</v>
      </c>
      <c r="D139" s="755">
        <v>136</v>
      </c>
      <c r="E139" s="750" t="s">
        <v>1222</v>
      </c>
      <c r="F139" s="750" t="s">
        <v>1226</v>
      </c>
      <c r="G139" s="750"/>
      <c r="H139" s="755" t="s">
        <v>1031</v>
      </c>
      <c r="I139" s="928"/>
      <c r="J139" s="859">
        <v>250</v>
      </c>
      <c r="K139" s="931">
        <v>3.7319</v>
      </c>
      <c r="L139" s="756">
        <v>3.7319</v>
      </c>
      <c r="M139" s="757">
        <v>49399</v>
      </c>
      <c r="N139" s="757"/>
      <c r="O139" s="757"/>
      <c r="P139" s="757"/>
      <c r="Q139" s="757"/>
      <c r="R139" s="750"/>
      <c r="S139" s="750"/>
      <c r="T139" s="905"/>
      <c r="U139" s="757"/>
      <c r="V139" s="757" t="str">
        <f>_xlfn.XLOOKUP(Table3[[#This Row],[RE Developer]],[2]GEA!$B:$B,[2]GEA!$K:$K,"",0,1)</f>
        <v>-</v>
      </c>
      <c r="W139" s="757"/>
      <c r="X139" s="757"/>
      <c r="Y139" s="905"/>
      <c r="Z139" s="905">
        <f>Table3[[#This Row],[Valid from]]+364</f>
        <v>364</v>
      </c>
      <c r="AA139" s="928" t="str">
        <f>_xlfn.XLOOKUP(Table3[[#This Row],[RE Developer]],[2]GEA!$B:$B,[2]GEA!$M:$M,"",0,1)</f>
        <v>-</v>
      </c>
      <c r="AB139" s="750"/>
      <c r="AC139" s="905"/>
      <c r="AD139" s="905"/>
      <c r="AE139" s="905"/>
      <c r="AF139" s="905"/>
      <c r="AG139" s="905"/>
      <c r="AH139" s="905"/>
    </row>
    <row r="140" spans="1:34" x14ac:dyDescent="0.25">
      <c r="A140" s="755" t="str">
        <f>VLOOKUP(Table3[[#This Row],[Location]],location!A:B,2,FALSE)</f>
        <v>Visayas</v>
      </c>
      <c r="B140" s="755" t="s">
        <v>1035</v>
      </c>
      <c r="C140" s="755" t="s">
        <v>1228</v>
      </c>
      <c r="D140" s="755">
        <v>137</v>
      </c>
      <c r="E140" s="750" t="s">
        <v>1536</v>
      </c>
      <c r="F140" s="750" t="s">
        <v>1291</v>
      </c>
      <c r="G140" s="750" t="s">
        <v>1548</v>
      </c>
      <c r="H140" s="755" t="str">
        <f>TRIM(RIGHT(SUBSTITUTE(G140,",",REPT(" ",100)),100))</f>
        <v>Negros Occidental</v>
      </c>
      <c r="I140" s="928"/>
      <c r="J140" s="859">
        <v>50.1</v>
      </c>
      <c r="K140" s="931" t="str">
        <f>VLOOKUP(Table3[[#This Row],[Technology]],'GEA Reports'!$A$192:$M$202,11,FALSE)</f>
        <v>4.4832​</v>
      </c>
      <c r="L140" s="756">
        <v>4.43</v>
      </c>
      <c r="M140" s="758"/>
      <c r="N140" s="757">
        <v>46037</v>
      </c>
      <c r="O140" s="757">
        <v>46037</v>
      </c>
      <c r="P140" s="758"/>
      <c r="Q140" s="758"/>
      <c r="R140" s="750" t="s">
        <v>1721</v>
      </c>
      <c r="S140" s="750" t="s">
        <v>1722</v>
      </c>
      <c r="T140" s="905"/>
      <c r="U140" s="757"/>
      <c r="V140" s="757" t="str">
        <f>_xlfn.XLOOKUP(Table3[[#This Row],[RE Developer]],[2]GEA!$B:$B,[2]GEA!$K:$K,"",0,1)</f>
        <v/>
      </c>
      <c r="W140" s="757"/>
      <c r="X140" s="757"/>
      <c r="Y140" s="905"/>
      <c r="Z140" s="905">
        <f>Table3[[#This Row],[Valid from]]+364</f>
        <v>364</v>
      </c>
      <c r="AA140" s="928" t="str">
        <f>_xlfn.XLOOKUP(Table3[[#This Row],[RE Developer]],[2]GEA!$B:$B,[2]GEA!$M:$M,"",0,1)</f>
        <v/>
      </c>
      <c r="AB140" s="750"/>
      <c r="AC140" s="925">
        <v>1010</v>
      </c>
      <c r="AD140" s="905" t="s">
        <v>1792</v>
      </c>
      <c r="AE140" s="997"/>
      <c r="AF140" s="997"/>
      <c r="AG140" s="997"/>
      <c r="AH140" s="905" t="s">
        <v>1746</v>
      </c>
    </row>
    <row r="141" spans="1:34" x14ac:dyDescent="0.25">
      <c r="A141" s="755" t="str">
        <f>VLOOKUP(Table3[[#This Row],[Location]],location!A:B,2,FALSE)</f>
        <v>Luzon</v>
      </c>
      <c r="B141" s="755" t="s">
        <v>1035</v>
      </c>
      <c r="C141" s="755" t="s">
        <v>1228</v>
      </c>
      <c r="D141" s="755">
        <v>138</v>
      </c>
      <c r="E141" s="750" t="s">
        <v>1264</v>
      </c>
      <c r="F141" s="750" t="s">
        <v>1263</v>
      </c>
      <c r="G141" s="750" t="s">
        <v>1549</v>
      </c>
      <c r="H141" s="755" t="str">
        <f t="shared" ref="H141:H195" si="0">TRIM(RIGHT(SUBSTITUTE(G141,",",REPT(" ",100)),100))</f>
        <v>Metro Manila</v>
      </c>
      <c r="I141" s="928"/>
      <c r="J141" s="859">
        <v>4.0350000000000001</v>
      </c>
      <c r="K141" s="931" t="str">
        <f>VLOOKUP(Table3[[#This Row],[Technology]],'GEA Reports'!$A$192:$M$202,11,FALSE)</f>
        <v>4.4832​</v>
      </c>
      <c r="L141" s="756">
        <v>3.98</v>
      </c>
      <c r="M141" s="758"/>
      <c r="N141" s="757">
        <v>46047</v>
      </c>
      <c r="O141" s="757">
        <v>46047</v>
      </c>
      <c r="P141" s="758"/>
      <c r="Q141" s="758"/>
      <c r="R141" s="750" t="s">
        <v>1723</v>
      </c>
      <c r="S141" s="750"/>
      <c r="T141" s="905"/>
      <c r="U141" s="757" t="s">
        <v>1524</v>
      </c>
      <c r="V141" s="757" t="str" cm="1">
        <f t="array" ref="V141">_xlfn.XLOOKUP(Table3[[#This Row],[RE Developer]]&amp;Table3[[#This Row],[Project Name ]],[2]GEA!$B:$B&amp;[2]GEA!$C:$C,[2]GEA!$K:$K,"",0,1)</f>
        <v>25-12-17-M-PAO-E-0390L (1)</v>
      </c>
      <c r="W141" s="757"/>
      <c r="X141" s="757">
        <v>46008</v>
      </c>
      <c r="Y141" s="757">
        <v>46008</v>
      </c>
      <c r="Z141" s="905">
        <f>Table3[[#This Row],[Valid from]]+364</f>
        <v>46372</v>
      </c>
      <c r="AA141" s="928" cm="1">
        <f t="array" ref="AA141">_xlfn.XLOOKUP(Table3[[#This Row],[RE Developer]]&amp;Table3[[#This Row],[Project Name ]],[2]GEA!$B:$B&amp;[2]GEA!$C:$C,[2]GEA!$M:$M,"",0,1)</f>
        <v>4693</v>
      </c>
      <c r="AB141" s="750"/>
      <c r="AC141" s="925">
        <v>1008</v>
      </c>
      <c r="AD141" s="905" t="s">
        <v>1708</v>
      </c>
      <c r="AE141" s="997"/>
      <c r="AF141" s="997"/>
      <c r="AG141" s="997"/>
      <c r="AH141" s="905"/>
    </row>
    <row r="142" spans="1:34" x14ac:dyDescent="0.25">
      <c r="A142" s="755" t="str">
        <f>VLOOKUP(Table3[[#This Row],[Location]],location!A:B,2,FALSE)</f>
        <v>Luzon</v>
      </c>
      <c r="B142" s="755" t="s">
        <v>1035</v>
      </c>
      <c r="C142" s="755" t="s">
        <v>1228</v>
      </c>
      <c r="D142" s="755">
        <v>139</v>
      </c>
      <c r="E142" s="750" t="s">
        <v>1264</v>
      </c>
      <c r="F142" s="750" t="s">
        <v>1265</v>
      </c>
      <c r="G142" s="750" t="s">
        <v>1549</v>
      </c>
      <c r="H142" s="755" t="str">
        <f t="shared" si="0"/>
        <v>Metro Manila</v>
      </c>
      <c r="I142" s="928"/>
      <c r="J142" s="859">
        <v>14.7</v>
      </c>
      <c r="K142" s="931" t="str">
        <f>VLOOKUP(Table3[[#This Row],[Technology]],'GEA Reports'!$A$192:$M$202,11,FALSE)</f>
        <v>4.4832​</v>
      </c>
      <c r="L142" s="756">
        <v>3.98</v>
      </c>
      <c r="M142" s="758"/>
      <c r="N142" s="757">
        <v>46047</v>
      </c>
      <c r="O142" s="757">
        <v>46047</v>
      </c>
      <c r="P142" s="758"/>
      <c r="Q142" s="758"/>
      <c r="R142" s="750" t="s">
        <v>1723</v>
      </c>
      <c r="S142" s="750"/>
      <c r="T142" s="905"/>
      <c r="U142" s="757" t="s">
        <v>1524</v>
      </c>
      <c r="V142" s="757" t="str" cm="1">
        <f t="array" ref="V142">_xlfn.XLOOKUP(Table3[[#This Row],[RE Developer]]&amp;Table3[[#This Row],[Project Name ]],[2]GEA!$B:$B&amp;[2]GEA!$C:$C,[2]GEA!$K:$K,"",0,1)</f>
        <v>25-09-12-M-PAO-E-0233L(1)</v>
      </c>
      <c r="W142" s="757"/>
      <c r="X142" s="757">
        <v>45912</v>
      </c>
      <c r="Y142" s="757">
        <v>45912</v>
      </c>
      <c r="Z142" s="905">
        <f>Table3[[#This Row],[Valid from]]+364</f>
        <v>46276</v>
      </c>
      <c r="AA142" s="928" cm="1">
        <f t="array" ref="AA142">_xlfn.XLOOKUP(Table3[[#This Row],[RE Developer]]&amp;Table3[[#This Row],[Project Name ]],[2]GEA!$B:$B&amp;[2]GEA!$C:$C,[2]GEA!$M:$M,"",0,1)</f>
        <v>16002</v>
      </c>
      <c r="AB142" s="750"/>
      <c r="AC142" s="925">
        <v>1009</v>
      </c>
      <c r="AD142" s="905" t="s">
        <v>1708</v>
      </c>
      <c r="AE142" s="997"/>
      <c r="AF142" s="997"/>
      <c r="AG142" s="997"/>
      <c r="AH142" s="905"/>
    </row>
    <row r="143" spans="1:34" x14ac:dyDescent="0.25">
      <c r="A143" s="755" t="str">
        <f>VLOOKUP(Table3[[#This Row],[Location]],location!A:B,2,FALSE)</f>
        <v>Luzon</v>
      </c>
      <c r="B143" s="755" t="s">
        <v>1062</v>
      </c>
      <c r="C143" s="755" t="s">
        <v>1228</v>
      </c>
      <c r="D143" s="755">
        <v>140</v>
      </c>
      <c r="E143" s="750" t="s">
        <v>1789</v>
      </c>
      <c r="F143" s="750" t="s">
        <v>1378</v>
      </c>
      <c r="G143" s="750" t="s">
        <v>1550</v>
      </c>
      <c r="H143" s="755" t="str">
        <f t="shared" si="0"/>
        <v>Cavite</v>
      </c>
      <c r="I143" s="928"/>
      <c r="J143" s="859">
        <v>4.95</v>
      </c>
      <c r="K143" s="931" t="str">
        <f>VLOOKUP("*roof*",'GEA Reports'!$A$192:$M$202,11,FALSE)</f>
        <v>5.6800​</v>
      </c>
      <c r="L143" s="756">
        <v>5.68</v>
      </c>
      <c r="M143" s="758"/>
      <c r="N143" s="757">
        <v>46079</v>
      </c>
      <c r="O143" s="757">
        <v>46079</v>
      </c>
      <c r="P143" s="758"/>
      <c r="Q143" s="758"/>
      <c r="R143" s="750"/>
      <c r="S143" s="750" t="s">
        <v>1724</v>
      </c>
      <c r="T143" s="905"/>
      <c r="U143" s="757" t="s">
        <v>1715</v>
      </c>
      <c r="V143" s="757" t="str">
        <f>_xlfn.XLOOKUP(Table3[[#This Row],[RE Developer]],[2]GEA!$B:$B,[2]GEA!$K:$K,"",0,1)</f>
        <v>26-02-M-00364L</v>
      </c>
      <c r="W143" s="757"/>
      <c r="X143" s="757">
        <v>46069</v>
      </c>
      <c r="Y143" s="757">
        <v>46069</v>
      </c>
      <c r="Z143" s="905">
        <f>Table3[[#This Row],[Valid from]]+364</f>
        <v>46433</v>
      </c>
      <c r="AA143" s="928">
        <f>_xlfn.XLOOKUP(Table3[[#This Row],[RE Developer]],[2]GEA!$B:$B,[2]GEA!$M:$M,"",0,1)</f>
        <v>6554</v>
      </c>
      <c r="AB143" s="750"/>
      <c r="AC143" s="925" t="s">
        <v>1744</v>
      </c>
      <c r="AD143" s="905" t="s">
        <v>1708</v>
      </c>
      <c r="AE143" s="997"/>
      <c r="AF143" s="997"/>
      <c r="AG143" s="997"/>
      <c r="AH143" s="905"/>
    </row>
    <row r="144" spans="1:34" hidden="1" x14ac:dyDescent="0.25">
      <c r="A144" s="755" t="str">
        <f>VLOOKUP(Table3[[#This Row],[Location]],location!A:B,2,FALSE)</f>
        <v>Luzon</v>
      </c>
      <c r="B144" s="755" t="s">
        <v>1035</v>
      </c>
      <c r="C144" s="755" t="s">
        <v>1228</v>
      </c>
      <c r="D144" s="755">
        <v>141</v>
      </c>
      <c r="E144" s="750" t="s">
        <v>1274</v>
      </c>
      <c r="F144" s="750" t="s">
        <v>1273</v>
      </c>
      <c r="G144" s="750" t="s">
        <v>1551</v>
      </c>
      <c r="H144" s="755" t="str">
        <f t="shared" si="0"/>
        <v>Batangas</v>
      </c>
      <c r="I144" s="928"/>
      <c r="J144" s="859">
        <v>170</v>
      </c>
      <c r="K144" s="931" t="str">
        <f>VLOOKUP(Table3[[#This Row],[Technology]],'GEA Reports'!$A$192:$M$202,11,FALSE)</f>
        <v>4.4832​</v>
      </c>
      <c r="L144" s="756">
        <v>4.1982999999999997</v>
      </c>
      <c r="M144" s="758"/>
      <c r="N144" s="757">
        <v>46368</v>
      </c>
      <c r="O144" s="758"/>
      <c r="P144" s="758"/>
      <c r="Q144" s="758"/>
      <c r="R144" s="750"/>
      <c r="S144" s="750"/>
      <c r="T144" s="905"/>
      <c r="U144" s="757"/>
      <c r="V144" s="757" t="str">
        <f>_xlfn.XLOOKUP(Table3[[#This Row],[RE Developer]],[2]GEA!$B:$B,[2]GEA!$K:$K,"",0,1)</f>
        <v>-</v>
      </c>
      <c r="W144" s="757"/>
      <c r="X144" s="757"/>
      <c r="Y144" s="905"/>
      <c r="Z144" s="905">
        <f>Table3[[#This Row],[Valid from]]+364</f>
        <v>364</v>
      </c>
      <c r="AA144" s="928" t="str">
        <f>_xlfn.XLOOKUP(Table3[[#This Row],[RE Developer]],[2]GEA!$B:$B,[2]GEA!$M:$M,"",0,1)</f>
        <v>-</v>
      </c>
      <c r="AB144" s="750"/>
      <c r="AC144" s="905"/>
      <c r="AD144" s="905"/>
      <c r="AE144" s="905"/>
      <c r="AF144" s="905"/>
      <c r="AG144" s="905"/>
      <c r="AH144" s="905"/>
    </row>
    <row r="145" spans="1:34" hidden="1" x14ac:dyDescent="0.25">
      <c r="A145" s="755" t="str">
        <f>VLOOKUP(Table3[[#This Row],[Location]],location!A:B,2,FALSE)</f>
        <v>Luzon</v>
      </c>
      <c r="B145" s="755" t="s">
        <v>1035</v>
      </c>
      <c r="C145" s="755" t="s">
        <v>1228</v>
      </c>
      <c r="D145" s="755">
        <v>142</v>
      </c>
      <c r="E145" s="750" t="s">
        <v>1287</v>
      </c>
      <c r="F145" s="750" t="s">
        <v>1286</v>
      </c>
      <c r="G145" s="750" t="s">
        <v>1552</v>
      </c>
      <c r="H145" s="755" t="str">
        <f t="shared" si="0"/>
        <v>Pangasinan</v>
      </c>
      <c r="I145" s="928"/>
      <c r="J145" s="859">
        <v>33</v>
      </c>
      <c r="K145" s="931" t="str">
        <f>VLOOKUP(Table3[[#This Row],[Technology]],'GEA Reports'!$A$192:$M$202,11,FALSE)</f>
        <v>4.4832​</v>
      </c>
      <c r="L145" s="756">
        <v>4.25</v>
      </c>
      <c r="M145" s="758"/>
      <c r="N145" s="757">
        <v>46380</v>
      </c>
      <c r="O145" s="758"/>
      <c r="P145" s="758"/>
      <c r="Q145" s="758"/>
      <c r="R145" s="750"/>
      <c r="S145" s="750"/>
      <c r="T145" s="905"/>
      <c r="U145" s="757"/>
      <c r="V145" s="757" t="str">
        <f>_xlfn.XLOOKUP(Table3[[#This Row],[RE Developer]],[2]GEA!$B:$B,[2]GEA!$K:$K,"",0,1)</f>
        <v>-</v>
      </c>
      <c r="W145" s="757"/>
      <c r="X145" s="757"/>
      <c r="Y145" s="905"/>
      <c r="Z145" s="905">
        <f>Table3[[#This Row],[Valid from]]+364</f>
        <v>364</v>
      </c>
      <c r="AA145" s="928" t="str">
        <f>_xlfn.XLOOKUP(Table3[[#This Row],[RE Developer]],[2]GEA!$B:$B,[2]GEA!$M:$M,"",0,1)</f>
        <v>-</v>
      </c>
      <c r="AB145" s="750"/>
      <c r="AC145" s="905"/>
      <c r="AD145" s="905"/>
      <c r="AE145" s="905"/>
      <c r="AF145" s="905"/>
      <c r="AG145" s="905"/>
      <c r="AH145" s="905"/>
    </row>
    <row r="146" spans="1:34" hidden="1" x14ac:dyDescent="0.25">
      <c r="A146" s="755" t="str">
        <f>VLOOKUP(Table3[[#This Row],[Location]],location!A:B,2,FALSE)</f>
        <v>Luzon</v>
      </c>
      <c r="B146" s="755" t="s">
        <v>1334</v>
      </c>
      <c r="C146" s="755" t="s">
        <v>1228</v>
      </c>
      <c r="D146" s="755">
        <v>143</v>
      </c>
      <c r="E146" s="750" t="s">
        <v>1267</v>
      </c>
      <c r="F146" s="750" t="s">
        <v>1333</v>
      </c>
      <c r="G146" s="750" t="s">
        <v>1551</v>
      </c>
      <c r="H146" s="755" t="str">
        <f t="shared" si="0"/>
        <v>Batangas</v>
      </c>
      <c r="I146" s="928"/>
      <c r="J146" s="859">
        <v>50</v>
      </c>
      <c r="K146" s="931" t="str">
        <f>VLOOKUP(Table3[[#This Row],[Technology]],'GEA Reports'!$A$192:$M$202,11,FALSE)</f>
        <v>5.4028​</v>
      </c>
      <c r="L146" s="756">
        <v>5.4028</v>
      </c>
      <c r="M146" s="758"/>
      <c r="N146" s="757">
        <v>46382</v>
      </c>
      <c r="O146" s="758"/>
      <c r="P146" s="758"/>
      <c r="Q146" s="758"/>
      <c r="R146" s="750"/>
      <c r="S146" s="750"/>
      <c r="T146" s="905"/>
      <c r="U146" s="757"/>
      <c r="V146" s="757" t="str">
        <f>_xlfn.XLOOKUP(Table3[[#This Row],[RE Developer]],[2]GEA!$B:$B,[2]GEA!$K:$K,"",0,1)</f>
        <v>-</v>
      </c>
      <c r="W146" s="757"/>
      <c r="X146" s="757"/>
      <c r="Y146" s="905"/>
      <c r="Z146" s="905">
        <f>Table3[[#This Row],[Valid from]]+364</f>
        <v>364</v>
      </c>
      <c r="AA146" s="928" t="str">
        <f>_xlfn.XLOOKUP(Table3[[#This Row],[RE Developer]],[2]GEA!$B:$B,[2]GEA!$M:$M,"",0,1)</f>
        <v>-</v>
      </c>
      <c r="AB146" s="750"/>
      <c r="AC146" s="905"/>
      <c r="AD146" s="905"/>
      <c r="AE146" s="905"/>
      <c r="AF146" s="905"/>
      <c r="AG146" s="905"/>
      <c r="AH146" s="905"/>
    </row>
    <row r="147" spans="1:34" hidden="1" x14ac:dyDescent="0.25">
      <c r="A147" s="755" t="str">
        <f>VLOOKUP(Table3[[#This Row],[Location]],location!A:B,2,FALSE)</f>
        <v>Visayas</v>
      </c>
      <c r="B147" s="755" t="s">
        <v>1334</v>
      </c>
      <c r="C147" s="755" t="s">
        <v>1228</v>
      </c>
      <c r="D147" s="755">
        <v>144</v>
      </c>
      <c r="E147" s="750" t="s">
        <v>1267</v>
      </c>
      <c r="F147" s="750" t="s">
        <v>1335</v>
      </c>
      <c r="G147" s="750" t="s">
        <v>1553</v>
      </c>
      <c r="H147" s="755" t="str">
        <f t="shared" si="0"/>
        <v>Negros Occidental</v>
      </c>
      <c r="I147" s="928"/>
      <c r="J147" s="859">
        <v>35.71</v>
      </c>
      <c r="K147" s="931" t="str">
        <f>VLOOKUP(Table3[[#This Row],[Technology]],'GEA Reports'!$A$192:$M$202,11,FALSE)</f>
        <v>5.4028​</v>
      </c>
      <c r="L147" s="756">
        <v>5.4028</v>
      </c>
      <c r="M147" s="758"/>
      <c r="N147" s="757">
        <v>46382</v>
      </c>
      <c r="O147" s="758"/>
      <c r="P147" s="758"/>
      <c r="Q147" s="758"/>
      <c r="R147" s="750"/>
      <c r="S147" s="750"/>
      <c r="T147" s="905"/>
      <c r="U147" s="757"/>
      <c r="V147" s="757" t="str">
        <f>_xlfn.XLOOKUP(Table3[[#This Row],[RE Developer]],[2]GEA!$B:$B,[2]GEA!$K:$K,"",0,1)</f>
        <v>-</v>
      </c>
      <c r="W147" s="757"/>
      <c r="X147" s="757"/>
      <c r="Y147" s="905"/>
      <c r="Z147" s="905">
        <f>Table3[[#This Row],[Valid from]]+364</f>
        <v>364</v>
      </c>
      <c r="AA147" s="928" t="str">
        <f>_xlfn.XLOOKUP(Table3[[#This Row],[RE Developer]],[2]GEA!$B:$B,[2]GEA!$M:$M,"",0,1)</f>
        <v>-</v>
      </c>
      <c r="AB147" s="750"/>
      <c r="AC147" s="905"/>
      <c r="AD147" s="905"/>
      <c r="AE147" s="905"/>
      <c r="AF147" s="905"/>
      <c r="AG147" s="905"/>
      <c r="AH147" s="905"/>
    </row>
    <row r="148" spans="1:34" hidden="1" x14ac:dyDescent="0.25">
      <c r="A148" s="755" t="str">
        <f>VLOOKUP(Table3[[#This Row],[Location]],location!A:B,2,FALSE)</f>
        <v>Mindanao</v>
      </c>
      <c r="B148" s="755" t="s">
        <v>1334</v>
      </c>
      <c r="C148" s="755" t="s">
        <v>1228</v>
      </c>
      <c r="D148" s="755">
        <v>145</v>
      </c>
      <c r="E148" s="750" t="s">
        <v>1177</v>
      </c>
      <c r="F148" s="750" t="s">
        <v>1336</v>
      </c>
      <c r="G148" s="750" t="s">
        <v>1554</v>
      </c>
      <c r="H148" s="755" t="str">
        <f t="shared" si="0"/>
        <v>South Cotabato</v>
      </c>
      <c r="I148" s="928"/>
      <c r="J148" s="859">
        <v>13.38</v>
      </c>
      <c r="K148" s="931" t="str">
        <f>VLOOKUP(Table3[[#This Row],[Technology]],'GEA Reports'!$A$192:$M$202,11,FALSE)</f>
        <v>5.4028​</v>
      </c>
      <c r="L148" s="756">
        <v>5.4028</v>
      </c>
      <c r="M148" s="758"/>
      <c r="N148" s="757">
        <v>46382</v>
      </c>
      <c r="O148" s="758"/>
      <c r="P148" s="758"/>
      <c r="Q148" s="758"/>
      <c r="R148" s="750"/>
      <c r="S148" s="750"/>
      <c r="T148" s="905"/>
      <c r="U148" s="757"/>
      <c r="V148" s="757" t="str">
        <f>_xlfn.XLOOKUP(Table3[[#This Row],[RE Developer]],[2]GEA!$B:$B,[2]GEA!$K:$K,"",0,1)</f>
        <v/>
      </c>
      <c r="W148" s="757"/>
      <c r="X148" s="757"/>
      <c r="Y148" s="905"/>
      <c r="Z148" s="905">
        <f>Table3[[#This Row],[Valid from]]+364</f>
        <v>364</v>
      </c>
      <c r="AA148" s="928" t="str">
        <f>_xlfn.XLOOKUP(Table3[[#This Row],[RE Developer]],[2]GEA!$B:$B,[2]GEA!$M:$M,"",0,1)</f>
        <v/>
      </c>
      <c r="AB148" s="750"/>
      <c r="AC148" s="905"/>
      <c r="AD148" s="905"/>
      <c r="AE148" s="905"/>
      <c r="AF148" s="905"/>
      <c r="AG148" s="905"/>
      <c r="AH148" s="905"/>
    </row>
    <row r="149" spans="1:34" hidden="1" x14ac:dyDescent="0.25">
      <c r="A149" s="755" t="str">
        <f>VLOOKUP(Table3[[#This Row],[Location]],location!A:B,2,FALSE)</f>
        <v>Luzon</v>
      </c>
      <c r="B149" s="755" t="s">
        <v>1035</v>
      </c>
      <c r="C149" s="755" t="s">
        <v>1228</v>
      </c>
      <c r="D149" s="755">
        <v>146</v>
      </c>
      <c r="E149" s="750" t="s">
        <v>1267</v>
      </c>
      <c r="F149" s="750" t="s">
        <v>1266</v>
      </c>
      <c r="G149" s="750" t="s">
        <v>1555</v>
      </c>
      <c r="H149" s="755" t="str">
        <f t="shared" si="0"/>
        <v>Quezon</v>
      </c>
      <c r="I149" s="928"/>
      <c r="J149" s="859">
        <v>50</v>
      </c>
      <c r="K149" s="931" t="str">
        <f>VLOOKUP(Table3[[#This Row],[Technology]],'GEA Reports'!$A$192:$M$202,11,FALSE)</f>
        <v>4.4832​</v>
      </c>
      <c r="L149" s="756">
        <v>4.0999999999999996</v>
      </c>
      <c r="M149" s="758"/>
      <c r="N149" s="757">
        <v>46382</v>
      </c>
      <c r="O149" s="758"/>
      <c r="P149" s="758"/>
      <c r="Q149" s="758"/>
      <c r="R149" s="750"/>
      <c r="S149" s="750"/>
      <c r="T149" s="905"/>
      <c r="U149" s="757"/>
      <c r="V149" s="757" t="str">
        <f>_xlfn.XLOOKUP(Table3[[#This Row],[RE Developer]],[2]GEA!$B:$B,[2]GEA!$K:$K,"",0,1)</f>
        <v>-</v>
      </c>
      <c r="W149" s="757"/>
      <c r="X149" s="757"/>
      <c r="Y149" s="905"/>
      <c r="Z149" s="905">
        <f>Table3[[#This Row],[Valid from]]+364</f>
        <v>364</v>
      </c>
      <c r="AA149" s="928" t="str">
        <f>_xlfn.XLOOKUP(Table3[[#This Row],[RE Developer]],[2]GEA!$B:$B,[2]GEA!$M:$M,"",0,1)</f>
        <v>-</v>
      </c>
      <c r="AB149" s="750"/>
      <c r="AC149" s="905"/>
      <c r="AD149" s="905"/>
      <c r="AE149" s="905"/>
      <c r="AF149" s="905"/>
      <c r="AG149" s="905"/>
      <c r="AH149" s="905"/>
    </row>
    <row r="150" spans="1:34" hidden="1" x14ac:dyDescent="0.25">
      <c r="A150" s="755" t="str">
        <f>VLOOKUP(Table3[[#This Row],[Location]],location!A:B,2,FALSE)</f>
        <v>Luzon</v>
      </c>
      <c r="B150" s="755" t="s">
        <v>1035</v>
      </c>
      <c r="C150" s="755" t="s">
        <v>1228</v>
      </c>
      <c r="D150" s="755">
        <v>147</v>
      </c>
      <c r="E150" s="750" t="s">
        <v>1267</v>
      </c>
      <c r="F150" s="750" t="s">
        <v>1268</v>
      </c>
      <c r="G150" s="750" t="s">
        <v>1555</v>
      </c>
      <c r="H150" s="755" t="str">
        <f t="shared" si="0"/>
        <v>Quezon</v>
      </c>
      <c r="I150" s="928"/>
      <c r="J150" s="859">
        <v>50</v>
      </c>
      <c r="K150" s="931" t="str">
        <f>VLOOKUP(Table3[[#This Row],[Technology]],'GEA Reports'!$A$192:$M$202,11,FALSE)</f>
        <v>4.4832​</v>
      </c>
      <c r="L150" s="756">
        <v>4.0999999999999996</v>
      </c>
      <c r="M150" s="758"/>
      <c r="N150" s="757">
        <v>46382</v>
      </c>
      <c r="O150" s="758"/>
      <c r="P150" s="758"/>
      <c r="Q150" s="758"/>
      <c r="R150" s="750"/>
      <c r="S150" s="750"/>
      <c r="T150" s="905"/>
      <c r="U150" s="757"/>
      <c r="V150" s="757" t="str">
        <f>_xlfn.XLOOKUP(Table3[[#This Row],[RE Developer]],[2]GEA!$B:$B,[2]GEA!$K:$K,"",0,1)</f>
        <v>-</v>
      </c>
      <c r="W150" s="757"/>
      <c r="X150" s="757"/>
      <c r="Y150" s="905"/>
      <c r="Z150" s="905">
        <f>Table3[[#This Row],[Valid from]]+364</f>
        <v>364</v>
      </c>
      <c r="AA150" s="928" t="str">
        <f>_xlfn.XLOOKUP(Table3[[#This Row],[RE Developer]],[2]GEA!$B:$B,[2]GEA!$M:$M,"",0,1)</f>
        <v>-</v>
      </c>
      <c r="AB150" s="750"/>
      <c r="AC150" s="905"/>
      <c r="AD150" s="905"/>
      <c r="AE150" s="905"/>
      <c r="AF150" s="905"/>
      <c r="AG150" s="905"/>
      <c r="AH150" s="905"/>
    </row>
    <row r="151" spans="1:34" hidden="1" x14ac:dyDescent="0.25">
      <c r="A151" s="755" t="str">
        <f>VLOOKUP(Table3[[#This Row],[Location]],location!A:B,2,FALSE)</f>
        <v>Luzon</v>
      </c>
      <c r="B151" s="755" t="s">
        <v>1035</v>
      </c>
      <c r="C151" s="755" t="s">
        <v>1228</v>
      </c>
      <c r="D151" s="755">
        <v>148</v>
      </c>
      <c r="E151" s="750" t="s">
        <v>1272</v>
      </c>
      <c r="F151" s="750" t="s">
        <v>1271</v>
      </c>
      <c r="G151" s="750" t="s">
        <v>1552</v>
      </c>
      <c r="H151" s="755" t="str">
        <f t="shared" si="0"/>
        <v>Pangasinan</v>
      </c>
      <c r="I151" s="928"/>
      <c r="J151" s="859">
        <v>42</v>
      </c>
      <c r="K151" s="931" t="str">
        <f>VLOOKUP(Table3[[#This Row],[Technology]],'GEA Reports'!$A$192:$M$202,11,FALSE)</f>
        <v>4.4832​</v>
      </c>
      <c r="L151" s="756">
        <v>4.1727999999999996</v>
      </c>
      <c r="M151" s="758"/>
      <c r="N151" s="757">
        <v>46382</v>
      </c>
      <c r="O151" s="758"/>
      <c r="P151" s="758"/>
      <c r="Q151" s="758"/>
      <c r="R151" s="750"/>
      <c r="S151" s="750"/>
      <c r="T151" s="905"/>
      <c r="U151" s="757"/>
      <c r="V151" s="757" t="str">
        <f>_xlfn.XLOOKUP(Table3[[#This Row],[RE Developer]],[2]GEA!$B:$B,[2]GEA!$K:$K,"",0,1)</f>
        <v>-</v>
      </c>
      <c r="W151" s="757"/>
      <c r="X151" s="757"/>
      <c r="Y151" s="905"/>
      <c r="Z151" s="905">
        <f>Table3[[#This Row],[Valid from]]+364</f>
        <v>364</v>
      </c>
      <c r="AA151" s="928" t="str">
        <f>_xlfn.XLOOKUP(Table3[[#This Row],[RE Developer]],[2]GEA!$B:$B,[2]GEA!$M:$M,"",0,1)</f>
        <v>-</v>
      </c>
      <c r="AB151" s="750"/>
      <c r="AC151" s="905"/>
      <c r="AD151" s="905"/>
      <c r="AE151" s="905"/>
      <c r="AF151" s="905"/>
      <c r="AG151" s="905"/>
      <c r="AH151" s="905"/>
    </row>
    <row r="152" spans="1:34" hidden="1" x14ac:dyDescent="0.25">
      <c r="A152" s="755" t="str">
        <f>VLOOKUP(Table3[[#This Row],[Location]],location!A:B,2,FALSE)</f>
        <v>Luzon</v>
      </c>
      <c r="B152" s="755" t="s">
        <v>1035</v>
      </c>
      <c r="C152" s="755" t="s">
        <v>1228</v>
      </c>
      <c r="D152" s="755">
        <v>149</v>
      </c>
      <c r="E152" s="750" t="s">
        <v>1267</v>
      </c>
      <c r="F152" s="750" t="s">
        <v>1275</v>
      </c>
      <c r="G152" s="750" t="s">
        <v>1551</v>
      </c>
      <c r="H152" s="755" t="str">
        <f t="shared" si="0"/>
        <v>Batangas</v>
      </c>
      <c r="I152" s="928"/>
      <c r="J152" s="859">
        <v>50</v>
      </c>
      <c r="K152" s="931" t="str">
        <f>VLOOKUP(Table3[[#This Row],[Technology]],'GEA Reports'!$A$192:$M$202,11,FALSE)</f>
        <v>4.4832​</v>
      </c>
      <c r="L152" s="756">
        <v>4.2</v>
      </c>
      <c r="M152" s="758"/>
      <c r="N152" s="757">
        <v>46382</v>
      </c>
      <c r="O152" s="758"/>
      <c r="P152" s="758"/>
      <c r="Q152" s="758"/>
      <c r="R152" s="750"/>
      <c r="S152" s="750"/>
      <c r="T152" s="905"/>
      <c r="U152" s="757"/>
      <c r="V152" s="757" t="str">
        <f>_xlfn.XLOOKUP(Table3[[#This Row],[RE Developer]],[2]GEA!$B:$B,[2]GEA!$K:$K,"",0,1)</f>
        <v>-</v>
      </c>
      <c r="W152" s="757"/>
      <c r="X152" s="757"/>
      <c r="Y152" s="905"/>
      <c r="Z152" s="905">
        <f>Table3[[#This Row],[Valid from]]+364</f>
        <v>364</v>
      </c>
      <c r="AA152" s="928" t="str">
        <f>_xlfn.XLOOKUP(Table3[[#This Row],[RE Developer]],[2]GEA!$B:$B,[2]GEA!$M:$M,"",0,1)</f>
        <v>-</v>
      </c>
      <c r="AB152" s="750"/>
      <c r="AC152" s="905"/>
      <c r="AD152" s="905"/>
      <c r="AE152" s="905"/>
      <c r="AF152" s="905"/>
      <c r="AG152" s="905"/>
      <c r="AH152" s="905"/>
    </row>
    <row r="153" spans="1:34" hidden="1" x14ac:dyDescent="0.25">
      <c r="A153" s="755" t="str">
        <f>VLOOKUP(Table3[[#This Row],[Location]],location!A:B,2,FALSE)</f>
        <v>Luzon</v>
      </c>
      <c r="B153" s="755" t="s">
        <v>1035</v>
      </c>
      <c r="C153" s="755" t="s">
        <v>1228</v>
      </c>
      <c r="D153" s="755">
        <v>150</v>
      </c>
      <c r="E153" s="750" t="s">
        <v>1277</v>
      </c>
      <c r="F153" s="750" t="s">
        <v>1276</v>
      </c>
      <c r="G153" s="750" t="s">
        <v>1551</v>
      </c>
      <c r="H153" s="755" t="str">
        <f t="shared" si="0"/>
        <v>Batangas</v>
      </c>
      <c r="I153" s="928"/>
      <c r="J153" s="859">
        <v>50</v>
      </c>
      <c r="K153" s="931" t="str">
        <f>VLOOKUP(Table3[[#This Row],[Technology]],'GEA Reports'!$A$192:$M$202,11,FALSE)</f>
        <v>4.4832​</v>
      </c>
      <c r="L153" s="756">
        <v>4.2</v>
      </c>
      <c r="M153" s="758"/>
      <c r="N153" s="757">
        <v>46382</v>
      </c>
      <c r="O153" s="758"/>
      <c r="P153" s="758"/>
      <c r="Q153" s="758"/>
      <c r="R153" s="750"/>
      <c r="S153" s="750"/>
      <c r="T153" s="905"/>
      <c r="U153" s="757"/>
      <c r="V153" s="757" t="str">
        <f>_xlfn.XLOOKUP(Table3[[#This Row],[RE Developer]],[2]GEA!$B:$B,[2]GEA!$K:$K,"",0,1)</f>
        <v>-</v>
      </c>
      <c r="W153" s="757"/>
      <c r="X153" s="757"/>
      <c r="Y153" s="905"/>
      <c r="Z153" s="905">
        <f>Table3[[#This Row],[Valid from]]+364</f>
        <v>364</v>
      </c>
      <c r="AA153" s="928" t="str">
        <f>_xlfn.XLOOKUP(Table3[[#This Row],[RE Developer]],[2]GEA!$B:$B,[2]GEA!$M:$M,"",0,1)</f>
        <v>-</v>
      </c>
      <c r="AB153" s="750"/>
      <c r="AC153" s="905"/>
      <c r="AD153" s="905"/>
      <c r="AE153" s="905"/>
      <c r="AF153" s="905"/>
      <c r="AG153" s="905"/>
      <c r="AH153" s="905"/>
    </row>
    <row r="154" spans="1:34" hidden="1" x14ac:dyDescent="0.25">
      <c r="A154" s="755" t="str">
        <f>VLOOKUP(Table3[[#This Row],[Location]],location!A:B,2,FALSE)</f>
        <v>Luzon</v>
      </c>
      <c r="B154" s="755" t="s">
        <v>1035</v>
      </c>
      <c r="C154" s="755" t="s">
        <v>1228</v>
      </c>
      <c r="D154" s="755">
        <v>151</v>
      </c>
      <c r="E154" s="750" t="s">
        <v>1267</v>
      </c>
      <c r="F154" s="750" t="s">
        <v>1278</v>
      </c>
      <c r="G154" s="750" t="s">
        <v>1551</v>
      </c>
      <c r="H154" s="755" t="str">
        <f t="shared" si="0"/>
        <v>Batangas</v>
      </c>
      <c r="I154" s="928"/>
      <c r="J154" s="859">
        <v>50</v>
      </c>
      <c r="K154" s="931" t="str">
        <f>VLOOKUP(Table3[[#This Row],[Technology]],'GEA Reports'!$A$192:$M$202,11,FALSE)</f>
        <v>4.4832​</v>
      </c>
      <c r="L154" s="756">
        <v>4.2</v>
      </c>
      <c r="M154" s="758"/>
      <c r="N154" s="757">
        <v>46382</v>
      </c>
      <c r="O154" s="758"/>
      <c r="P154" s="758"/>
      <c r="Q154" s="758"/>
      <c r="R154" s="750"/>
      <c r="S154" s="750"/>
      <c r="T154" s="905"/>
      <c r="U154" s="757"/>
      <c r="V154" s="757" t="str">
        <f>_xlfn.XLOOKUP(Table3[[#This Row],[RE Developer]],[2]GEA!$B:$B,[2]GEA!$K:$K,"",0,1)</f>
        <v>-</v>
      </c>
      <c r="W154" s="757"/>
      <c r="X154" s="757"/>
      <c r="Y154" s="905"/>
      <c r="Z154" s="905">
        <f>Table3[[#This Row],[Valid from]]+364</f>
        <v>364</v>
      </c>
      <c r="AA154" s="928" t="str">
        <f>_xlfn.XLOOKUP(Table3[[#This Row],[RE Developer]],[2]GEA!$B:$B,[2]GEA!$M:$M,"",0,1)</f>
        <v>-</v>
      </c>
      <c r="AB154" s="750"/>
      <c r="AC154" s="905"/>
      <c r="AD154" s="905"/>
      <c r="AE154" s="905"/>
      <c r="AF154" s="905"/>
      <c r="AG154" s="905"/>
      <c r="AH154" s="905"/>
    </row>
    <row r="155" spans="1:34" hidden="1" x14ac:dyDescent="0.25">
      <c r="A155" s="755" t="str">
        <f>VLOOKUP(Table3[[#This Row],[Location]],location!A:B,2,FALSE)</f>
        <v>Luzon</v>
      </c>
      <c r="B155" s="755" t="s">
        <v>1035</v>
      </c>
      <c r="C155" s="755" t="s">
        <v>1228</v>
      </c>
      <c r="D155" s="755">
        <v>152</v>
      </c>
      <c r="E155" s="750" t="s">
        <v>1277</v>
      </c>
      <c r="F155" s="750" t="s">
        <v>1279</v>
      </c>
      <c r="G155" s="750" t="s">
        <v>1551</v>
      </c>
      <c r="H155" s="755" t="str">
        <f t="shared" si="0"/>
        <v>Batangas</v>
      </c>
      <c r="I155" s="928"/>
      <c r="J155" s="859">
        <v>90</v>
      </c>
      <c r="K155" s="931" t="str">
        <f>VLOOKUP(Table3[[#This Row],[Technology]],'GEA Reports'!$A$192:$M$202,11,FALSE)</f>
        <v>4.4832​</v>
      </c>
      <c r="L155" s="756">
        <v>4.2</v>
      </c>
      <c r="M155" s="758"/>
      <c r="N155" s="757">
        <v>46382</v>
      </c>
      <c r="O155" s="758"/>
      <c r="P155" s="758"/>
      <c r="Q155" s="758"/>
      <c r="R155" s="750"/>
      <c r="S155" s="750"/>
      <c r="T155" s="905"/>
      <c r="U155" s="757"/>
      <c r="V155" s="757" t="str">
        <f>_xlfn.XLOOKUP(Table3[[#This Row],[RE Developer]],[2]GEA!$B:$B,[2]GEA!$K:$K,"",0,1)</f>
        <v>-</v>
      </c>
      <c r="W155" s="757"/>
      <c r="X155" s="757"/>
      <c r="Y155" s="905"/>
      <c r="Z155" s="905">
        <f>Table3[[#This Row],[Valid from]]+364</f>
        <v>364</v>
      </c>
      <c r="AA155" s="928" t="str">
        <f>_xlfn.XLOOKUP(Table3[[#This Row],[RE Developer]],[2]GEA!$B:$B,[2]GEA!$M:$M,"",0,1)</f>
        <v>-</v>
      </c>
      <c r="AB155" s="750"/>
      <c r="AC155" s="905"/>
      <c r="AD155" s="905"/>
      <c r="AE155" s="905"/>
      <c r="AF155" s="905"/>
      <c r="AG155" s="905"/>
      <c r="AH155" s="905"/>
    </row>
    <row r="156" spans="1:34" hidden="1" x14ac:dyDescent="0.25">
      <c r="A156" s="755" t="str">
        <f>VLOOKUP(Table3[[#This Row],[Location]],location!A:B,2,FALSE)</f>
        <v>Luzon</v>
      </c>
      <c r="B156" s="755" t="s">
        <v>1035</v>
      </c>
      <c r="C156" s="755" t="s">
        <v>1228</v>
      </c>
      <c r="D156" s="755">
        <v>153</v>
      </c>
      <c r="E156" s="750" t="s">
        <v>1267</v>
      </c>
      <c r="F156" s="750" t="s">
        <v>1280</v>
      </c>
      <c r="G156" s="750" t="s">
        <v>1551</v>
      </c>
      <c r="H156" s="755" t="str">
        <f t="shared" si="0"/>
        <v>Batangas</v>
      </c>
      <c r="I156" s="928"/>
      <c r="J156" s="859">
        <v>50</v>
      </c>
      <c r="K156" s="931" t="str">
        <f>VLOOKUP(Table3[[#This Row],[Technology]],'GEA Reports'!$A$192:$M$202,11,FALSE)</f>
        <v>4.4832​</v>
      </c>
      <c r="L156" s="756">
        <v>4.2</v>
      </c>
      <c r="M156" s="758"/>
      <c r="N156" s="757">
        <v>46382</v>
      </c>
      <c r="O156" s="758"/>
      <c r="P156" s="758"/>
      <c r="Q156" s="758"/>
      <c r="R156" s="750"/>
      <c r="S156" s="750"/>
      <c r="T156" s="905"/>
      <c r="U156" s="757"/>
      <c r="V156" s="757" t="str">
        <f>_xlfn.XLOOKUP(Table3[[#This Row],[RE Developer]],[2]GEA!$B:$B,[2]GEA!$K:$K,"",0,1)</f>
        <v>-</v>
      </c>
      <c r="W156" s="757"/>
      <c r="X156" s="757"/>
      <c r="Y156" s="905"/>
      <c r="Z156" s="905">
        <f>Table3[[#This Row],[Valid from]]+364</f>
        <v>364</v>
      </c>
      <c r="AA156" s="928" t="str">
        <f>_xlfn.XLOOKUP(Table3[[#This Row],[RE Developer]],[2]GEA!$B:$B,[2]GEA!$M:$M,"",0,1)</f>
        <v>-</v>
      </c>
      <c r="AB156" s="750"/>
      <c r="AC156" s="905"/>
      <c r="AD156" s="905"/>
      <c r="AE156" s="905"/>
      <c r="AF156" s="905"/>
      <c r="AG156" s="905"/>
      <c r="AH156" s="905"/>
    </row>
    <row r="157" spans="1:34" hidden="1" x14ac:dyDescent="0.25">
      <c r="A157" s="755" t="str">
        <f>VLOOKUP(Table3[[#This Row],[Location]],location!A:B,2,FALSE)</f>
        <v>Luzon</v>
      </c>
      <c r="B157" s="755" t="s">
        <v>1035</v>
      </c>
      <c r="C157" s="755" t="s">
        <v>1228</v>
      </c>
      <c r="D157" s="755">
        <v>154</v>
      </c>
      <c r="E157" s="750" t="s">
        <v>1267</v>
      </c>
      <c r="F157" s="750" t="s">
        <v>1281</v>
      </c>
      <c r="G157" s="750" t="s">
        <v>1551</v>
      </c>
      <c r="H157" s="755" t="str">
        <f t="shared" si="0"/>
        <v>Batangas</v>
      </c>
      <c r="I157" s="928"/>
      <c r="J157" s="859">
        <v>50</v>
      </c>
      <c r="K157" s="931" t="str">
        <f>VLOOKUP(Table3[[#This Row],[Technology]],'GEA Reports'!$A$192:$M$202,11,FALSE)</f>
        <v>4.4832​</v>
      </c>
      <c r="L157" s="756">
        <v>4.2</v>
      </c>
      <c r="M157" s="758"/>
      <c r="N157" s="757">
        <v>46382</v>
      </c>
      <c r="O157" s="758"/>
      <c r="P157" s="758"/>
      <c r="Q157" s="758"/>
      <c r="R157" s="750"/>
      <c r="S157" s="750"/>
      <c r="T157" s="905"/>
      <c r="U157" s="757"/>
      <c r="V157" s="757" t="str">
        <f>_xlfn.XLOOKUP(Table3[[#This Row],[RE Developer]],[2]GEA!$B:$B,[2]GEA!$K:$K,"",0,1)</f>
        <v>-</v>
      </c>
      <c r="W157" s="757"/>
      <c r="X157" s="757"/>
      <c r="Y157" s="905"/>
      <c r="Z157" s="905">
        <f>Table3[[#This Row],[Valid from]]+364</f>
        <v>364</v>
      </c>
      <c r="AA157" s="928" t="str">
        <f>_xlfn.XLOOKUP(Table3[[#This Row],[RE Developer]],[2]GEA!$B:$B,[2]GEA!$M:$M,"",0,1)</f>
        <v>-</v>
      </c>
      <c r="AB157" s="750"/>
      <c r="AC157" s="905"/>
      <c r="AD157" s="905"/>
      <c r="AE157" s="905"/>
      <c r="AF157" s="905"/>
      <c r="AG157" s="905"/>
      <c r="AH157" s="905"/>
    </row>
    <row r="158" spans="1:34" hidden="1" x14ac:dyDescent="0.25">
      <c r="A158" s="755" t="str">
        <f>VLOOKUP(Table3[[#This Row],[Location]],location!A:B,2,FALSE)</f>
        <v>Luzon</v>
      </c>
      <c r="B158" s="755" t="s">
        <v>1035</v>
      </c>
      <c r="C158" s="755" t="s">
        <v>1228</v>
      </c>
      <c r="D158" s="755">
        <v>155</v>
      </c>
      <c r="E158" s="750" t="s">
        <v>1267</v>
      </c>
      <c r="F158" s="750" t="s">
        <v>1282</v>
      </c>
      <c r="G158" s="750" t="s">
        <v>1551</v>
      </c>
      <c r="H158" s="755" t="str">
        <f t="shared" si="0"/>
        <v>Batangas</v>
      </c>
      <c r="I158" s="928"/>
      <c r="J158" s="859">
        <v>50</v>
      </c>
      <c r="K158" s="931" t="str">
        <f>VLOOKUP(Table3[[#This Row],[Technology]],'GEA Reports'!$A$192:$M$202,11,FALSE)</f>
        <v>4.4832​</v>
      </c>
      <c r="L158" s="756">
        <v>4.2</v>
      </c>
      <c r="M158" s="758"/>
      <c r="N158" s="757">
        <v>46382</v>
      </c>
      <c r="O158" s="758"/>
      <c r="P158" s="758"/>
      <c r="Q158" s="758"/>
      <c r="R158" s="750"/>
      <c r="S158" s="750"/>
      <c r="T158" s="905"/>
      <c r="U158" s="757"/>
      <c r="V158" s="757" t="str">
        <f>_xlfn.XLOOKUP(Table3[[#This Row],[RE Developer]],[2]GEA!$B:$B,[2]GEA!$K:$K,"",0,1)</f>
        <v>-</v>
      </c>
      <c r="W158" s="757"/>
      <c r="X158" s="757"/>
      <c r="Y158" s="905"/>
      <c r="Z158" s="905">
        <f>Table3[[#This Row],[Valid from]]+364</f>
        <v>364</v>
      </c>
      <c r="AA158" s="928" t="str">
        <f>_xlfn.XLOOKUP(Table3[[#This Row],[RE Developer]],[2]GEA!$B:$B,[2]GEA!$M:$M,"",0,1)</f>
        <v>-</v>
      </c>
      <c r="AB158" s="750"/>
      <c r="AC158" s="905"/>
      <c r="AD158" s="905"/>
      <c r="AE158" s="905"/>
      <c r="AF158" s="905"/>
      <c r="AG158" s="905"/>
      <c r="AH158" s="905"/>
    </row>
    <row r="159" spans="1:34" hidden="1" x14ac:dyDescent="0.25">
      <c r="A159" s="755" t="str">
        <f>VLOOKUP(Table3[[#This Row],[Location]],location!A:B,2,FALSE)</f>
        <v>Luzon</v>
      </c>
      <c r="B159" s="755" t="s">
        <v>1035</v>
      </c>
      <c r="C159" s="755" t="s">
        <v>1228</v>
      </c>
      <c r="D159" s="755">
        <v>156</v>
      </c>
      <c r="E159" s="750" t="s">
        <v>1267</v>
      </c>
      <c r="F159" s="750" t="s">
        <v>1283</v>
      </c>
      <c r="G159" s="750" t="s">
        <v>1551</v>
      </c>
      <c r="H159" s="755" t="str">
        <f t="shared" si="0"/>
        <v>Batangas</v>
      </c>
      <c r="I159" s="928"/>
      <c r="J159" s="859">
        <v>50</v>
      </c>
      <c r="K159" s="931" t="str">
        <f>VLOOKUP(Table3[[#This Row],[Technology]],'GEA Reports'!$A$192:$M$202,11,FALSE)</f>
        <v>4.4832​</v>
      </c>
      <c r="L159" s="756">
        <v>4.2</v>
      </c>
      <c r="M159" s="758"/>
      <c r="N159" s="757">
        <v>46382</v>
      </c>
      <c r="O159" s="758"/>
      <c r="P159" s="758"/>
      <c r="Q159" s="758"/>
      <c r="R159" s="750"/>
      <c r="S159" s="750"/>
      <c r="T159" s="905"/>
      <c r="U159" s="757"/>
      <c r="V159" s="757" t="str">
        <f>_xlfn.XLOOKUP(Table3[[#This Row],[RE Developer]],[2]GEA!$B:$B,[2]GEA!$K:$K,"",0,1)</f>
        <v>-</v>
      </c>
      <c r="W159" s="757"/>
      <c r="X159" s="757"/>
      <c r="Y159" s="905"/>
      <c r="Z159" s="905">
        <f>Table3[[#This Row],[Valid from]]+364</f>
        <v>364</v>
      </c>
      <c r="AA159" s="928" t="str">
        <f>_xlfn.XLOOKUP(Table3[[#This Row],[RE Developer]],[2]GEA!$B:$B,[2]GEA!$M:$M,"",0,1)</f>
        <v>-</v>
      </c>
      <c r="AB159" s="750"/>
      <c r="AC159" s="905"/>
      <c r="AD159" s="905"/>
      <c r="AE159" s="905"/>
      <c r="AF159" s="905"/>
      <c r="AG159" s="905"/>
      <c r="AH159" s="905"/>
    </row>
    <row r="160" spans="1:34" hidden="1" x14ac:dyDescent="0.25">
      <c r="A160" s="755" t="str">
        <f>VLOOKUP(Table3[[#This Row],[Location]],location!A:B,2,FALSE)</f>
        <v>Luzon</v>
      </c>
      <c r="B160" s="755" t="s">
        <v>1035</v>
      </c>
      <c r="C160" s="755" t="s">
        <v>1228</v>
      </c>
      <c r="D160" s="755">
        <v>157</v>
      </c>
      <c r="E160" s="750" t="s">
        <v>1537</v>
      </c>
      <c r="F160" s="750" t="s">
        <v>1288</v>
      </c>
      <c r="G160" s="750" t="s">
        <v>1556</v>
      </c>
      <c r="H160" s="755" t="str">
        <f t="shared" si="0"/>
        <v>Tarlac</v>
      </c>
      <c r="I160" s="928"/>
      <c r="J160" s="859">
        <v>90</v>
      </c>
      <c r="K160" s="931" t="str">
        <f>VLOOKUP(Table3[[#This Row],[Technology]],'GEA Reports'!$A$192:$M$202,11,FALSE)</f>
        <v>4.4832​</v>
      </c>
      <c r="L160" s="756">
        <v>4.3</v>
      </c>
      <c r="M160" s="758"/>
      <c r="N160" s="757">
        <v>46382</v>
      </c>
      <c r="O160" s="758"/>
      <c r="P160" s="758"/>
      <c r="Q160" s="758"/>
      <c r="R160" s="750"/>
      <c r="S160" s="750"/>
      <c r="T160" s="905"/>
      <c r="U160" s="757"/>
      <c r="V160" s="757" t="str">
        <f>_xlfn.XLOOKUP(Table3[[#This Row],[RE Developer]],[2]GEA!$B:$B,[2]GEA!$K:$K,"",0,1)</f>
        <v/>
      </c>
      <c r="W160" s="757"/>
      <c r="X160" s="757"/>
      <c r="Y160" s="905"/>
      <c r="Z160" s="905">
        <f>Table3[[#This Row],[Valid from]]+364</f>
        <v>364</v>
      </c>
      <c r="AA160" s="928" t="str">
        <f>_xlfn.XLOOKUP(Table3[[#This Row],[RE Developer]],[2]GEA!$B:$B,[2]GEA!$M:$M,"",0,1)</f>
        <v/>
      </c>
      <c r="AB160" s="750"/>
      <c r="AC160" s="905"/>
      <c r="AD160" s="905"/>
      <c r="AE160" s="905"/>
      <c r="AF160" s="905"/>
      <c r="AG160" s="905"/>
      <c r="AH160" s="905"/>
    </row>
    <row r="161" spans="1:34" hidden="1" x14ac:dyDescent="0.25">
      <c r="A161" s="755" t="str">
        <f>VLOOKUP(Table3[[#This Row],[Location]],location!A:B,2,FALSE)</f>
        <v>Luzon</v>
      </c>
      <c r="B161" s="755" t="s">
        <v>1035</v>
      </c>
      <c r="C161" s="755" t="s">
        <v>1228</v>
      </c>
      <c r="D161" s="755">
        <v>158</v>
      </c>
      <c r="E161" s="750" t="s">
        <v>1261</v>
      </c>
      <c r="F161" s="750" t="s">
        <v>1260</v>
      </c>
      <c r="G161" s="750" t="s">
        <v>1557</v>
      </c>
      <c r="H161" s="755" t="str">
        <f t="shared" si="0"/>
        <v>Sorsogon</v>
      </c>
      <c r="I161" s="928"/>
      <c r="J161" s="859">
        <v>39.984000000000002</v>
      </c>
      <c r="K161" s="931" t="str">
        <f>VLOOKUP(Table3[[#This Row],[Technology]],'GEA Reports'!$A$192:$M$202,11,FALSE)</f>
        <v>4.4832​</v>
      </c>
      <c r="L161" s="756">
        <v>3.76</v>
      </c>
      <c r="M161" s="758"/>
      <c r="N161" s="757">
        <v>46386</v>
      </c>
      <c r="O161" s="758"/>
      <c r="P161" s="758"/>
      <c r="Q161" s="758"/>
      <c r="R161" s="750"/>
      <c r="S161" s="750"/>
      <c r="T161" s="905"/>
      <c r="U161" s="757"/>
      <c r="V161" s="757" t="str">
        <f>_xlfn.XLOOKUP(Table3[[#This Row],[RE Developer]],[2]GEA!$B:$B,[2]GEA!$K:$K,"",0,1)</f>
        <v>-</v>
      </c>
      <c r="W161" s="757"/>
      <c r="X161" s="757"/>
      <c r="Y161" s="905"/>
      <c r="Z161" s="905">
        <f>Table3[[#This Row],[Valid from]]+364</f>
        <v>364</v>
      </c>
      <c r="AA161" s="928" t="str">
        <f>_xlfn.XLOOKUP(Table3[[#This Row],[RE Developer]],[2]GEA!$B:$B,[2]GEA!$M:$M,"",0,1)</f>
        <v>-</v>
      </c>
      <c r="AB161" s="750"/>
      <c r="AC161" s="905"/>
      <c r="AD161" s="905"/>
      <c r="AE161" s="905"/>
      <c r="AF161" s="905"/>
      <c r="AG161" s="905"/>
      <c r="AH161" s="905"/>
    </row>
    <row r="162" spans="1:34" hidden="1" x14ac:dyDescent="0.25">
      <c r="A162" s="755" t="str">
        <f>VLOOKUP(Table3[[#This Row],[Location]],location!A:B,2,FALSE)</f>
        <v>Visayas</v>
      </c>
      <c r="B162" s="755" t="s">
        <v>1035</v>
      </c>
      <c r="C162" s="755" t="s">
        <v>1228</v>
      </c>
      <c r="D162" s="755">
        <v>159</v>
      </c>
      <c r="E162" s="750" t="s">
        <v>1290</v>
      </c>
      <c r="F162" s="750" t="s">
        <v>1289</v>
      </c>
      <c r="G162" s="750" t="s">
        <v>1558</v>
      </c>
      <c r="H162" s="755" t="str">
        <f t="shared" si="0"/>
        <v>Bohol</v>
      </c>
      <c r="I162" s="928"/>
      <c r="J162" s="859">
        <v>37.884</v>
      </c>
      <c r="K162" s="931" t="str">
        <f>VLOOKUP(Table3[[#This Row],[Technology]],'GEA Reports'!$A$192:$M$202,11,FALSE)</f>
        <v>4.4832​</v>
      </c>
      <c r="L162" s="756">
        <v>3.98</v>
      </c>
      <c r="M162" s="758"/>
      <c r="N162" s="757">
        <v>46386</v>
      </c>
      <c r="O162" s="758"/>
      <c r="P162" s="758"/>
      <c r="Q162" s="758"/>
      <c r="R162" s="750"/>
      <c r="S162" s="750"/>
      <c r="T162" s="905"/>
      <c r="U162" s="757"/>
      <c r="V162" s="757" t="str">
        <f>_xlfn.XLOOKUP(Table3[[#This Row],[RE Developer]],[2]GEA!$B:$B,[2]GEA!$K:$K,"",0,1)</f>
        <v>-</v>
      </c>
      <c r="W162" s="757"/>
      <c r="X162" s="757"/>
      <c r="Y162" s="905"/>
      <c r="Z162" s="905">
        <f>Table3[[#This Row],[Valid from]]+364</f>
        <v>364</v>
      </c>
      <c r="AA162" s="928" t="str">
        <f>_xlfn.XLOOKUP(Table3[[#This Row],[RE Developer]],[2]GEA!$B:$B,[2]GEA!$M:$M,"",0,1)</f>
        <v>-</v>
      </c>
      <c r="AB162" s="750"/>
      <c r="AC162" s="905"/>
      <c r="AD162" s="905"/>
      <c r="AE162" s="905"/>
      <c r="AF162" s="905"/>
      <c r="AG162" s="905"/>
      <c r="AH162" s="905"/>
    </row>
    <row r="163" spans="1:34" hidden="1" x14ac:dyDescent="0.25">
      <c r="A163" s="755" t="str">
        <f>VLOOKUP(Table3[[#This Row],[Location]],location!A:B,2,FALSE)</f>
        <v>Mindanao</v>
      </c>
      <c r="B163" s="755" t="s">
        <v>1035</v>
      </c>
      <c r="C163" s="755" t="s">
        <v>1228</v>
      </c>
      <c r="D163" s="755">
        <v>160</v>
      </c>
      <c r="E163" s="750" t="s">
        <v>1295</v>
      </c>
      <c r="F163" s="750" t="s">
        <v>1294</v>
      </c>
      <c r="G163" s="750" t="s">
        <v>899</v>
      </c>
      <c r="H163" s="755" t="str">
        <f t="shared" si="0"/>
        <v>Lanao del Norte</v>
      </c>
      <c r="I163" s="928"/>
      <c r="J163" s="859">
        <v>20</v>
      </c>
      <c r="K163" s="931" t="str">
        <f>VLOOKUP(Table3[[#This Row],[Technology]],'GEA Reports'!$A$192:$M$202,11,FALSE)</f>
        <v>4.4832​</v>
      </c>
      <c r="L163" s="756">
        <v>3.87</v>
      </c>
      <c r="M163" s="758"/>
      <c r="N163" s="757">
        <v>46386</v>
      </c>
      <c r="O163" s="758"/>
      <c r="P163" s="758"/>
      <c r="Q163" s="758"/>
      <c r="R163" s="750"/>
      <c r="S163" s="750"/>
      <c r="T163" s="905"/>
      <c r="U163" s="757"/>
      <c r="V163" s="757" t="str">
        <f>_xlfn.XLOOKUP(Table3[[#This Row],[RE Developer]],[2]GEA!$B:$B,[2]GEA!$K:$K,"",0,1)</f>
        <v>-</v>
      </c>
      <c r="W163" s="757"/>
      <c r="X163" s="757"/>
      <c r="Y163" s="905"/>
      <c r="Z163" s="905">
        <f>Table3[[#This Row],[Valid from]]+364</f>
        <v>364</v>
      </c>
      <c r="AA163" s="928" t="str">
        <f>_xlfn.XLOOKUP(Table3[[#This Row],[RE Developer]],[2]GEA!$B:$B,[2]GEA!$M:$M,"",0,1)</f>
        <v>-</v>
      </c>
      <c r="AB163" s="750"/>
      <c r="AC163" s="905"/>
      <c r="AD163" s="905"/>
      <c r="AE163" s="905"/>
      <c r="AF163" s="905"/>
      <c r="AG163" s="905"/>
      <c r="AH163" s="905"/>
    </row>
    <row r="164" spans="1:34" hidden="1" x14ac:dyDescent="0.25">
      <c r="A164" s="755" t="str">
        <f>VLOOKUP(Table3[[#This Row],[Location]],location!A:B,2,FALSE)</f>
        <v>Mindanao</v>
      </c>
      <c r="B164" s="755" t="s">
        <v>1035</v>
      </c>
      <c r="C164" s="755" t="s">
        <v>1228</v>
      </c>
      <c r="D164" s="755">
        <v>161</v>
      </c>
      <c r="E164" s="750" t="s">
        <v>1251</v>
      </c>
      <c r="F164" s="750" t="s">
        <v>1296</v>
      </c>
      <c r="G164" s="750" t="s">
        <v>1559</v>
      </c>
      <c r="H164" s="755" t="str">
        <f t="shared" si="0"/>
        <v>Davao Occidental</v>
      </c>
      <c r="I164" s="928"/>
      <c r="J164" s="859">
        <v>108</v>
      </c>
      <c r="K164" s="931" t="str">
        <f>VLOOKUP(Table3[[#This Row],[Technology]],'GEA Reports'!$A$192:$M$202,11,FALSE)</f>
        <v>4.4832​</v>
      </c>
      <c r="L164" s="756">
        <v>3.9001999999999999</v>
      </c>
      <c r="M164" s="758"/>
      <c r="N164" s="757">
        <v>46386</v>
      </c>
      <c r="O164" s="758"/>
      <c r="P164" s="758"/>
      <c r="Q164" s="758"/>
      <c r="R164" s="750"/>
      <c r="S164" s="750"/>
      <c r="T164" s="905"/>
      <c r="U164" s="757"/>
      <c r="V164" s="757" t="str">
        <f>_xlfn.XLOOKUP(Table3[[#This Row],[RE Developer]],[2]GEA!$B:$B,[2]GEA!$K:$K,"",0,1)</f>
        <v>-</v>
      </c>
      <c r="W164" s="757"/>
      <c r="X164" s="757"/>
      <c r="Y164" s="905"/>
      <c r="Z164" s="905">
        <f>Table3[[#This Row],[Valid from]]+364</f>
        <v>364</v>
      </c>
      <c r="AA164" s="928" t="str">
        <f>_xlfn.XLOOKUP(Table3[[#This Row],[RE Developer]],[2]GEA!$B:$B,[2]GEA!$M:$M,"",0,1)</f>
        <v>-</v>
      </c>
      <c r="AB164" s="750"/>
      <c r="AC164" s="905"/>
      <c r="AD164" s="905"/>
      <c r="AE164" s="905"/>
      <c r="AF164" s="905"/>
      <c r="AG164" s="905"/>
      <c r="AH164" s="905"/>
    </row>
    <row r="165" spans="1:34" hidden="1" x14ac:dyDescent="0.25">
      <c r="A165" s="755" t="str">
        <f>VLOOKUP(Table3[[#This Row],[Location]],location!A:B,2,FALSE)</f>
        <v>Luzon</v>
      </c>
      <c r="B165" s="755" t="s">
        <v>1062</v>
      </c>
      <c r="C165" s="755" t="s">
        <v>1228</v>
      </c>
      <c r="D165" s="755">
        <v>162</v>
      </c>
      <c r="E165" s="750" t="s">
        <v>1306</v>
      </c>
      <c r="F165" s="750" t="s">
        <v>1527</v>
      </c>
      <c r="G165" s="750" t="s">
        <v>1560</v>
      </c>
      <c r="H165" s="755" t="s">
        <v>1633</v>
      </c>
      <c r="I165" s="928"/>
      <c r="J165" s="859">
        <v>10.497</v>
      </c>
      <c r="K165" s="931" t="str">
        <f>VLOOKUP("*roof*",'GEA Reports'!$A$192:$M$202,11,FALSE)</f>
        <v>5.6800​</v>
      </c>
      <c r="L165" s="756">
        <v>5.68</v>
      </c>
      <c r="M165" s="758"/>
      <c r="N165" s="757">
        <v>46386</v>
      </c>
      <c r="O165" s="758"/>
      <c r="P165" s="758"/>
      <c r="Q165" s="758"/>
      <c r="R165" s="750"/>
      <c r="S165" s="750"/>
      <c r="T165" s="905"/>
      <c r="U165" s="757"/>
      <c r="V165" s="757" t="str">
        <f>_xlfn.XLOOKUP(Table3[[#This Row],[RE Developer]],[2]GEA!$B:$B,[2]GEA!$K:$K,"",0,1)</f>
        <v>-</v>
      </c>
      <c r="W165" s="757"/>
      <c r="X165" s="757"/>
      <c r="Y165" s="905"/>
      <c r="Z165" s="905">
        <f>Table3[[#This Row],[Valid from]]+364</f>
        <v>364</v>
      </c>
      <c r="AA165" s="928" t="str">
        <f>_xlfn.XLOOKUP(Table3[[#This Row],[RE Developer]],[2]GEA!$B:$B,[2]GEA!$M:$M,"",0,1)</f>
        <v>-</v>
      </c>
      <c r="AB165" s="750"/>
      <c r="AC165" s="905"/>
      <c r="AD165" s="905"/>
      <c r="AE165" s="905"/>
      <c r="AF165" s="905"/>
      <c r="AG165" s="905"/>
      <c r="AH165" s="905"/>
    </row>
    <row r="166" spans="1:34" hidden="1" x14ac:dyDescent="0.25">
      <c r="A166" s="755" t="str">
        <f>VLOOKUP(Table3[[#This Row],[Location]],location!A:B,2,FALSE)</f>
        <v>Luzon</v>
      </c>
      <c r="B166" s="755" t="s">
        <v>1035</v>
      </c>
      <c r="C166" s="755" t="s">
        <v>1228</v>
      </c>
      <c r="D166" s="755">
        <v>163</v>
      </c>
      <c r="E166" s="750" t="s">
        <v>1270</v>
      </c>
      <c r="F166" s="750" t="s">
        <v>1269</v>
      </c>
      <c r="G166" s="750" t="s">
        <v>1561</v>
      </c>
      <c r="H166" s="755" t="str">
        <f t="shared" si="0"/>
        <v>Camarines Norte</v>
      </c>
      <c r="I166" s="928"/>
      <c r="J166" s="859">
        <v>5</v>
      </c>
      <c r="K166" s="931" t="str">
        <f>VLOOKUP(Table3[[#This Row],[Technology]],'GEA Reports'!$A$192:$M$202,11,FALSE)</f>
        <v>4.4832​</v>
      </c>
      <c r="L166" s="756">
        <v>4.0999999999999996</v>
      </c>
      <c r="M166" s="758"/>
      <c r="N166" s="757">
        <v>46387</v>
      </c>
      <c r="O166" s="758"/>
      <c r="P166" s="758"/>
      <c r="Q166" s="758"/>
      <c r="R166" s="750"/>
      <c r="S166" s="750"/>
      <c r="T166" s="905"/>
      <c r="U166" s="757"/>
      <c r="V166" s="757" t="str">
        <f>_xlfn.XLOOKUP(Table3[[#This Row],[RE Developer]],[2]GEA!$B:$B,[2]GEA!$K:$K,"",0,1)</f>
        <v>-</v>
      </c>
      <c r="W166" s="757"/>
      <c r="X166" s="757"/>
      <c r="Y166" s="905"/>
      <c r="Z166" s="905">
        <f>Table3[[#This Row],[Valid from]]+364</f>
        <v>364</v>
      </c>
      <c r="AA166" s="928" t="str">
        <f>_xlfn.XLOOKUP(Table3[[#This Row],[RE Developer]],[2]GEA!$B:$B,[2]GEA!$M:$M,"",0,1)</f>
        <v>-</v>
      </c>
      <c r="AB166" s="750"/>
      <c r="AC166" s="905"/>
      <c r="AD166" s="905"/>
      <c r="AE166" s="905"/>
      <c r="AF166" s="905"/>
      <c r="AG166" s="905"/>
      <c r="AH166" s="905"/>
    </row>
    <row r="167" spans="1:34" hidden="1" x14ac:dyDescent="0.25">
      <c r="A167" s="755" t="str">
        <f>VLOOKUP(Table3[[#This Row],[Location]],location!A:B,2,FALSE)</f>
        <v>Luzon</v>
      </c>
      <c r="B167" s="755" t="s">
        <v>1035</v>
      </c>
      <c r="C167" s="755" t="s">
        <v>1228</v>
      </c>
      <c r="D167" s="755">
        <v>164</v>
      </c>
      <c r="E167" s="750" t="s">
        <v>1285</v>
      </c>
      <c r="F167" s="750" t="s">
        <v>1284</v>
      </c>
      <c r="G167" s="750" t="s">
        <v>1562</v>
      </c>
      <c r="H167" s="755" t="str">
        <f t="shared" si="0"/>
        <v>Bataan</v>
      </c>
      <c r="I167" s="928"/>
      <c r="J167" s="859">
        <v>16.5</v>
      </c>
      <c r="K167" s="931" t="str">
        <f>VLOOKUP(Table3[[#This Row],[Technology]],'GEA Reports'!$A$192:$M$202,11,FALSE)</f>
        <v>4.4832​</v>
      </c>
      <c r="L167" s="756">
        <v>4.2</v>
      </c>
      <c r="M167" s="758"/>
      <c r="N167" s="757">
        <v>46387</v>
      </c>
      <c r="O167" s="758"/>
      <c r="P167" s="758"/>
      <c r="Q167" s="758"/>
      <c r="R167" s="750"/>
      <c r="S167" s="750"/>
      <c r="T167" s="905"/>
      <c r="U167" s="757"/>
      <c r="V167" s="757" t="str">
        <f>_xlfn.XLOOKUP(Table3[[#This Row],[RE Developer]],[2]GEA!$B:$B,[2]GEA!$K:$K,"",0,1)</f>
        <v>-</v>
      </c>
      <c r="W167" s="757"/>
      <c r="X167" s="757"/>
      <c r="Y167" s="905"/>
      <c r="Z167" s="905">
        <f>Table3[[#This Row],[Valid from]]+364</f>
        <v>364</v>
      </c>
      <c r="AA167" s="928" t="str">
        <f>_xlfn.XLOOKUP(Table3[[#This Row],[RE Developer]],[2]GEA!$B:$B,[2]GEA!$M:$M,"",0,1)</f>
        <v>-</v>
      </c>
      <c r="AB167" s="750"/>
      <c r="AC167" s="905"/>
      <c r="AD167" s="905"/>
      <c r="AE167" s="905"/>
      <c r="AF167" s="905"/>
      <c r="AG167" s="905"/>
      <c r="AH167" s="905"/>
    </row>
    <row r="168" spans="1:34" hidden="1" x14ac:dyDescent="0.25">
      <c r="A168" s="755" t="str">
        <f>VLOOKUP(Table3[[#This Row],[Location]],location!A:B,2,FALSE)</f>
        <v>Luzon</v>
      </c>
      <c r="B168" s="755" t="s">
        <v>1035</v>
      </c>
      <c r="C168" s="755" t="s">
        <v>1228</v>
      </c>
      <c r="D168" s="755">
        <v>165</v>
      </c>
      <c r="E168" s="750" t="s">
        <v>1538</v>
      </c>
      <c r="F168" s="750" t="s">
        <v>1528</v>
      </c>
      <c r="G168" s="750" t="s">
        <v>1563</v>
      </c>
      <c r="H168" s="755" t="str">
        <f t="shared" si="0"/>
        <v>Isabela</v>
      </c>
      <c r="I168" s="928"/>
      <c r="J168" s="859">
        <v>96.472999999999999</v>
      </c>
      <c r="K168" s="931" t="str">
        <f>VLOOKUP(Table3[[#This Row],[Technology]],'GEA Reports'!$A$192:$M$202,11,FALSE)</f>
        <v>4.4832​</v>
      </c>
      <c r="L168" s="756">
        <v>4.3498000000000001</v>
      </c>
      <c r="M168" s="758"/>
      <c r="N168" s="757">
        <v>46387</v>
      </c>
      <c r="O168" s="758"/>
      <c r="P168" s="758"/>
      <c r="Q168" s="758"/>
      <c r="R168" s="750"/>
      <c r="S168" s="750"/>
      <c r="T168" s="905"/>
      <c r="U168" s="757"/>
      <c r="V168" s="757" t="str">
        <f>_xlfn.XLOOKUP(Table3[[#This Row],[RE Developer]],[2]GEA!$B:$B,[2]GEA!$K:$K,"",0,1)</f>
        <v/>
      </c>
      <c r="W168" s="757"/>
      <c r="X168" s="757"/>
      <c r="Y168" s="905"/>
      <c r="Z168" s="905">
        <f>Table3[[#This Row],[Valid from]]+364</f>
        <v>364</v>
      </c>
      <c r="AA168" s="928" t="str">
        <f>_xlfn.XLOOKUP(Table3[[#This Row],[RE Developer]],[2]GEA!$B:$B,[2]GEA!$M:$M,"",0,1)</f>
        <v/>
      </c>
      <c r="AB168" s="750"/>
      <c r="AC168" s="905"/>
      <c r="AD168" s="905"/>
      <c r="AE168" s="905"/>
      <c r="AF168" s="905"/>
      <c r="AG168" s="905"/>
      <c r="AH168" s="905"/>
    </row>
    <row r="169" spans="1:34" hidden="1" x14ac:dyDescent="0.25">
      <c r="A169" s="755" t="str">
        <f>VLOOKUP(Table3[[#This Row],[Location]],location!A:B,2,FALSE)</f>
        <v>Visayas</v>
      </c>
      <c r="B169" s="755" t="s">
        <v>1035</v>
      </c>
      <c r="C169" s="755" t="s">
        <v>1228</v>
      </c>
      <c r="D169" s="755">
        <v>166</v>
      </c>
      <c r="E169" s="750" t="s">
        <v>1293</v>
      </c>
      <c r="F169" s="750" t="s">
        <v>1292</v>
      </c>
      <c r="G169" s="750" t="s">
        <v>1564</v>
      </c>
      <c r="H169" s="755" t="str">
        <f t="shared" si="0"/>
        <v>Cebu</v>
      </c>
      <c r="I169" s="928"/>
      <c r="J169" s="859">
        <v>150</v>
      </c>
      <c r="K169" s="931" t="str">
        <f>VLOOKUP(Table3[[#This Row],[Technology]],'GEA Reports'!$A$192:$M$202,11,FALSE)</f>
        <v>4.4832​</v>
      </c>
      <c r="L169" s="756">
        <v>4.45</v>
      </c>
      <c r="M169" s="758"/>
      <c r="N169" s="757">
        <v>46387</v>
      </c>
      <c r="O169" s="758"/>
      <c r="P169" s="758"/>
      <c r="Q169" s="758"/>
      <c r="R169" s="750"/>
      <c r="S169" s="750"/>
      <c r="T169" s="905"/>
      <c r="U169" s="757"/>
      <c r="V169" s="757" t="str">
        <f>_xlfn.XLOOKUP(Table3[[#This Row],[RE Developer]],[2]GEA!$B:$B,[2]GEA!$K:$K,"",0,1)</f>
        <v>-</v>
      </c>
      <c r="W169" s="757"/>
      <c r="X169" s="757"/>
      <c r="Y169" s="905"/>
      <c r="Z169" s="905">
        <f>Table3[[#This Row],[Valid from]]+364</f>
        <v>364</v>
      </c>
      <c r="AA169" s="928" t="str">
        <f>_xlfn.XLOOKUP(Table3[[#This Row],[RE Developer]],[2]GEA!$B:$B,[2]GEA!$M:$M,"",0,1)</f>
        <v>-</v>
      </c>
      <c r="AB169" s="750"/>
      <c r="AC169" s="905"/>
      <c r="AD169" s="905"/>
      <c r="AE169" s="905"/>
      <c r="AF169" s="905"/>
      <c r="AG169" s="905"/>
      <c r="AH169" s="905"/>
    </row>
    <row r="170" spans="1:34" hidden="1" x14ac:dyDescent="0.25">
      <c r="A170" s="755" t="str">
        <f>VLOOKUP(Table3[[#This Row],[Location]],location!A:B,2,FALSE)</f>
        <v>Visayas</v>
      </c>
      <c r="B170" s="755" t="s">
        <v>1035</v>
      </c>
      <c r="C170" s="755" t="s">
        <v>1228</v>
      </c>
      <c r="D170" s="755">
        <v>167</v>
      </c>
      <c r="E170" s="750" t="s">
        <v>1452</v>
      </c>
      <c r="F170" s="750" t="s">
        <v>1440</v>
      </c>
      <c r="G170" s="750" t="s">
        <v>1565</v>
      </c>
      <c r="H170" s="755" t="str">
        <f t="shared" si="0"/>
        <v>Negros Occidental</v>
      </c>
      <c r="I170" s="928"/>
      <c r="J170" s="859">
        <v>43.41</v>
      </c>
      <c r="K170" s="931" t="str">
        <f>VLOOKUP(Table3[[#This Row],[Technology]],'GEA Reports'!$A$192:$M$202,11,FALSE)</f>
        <v>4.4832​</v>
      </c>
      <c r="L170" s="756">
        <v>4.3855000000000004</v>
      </c>
      <c r="M170" s="758"/>
      <c r="N170" s="757">
        <v>46387</v>
      </c>
      <c r="O170" s="758"/>
      <c r="P170" s="758"/>
      <c r="Q170" s="758"/>
      <c r="R170" s="750"/>
      <c r="S170" s="750"/>
      <c r="T170" s="905"/>
      <c r="U170" s="757"/>
      <c r="V170" s="757" t="str">
        <f>_xlfn.XLOOKUP(Table3[[#This Row],[RE Developer]],[2]GEA!$B:$B,[2]GEA!$K:$K,"",0,1)</f>
        <v>-</v>
      </c>
      <c r="W170" s="757"/>
      <c r="X170" s="757"/>
      <c r="Y170" s="905"/>
      <c r="Z170" s="905">
        <f>Table3[[#This Row],[Valid from]]+364</f>
        <v>364</v>
      </c>
      <c r="AA170" s="928" t="str">
        <f>_xlfn.XLOOKUP(Table3[[#This Row],[RE Developer]],[2]GEA!$B:$B,[2]GEA!$M:$M,"",0,1)</f>
        <v>-</v>
      </c>
      <c r="AB170" s="750"/>
      <c r="AC170" s="905"/>
      <c r="AD170" s="905"/>
      <c r="AE170" s="905"/>
      <c r="AF170" s="905"/>
      <c r="AG170" s="905"/>
      <c r="AH170" s="905"/>
    </row>
    <row r="171" spans="1:34" hidden="1" x14ac:dyDescent="0.25">
      <c r="A171" s="755" t="str">
        <f>VLOOKUP(Table3[[#This Row],[Location]],location!A:B,2,FALSE)</f>
        <v>Luzon</v>
      </c>
      <c r="B171" s="755" t="s">
        <v>1139</v>
      </c>
      <c r="C171" s="755" t="s">
        <v>1228</v>
      </c>
      <c r="D171" s="755">
        <v>168</v>
      </c>
      <c r="E171" s="750" t="s">
        <v>1455</v>
      </c>
      <c r="F171" s="750" t="s">
        <v>1450</v>
      </c>
      <c r="G171" s="750" t="s">
        <v>1566</v>
      </c>
      <c r="H171" s="755" t="s">
        <v>1029</v>
      </c>
      <c r="I171" s="928"/>
      <c r="J171" s="859">
        <v>230</v>
      </c>
      <c r="K171" s="931" t="str">
        <f>VLOOKUP("*onshore*",'GEA Reports'!$A$192:$M$202,11,FALSE)</f>
        <v>6.0859​</v>
      </c>
      <c r="L171" s="756">
        <v>5.95</v>
      </c>
      <c r="M171" s="758"/>
      <c r="N171" s="757">
        <v>46387</v>
      </c>
      <c r="O171" s="758"/>
      <c r="P171" s="758"/>
      <c r="Q171" s="758"/>
      <c r="R171" s="750"/>
      <c r="S171" s="750"/>
      <c r="T171" s="905"/>
      <c r="U171" s="757"/>
      <c r="V171" s="757" t="str">
        <f>_xlfn.XLOOKUP(Table3[[#This Row],[RE Developer]],[2]GEA!$B:$B,[2]GEA!$K:$K,"",0,1)</f>
        <v>-</v>
      </c>
      <c r="W171" s="757"/>
      <c r="X171" s="757"/>
      <c r="Y171" s="905"/>
      <c r="Z171" s="905">
        <f>Table3[[#This Row],[Valid from]]+364</f>
        <v>364</v>
      </c>
      <c r="AA171" s="928" t="str">
        <f>_xlfn.XLOOKUP(Table3[[#This Row],[RE Developer]],[2]GEA!$B:$B,[2]GEA!$M:$M,"",0,1)</f>
        <v>-</v>
      </c>
      <c r="AB171" s="750"/>
      <c r="AC171" s="905"/>
      <c r="AD171" s="905"/>
      <c r="AE171" s="905"/>
      <c r="AF171" s="905"/>
      <c r="AG171" s="905"/>
      <c r="AH171" s="905"/>
    </row>
    <row r="172" spans="1:34" hidden="1" x14ac:dyDescent="0.25">
      <c r="A172" s="755" t="str">
        <f>VLOOKUP(Table3[[#This Row],[Location]],location!A:B,2,FALSE)</f>
        <v>Luzon</v>
      </c>
      <c r="B172" s="755" t="s">
        <v>1139</v>
      </c>
      <c r="C172" s="755" t="s">
        <v>1228</v>
      </c>
      <c r="D172" s="755">
        <v>169</v>
      </c>
      <c r="E172" s="750" t="s">
        <v>1351</v>
      </c>
      <c r="F172" s="750" t="s">
        <v>1027</v>
      </c>
      <c r="G172" s="750" t="s">
        <v>1567</v>
      </c>
      <c r="H172" s="755" t="s">
        <v>1029</v>
      </c>
      <c r="I172" s="928"/>
      <c r="J172" s="859">
        <v>100.8</v>
      </c>
      <c r="K172" s="931" t="str">
        <f>VLOOKUP("*onshore*",'GEA Reports'!$A$192:$M$202,11,FALSE)</f>
        <v>6.0859​</v>
      </c>
      <c r="L172" s="756">
        <v>5.99</v>
      </c>
      <c r="M172" s="758"/>
      <c r="N172" s="757">
        <v>46387</v>
      </c>
      <c r="O172" s="758"/>
      <c r="P172" s="758"/>
      <c r="Q172" s="758"/>
      <c r="R172" s="750"/>
      <c r="S172" s="750"/>
      <c r="T172" s="905"/>
      <c r="U172" s="757"/>
      <c r="V172" s="757" t="str">
        <f>_xlfn.XLOOKUP(Table3[[#This Row],[RE Developer]],[2]GEA!$B:$B,[2]GEA!$K:$K,"",0,1)</f>
        <v>-</v>
      </c>
      <c r="W172" s="757"/>
      <c r="X172" s="757"/>
      <c r="Y172" s="905"/>
      <c r="Z172" s="905">
        <f>Table3[[#This Row],[Valid from]]+364</f>
        <v>364</v>
      </c>
      <c r="AA172" s="928" t="str">
        <f>_xlfn.XLOOKUP(Table3[[#This Row],[RE Developer]],[2]GEA!$B:$B,[2]GEA!$M:$M,"",0,1)</f>
        <v>-</v>
      </c>
      <c r="AB172" s="750"/>
      <c r="AC172" s="905"/>
      <c r="AD172" s="905"/>
      <c r="AE172" s="905"/>
      <c r="AF172" s="905"/>
      <c r="AG172" s="905"/>
      <c r="AH172" s="905"/>
    </row>
    <row r="173" spans="1:34" hidden="1" x14ac:dyDescent="0.25">
      <c r="A173" s="755" t="str">
        <f>VLOOKUP(Table3[[#This Row],[Location]],location!A:B,2,FALSE)</f>
        <v>Luzon</v>
      </c>
      <c r="B173" s="755" t="s">
        <v>1139</v>
      </c>
      <c r="C173" s="755" t="s">
        <v>1228</v>
      </c>
      <c r="D173" s="755">
        <v>170</v>
      </c>
      <c r="E173" s="750" t="s">
        <v>1539</v>
      </c>
      <c r="F173" s="750" t="s">
        <v>1353</v>
      </c>
      <c r="G173" s="750" t="s">
        <v>1568</v>
      </c>
      <c r="H173" s="755" t="s">
        <v>1203</v>
      </c>
      <c r="I173" s="928"/>
      <c r="J173" s="859">
        <v>49.99</v>
      </c>
      <c r="K173" s="931" t="str">
        <f>VLOOKUP("*onshore*",'GEA Reports'!$A$192:$M$202,11,FALSE)</f>
        <v>6.0859​</v>
      </c>
      <c r="L173" s="756">
        <v>6.0559000000000003</v>
      </c>
      <c r="M173" s="758"/>
      <c r="N173" s="757">
        <v>46387</v>
      </c>
      <c r="O173" s="758"/>
      <c r="P173" s="758"/>
      <c r="Q173" s="758"/>
      <c r="R173" s="750"/>
      <c r="S173" s="750"/>
      <c r="T173" s="905"/>
      <c r="U173" s="757"/>
      <c r="V173" s="757" t="str">
        <f>_xlfn.XLOOKUP(Table3[[#This Row],[RE Developer]],[2]GEA!$B:$B,[2]GEA!$K:$K,"",0,1)</f>
        <v/>
      </c>
      <c r="W173" s="757"/>
      <c r="X173" s="757"/>
      <c r="Y173" s="905"/>
      <c r="Z173" s="905">
        <f>Table3[[#This Row],[Valid from]]+364</f>
        <v>364</v>
      </c>
      <c r="AA173" s="928" t="str">
        <f>_xlfn.XLOOKUP(Table3[[#This Row],[RE Developer]],[2]GEA!$B:$B,[2]GEA!$M:$M,"",0,1)</f>
        <v/>
      </c>
      <c r="AB173" s="750"/>
      <c r="AC173" s="905"/>
      <c r="AD173" s="905"/>
      <c r="AE173" s="905"/>
      <c r="AF173" s="905"/>
      <c r="AG173" s="905"/>
      <c r="AH173" s="905"/>
    </row>
    <row r="174" spans="1:34" hidden="1" x14ac:dyDescent="0.25">
      <c r="A174" s="755" t="str">
        <f>VLOOKUP(Table3[[#This Row],[Location]],location!A:B,2,FALSE)</f>
        <v>Luzon</v>
      </c>
      <c r="B174" s="755" t="s">
        <v>1035</v>
      </c>
      <c r="C174" s="755" t="s">
        <v>1228</v>
      </c>
      <c r="D174" s="755">
        <v>171</v>
      </c>
      <c r="E174" s="750" t="s">
        <v>1251</v>
      </c>
      <c r="F174" s="750" t="s">
        <v>1300</v>
      </c>
      <c r="G174" s="750" t="s">
        <v>1569</v>
      </c>
      <c r="H174" s="755" t="str">
        <f t="shared" si="0"/>
        <v>Isabela</v>
      </c>
      <c r="I174" s="928"/>
      <c r="J174" s="859">
        <v>270</v>
      </c>
      <c r="K174" s="931" t="str">
        <f>VLOOKUP(Table3[[#This Row],[Technology]],'GEA Reports'!$A$192:$M$202,11,FALSE)</f>
        <v>4.4832​</v>
      </c>
      <c r="L174" s="756">
        <v>3.7507999999999999</v>
      </c>
      <c r="M174" s="758"/>
      <c r="N174" s="757">
        <v>46388</v>
      </c>
      <c r="O174" s="758"/>
      <c r="P174" s="758"/>
      <c r="Q174" s="758"/>
      <c r="R174" s="750"/>
      <c r="S174" s="750"/>
      <c r="T174" s="905"/>
      <c r="U174" s="757"/>
      <c r="V174" s="757" t="str">
        <f>_xlfn.XLOOKUP(Table3[[#This Row],[RE Developer]],[2]GEA!$B:$B,[2]GEA!$K:$K,"",0,1)</f>
        <v>-</v>
      </c>
      <c r="W174" s="757"/>
      <c r="X174" s="757"/>
      <c r="Y174" s="905"/>
      <c r="Z174" s="905">
        <f>Table3[[#This Row],[Valid from]]+364</f>
        <v>364</v>
      </c>
      <c r="AA174" s="928" t="str">
        <f>_xlfn.XLOOKUP(Table3[[#This Row],[RE Developer]],[2]GEA!$B:$B,[2]GEA!$M:$M,"",0,1)</f>
        <v>-</v>
      </c>
      <c r="AB174" s="750"/>
      <c r="AC174" s="905"/>
      <c r="AD174" s="905"/>
      <c r="AE174" s="905"/>
      <c r="AF174" s="905"/>
      <c r="AG174" s="905"/>
      <c r="AH174" s="905"/>
    </row>
    <row r="175" spans="1:34" hidden="1" x14ac:dyDescent="0.25">
      <c r="A175" s="755" t="str">
        <f>VLOOKUP(Table3[[#This Row],[Location]],location!A:B,2,FALSE)</f>
        <v>Mindanao</v>
      </c>
      <c r="B175" s="755" t="s">
        <v>1035</v>
      </c>
      <c r="C175" s="755" t="s">
        <v>1228</v>
      </c>
      <c r="D175" s="755">
        <v>172</v>
      </c>
      <c r="E175" s="750" t="s">
        <v>1251</v>
      </c>
      <c r="F175" s="750" t="s">
        <v>1310</v>
      </c>
      <c r="G175" s="750" t="s">
        <v>1559</v>
      </c>
      <c r="H175" s="755" t="str">
        <f t="shared" si="0"/>
        <v>Davao Occidental</v>
      </c>
      <c r="I175" s="928"/>
      <c r="J175" s="859">
        <v>27</v>
      </c>
      <c r="K175" s="931" t="str">
        <f>VLOOKUP(Table3[[#This Row],[Technology]],'GEA Reports'!$A$192:$M$202,11,FALSE)</f>
        <v>4.4832​</v>
      </c>
      <c r="L175" s="756">
        <v>3.9533</v>
      </c>
      <c r="M175" s="758"/>
      <c r="N175" s="757">
        <v>46388</v>
      </c>
      <c r="O175" s="758"/>
      <c r="P175" s="758"/>
      <c r="Q175" s="758"/>
      <c r="R175" s="750"/>
      <c r="S175" s="750"/>
      <c r="T175" s="905"/>
      <c r="U175" s="757"/>
      <c r="V175" s="757" t="str">
        <f>_xlfn.XLOOKUP(Table3[[#This Row],[RE Developer]],[2]GEA!$B:$B,[2]GEA!$K:$K,"",0,1)</f>
        <v>-</v>
      </c>
      <c r="W175" s="757"/>
      <c r="X175" s="757"/>
      <c r="Y175" s="905"/>
      <c r="Z175" s="905">
        <f>Table3[[#This Row],[Valid from]]+364</f>
        <v>364</v>
      </c>
      <c r="AA175" s="928" t="str">
        <f>_xlfn.XLOOKUP(Table3[[#This Row],[RE Developer]],[2]GEA!$B:$B,[2]GEA!$M:$M,"",0,1)</f>
        <v>-</v>
      </c>
      <c r="AB175" s="750"/>
      <c r="AC175" s="905"/>
      <c r="AD175" s="905"/>
      <c r="AE175" s="905"/>
      <c r="AF175" s="905"/>
      <c r="AG175" s="905"/>
      <c r="AH175" s="905"/>
    </row>
    <row r="176" spans="1:34" hidden="1" x14ac:dyDescent="0.25">
      <c r="A176" s="755" t="str">
        <f>VLOOKUP(Table3[[#This Row],[Location]],location!A:B,2,FALSE)</f>
        <v>Mindanao</v>
      </c>
      <c r="B176" s="755" t="s">
        <v>1035</v>
      </c>
      <c r="C176" s="755" t="s">
        <v>1228</v>
      </c>
      <c r="D176" s="755">
        <v>173</v>
      </c>
      <c r="E176" s="750" t="s">
        <v>1312</v>
      </c>
      <c r="F176" s="750" t="s">
        <v>1311</v>
      </c>
      <c r="G176" s="750" t="s">
        <v>1570</v>
      </c>
      <c r="H176" s="755" t="str">
        <f t="shared" si="0"/>
        <v>Sarangani</v>
      </c>
      <c r="I176" s="928"/>
      <c r="J176" s="859">
        <v>30</v>
      </c>
      <c r="K176" s="931" t="str">
        <f>VLOOKUP(Table3[[#This Row],[Technology]],'GEA Reports'!$A$192:$M$202,11,FALSE)</f>
        <v>4.4832​</v>
      </c>
      <c r="L176" s="756">
        <v>4.2843</v>
      </c>
      <c r="M176" s="758"/>
      <c r="N176" s="757">
        <v>46660</v>
      </c>
      <c r="O176" s="758"/>
      <c r="P176" s="758"/>
      <c r="Q176" s="758"/>
      <c r="R176" s="750"/>
      <c r="S176" s="750"/>
      <c r="T176" s="905"/>
      <c r="U176" s="757"/>
      <c r="V176" s="757" t="str">
        <f>_xlfn.XLOOKUP(Table3[[#This Row],[RE Developer]],[2]GEA!$B:$B,[2]GEA!$K:$K,"",0,1)</f>
        <v>-</v>
      </c>
      <c r="W176" s="757"/>
      <c r="X176" s="757"/>
      <c r="Y176" s="905"/>
      <c r="Z176" s="905">
        <f>Table3[[#This Row],[Valid from]]+364</f>
        <v>364</v>
      </c>
      <c r="AA176" s="928" t="str">
        <f>_xlfn.XLOOKUP(Table3[[#This Row],[RE Developer]],[2]GEA!$B:$B,[2]GEA!$M:$M,"",0,1)</f>
        <v>-</v>
      </c>
      <c r="AB176" s="750"/>
      <c r="AC176" s="905"/>
      <c r="AD176" s="905"/>
      <c r="AE176" s="905"/>
      <c r="AF176" s="905"/>
      <c r="AG176" s="905"/>
      <c r="AH176" s="905"/>
    </row>
    <row r="177" spans="1:34" hidden="1" x14ac:dyDescent="0.25">
      <c r="A177" s="755" t="str">
        <f>VLOOKUP(Table3[[#This Row],[Location]],location!A:B,2,FALSE)</f>
        <v>Luzon</v>
      </c>
      <c r="B177" s="755" t="s">
        <v>1139</v>
      </c>
      <c r="C177" s="755" t="s">
        <v>1228</v>
      </c>
      <c r="D177" s="755">
        <v>174</v>
      </c>
      <c r="E177" s="750" t="s">
        <v>1540</v>
      </c>
      <c r="F177" s="750" t="s">
        <v>1357</v>
      </c>
      <c r="G177" s="750" t="s">
        <v>1571</v>
      </c>
      <c r="H177" s="755" t="s">
        <v>1029</v>
      </c>
      <c r="I177" s="928"/>
      <c r="J177" s="859">
        <v>208</v>
      </c>
      <c r="K177" s="931" t="str">
        <f>VLOOKUP("*onshore*",'GEA Reports'!$A$192:$M$202,11,FALSE)</f>
        <v>6.0859​</v>
      </c>
      <c r="L177" s="756">
        <v>5.4999000000000002</v>
      </c>
      <c r="M177" s="758"/>
      <c r="N177" s="757">
        <v>46722</v>
      </c>
      <c r="O177" s="758"/>
      <c r="P177" s="758"/>
      <c r="Q177" s="758"/>
      <c r="R177" s="750"/>
      <c r="S177" s="750"/>
      <c r="T177" s="905"/>
      <c r="U177" s="757"/>
      <c r="V177" s="757" t="str">
        <f>_xlfn.XLOOKUP(Table3[[#This Row],[RE Developer]],[2]GEA!$B:$B,[2]GEA!$K:$K,"",0,1)</f>
        <v/>
      </c>
      <c r="W177" s="757"/>
      <c r="X177" s="757"/>
      <c r="Y177" s="905"/>
      <c r="Z177" s="905">
        <f>Table3[[#This Row],[Valid from]]+364</f>
        <v>364</v>
      </c>
      <c r="AA177" s="928" t="str">
        <f>_xlfn.XLOOKUP(Table3[[#This Row],[RE Developer]],[2]GEA!$B:$B,[2]GEA!$M:$M,"",0,1)</f>
        <v/>
      </c>
      <c r="AB177" s="750"/>
      <c r="AC177" s="905"/>
      <c r="AD177" s="905"/>
      <c r="AE177" s="905"/>
      <c r="AF177" s="905"/>
      <c r="AG177" s="905"/>
      <c r="AH177" s="905"/>
    </row>
    <row r="178" spans="1:34" hidden="1" x14ac:dyDescent="0.25">
      <c r="A178" s="755" t="str">
        <f>VLOOKUP(Table3[[#This Row],[Location]],location!A:B,2,FALSE)</f>
        <v>Luzon</v>
      </c>
      <c r="B178" s="755" t="s">
        <v>1035</v>
      </c>
      <c r="C178" s="755" t="s">
        <v>1228</v>
      </c>
      <c r="D178" s="755">
        <v>175</v>
      </c>
      <c r="E178" s="750" t="s">
        <v>1303</v>
      </c>
      <c r="F178" s="750" t="s">
        <v>1529</v>
      </c>
      <c r="G178" s="750" t="s">
        <v>1572</v>
      </c>
      <c r="H178" s="755" t="s">
        <v>1211</v>
      </c>
      <c r="I178" s="928"/>
      <c r="J178" s="859">
        <v>11.84</v>
      </c>
      <c r="K178" s="931" t="str">
        <f>VLOOKUP(Table3[[#This Row],[Technology]],'GEA Reports'!$A$192:$M$202,11,FALSE)</f>
        <v>4.4832​</v>
      </c>
      <c r="L178" s="756">
        <v>4.0979999999999999</v>
      </c>
      <c r="M178" s="758"/>
      <c r="N178" s="757">
        <v>46726</v>
      </c>
      <c r="O178" s="758"/>
      <c r="P178" s="758"/>
      <c r="Q178" s="758"/>
      <c r="R178" s="750"/>
      <c r="S178" s="750"/>
      <c r="T178" s="905"/>
      <c r="U178" s="757"/>
      <c r="V178" s="757" t="str">
        <f>_xlfn.XLOOKUP(Table3[[#This Row],[RE Developer]],[2]GEA!$B:$B,[2]GEA!$K:$K,"",0,1)</f>
        <v>-</v>
      </c>
      <c r="W178" s="757"/>
      <c r="X178" s="757"/>
      <c r="Y178" s="905"/>
      <c r="Z178" s="905">
        <f>Table3[[#This Row],[Valid from]]+364</f>
        <v>364</v>
      </c>
      <c r="AA178" s="928" t="str">
        <f>_xlfn.XLOOKUP(Table3[[#This Row],[RE Developer]],[2]GEA!$B:$B,[2]GEA!$M:$M,"",0,1)</f>
        <v>-</v>
      </c>
      <c r="AB178" s="750"/>
      <c r="AC178" s="905"/>
      <c r="AD178" s="905"/>
      <c r="AE178" s="905"/>
      <c r="AF178" s="905"/>
      <c r="AG178" s="905"/>
      <c r="AH178" s="905"/>
    </row>
    <row r="179" spans="1:34" hidden="1" x14ac:dyDescent="0.25">
      <c r="A179" s="755" t="str">
        <f>VLOOKUP(Table3[[#This Row],[Location]],location!A:B,2,FALSE)</f>
        <v>Visayas</v>
      </c>
      <c r="B179" s="755" t="s">
        <v>1035</v>
      </c>
      <c r="C179" s="755" t="s">
        <v>1228</v>
      </c>
      <c r="D179" s="755">
        <v>176</v>
      </c>
      <c r="E179" s="750" t="s">
        <v>1308</v>
      </c>
      <c r="F179" s="750" t="s">
        <v>1307</v>
      </c>
      <c r="G179" s="750" t="s">
        <v>1573</v>
      </c>
      <c r="H179" s="755" t="str">
        <f t="shared" si="0"/>
        <v>Negros Oriental</v>
      </c>
      <c r="I179" s="928"/>
      <c r="J179" s="859">
        <v>50</v>
      </c>
      <c r="K179" s="931" t="str">
        <f>VLOOKUP(Table3[[#This Row],[Technology]],'GEA Reports'!$A$192:$M$202,11,FALSE)</f>
        <v>4.4832​</v>
      </c>
      <c r="L179" s="756">
        <v>4.3499999999999996</v>
      </c>
      <c r="M179" s="758"/>
      <c r="N179" s="757">
        <v>46733</v>
      </c>
      <c r="O179" s="758"/>
      <c r="P179" s="758"/>
      <c r="Q179" s="758"/>
      <c r="R179" s="750"/>
      <c r="S179" s="750"/>
      <c r="T179" s="905"/>
      <c r="U179" s="757"/>
      <c r="V179" s="757" t="str">
        <f>_xlfn.XLOOKUP(Table3[[#This Row],[RE Developer]],[2]GEA!$B:$B,[2]GEA!$K:$K,"",0,1)</f>
        <v>-</v>
      </c>
      <c r="W179" s="757"/>
      <c r="X179" s="757"/>
      <c r="Y179" s="905"/>
      <c r="Z179" s="905">
        <f>Table3[[#This Row],[Valid from]]+364</f>
        <v>364</v>
      </c>
      <c r="AA179" s="928" t="str">
        <f>_xlfn.XLOOKUP(Table3[[#This Row],[RE Developer]],[2]GEA!$B:$B,[2]GEA!$M:$M,"",0,1)</f>
        <v>-</v>
      </c>
      <c r="AB179" s="750"/>
      <c r="AC179" s="905"/>
      <c r="AD179" s="905"/>
      <c r="AE179" s="905"/>
      <c r="AF179" s="905"/>
      <c r="AG179" s="905"/>
      <c r="AH179" s="905"/>
    </row>
    <row r="180" spans="1:34" hidden="1" x14ac:dyDescent="0.25">
      <c r="A180" s="755" t="str">
        <f>VLOOKUP(Table3[[#This Row],[Location]],location!A:B,2,FALSE)</f>
        <v>Luzon</v>
      </c>
      <c r="B180" s="755" t="s">
        <v>1139</v>
      </c>
      <c r="C180" s="755" t="s">
        <v>1228</v>
      </c>
      <c r="D180" s="755">
        <v>177</v>
      </c>
      <c r="E180" s="750" t="s">
        <v>1356</v>
      </c>
      <c r="F180" s="750" t="s">
        <v>1355</v>
      </c>
      <c r="G180" s="750" t="s">
        <v>1574</v>
      </c>
      <c r="H180" s="755" t="s">
        <v>1008</v>
      </c>
      <c r="I180" s="928"/>
      <c r="J180" s="859">
        <v>49.5</v>
      </c>
      <c r="K180" s="931" t="str">
        <f>VLOOKUP("*onshore*",'GEA Reports'!$A$192:$M$202,11,FALSE)</f>
        <v>6.0859​</v>
      </c>
      <c r="L180" s="756">
        <v>5.3887999999999998</v>
      </c>
      <c r="M180" s="758"/>
      <c r="N180" s="757">
        <v>46746</v>
      </c>
      <c r="O180" s="758"/>
      <c r="P180" s="758"/>
      <c r="Q180" s="758"/>
      <c r="R180" s="750"/>
      <c r="S180" s="750"/>
      <c r="T180" s="905"/>
      <c r="U180" s="757"/>
      <c r="V180" s="757" t="str">
        <f>_xlfn.XLOOKUP(Table3[[#This Row],[RE Developer]],[2]GEA!$B:$B,[2]GEA!$K:$K,"",0,1)</f>
        <v>-</v>
      </c>
      <c r="W180" s="757"/>
      <c r="X180" s="757"/>
      <c r="Y180" s="905"/>
      <c r="Z180" s="905">
        <f>Table3[[#This Row],[Valid from]]+364</f>
        <v>364</v>
      </c>
      <c r="AA180" s="928" t="str">
        <f>_xlfn.XLOOKUP(Table3[[#This Row],[RE Developer]],[2]GEA!$B:$B,[2]GEA!$M:$M,"",0,1)</f>
        <v>-</v>
      </c>
      <c r="AB180" s="750"/>
      <c r="AC180" s="905"/>
      <c r="AD180" s="905"/>
      <c r="AE180" s="905"/>
      <c r="AF180" s="905"/>
      <c r="AG180" s="905"/>
      <c r="AH180" s="905"/>
    </row>
    <row r="181" spans="1:34" hidden="1" x14ac:dyDescent="0.25">
      <c r="A181" s="755" t="str">
        <f>VLOOKUP(Table3[[#This Row],[Location]],location!A:B,2,FALSE)</f>
        <v>Luzon</v>
      </c>
      <c r="B181" s="755" t="s">
        <v>1334</v>
      </c>
      <c r="C181" s="755" t="s">
        <v>1228</v>
      </c>
      <c r="D181" s="755">
        <v>178</v>
      </c>
      <c r="E181" s="750" t="s">
        <v>1267</v>
      </c>
      <c r="F181" s="750" t="s">
        <v>1337</v>
      </c>
      <c r="G181" s="750" t="s">
        <v>1551</v>
      </c>
      <c r="H181" s="755" t="str">
        <f t="shared" si="0"/>
        <v>Batangas</v>
      </c>
      <c r="I181" s="928"/>
      <c r="J181" s="859">
        <v>50</v>
      </c>
      <c r="K181" s="931" t="str">
        <f>VLOOKUP(Table3[[#This Row],[Technology]],'GEA Reports'!$A$192:$M$202,11,FALSE)</f>
        <v>5.4028​</v>
      </c>
      <c r="L181" s="756">
        <v>4.9999000000000002</v>
      </c>
      <c r="M181" s="758"/>
      <c r="N181" s="757">
        <v>46747</v>
      </c>
      <c r="O181" s="758"/>
      <c r="P181" s="758"/>
      <c r="Q181" s="758"/>
      <c r="R181" s="750"/>
      <c r="S181" s="750"/>
      <c r="T181" s="905"/>
      <c r="U181" s="757"/>
      <c r="V181" s="757" t="str">
        <f>_xlfn.XLOOKUP(Table3[[#This Row],[RE Developer]],[2]GEA!$B:$B,[2]GEA!$K:$K,"",0,1)</f>
        <v>-</v>
      </c>
      <c r="W181" s="757"/>
      <c r="X181" s="757"/>
      <c r="Y181" s="905"/>
      <c r="Z181" s="905">
        <f>Table3[[#This Row],[Valid from]]+364</f>
        <v>364</v>
      </c>
      <c r="AA181" s="928" t="str">
        <f>_xlfn.XLOOKUP(Table3[[#This Row],[RE Developer]],[2]GEA!$B:$B,[2]GEA!$M:$M,"",0,1)</f>
        <v>-</v>
      </c>
      <c r="AB181" s="750"/>
      <c r="AC181" s="905"/>
      <c r="AD181" s="905"/>
      <c r="AE181" s="905"/>
      <c r="AF181" s="905"/>
      <c r="AG181" s="905"/>
      <c r="AH181" s="905"/>
    </row>
    <row r="182" spans="1:34" hidden="1" x14ac:dyDescent="0.25">
      <c r="A182" s="755" t="str">
        <f>VLOOKUP(Table3[[#This Row],[Location]],location!A:B,2,FALSE)</f>
        <v>Visayas</v>
      </c>
      <c r="B182" s="755" t="s">
        <v>1334</v>
      </c>
      <c r="C182" s="755" t="s">
        <v>1228</v>
      </c>
      <c r="D182" s="755">
        <v>179</v>
      </c>
      <c r="E182" s="750" t="s">
        <v>1339</v>
      </c>
      <c r="F182" s="750" t="s">
        <v>1338</v>
      </c>
      <c r="G182" s="750" t="s">
        <v>1575</v>
      </c>
      <c r="H182" s="755" t="str">
        <f t="shared" si="0"/>
        <v>Iloilo</v>
      </c>
      <c r="I182" s="928"/>
      <c r="J182" s="859">
        <v>67</v>
      </c>
      <c r="K182" s="931" t="str">
        <f>VLOOKUP(Table3[[#This Row],[Technology]],'GEA Reports'!$A$192:$M$202,11,FALSE)</f>
        <v>5.4028​</v>
      </c>
      <c r="L182" s="756">
        <v>4.3194999999999997</v>
      </c>
      <c r="M182" s="758"/>
      <c r="N182" s="757">
        <v>46747</v>
      </c>
      <c r="O182" s="758"/>
      <c r="P182" s="758"/>
      <c r="Q182" s="758"/>
      <c r="R182" s="750"/>
      <c r="S182" s="750"/>
      <c r="T182" s="905"/>
      <c r="U182" s="757"/>
      <c r="V182" s="757" t="str">
        <f>_xlfn.XLOOKUP(Table3[[#This Row],[RE Developer]],[2]GEA!$B:$B,[2]GEA!$K:$K,"",0,1)</f>
        <v>-</v>
      </c>
      <c r="W182" s="757"/>
      <c r="X182" s="757"/>
      <c r="Y182" s="905"/>
      <c r="Z182" s="905">
        <f>Table3[[#This Row],[Valid from]]+364</f>
        <v>364</v>
      </c>
      <c r="AA182" s="928" t="str">
        <f>_xlfn.XLOOKUP(Table3[[#This Row],[RE Developer]],[2]GEA!$B:$B,[2]GEA!$M:$M,"",0,1)</f>
        <v>-</v>
      </c>
      <c r="AB182" s="750"/>
      <c r="AC182" s="905"/>
      <c r="AD182" s="905"/>
      <c r="AE182" s="905"/>
      <c r="AF182" s="905"/>
      <c r="AG182" s="905"/>
      <c r="AH182" s="905"/>
    </row>
    <row r="183" spans="1:34" hidden="1" x14ac:dyDescent="0.25">
      <c r="A183" s="755" t="str">
        <f>VLOOKUP(Table3[[#This Row],[Location]],location!A:B,2,FALSE)</f>
        <v>Visayas</v>
      </c>
      <c r="B183" s="755" t="s">
        <v>1334</v>
      </c>
      <c r="C183" s="755" t="s">
        <v>1228</v>
      </c>
      <c r="D183" s="755">
        <v>180</v>
      </c>
      <c r="E183" s="750" t="s">
        <v>1267</v>
      </c>
      <c r="F183" s="750" t="s">
        <v>1340</v>
      </c>
      <c r="G183" s="750" t="s">
        <v>1553</v>
      </c>
      <c r="H183" s="755" t="str">
        <f t="shared" si="0"/>
        <v>Negros Occidental</v>
      </c>
      <c r="I183" s="928"/>
      <c r="J183" s="859">
        <v>38</v>
      </c>
      <c r="K183" s="931" t="str">
        <f>VLOOKUP(Table3[[#This Row],[Technology]],'GEA Reports'!$A$192:$M$202,11,FALSE)</f>
        <v>5.4028​</v>
      </c>
      <c r="L183" s="756">
        <v>4.9999000000000002</v>
      </c>
      <c r="M183" s="758"/>
      <c r="N183" s="757">
        <v>46747</v>
      </c>
      <c r="O183" s="758"/>
      <c r="P183" s="758"/>
      <c r="Q183" s="758"/>
      <c r="R183" s="750"/>
      <c r="S183" s="750"/>
      <c r="T183" s="905"/>
      <c r="U183" s="757"/>
      <c r="V183" s="757" t="str">
        <f>_xlfn.XLOOKUP(Table3[[#This Row],[RE Developer]],[2]GEA!$B:$B,[2]GEA!$K:$K,"",0,1)</f>
        <v>-</v>
      </c>
      <c r="W183" s="757"/>
      <c r="X183" s="757"/>
      <c r="Y183" s="905"/>
      <c r="Z183" s="905">
        <f>Table3[[#This Row],[Valid from]]+364</f>
        <v>364</v>
      </c>
      <c r="AA183" s="928" t="str">
        <f>_xlfn.XLOOKUP(Table3[[#This Row],[RE Developer]],[2]GEA!$B:$B,[2]GEA!$M:$M,"",0,1)</f>
        <v>-</v>
      </c>
      <c r="AB183" s="750"/>
      <c r="AC183" s="905"/>
      <c r="AD183" s="905"/>
      <c r="AE183" s="905"/>
      <c r="AF183" s="905"/>
      <c r="AG183" s="905"/>
      <c r="AH183" s="905"/>
    </row>
    <row r="184" spans="1:34" hidden="1" x14ac:dyDescent="0.25">
      <c r="A184" s="755" t="str">
        <f>VLOOKUP(Table3[[#This Row],[Location]],location!A:B,2,FALSE)</f>
        <v>Visayas</v>
      </c>
      <c r="B184" s="755" t="s">
        <v>1139</v>
      </c>
      <c r="C184" s="755" t="s">
        <v>1228</v>
      </c>
      <c r="D184" s="755">
        <v>181</v>
      </c>
      <c r="E184" s="750" t="s">
        <v>1360</v>
      </c>
      <c r="F184" s="750" t="s">
        <v>1359</v>
      </c>
      <c r="G184" s="750" t="s">
        <v>1576</v>
      </c>
      <c r="H184" s="755" t="str">
        <f t="shared" si="0"/>
        <v>Negros Occidental</v>
      </c>
      <c r="I184" s="928"/>
      <c r="J184" s="859">
        <v>50</v>
      </c>
      <c r="K184" s="931" t="str">
        <f>VLOOKUP("*onshore*",'GEA Reports'!$A$192:$M$202,11,FALSE)</f>
        <v>6.0859​</v>
      </c>
      <c r="L184" s="756">
        <v>6.0758999999999999</v>
      </c>
      <c r="M184" s="758"/>
      <c r="N184" s="757">
        <v>46747</v>
      </c>
      <c r="O184" s="758"/>
      <c r="P184" s="758"/>
      <c r="Q184" s="758"/>
      <c r="R184" s="750"/>
      <c r="S184" s="750"/>
      <c r="T184" s="905"/>
      <c r="U184" s="757"/>
      <c r="V184" s="757" t="str">
        <f>_xlfn.XLOOKUP(Table3[[#This Row],[RE Developer]],[2]GEA!$B:$B,[2]GEA!$K:$K,"",0,1)</f>
        <v>-</v>
      </c>
      <c r="W184" s="757"/>
      <c r="X184" s="757"/>
      <c r="Y184" s="905"/>
      <c r="Z184" s="905">
        <f>Table3[[#This Row],[Valid from]]+364</f>
        <v>364</v>
      </c>
      <c r="AA184" s="928" t="str">
        <f>_xlfn.XLOOKUP(Table3[[#This Row],[RE Developer]],[2]GEA!$B:$B,[2]GEA!$M:$M,"",0,1)</f>
        <v>-</v>
      </c>
      <c r="AB184" s="750"/>
      <c r="AC184" s="905"/>
      <c r="AD184" s="905"/>
      <c r="AE184" s="905"/>
      <c r="AF184" s="905"/>
      <c r="AG184" s="905"/>
      <c r="AH184" s="905"/>
    </row>
    <row r="185" spans="1:34" hidden="1" x14ac:dyDescent="0.25">
      <c r="A185" s="755" t="str">
        <f>VLOOKUP(Table3[[#This Row],[Location]],location!A:B,2,FALSE)</f>
        <v>Luzon</v>
      </c>
      <c r="B185" s="755" t="s">
        <v>1035</v>
      </c>
      <c r="C185" s="755" t="s">
        <v>1228</v>
      </c>
      <c r="D185" s="755">
        <v>182</v>
      </c>
      <c r="E185" s="750" t="s">
        <v>1298</v>
      </c>
      <c r="F185" s="750" t="s">
        <v>1297</v>
      </c>
      <c r="G185" s="750" t="s">
        <v>1577</v>
      </c>
      <c r="H185" s="755" t="str">
        <f t="shared" si="0"/>
        <v>Quezon</v>
      </c>
      <c r="I185" s="928"/>
      <c r="J185" s="859">
        <v>50</v>
      </c>
      <c r="K185" s="931" t="str">
        <f>VLOOKUP(Table3[[#This Row],[Technology]],'GEA Reports'!$A$192:$M$202,11,FALSE)</f>
        <v>4.4832​</v>
      </c>
      <c r="L185" s="756">
        <v>3.577</v>
      </c>
      <c r="M185" s="758"/>
      <c r="N185" s="757">
        <v>46751</v>
      </c>
      <c r="O185" s="758"/>
      <c r="P185" s="758"/>
      <c r="Q185" s="758"/>
      <c r="R185" s="750"/>
      <c r="S185" s="750"/>
      <c r="T185" s="905"/>
      <c r="U185" s="757"/>
      <c r="V185" s="757" t="str">
        <f>_xlfn.XLOOKUP(Table3[[#This Row],[RE Developer]],[2]GEA!$B:$B,[2]GEA!$K:$K,"",0,1)</f>
        <v>-</v>
      </c>
      <c r="W185" s="757"/>
      <c r="X185" s="757"/>
      <c r="Y185" s="905"/>
      <c r="Z185" s="905">
        <f>Table3[[#This Row],[Valid from]]+364</f>
        <v>364</v>
      </c>
      <c r="AA185" s="928" t="str">
        <f>_xlfn.XLOOKUP(Table3[[#This Row],[RE Developer]],[2]GEA!$B:$B,[2]GEA!$M:$M,"",0,1)</f>
        <v>-</v>
      </c>
      <c r="AB185" s="750"/>
      <c r="AC185" s="905"/>
      <c r="AD185" s="905"/>
      <c r="AE185" s="905"/>
      <c r="AF185" s="905"/>
      <c r="AG185" s="905"/>
      <c r="AH185" s="905"/>
    </row>
    <row r="186" spans="1:34" hidden="1" x14ac:dyDescent="0.25">
      <c r="A186" s="755" t="str">
        <f>VLOOKUP(Table3[[#This Row],[Location]],location!A:B,2,FALSE)</f>
        <v>Luzon</v>
      </c>
      <c r="B186" s="755" t="s">
        <v>1035</v>
      </c>
      <c r="C186" s="755" t="s">
        <v>1228</v>
      </c>
      <c r="D186" s="755">
        <v>183</v>
      </c>
      <c r="E186" s="750" t="s">
        <v>1298</v>
      </c>
      <c r="F186" s="750" t="s">
        <v>1299</v>
      </c>
      <c r="G186" s="750" t="s">
        <v>1578</v>
      </c>
      <c r="H186" s="755" t="str">
        <f t="shared" si="0"/>
        <v>Quezon</v>
      </c>
      <c r="I186" s="928"/>
      <c r="J186" s="859">
        <v>68</v>
      </c>
      <c r="K186" s="931" t="str">
        <f>VLOOKUP(Table3[[#This Row],[Technology]],'GEA Reports'!$A$192:$M$202,11,FALSE)</f>
        <v>4.4832​</v>
      </c>
      <c r="L186" s="756">
        <v>3.577</v>
      </c>
      <c r="M186" s="758"/>
      <c r="N186" s="757">
        <v>46751</v>
      </c>
      <c r="O186" s="758"/>
      <c r="P186" s="758"/>
      <c r="Q186" s="758"/>
      <c r="R186" s="750"/>
      <c r="S186" s="750"/>
      <c r="T186" s="905"/>
      <c r="U186" s="757"/>
      <c r="V186" s="757" t="str">
        <f>_xlfn.XLOOKUP(Table3[[#This Row],[RE Developer]],[2]GEA!$B:$B,[2]GEA!$K:$K,"",0,1)</f>
        <v>-</v>
      </c>
      <c r="W186" s="757"/>
      <c r="X186" s="757"/>
      <c r="Y186" s="905"/>
      <c r="Z186" s="905">
        <f>Table3[[#This Row],[Valid from]]+364</f>
        <v>364</v>
      </c>
      <c r="AA186" s="928" t="str">
        <f>_xlfn.XLOOKUP(Table3[[#This Row],[RE Developer]],[2]GEA!$B:$B,[2]GEA!$M:$M,"",0,1)</f>
        <v>-</v>
      </c>
      <c r="AB186" s="750"/>
      <c r="AC186" s="905"/>
      <c r="AD186" s="905"/>
      <c r="AE186" s="905"/>
      <c r="AF186" s="905"/>
      <c r="AG186" s="905"/>
      <c r="AH186" s="905"/>
    </row>
    <row r="187" spans="1:34" hidden="1" x14ac:dyDescent="0.25">
      <c r="A187" s="755" t="str">
        <f>VLOOKUP(Table3[[#This Row],[Location]],location!A:B,2,FALSE)</f>
        <v>Visayas</v>
      </c>
      <c r="B187" s="755" t="s">
        <v>1035</v>
      </c>
      <c r="C187" s="755" t="s">
        <v>1228</v>
      </c>
      <c r="D187" s="755">
        <v>184</v>
      </c>
      <c r="E187" s="750" t="s">
        <v>1306</v>
      </c>
      <c r="F187" s="750" t="s">
        <v>1530</v>
      </c>
      <c r="G187" s="750" t="s">
        <v>1579</v>
      </c>
      <c r="H187" s="755" t="str">
        <f t="shared" si="0"/>
        <v>Iloilo</v>
      </c>
      <c r="I187" s="928"/>
      <c r="J187" s="859">
        <v>30.4</v>
      </c>
      <c r="K187" s="931" t="str">
        <f>VLOOKUP(Table3[[#This Row],[Technology]],'GEA Reports'!$A$192:$M$202,11,FALSE)</f>
        <v>4.4832​</v>
      </c>
      <c r="L187" s="756">
        <v>3.9988999999999999</v>
      </c>
      <c r="M187" s="758"/>
      <c r="N187" s="757">
        <v>46751</v>
      </c>
      <c r="O187" s="758"/>
      <c r="P187" s="758"/>
      <c r="Q187" s="758"/>
      <c r="R187" s="750"/>
      <c r="S187" s="750"/>
      <c r="T187" s="905"/>
      <c r="U187" s="757"/>
      <c r="V187" s="757" t="str">
        <f>_xlfn.XLOOKUP(Table3[[#This Row],[RE Developer]],[2]GEA!$B:$B,[2]GEA!$K:$K,"",0,1)</f>
        <v>-</v>
      </c>
      <c r="W187" s="757"/>
      <c r="X187" s="757"/>
      <c r="Y187" s="905"/>
      <c r="Z187" s="905">
        <f>Table3[[#This Row],[Valid from]]+364</f>
        <v>364</v>
      </c>
      <c r="AA187" s="928" t="str">
        <f>_xlfn.XLOOKUP(Table3[[#This Row],[RE Developer]],[2]GEA!$B:$B,[2]GEA!$M:$M,"",0,1)</f>
        <v>-</v>
      </c>
      <c r="AB187" s="750"/>
      <c r="AC187" s="905"/>
      <c r="AD187" s="905"/>
      <c r="AE187" s="905"/>
      <c r="AF187" s="905"/>
      <c r="AG187" s="905"/>
      <c r="AH187" s="905"/>
    </row>
    <row r="188" spans="1:34" hidden="1" x14ac:dyDescent="0.25">
      <c r="A188" s="755" t="str">
        <f>VLOOKUP(Table3[[#This Row],[Location]],location!A:B,2,FALSE)</f>
        <v>Visayas</v>
      </c>
      <c r="B188" s="755" t="s">
        <v>1035</v>
      </c>
      <c r="C188" s="755" t="s">
        <v>1228</v>
      </c>
      <c r="D188" s="755">
        <v>185</v>
      </c>
      <c r="E188" s="750" t="s">
        <v>1541</v>
      </c>
      <c r="F188" s="750" t="s">
        <v>1309</v>
      </c>
      <c r="G188" s="750" t="s">
        <v>1580</v>
      </c>
      <c r="H188" s="755" t="str">
        <f t="shared" si="0"/>
        <v>Leyte</v>
      </c>
      <c r="I188" s="928"/>
      <c r="J188" s="859">
        <v>150</v>
      </c>
      <c r="K188" s="931" t="str">
        <f>VLOOKUP(Table3[[#This Row],[Technology]],'GEA Reports'!$A$192:$M$202,11,FALSE)</f>
        <v>4.4832​</v>
      </c>
      <c r="L188" s="756">
        <v>4.37</v>
      </c>
      <c r="M188" s="758"/>
      <c r="N188" s="757">
        <v>46751</v>
      </c>
      <c r="O188" s="758"/>
      <c r="P188" s="758"/>
      <c r="Q188" s="758"/>
      <c r="R188" s="750"/>
      <c r="S188" s="750"/>
      <c r="T188" s="905"/>
      <c r="U188" s="757"/>
      <c r="V188" s="757" t="str">
        <f>_xlfn.XLOOKUP(Table3[[#This Row],[RE Developer]],[2]GEA!$B:$B,[2]GEA!$K:$K,"",0,1)</f>
        <v/>
      </c>
      <c r="W188" s="757"/>
      <c r="X188" s="757"/>
      <c r="Y188" s="905"/>
      <c r="Z188" s="905">
        <f>Table3[[#This Row],[Valid from]]+364</f>
        <v>364</v>
      </c>
      <c r="AA188" s="928" t="str">
        <f>_xlfn.XLOOKUP(Table3[[#This Row],[RE Developer]],[2]GEA!$B:$B,[2]GEA!$M:$M,"",0,1)</f>
        <v/>
      </c>
      <c r="AB188" s="750"/>
      <c r="AC188" s="905"/>
      <c r="AD188" s="905"/>
      <c r="AE188" s="905"/>
      <c r="AF188" s="905"/>
      <c r="AG188" s="905"/>
      <c r="AH188" s="905"/>
    </row>
    <row r="189" spans="1:34" hidden="1" x14ac:dyDescent="0.25">
      <c r="A189" s="755" t="str">
        <f>VLOOKUP(Table3[[#This Row],[Location]],location!A:B,2,FALSE)</f>
        <v>Luzon</v>
      </c>
      <c r="B189" s="755" t="s">
        <v>1062</v>
      </c>
      <c r="C189" s="755" t="s">
        <v>1228</v>
      </c>
      <c r="D189" s="755">
        <v>186</v>
      </c>
      <c r="E189" s="750" t="s">
        <v>1306</v>
      </c>
      <c r="F189" s="750" t="s">
        <v>1531</v>
      </c>
      <c r="G189" s="750" t="s">
        <v>1581</v>
      </c>
      <c r="H189" s="755" t="str">
        <f t="shared" si="0"/>
        <v>Bulacan</v>
      </c>
      <c r="I189" s="928"/>
      <c r="J189" s="859">
        <v>4.0190000000000001</v>
      </c>
      <c r="K189" s="931" t="str">
        <f>VLOOKUP("*roof*",'GEA Reports'!$A$192:$M$202,11,FALSE)</f>
        <v>5.6800​</v>
      </c>
      <c r="L189" s="756">
        <v>5.68</v>
      </c>
      <c r="M189" s="758"/>
      <c r="N189" s="757">
        <v>46751</v>
      </c>
      <c r="O189" s="758"/>
      <c r="P189" s="758"/>
      <c r="Q189" s="758"/>
      <c r="R189" s="750"/>
      <c r="S189" s="750"/>
      <c r="T189" s="905"/>
      <c r="U189" s="757"/>
      <c r="V189" s="757" t="str">
        <f>_xlfn.XLOOKUP(Table3[[#This Row],[RE Developer]],[2]GEA!$B:$B,[2]GEA!$K:$K,"",0,1)</f>
        <v>-</v>
      </c>
      <c r="W189" s="757"/>
      <c r="X189" s="757"/>
      <c r="Y189" s="905"/>
      <c r="Z189" s="905">
        <f>Table3[[#This Row],[Valid from]]+364</f>
        <v>364</v>
      </c>
      <c r="AA189" s="928" t="str">
        <f>_xlfn.XLOOKUP(Table3[[#This Row],[RE Developer]],[2]GEA!$B:$B,[2]GEA!$M:$M,"",0,1)</f>
        <v>-</v>
      </c>
      <c r="AB189" s="750"/>
      <c r="AC189" s="905"/>
      <c r="AD189" s="905"/>
      <c r="AE189" s="905"/>
      <c r="AF189" s="905"/>
      <c r="AG189" s="905"/>
      <c r="AH189" s="905"/>
    </row>
    <row r="190" spans="1:34" hidden="1" x14ac:dyDescent="0.25">
      <c r="A190" s="755" t="str">
        <f>VLOOKUP(Table3[[#This Row],[Location]],location!A:B,2,FALSE)</f>
        <v>Luzon</v>
      </c>
      <c r="B190" s="755" t="s">
        <v>1062</v>
      </c>
      <c r="C190" s="755" t="s">
        <v>1228</v>
      </c>
      <c r="D190" s="755">
        <v>187</v>
      </c>
      <c r="E190" s="750" t="s">
        <v>1306</v>
      </c>
      <c r="F190" s="750" t="s">
        <v>1532</v>
      </c>
      <c r="G190" s="750" t="s">
        <v>1582</v>
      </c>
      <c r="H190" s="755" t="str">
        <f t="shared" si="0"/>
        <v>Pampanga</v>
      </c>
      <c r="I190" s="928"/>
      <c r="J190" s="859">
        <v>5.3529999999999998</v>
      </c>
      <c r="K190" s="931" t="str">
        <f>VLOOKUP("*roof*",'GEA Reports'!$A$192:$M$202,11,FALSE)</f>
        <v>5.6800​</v>
      </c>
      <c r="L190" s="756">
        <v>5.68</v>
      </c>
      <c r="M190" s="758"/>
      <c r="N190" s="757">
        <v>46751</v>
      </c>
      <c r="O190" s="758"/>
      <c r="P190" s="758"/>
      <c r="Q190" s="758"/>
      <c r="R190" s="750"/>
      <c r="S190" s="750"/>
      <c r="T190" s="905"/>
      <c r="U190" s="757"/>
      <c r="V190" s="757" t="str">
        <f>_xlfn.XLOOKUP(Table3[[#This Row],[RE Developer]],[2]GEA!$B:$B,[2]GEA!$K:$K,"",0,1)</f>
        <v>-</v>
      </c>
      <c r="W190" s="757"/>
      <c r="X190" s="757"/>
      <c r="Y190" s="905"/>
      <c r="Z190" s="905">
        <f>Table3[[#This Row],[Valid from]]+364</f>
        <v>364</v>
      </c>
      <c r="AA190" s="928" t="str">
        <f>_xlfn.XLOOKUP(Table3[[#This Row],[RE Developer]],[2]GEA!$B:$B,[2]GEA!$M:$M,"",0,1)</f>
        <v>-</v>
      </c>
      <c r="AB190" s="750"/>
      <c r="AC190" s="905"/>
      <c r="AD190" s="905"/>
      <c r="AE190" s="905"/>
      <c r="AF190" s="905"/>
      <c r="AG190" s="905"/>
      <c r="AH190" s="905"/>
    </row>
    <row r="191" spans="1:34" hidden="1" x14ac:dyDescent="0.25">
      <c r="A191" s="755" t="str">
        <f>VLOOKUP(Table3[[#This Row],[Location]],location!A:B,2,FALSE)</f>
        <v>Mindanao</v>
      </c>
      <c r="B191" s="755" t="s">
        <v>1334</v>
      </c>
      <c r="C191" s="755" t="s">
        <v>1228</v>
      </c>
      <c r="D191" s="755">
        <v>188</v>
      </c>
      <c r="E191" s="750" t="s">
        <v>1342</v>
      </c>
      <c r="F191" s="750" t="s">
        <v>1341</v>
      </c>
      <c r="G191" s="750" t="s">
        <v>1583</v>
      </c>
      <c r="H191" s="755" t="str">
        <f t="shared" si="0"/>
        <v>Surigao del Sur</v>
      </c>
      <c r="I191" s="928"/>
      <c r="J191" s="859">
        <v>49.7</v>
      </c>
      <c r="K191" s="931" t="str">
        <f>VLOOKUP(Table3[[#This Row],[Technology]],'GEA Reports'!$A$192:$M$202,11,FALSE)</f>
        <v>5.4028​</v>
      </c>
      <c r="L191" s="756">
        <v>5.4028</v>
      </c>
      <c r="M191" s="758"/>
      <c r="N191" s="757">
        <v>46752</v>
      </c>
      <c r="O191" s="758"/>
      <c r="P191" s="758"/>
      <c r="Q191" s="758"/>
      <c r="R191" s="750"/>
      <c r="S191" s="750"/>
      <c r="T191" s="905"/>
      <c r="U191" s="757"/>
      <c r="V191" s="757" t="str">
        <f>_xlfn.XLOOKUP(Table3[[#This Row],[RE Developer]],[2]GEA!$B:$B,[2]GEA!$K:$K,"",0,1)</f>
        <v>-</v>
      </c>
      <c r="W191" s="757"/>
      <c r="X191" s="757"/>
      <c r="Y191" s="905"/>
      <c r="Z191" s="905">
        <f>Table3[[#This Row],[Valid from]]+364</f>
        <v>364</v>
      </c>
      <c r="AA191" s="928" t="str">
        <f>_xlfn.XLOOKUP(Table3[[#This Row],[RE Developer]],[2]GEA!$B:$B,[2]GEA!$M:$M,"",0,1)</f>
        <v>-</v>
      </c>
      <c r="AB191" s="750"/>
      <c r="AC191" s="905"/>
      <c r="AD191" s="905"/>
      <c r="AE191" s="905"/>
      <c r="AF191" s="905"/>
      <c r="AG191" s="905"/>
      <c r="AH191" s="905"/>
    </row>
    <row r="192" spans="1:34" hidden="1" x14ac:dyDescent="0.25">
      <c r="A192" s="755" t="str">
        <f>VLOOKUP(Table3[[#This Row],[Location]],location!A:B,2,FALSE)</f>
        <v>Luzon</v>
      </c>
      <c r="B192" s="755" t="s">
        <v>1035</v>
      </c>
      <c r="C192" s="755" t="s">
        <v>1228</v>
      </c>
      <c r="D192" s="755">
        <v>189</v>
      </c>
      <c r="E192" s="750" t="s">
        <v>1302</v>
      </c>
      <c r="F192" s="750" t="s">
        <v>1301</v>
      </c>
      <c r="G192" s="750" t="s">
        <v>1584</v>
      </c>
      <c r="H192" s="755" t="str">
        <f t="shared" si="0"/>
        <v>Pampanga</v>
      </c>
      <c r="I192" s="928"/>
      <c r="J192" s="859">
        <v>140</v>
      </c>
      <c r="K192" s="931" t="str">
        <f>VLOOKUP(Table3[[#This Row],[Technology]],'GEA Reports'!$A$192:$M$202,11,FALSE)</f>
        <v>4.4832​</v>
      </c>
      <c r="L192" s="756">
        <v>3.8839999999999999</v>
      </c>
      <c r="M192" s="758"/>
      <c r="N192" s="757">
        <v>46752</v>
      </c>
      <c r="O192" s="758"/>
      <c r="P192" s="758"/>
      <c r="Q192" s="758"/>
      <c r="R192" s="750"/>
      <c r="S192" s="750"/>
      <c r="T192" s="905"/>
      <c r="U192" s="757"/>
      <c r="V192" s="757" t="str">
        <f>_xlfn.XLOOKUP(Table3[[#This Row],[RE Developer]],[2]GEA!$B:$B,[2]GEA!$K:$K,"",0,1)</f>
        <v>-</v>
      </c>
      <c r="W192" s="757"/>
      <c r="X192" s="757"/>
      <c r="Y192" s="905"/>
      <c r="Z192" s="905">
        <f>Table3[[#This Row],[Valid from]]+364</f>
        <v>364</v>
      </c>
      <c r="AA192" s="928" t="str">
        <f>_xlfn.XLOOKUP(Table3[[#This Row],[RE Developer]],[2]GEA!$B:$B,[2]GEA!$M:$M,"",0,1)</f>
        <v>-</v>
      </c>
      <c r="AB192" s="750"/>
      <c r="AC192" s="905"/>
      <c r="AD192" s="905"/>
      <c r="AE192" s="905"/>
      <c r="AF192" s="905"/>
      <c r="AG192" s="905"/>
      <c r="AH192" s="905"/>
    </row>
    <row r="193" spans="1:34" hidden="1" x14ac:dyDescent="0.25">
      <c r="A193" s="755" t="str">
        <f>VLOOKUP(Table3[[#This Row],[Location]],location!A:B,2,FALSE)</f>
        <v>Luzon</v>
      </c>
      <c r="B193" s="755" t="s">
        <v>1035</v>
      </c>
      <c r="C193" s="755" t="s">
        <v>1228</v>
      </c>
      <c r="D193" s="755">
        <v>190</v>
      </c>
      <c r="E193" s="750" t="s">
        <v>1305</v>
      </c>
      <c r="F193" s="750" t="s">
        <v>1304</v>
      </c>
      <c r="G193" s="750" t="s">
        <v>1585</v>
      </c>
      <c r="H193" s="755" t="str">
        <f t="shared" si="0"/>
        <v>Camarines Norte</v>
      </c>
      <c r="I193" s="928"/>
      <c r="J193" s="859">
        <v>49.9</v>
      </c>
      <c r="K193" s="931" t="str">
        <f>VLOOKUP(Table3[[#This Row],[Technology]],'GEA Reports'!$A$192:$M$202,11,FALSE)</f>
        <v>4.4832​</v>
      </c>
      <c r="L193" s="756">
        <v>4.0999999999999996</v>
      </c>
      <c r="M193" s="758"/>
      <c r="N193" s="757">
        <v>46752</v>
      </c>
      <c r="O193" s="758"/>
      <c r="P193" s="758"/>
      <c r="Q193" s="758"/>
      <c r="R193" s="750"/>
      <c r="S193" s="750"/>
      <c r="T193" s="905"/>
      <c r="U193" s="757"/>
      <c r="V193" s="757" t="str">
        <f>_xlfn.XLOOKUP(Table3[[#This Row],[RE Developer]],[2]GEA!$B:$B,[2]GEA!$K:$K,"",0,1)</f>
        <v>-</v>
      </c>
      <c r="W193" s="757"/>
      <c r="X193" s="757"/>
      <c r="Y193" s="905"/>
      <c r="Z193" s="905">
        <f>Table3[[#This Row],[Valid from]]+364</f>
        <v>364</v>
      </c>
      <c r="AA193" s="928" t="str">
        <f>_xlfn.XLOOKUP(Table3[[#This Row],[RE Developer]],[2]GEA!$B:$B,[2]GEA!$M:$M,"",0,1)</f>
        <v>-</v>
      </c>
      <c r="AB193" s="750"/>
      <c r="AC193" s="905"/>
      <c r="AD193" s="905"/>
      <c r="AE193" s="905"/>
      <c r="AF193" s="905"/>
      <c r="AG193" s="905"/>
      <c r="AH193" s="905"/>
    </row>
    <row r="194" spans="1:34" hidden="1" x14ac:dyDescent="0.25">
      <c r="A194" s="755" t="str">
        <f>VLOOKUP(Table3[[#This Row],[Location]],location!A:B,2,FALSE)</f>
        <v>Luzon</v>
      </c>
      <c r="B194" s="755" t="s">
        <v>1035</v>
      </c>
      <c r="C194" s="755" t="s">
        <v>1228</v>
      </c>
      <c r="D194" s="755">
        <v>191</v>
      </c>
      <c r="E194" s="750" t="s">
        <v>1542</v>
      </c>
      <c r="F194" s="750" t="s">
        <v>1533</v>
      </c>
      <c r="G194" s="750" t="s">
        <v>1586</v>
      </c>
      <c r="H194" s="755" t="str">
        <f t="shared" si="0"/>
        <v>Tarlac</v>
      </c>
      <c r="I194" s="928"/>
      <c r="J194" s="859">
        <v>18</v>
      </c>
      <c r="K194" s="931" t="str">
        <f>VLOOKUP(Table3[[#This Row],[Technology]],'GEA Reports'!$A$192:$M$202,11,FALSE)</f>
        <v>4.4832​</v>
      </c>
      <c r="L194" s="756">
        <v>4.2000999999999999</v>
      </c>
      <c r="M194" s="758"/>
      <c r="N194" s="757">
        <v>46752</v>
      </c>
      <c r="O194" s="758"/>
      <c r="P194" s="758"/>
      <c r="Q194" s="758"/>
      <c r="R194" s="750"/>
      <c r="S194" s="750"/>
      <c r="T194" s="905"/>
      <c r="U194" s="757"/>
      <c r="V194" s="757" t="str">
        <f>_xlfn.XLOOKUP(Table3[[#This Row],[RE Developer]],[2]GEA!$B:$B,[2]GEA!$K:$K,"",0,1)</f>
        <v/>
      </c>
      <c r="W194" s="757"/>
      <c r="X194" s="757"/>
      <c r="Y194" s="905"/>
      <c r="Z194" s="905">
        <f>Table3[[#This Row],[Valid from]]+364</f>
        <v>364</v>
      </c>
      <c r="AA194" s="928" t="str">
        <f>_xlfn.XLOOKUP(Table3[[#This Row],[RE Developer]],[2]GEA!$B:$B,[2]GEA!$M:$M,"",0,1)</f>
        <v/>
      </c>
      <c r="AB194" s="750"/>
      <c r="AC194" s="905"/>
      <c r="AD194" s="905"/>
      <c r="AE194" s="905"/>
      <c r="AF194" s="905"/>
      <c r="AG194" s="905"/>
      <c r="AH194" s="905"/>
    </row>
    <row r="195" spans="1:34" hidden="1" x14ac:dyDescent="0.25">
      <c r="A195" s="755" t="str">
        <f>VLOOKUP(Table3[[#This Row],[Location]],location!A:B,2,FALSE)</f>
        <v>Luzon</v>
      </c>
      <c r="B195" s="755" t="s">
        <v>1158</v>
      </c>
      <c r="C195" s="755" t="s">
        <v>1228</v>
      </c>
      <c r="D195" s="755">
        <v>192</v>
      </c>
      <c r="E195" s="750" t="s">
        <v>1543</v>
      </c>
      <c r="F195" s="750" t="s">
        <v>1227</v>
      </c>
      <c r="G195" s="750" t="s">
        <v>1587</v>
      </c>
      <c r="H195" s="755" t="str">
        <f t="shared" si="0"/>
        <v>Isabela</v>
      </c>
      <c r="I195" s="928"/>
      <c r="J195" s="859">
        <v>50</v>
      </c>
      <c r="K195" s="931" t="str">
        <f>VLOOKUP(Table3[[#This Row],[Technology]],'GEA Reports'!$A$192:$M$202,11,FALSE)</f>
        <v>6.5258​</v>
      </c>
      <c r="L195" s="756">
        <v>5.9469000000000003</v>
      </c>
      <c r="M195" s="758"/>
      <c r="N195" s="757">
        <v>46752</v>
      </c>
      <c r="O195" s="758"/>
      <c r="P195" s="758"/>
      <c r="Q195" s="758"/>
      <c r="R195" s="750"/>
      <c r="S195" s="750"/>
      <c r="T195" s="905"/>
      <c r="U195" s="757"/>
      <c r="V195" s="757" t="str">
        <f>_xlfn.XLOOKUP(Table3[[#This Row],[RE Developer]],[2]GEA!$B:$B,[2]GEA!$K:$K,"",0,1)</f>
        <v/>
      </c>
      <c r="W195" s="757"/>
      <c r="X195" s="757"/>
      <c r="Y195" s="905"/>
      <c r="Z195" s="905">
        <f>Table3[[#This Row],[Valid from]]+364</f>
        <v>364</v>
      </c>
      <c r="AA195" s="928" t="str">
        <f>_xlfn.XLOOKUP(Table3[[#This Row],[RE Developer]],[2]GEA!$B:$B,[2]GEA!$M:$M,"",0,1)</f>
        <v/>
      </c>
      <c r="AB195" s="750"/>
      <c r="AC195" s="905"/>
      <c r="AD195" s="905"/>
      <c r="AE195" s="905"/>
      <c r="AF195" s="905"/>
      <c r="AG195" s="905"/>
      <c r="AH195" s="905"/>
    </row>
    <row r="196" spans="1:34" hidden="1" x14ac:dyDescent="0.25">
      <c r="A196" s="755" t="str">
        <f>VLOOKUP(Table3[[#This Row],[Location]],location!A:B,2,FALSE)</f>
        <v>Luzon</v>
      </c>
      <c r="B196" s="755" t="s">
        <v>1158</v>
      </c>
      <c r="C196" s="755" t="s">
        <v>1228</v>
      </c>
      <c r="D196" s="755">
        <v>193</v>
      </c>
      <c r="E196" s="750" t="s">
        <v>1544</v>
      </c>
      <c r="F196" s="750" t="s">
        <v>1230</v>
      </c>
      <c r="G196" s="750" t="s">
        <v>1588</v>
      </c>
      <c r="H196" s="755" t="s">
        <v>1029</v>
      </c>
      <c r="I196" s="928"/>
      <c r="J196" s="859">
        <v>72</v>
      </c>
      <c r="K196" s="931" t="str">
        <f>VLOOKUP(Table3[[#This Row],[Technology]],'GEA Reports'!$A$192:$M$202,11,FALSE)</f>
        <v>6.5258​</v>
      </c>
      <c r="L196" s="756">
        <v>6.5258000000000003</v>
      </c>
      <c r="M196" s="758"/>
      <c r="N196" s="757">
        <v>46752</v>
      </c>
      <c r="O196" s="758"/>
      <c r="P196" s="758"/>
      <c r="Q196" s="758"/>
      <c r="R196" s="750"/>
      <c r="S196" s="750"/>
      <c r="T196" s="905"/>
      <c r="U196" s="757"/>
      <c r="V196" s="757" t="str">
        <f>_xlfn.XLOOKUP(Table3[[#This Row],[RE Developer]],[2]GEA!$B:$B,[2]GEA!$K:$K,"",0,1)</f>
        <v>-</v>
      </c>
      <c r="W196" s="757"/>
      <c r="X196" s="757"/>
      <c r="Y196" s="905"/>
      <c r="Z196" s="905">
        <f>Table3[[#This Row],[Valid from]]+364</f>
        <v>364</v>
      </c>
      <c r="AA196" s="928" t="str">
        <f>_xlfn.XLOOKUP(Table3[[#This Row],[RE Developer]],[2]GEA!$B:$B,[2]GEA!$M:$M,"",0,1)</f>
        <v>-</v>
      </c>
      <c r="AB196" s="750"/>
      <c r="AC196" s="905"/>
      <c r="AD196" s="905"/>
      <c r="AE196" s="905"/>
      <c r="AF196" s="905"/>
      <c r="AG196" s="905"/>
      <c r="AH196" s="905"/>
    </row>
    <row r="197" spans="1:34" hidden="1" x14ac:dyDescent="0.25">
      <c r="A197" s="755" t="str">
        <f>VLOOKUP(Table3[[#This Row],[Location]],location!A:B,2,FALSE)</f>
        <v>Luzon</v>
      </c>
      <c r="B197" s="755" t="s">
        <v>1158</v>
      </c>
      <c r="C197" s="755" t="s">
        <v>1228</v>
      </c>
      <c r="D197" s="755">
        <v>194</v>
      </c>
      <c r="E197" s="750" t="s">
        <v>1232</v>
      </c>
      <c r="F197" s="750" t="s">
        <v>1231</v>
      </c>
      <c r="G197" s="750" t="s">
        <v>1588</v>
      </c>
      <c r="H197" s="755" t="s">
        <v>1029</v>
      </c>
      <c r="I197" s="928"/>
      <c r="J197" s="859">
        <v>72</v>
      </c>
      <c r="K197" s="931" t="str">
        <f>VLOOKUP(Table3[[#This Row],[Technology]],'GEA Reports'!$A$192:$M$202,11,FALSE)</f>
        <v>6.5258​</v>
      </c>
      <c r="L197" s="756">
        <v>6.5258000000000003</v>
      </c>
      <c r="M197" s="758"/>
      <c r="N197" s="757">
        <v>46752</v>
      </c>
      <c r="O197" s="758"/>
      <c r="P197" s="758"/>
      <c r="Q197" s="758"/>
      <c r="R197" s="750"/>
      <c r="S197" s="750"/>
      <c r="T197" s="905"/>
      <c r="U197" s="757"/>
      <c r="V197" s="757" t="str">
        <f>_xlfn.XLOOKUP(Table3[[#This Row],[RE Developer]],[2]GEA!$B:$B,[2]GEA!$K:$K,"",0,1)</f>
        <v>-</v>
      </c>
      <c r="W197" s="757"/>
      <c r="X197" s="757"/>
      <c r="Y197" s="905"/>
      <c r="Z197" s="905">
        <f>Table3[[#This Row],[Valid from]]+364</f>
        <v>364</v>
      </c>
      <c r="AA197" s="928" t="str">
        <f>_xlfn.XLOOKUP(Table3[[#This Row],[RE Developer]],[2]GEA!$B:$B,[2]GEA!$M:$M,"",0,1)</f>
        <v>-</v>
      </c>
      <c r="AB197" s="750"/>
      <c r="AC197" s="905"/>
      <c r="AD197" s="905"/>
      <c r="AE197" s="905"/>
      <c r="AF197" s="905"/>
      <c r="AG197" s="905"/>
      <c r="AH197" s="905"/>
    </row>
    <row r="198" spans="1:34" hidden="1" x14ac:dyDescent="0.25">
      <c r="A198" s="755" t="str">
        <f>VLOOKUP(Table3[[#This Row],[Location]],location!A:B,2,FALSE)</f>
        <v>Luzon</v>
      </c>
      <c r="B198" s="755" t="s">
        <v>1158</v>
      </c>
      <c r="C198" s="755" t="s">
        <v>1228</v>
      </c>
      <c r="D198" s="755">
        <v>195</v>
      </c>
      <c r="E198" s="750" t="s">
        <v>1544</v>
      </c>
      <c r="F198" s="750" t="s">
        <v>1233</v>
      </c>
      <c r="G198" s="750" t="s">
        <v>1588</v>
      </c>
      <c r="H198" s="755" t="s">
        <v>1029</v>
      </c>
      <c r="I198" s="928"/>
      <c r="J198" s="859">
        <v>72</v>
      </c>
      <c r="K198" s="931" t="str">
        <f>VLOOKUP(Table3[[#This Row],[Technology]],'GEA Reports'!$A$192:$M$202,11,FALSE)</f>
        <v>6.5258​</v>
      </c>
      <c r="L198" s="756">
        <v>6.5258000000000003</v>
      </c>
      <c r="M198" s="758"/>
      <c r="N198" s="757">
        <v>46752</v>
      </c>
      <c r="O198" s="758"/>
      <c r="P198" s="758"/>
      <c r="Q198" s="758"/>
      <c r="R198" s="750"/>
      <c r="S198" s="750"/>
      <c r="T198" s="905"/>
      <c r="U198" s="757"/>
      <c r="V198" s="757" t="str">
        <f>_xlfn.XLOOKUP(Table3[[#This Row],[RE Developer]],[2]GEA!$B:$B,[2]GEA!$K:$K,"",0,1)</f>
        <v>-</v>
      </c>
      <c r="W198" s="757"/>
      <c r="X198" s="757"/>
      <c r="Y198" s="905"/>
      <c r="Z198" s="905">
        <f>Table3[[#This Row],[Valid from]]+364</f>
        <v>364</v>
      </c>
      <c r="AA198" s="928" t="str">
        <f>_xlfn.XLOOKUP(Table3[[#This Row],[RE Developer]],[2]GEA!$B:$B,[2]GEA!$M:$M,"",0,1)</f>
        <v>-</v>
      </c>
      <c r="AB198" s="750"/>
      <c r="AC198" s="905"/>
      <c r="AD198" s="905"/>
      <c r="AE198" s="905"/>
      <c r="AF198" s="905"/>
      <c r="AG198" s="905"/>
      <c r="AH198" s="905"/>
    </row>
    <row r="199" spans="1:34" hidden="1" x14ac:dyDescent="0.25">
      <c r="A199" s="755" t="str">
        <f>VLOOKUP(Table3[[#This Row],[Location]],location!A:B,2,FALSE)</f>
        <v>Luzon</v>
      </c>
      <c r="B199" s="755" t="s">
        <v>1158</v>
      </c>
      <c r="C199" s="755" t="s">
        <v>1228</v>
      </c>
      <c r="D199" s="755">
        <v>196</v>
      </c>
      <c r="E199" s="750" t="s">
        <v>1237</v>
      </c>
      <c r="F199" s="750" t="s">
        <v>1234</v>
      </c>
      <c r="G199" s="750" t="s">
        <v>1588</v>
      </c>
      <c r="H199" s="755" t="s">
        <v>1029</v>
      </c>
      <c r="I199" s="928"/>
      <c r="J199" s="859">
        <v>72</v>
      </c>
      <c r="K199" s="931" t="str">
        <f>VLOOKUP(Table3[[#This Row],[Technology]],'GEA Reports'!$A$192:$M$202,11,FALSE)</f>
        <v>6.5258​</v>
      </c>
      <c r="L199" s="756">
        <v>6.5258000000000003</v>
      </c>
      <c r="M199" s="758"/>
      <c r="N199" s="757">
        <v>46752</v>
      </c>
      <c r="O199" s="758"/>
      <c r="P199" s="758"/>
      <c r="Q199" s="758"/>
      <c r="R199" s="750"/>
      <c r="S199" s="750"/>
      <c r="T199" s="905"/>
      <c r="U199" s="757"/>
      <c r="V199" s="757" t="str">
        <f>_xlfn.XLOOKUP(Table3[[#This Row],[RE Developer]],[2]GEA!$B:$B,[2]GEA!$K:$K,"",0,1)</f>
        <v/>
      </c>
      <c r="W199" s="757"/>
      <c r="X199" s="757"/>
      <c r="Y199" s="905"/>
      <c r="Z199" s="905">
        <f>Table3[[#This Row],[Valid from]]+364</f>
        <v>364</v>
      </c>
      <c r="AA199" s="928" t="str">
        <f>_xlfn.XLOOKUP(Table3[[#This Row],[RE Developer]],[2]GEA!$B:$B,[2]GEA!$M:$M,"",0,1)</f>
        <v/>
      </c>
      <c r="AB199" s="750"/>
      <c r="AC199" s="905"/>
      <c r="AD199" s="905"/>
      <c r="AE199" s="905"/>
      <c r="AF199" s="905"/>
      <c r="AG199" s="905"/>
      <c r="AH199" s="905"/>
    </row>
    <row r="200" spans="1:34" hidden="1" x14ac:dyDescent="0.25">
      <c r="A200" s="755" t="str">
        <f>VLOOKUP(Table3[[#This Row],[Location]],location!A:B,2,FALSE)</f>
        <v>Luzon</v>
      </c>
      <c r="B200" s="755" t="s">
        <v>1158</v>
      </c>
      <c r="C200" s="755" t="s">
        <v>1228</v>
      </c>
      <c r="D200" s="755">
        <v>197</v>
      </c>
      <c r="E200" s="750" t="s">
        <v>1237</v>
      </c>
      <c r="F200" s="750" t="s">
        <v>1235</v>
      </c>
      <c r="G200" s="750" t="s">
        <v>1588</v>
      </c>
      <c r="H200" s="755" t="s">
        <v>1029</v>
      </c>
      <c r="I200" s="928"/>
      <c r="J200" s="859">
        <v>72</v>
      </c>
      <c r="K200" s="931" t="str">
        <f>VLOOKUP(Table3[[#This Row],[Technology]],'GEA Reports'!$A$192:$M$202,11,FALSE)</f>
        <v>6.5258​</v>
      </c>
      <c r="L200" s="756">
        <v>6.5258000000000003</v>
      </c>
      <c r="M200" s="758"/>
      <c r="N200" s="757">
        <v>46752</v>
      </c>
      <c r="O200" s="758"/>
      <c r="P200" s="758"/>
      <c r="Q200" s="758"/>
      <c r="R200" s="750"/>
      <c r="S200" s="750"/>
      <c r="T200" s="905"/>
      <c r="U200" s="757"/>
      <c r="V200" s="757" t="str">
        <f>_xlfn.XLOOKUP(Table3[[#This Row],[RE Developer]],[2]GEA!$B:$B,[2]GEA!$K:$K,"",0,1)</f>
        <v/>
      </c>
      <c r="W200" s="757"/>
      <c r="X200" s="757"/>
      <c r="Y200" s="905"/>
      <c r="Z200" s="905">
        <f>Table3[[#This Row],[Valid from]]+364</f>
        <v>364</v>
      </c>
      <c r="AA200" s="928" t="str">
        <f>_xlfn.XLOOKUP(Table3[[#This Row],[RE Developer]],[2]GEA!$B:$B,[2]GEA!$M:$M,"",0,1)</f>
        <v/>
      </c>
      <c r="AB200" s="750"/>
      <c r="AC200" s="905"/>
      <c r="AD200" s="905"/>
      <c r="AE200" s="905"/>
      <c r="AF200" s="905"/>
      <c r="AG200" s="905"/>
      <c r="AH200" s="905"/>
    </row>
    <row r="201" spans="1:34" hidden="1" x14ac:dyDescent="0.25">
      <c r="A201" s="755" t="str">
        <f>VLOOKUP(Table3[[#This Row],[Location]],location!A:B,2,FALSE)</f>
        <v>Luzon</v>
      </c>
      <c r="B201" s="755" t="s">
        <v>1158</v>
      </c>
      <c r="C201" s="755" t="s">
        <v>1228</v>
      </c>
      <c r="D201" s="755">
        <v>198</v>
      </c>
      <c r="E201" s="750" t="s">
        <v>1237</v>
      </c>
      <c r="F201" s="750" t="s">
        <v>1236</v>
      </c>
      <c r="G201" s="750" t="s">
        <v>1588</v>
      </c>
      <c r="H201" s="755" t="s">
        <v>1029</v>
      </c>
      <c r="I201" s="928"/>
      <c r="J201" s="859">
        <v>72</v>
      </c>
      <c r="K201" s="931" t="str">
        <f>VLOOKUP(Table3[[#This Row],[Technology]],'GEA Reports'!$A$192:$M$202,11,FALSE)</f>
        <v>6.5258​</v>
      </c>
      <c r="L201" s="756">
        <v>6.5258000000000003</v>
      </c>
      <c r="M201" s="758"/>
      <c r="N201" s="757">
        <v>46752</v>
      </c>
      <c r="O201" s="758"/>
      <c r="P201" s="758"/>
      <c r="Q201" s="758"/>
      <c r="R201" s="750"/>
      <c r="S201" s="750"/>
      <c r="T201" s="905"/>
      <c r="U201" s="757"/>
      <c r="V201" s="757" t="str">
        <f>_xlfn.XLOOKUP(Table3[[#This Row],[RE Developer]],[2]GEA!$B:$B,[2]GEA!$K:$K,"",0,1)</f>
        <v/>
      </c>
      <c r="W201" s="757"/>
      <c r="X201" s="757"/>
      <c r="Y201" s="905"/>
      <c r="Z201" s="905">
        <f>Table3[[#This Row],[Valid from]]+364</f>
        <v>364</v>
      </c>
      <c r="AA201" s="928" t="str">
        <f>_xlfn.XLOOKUP(Table3[[#This Row],[RE Developer]],[2]GEA!$B:$B,[2]GEA!$M:$M,"",0,1)</f>
        <v/>
      </c>
      <c r="AB201" s="750"/>
      <c r="AC201" s="905"/>
      <c r="AD201" s="905"/>
      <c r="AE201" s="905"/>
      <c r="AF201" s="905"/>
      <c r="AG201" s="905"/>
      <c r="AH201" s="905"/>
    </row>
    <row r="202" spans="1:34" hidden="1" x14ac:dyDescent="0.25">
      <c r="A202" s="755" t="str">
        <f>VLOOKUP(Table3[[#This Row],[Location]],location!A:B,2,FALSE)</f>
        <v>Luzon</v>
      </c>
      <c r="B202" s="755" t="s">
        <v>1158</v>
      </c>
      <c r="C202" s="755" t="s">
        <v>1228</v>
      </c>
      <c r="D202" s="755">
        <v>199</v>
      </c>
      <c r="E202" s="750" t="s">
        <v>1239</v>
      </c>
      <c r="F202" s="750" t="s">
        <v>1238</v>
      </c>
      <c r="G202" s="750" t="s">
        <v>1588</v>
      </c>
      <c r="H202" s="755" t="s">
        <v>1029</v>
      </c>
      <c r="I202" s="928"/>
      <c r="J202" s="859">
        <v>72</v>
      </c>
      <c r="K202" s="931" t="str">
        <f>VLOOKUP(Table3[[#This Row],[Technology]],'GEA Reports'!$A$192:$M$202,11,FALSE)</f>
        <v>6.5258​</v>
      </c>
      <c r="L202" s="756">
        <v>6.5258000000000003</v>
      </c>
      <c r="M202" s="758"/>
      <c r="N202" s="757">
        <v>46752</v>
      </c>
      <c r="O202" s="758"/>
      <c r="P202" s="758"/>
      <c r="Q202" s="758"/>
      <c r="R202" s="750"/>
      <c r="S202" s="750"/>
      <c r="T202" s="905"/>
      <c r="U202" s="757"/>
      <c r="V202" s="757" t="str">
        <f>_xlfn.XLOOKUP(Table3[[#This Row],[RE Developer]],[2]GEA!$B:$B,[2]GEA!$K:$K,"",0,1)</f>
        <v>-</v>
      </c>
      <c r="W202" s="757"/>
      <c r="X202" s="757"/>
      <c r="Y202" s="905"/>
      <c r="Z202" s="905">
        <f>Table3[[#This Row],[Valid from]]+364</f>
        <v>364</v>
      </c>
      <c r="AA202" s="928" t="str">
        <f>_xlfn.XLOOKUP(Table3[[#This Row],[RE Developer]],[2]GEA!$B:$B,[2]GEA!$M:$M,"",0,1)</f>
        <v>-</v>
      </c>
      <c r="AB202" s="750"/>
      <c r="AC202" s="905"/>
      <c r="AD202" s="905"/>
      <c r="AE202" s="905"/>
      <c r="AF202" s="905"/>
      <c r="AG202" s="905"/>
      <c r="AH202" s="905"/>
    </row>
    <row r="203" spans="1:34" hidden="1" x14ac:dyDescent="0.25">
      <c r="A203" s="755" t="str">
        <f>VLOOKUP(Table3[[#This Row],[Location]],location!A:B,2,FALSE)</f>
        <v>Luzon</v>
      </c>
      <c r="B203" s="755" t="s">
        <v>1158</v>
      </c>
      <c r="C203" s="755" t="s">
        <v>1228</v>
      </c>
      <c r="D203" s="755">
        <v>200</v>
      </c>
      <c r="E203" s="750" t="s">
        <v>1241</v>
      </c>
      <c r="F203" s="750" t="s">
        <v>1240</v>
      </c>
      <c r="G203" s="750" t="s">
        <v>1588</v>
      </c>
      <c r="H203" s="755" t="s">
        <v>1029</v>
      </c>
      <c r="I203" s="928"/>
      <c r="J203" s="859">
        <v>72</v>
      </c>
      <c r="K203" s="931" t="str">
        <f>VLOOKUP(Table3[[#This Row],[Technology]],'GEA Reports'!$A$192:$M$202,11,FALSE)</f>
        <v>6.5258​</v>
      </c>
      <c r="L203" s="756">
        <v>6.5258000000000003</v>
      </c>
      <c r="M203" s="758"/>
      <c r="N203" s="757">
        <v>46752</v>
      </c>
      <c r="O203" s="758"/>
      <c r="P203" s="758"/>
      <c r="Q203" s="758"/>
      <c r="R203" s="750"/>
      <c r="S203" s="750"/>
      <c r="T203" s="905"/>
      <c r="U203" s="757"/>
      <c r="V203" s="757" t="str">
        <f>_xlfn.XLOOKUP(Table3[[#This Row],[RE Developer]],[2]GEA!$B:$B,[2]GEA!$K:$K,"",0,1)</f>
        <v>-</v>
      </c>
      <c r="W203" s="757"/>
      <c r="X203" s="757"/>
      <c r="Y203" s="905"/>
      <c r="Z203" s="905">
        <f>Table3[[#This Row],[Valid from]]+364</f>
        <v>364</v>
      </c>
      <c r="AA203" s="928" t="str">
        <f>_xlfn.XLOOKUP(Table3[[#This Row],[RE Developer]],[2]GEA!$B:$B,[2]GEA!$M:$M,"",0,1)</f>
        <v>-</v>
      </c>
      <c r="AB203" s="750"/>
      <c r="AC203" s="905"/>
      <c r="AD203" s="905"/>
      <c r="AE203" s="905"/>
      <c r="AF203" s="905"/>
      <c r="AG203" s="905"/>
      <c r="AH203" s="905"/>
    </row>
    <row r="204" spans="1:34" hidden="1" x14ac:dyDescent="0.25">
      <c r="A204" s="755" t="str">
        <f>VLOOKUP(Table3[[#This Row],[Location]],location!A:B,2,FALSE)</f>
        <v>Luzon</v>
      </c>
      <c r="B204" s="755" t="s">
        <v>1158</v>
      </c>
      <c r="C204" s="755" t="s">
        <v>1228</v>
      </c>
      <c r="D204" s="755">
        <v>201</v>
      </c>
      <c r="E204" s="750" t="s">
        <v>1243</v>
      </c>
      <c r="F204" s="750" t="s">
        <v>1242</v>
      </c>
      <c r="G204" s="750" t="s">
        <v>1588</v>
      </c>
      <c r="H204" s="755" t="s">
        <v>1029</v>
      </c>
      <c r="I204" s="928"/>
      <c r="J204" s="859">
        <v>72</v>
      </c>
      <c r="K204" s="931" t="str">
        <f>VLOOKUP(Table3[[#This Row],[Technology]],'GEA Reports'!$A$192:$M$202,11,FALSE)</f>
        <v>6.5258​</v>
      </c>
      <c r="L204" s="756">
        <v>6.5258000000000003</v>
      </c>
      <c r="M204" s="758"/>
      <c r="N204" s="757">
        <v>46752</v>
      </c>
      <c r="O204" s="758"/>
      <c r="P204" s="758"/>
      <c r="Q204" s="758"/>
      <c r="R204" s="750"/>
      <c r="S204" s="750"/>
      <c r="T204" s="905"/>
      <c r="U204" s="757"/>
      <c r="V204" s="757" t="str">
        <f>_xlfn.XLOOKUP(Table3[[#This Row],[RE Developer]],[2]GEA!$B:$B,[2]GEA!$K:$K,"",0,1)</f>
        <v>-</v>
      </c>
      <c r="W204" s="757"/>
      <c r="X204" s="757"/>
      <c r="Y204" s="905"/>
      <c r="Z204" s="905">
        <f>Table3[[#This Row],[Valid from]]+364</f>
        <v>364</v>
      </c>
      <c r="AA204" s="928" t="str">
        <f>_xlfn.XLOOKUP(Table3[[#This Row],[RE Developer]],[2]GEA!$B:$B,[2]GEA!$M:$M,"",0,1)</f>
        <v>-</v>
      </c>
      <c r="AB204" s="750"/>
      <c r="AC204" s="905"/>
      <c r="AD204" s="905"/>
      <c r="AE204" s="905"/>
      <c r="AF204" s="905"/>
      <c r="AG204" s="905"/>
      <c r="AH204" s="905"/>
    </row>
    <row r="205" spans="1:34" hidden="1" x14ac:dyDescent="0.25">
      <c r="A205" s="755" t="str">
        <f>VLOOKUP(Table3[[#This Row],[Location]],location!A:B,2,FALSE)</f>
        <v>Luzon</v>
      </c>
      <c r="B205" s="755" t="s">
        <v>1158</v>
      </c>
      <c r="C205" s="755" t="s">
        <v>1228</v>
      </c>
      <c r="D205" s="755">
        <v>202</v>
      </c>
      <c r="E205" s="750" t="s">
        <v>1245</v>
      </c>
      <c r="F205" s="750" t="s">
        <v>1244</v>
      </c>
      <c r="G205" s="750" t="s">
        <v>1588</v>
      </c>
      <c r="H205" s="755" t="s">
        <v>1029</v>
      </c>
      <c r="I205" s="928"/>
      <c r="J205" s="859">
        <v>72</v>
      </c>
      <c r="K205" s="931" t="str">
        <f>VLOOKUP(Table3[[#This Row],[Technology]],'GEA Reports'!$A$192:$M$202,11,FALSE)</f>
        <v>6.5258​</v>
      </c>
      <c r="L205" s="756">
        <v>6.5258000000000003</v>
      </c>
      <c r="M205" s="758"/>
      <c r="N205" s="757">
        <v>46752</v>
      </c>
      <c r="O205" s="758"/>
      <c r="P205" s="758"/>
      <c r="Q205" s="758"/>
      <c r="R205" s="750"/>
      <c r="S205" s="750"/>
      <c r="T205" s="905"/>
      <c r="U205" s="757"/>
      <c r="V205" s="757" t="str">
        <f>_xlfn.XLOOKUP(Table3[[#This Row],[RE Developer]],[2]GEA!$B:$B,[2]GEA!$K:$K,"",0,1)</f>
        <v>-</v>
      </c>
      <c r="W205" s="757"/>
      <c r="X205" s="757"/>
      <c r="Y205" s="905"/>
      <c r="Z205" s="905">
        <f>Table3[[#This Row],[Valid from]]+364</f>
        <v>364</v>
      </c>
      <c r="AA205" s="928" t="str">
        <f>_xlfn.XLOOKUP(Table3[[#This Row],[RE Developer]],[2]GEA!$B:$B,[2]GEA!$M:$M,"",0,1)</f>
        <v>-</v>
      </c>
      <c r="AB205" s="750"/>
      <c r="AC205" s="905"/>
      <c r="AD205" s="905"/>
      <c r="AE205" s="905"/>
      <c r="AF205" s="905"/>
      <c r="AG205" s="905"/>
      <c r="AH205" s="905"/>
    </row>
    <row r="206" spans="1:34" hidden="1" x14ac:dyDescent="0.25">
      <c r="A206" s="755" t="str">
        <f>VLOOKUP(Table3[[#This Row],[Location]],location!A:B,2,FALSE)</f>
        <v>Luzon</v>
      </c>
      <c r="B206" s="755" t="s">
        <v>1158</v>
      </c>
      <c r="C206" s="755" t="s">
        <v>1228</v>
      </c>
      <c r="D206" s="755">
        <v>203</v>
      </c>
      <c r="E206" s="750" t="s">
        <v>1247</v>
      </c>
      <c r="F206" s="750" t="s">
        <v>1246</v>
      </c>
      <c r="G206" s="750" t="s">
        <v>1589</v>
      </c>
      <c r="H206" s="755" t="str">
        <f t="shared" ref="H206:H262" si="1">TRIM(RIGHT(SUBSTITUTE(G206,",",REPT(" ",100)),100))</f>
        <v>Pampanga</v>
      </c>
      <c r="I206" s="928"/>
      <c r="J206" s="859">
        <v>95</v>
      </c>
      <c r="K206" s="931" t="str">
        <f>VLOOKUP(Table3[[#This Row],[Technology]],'GEA Reports'!$A$192:$M$202,11,FALSE)</f>
        <v>6.5258​</v>
      </c>
      <c r="L206" s="756">
        <v>6.5258000000000003</v>
      </c>
      <c r="M206" s="758"/>
      <c r="N206" s="757">
        <v>46752</v>
      </c>
      <c r="O206" s="758"/>
      <c r="P206" s="758"/>
      <c r="Q206" s="758"/>
      <c r="R206" s="750"/>
      <c r="S206" s="750"/>
      <c r="T206" s="905"/>
      <c r="U206" s="757"/>
      <c r="V206" s="757" t="str">
        <f>_xlfn.XLOOKUP(Table3[[#This Row],[RE Developer]],[2]GEA!$B:$B,[2]GEA!$K:$K,"",0,1)</f>
        <v>-</v>
      </c>
      <c r="W206" s="757"/>
      <c r="X206" s="757"/>
      <c r="Y206" s="905"/>
      <c r="Z206" s="905">
        <f>Table3[[#This Row],[Valid from]]+364</f>
        <v>364</v>
      </c>
      <c r="AA206" s="928" t="str">
        <f>_xlfn.XLOOKUP(Table3[[#This Row],[RE Developer]],[2]GEA!$B:$B,[2]GEA!$M:$M,"",0,1)</f>
        <v>-</v>
      </c>
      <c r="AB206" s="750"/>
      <c r="AC206" s="905"/>
      <c r="AD206" s="905"/>
      <c r="AE206" s="905"/>
      <c r="AF206" s="905"/>
      <c r="AG206" s="905"/>
      <c r="AH206" s="905"/>
    </row>
    <row r="207" spans="1:34" hidden="1" x14ac:dyDescent="0.25">
      <c r="A207" s="755" t="str">
        <f>VLOOKUP(Table3[[#This Row],[Location]],location!A:B,2,FALSE)</f>
        <v>Visayas</v>
      </c>
      <c r="B207" s="755" t="s">
        <v>1158</v>
      </c>
      <c r="C207" s="755" t="s">
        <v>1228</v>
      </c>
      <c r="D207" s="755">
        <v>204</v>
      </c>
      <c r="E207" s="750" t="s">
        <v>1249</v>
      </c>
      <c r="F207" s="750" t="s">
        <v>1248</v>
      </c>
      <c r="G207" s="750" t="s">
        <v>1590</v>
      </c>
      <c r="H207" s="755" t="str">
        <f t="shared" si="1"/>
        <v>Negros Occidental</v>
      </c>
      <c r="I207" s="928"/>
      <c r="J207" s="859">
        <v>70</v>
      </c>
      <c r="K207" s="931" t="str">
        <f>VLOOKUP(Table3[[#This Row],[Technology]],'GEA Reports'!$A$192:$M$202,11,FALSE)</f>
        <v>6.5258​</v>
      </c>
      <c r="L207" s="756">
        <v>6.5258000000000003</v>
      </c>
      <c r="M207" s="758"/>
      <c r="N207" s="757">
        <v>46752</v>
      </c>
      <c r="O207" s="758"/>
      <c r="P207" s="758"/>
      <c r="Q207" s="758"/>
      <c r="R207" s="750"/>
      <c r="S207" s="750"/>
      <c r="T207" s="905"/>
      <c r="U207" s="757"/>
      <c r="V207" s="757" t="str">
        <f>_xlfn.XLOOKUP(Table3[[#This Row],[RE Developer]],[2]GEA!$B:$B,[2]GEA!$K:$K,"",0,1)</f>
        <v>-</v>
      </c>
      <c r="W207" s="757"/>
      <c r="X207" s="757"/>
      <c r="Y207" s="905"/>
      <c r="Z207" s="905">
        <f>Table3[[#This Row],[Valid from]]+364</f>
        <v>364</v>
      </c>
      <c r="AA207" s="928" t="str">
        <f>_xlfn.XLOOKUP(Table3[[#This Row],[RE Developer]],[2]GEA!$B:$B,[2]GEA!$M:$M,"",0,1)</f>
        <v>-</v>
      </c>
      <c r="AB207" s="750"/>
      <c r="AC207" s="905"/>
      <c r="AD207" s="905"/>
      <c r="AE207" s="905"/>
      <c r="AF207" s="905"/>
      <c r="AG207" s="905"/>
      <c r="AH207" s="905"/>
    </row>
    <row r="208" spans="1:34" hidden="1" x14ac:dyDescent="0.25">
      <c r="A208" s="755" t="str">
        <f>VLOOKUP(Table3[[#This Row],[Location]],location!A:B,2,FALSE)</f>
        <v>Luzon</v>
      </c>
      <c r="B208" s="755" t="s">
        <v>1139</v>
      </c>
      <c r="C208" s="755" t="s">
        <v>1228</v>
      </c>
      <c r="D208" s="755">
        <v>205</v>
      </c>
      <c r="E208" s="750" t="s">
        <v>1539</v>
      </c>
      <c r="F208" s="750" t="s">
        <v>1354</v>
      </c>
      <c r="G208" s="750" t="s">
        <v>1591</v>
      </c>
      <c r="H208" s="755" t="s">
        <v>1203</v>
      </c>
      <c r="I208" s="928"/>
      <c r="J208" s="859">
        <v>200</v>
      </c>
      <c r="K208" s="931" t="str">
        <f>VLOOKUP("*onshore*",'GEA Reports'!$A$192:$M$202,11,FALSE)</f>
        <v>6.0859​</v>
      </c>
      <c r="L208" s="756">
        <v>5.1798000000000002</v>
      </c>
      <c r="M208" s="758"/>
      <c r="N208" s="757">
        <v>46752</v>
      </c>
      <c r="O208" s="758"/>
      <c r="P208" s="758"/>
      <c r="Q208" s="758"/>
      <c r="R208" s="750"/>
      <c r="S208" s="750"/>
      <c r="T208" s="905"/>
      <c r="U208" s="757"/>
      <c r="V208" s="757" t="str">
        <f>_xlfn.XLOOKUP(Table3[[#This Row],[RE Developer]],[2]GEA!$B:$B,[2]GEA!$K:$K,"",0,1)</f>
        <v/>
      </c>
      <c r="W208" s="757"/>
      <c r="X208" s="757"/>
      <c r="Y208" s="905"/>
      <c r="Z208" s="905">
        <f>Table3[[#This Row],[Valid from]]+364</f>
        <v>364</v>
      </c>
      <c r="AA208" s="928" t="str">
        <f>_xlfn.XLOOKUP(Table3[[#This Row],[RE Developer]],[2]GEA!$B:$B,[2]GEA!$M:$M,"",0,1)</f>
        <v/>
      </c>
      <c r="AB208" s="750"/>
      <c r="AC208" s="905"/>
      <c r="AD208" s="905"/>
      <c r="AE208" s="905"/>
      <c r="AF208" s="905"/>
      <c r="AG208" s="905"/>
      <c r="AH208" s="905"/>
    </row>
    <row r="209" spans="1:34" hidden="1" x14ac:dyDescent="0.25">
      <c r="A209" s="755" t="str">
        <f>VLOOKUP(Table3[[#This Row],[Location]],location!A:B,2,FALSE)</f>
        <v>Visayas</v>
      </c>
      <c r="B209" s="755" t="s">
        <v>1139</v>
      </c>
      <c r="C209" s="755" t="s">
        <v>1228</v>
      </c>
      <c r="D209" s="755">
        <v>206</v>
      </c>
      <c r="E209" s="750" t="s">
        <v>1456</v>
      </c>
      <c r="F209" s="750" t="s">
        <v>1451</v>
      </c>
      <c r="G209" s="750" t="s">
        <v>1592</v>
      </c>
      <c r="H209" s="755" t="str">
        <f t="shared" si="1"/>
        <v>Bohol</v>
      </c>
      <c r="I209" s="928"/>
      <c r="J209" s="859">
        <v>50</v>
      </c>
      <c r="K209" s="931" t="str">
        <f>VLOOKUP("*onshore*",'GEA Reports'!$A$192:$M$202,11,FALSE)</f>
        <v>6.0859​</v>
      </c>
      <c r="L209" s="756">
        <v>6.0585000000000004</v>
      </c>
      <c r="M209" s="758"/>
      <c r="N209" s="757">
        <v>46752</v>
      </c>
      <c r="O209" s="758"/>
      <c r="P209" s="758"/>
      <c r="Q209" s="758"/>
      <c r="R209" s="750"/>
      <c r="S209" s="750"/>
      <c r="T209" s="905"/>
      <c r="U209" s="757"/>
      <c r="V209" s="757" t="str">
        <f>_xlfn.XLOOKUP(Table3[[#This Row],[RE Developer]],[2]GEA!$B:$B,[2]GEA!$K:$K,"",0,1)</f>
        <v>-</v>
      </c>
      <c r="W209" s="757"/>
      <c r="X209" s="757"/>
      <c r="Y209" s="905"/>
      <c r="Z209" s="905">
        <f>Table3[[#This Row],[Valid from]]+364</f>
        <v>364</v>
      </c>
      <c r="AA209" s="928" t="str">
        <f>_xlfn.XLOOKUP(Table3[[#This Row],[RE Developer]],[2]GEA!$B:$B,[2]GEA!$M:$M,"",0,1)</f>
        <v>-</v>
      </c>
      <c r="AB209" s="750"/>
      <c r="AC209" s="905"/>
      <c r="AD209" s="905"/>
      <c r="AE209" s="905"/>
      <c r="AF209" s="905"/>
      <c r="AG209" s="905"/>
      <c r="AH209" s="905"/>
    </row>
    <row r="210" spans="1:34" hidden="1" x14ac:dyDescent="0.25">
      <c r="A210" s="755" t="str">
        <f>VLOOKUP(Table3[[#This Row],[Location]],location!A:B,2,FALSE)</f>
        <v>Visayas</v>
      </c>
      <c r="B210" s="755" t="s">
        <v>1139</v>
      </c>
      <c r="C210" s="755" t="s">
        <v>1228</v>
      </c>
      <c r="D210" s="755">
        <v>207</v>
      </c>
      <c r="E210" s="750" t="s">
        <v>1539</v>
      </c>
      <c r="F210" s="750" t="s">
        <v>1358</v>
      </c>
      <c r="G210" s="750" t="s">
        <v>1593</v>
      </c>
      <c r="H210" s="755" t="s">
        <v>1654</v>
      </c>
      <c r="I210" s="928"/>
      <c r="J210" s="859">
        <v>100</v>
      </c>
      <c r="K210" s="931" t="str">
        <f>VLOOKUP("*onshore*",'GEA Reports'!$A$192:$M$202,11,FALSE)</f>
        <v>6.0859​</v>
      </c>
      <c r="L210" s="756">
        <v>6.0678999999999998</v>
      </c>
      <c r="M210" s="758"/>
      <c r="N210" s="757">
        <v>46752</v>
      </c>
      <c r="O210" s="758"/>
      <c r="P210" s="758"/>
      <c r="Q210" s="758"/>
      <c r="R210" s="750"/>
      <c r="S210" s="750"/>
      <c r="T210" s="905"/>
      <c r="U210" s="757"/>
      <c r="V210" s="757" t="str">
        <f>_xlfn.XLOOKUP(Table3[[#This Row],[RE Developer]],[2]GEA!$B:$B,[2]GEA!$K:$K,"",0,1)</f>
        <v/>
      </c>
      <c r="W210" s="757"/>
      <c r="X210" s="757"/>
      <c r="Y210" s="905"/>
      <c r="Z210" s="905">
        <f>Table3[[#This Row],[Valid from]]+364</f>
        <v>364</v>
      </c>
      <c r="AA210" s="928" t="str">
        <f>_xlfn.XLOOKUP(Table3[[#This Row],[RE Developer]],[2]GEA!$B:$B,[2]GEA!$M:$M,"",0,1)</f>
        <v/>
      </c>
      <c r="AB210" s="750"/>
      <c r="AC210" s="905"/>
      <c r="AD210" s="905"/>
      <c r="AE210" s="905"/>
      <c r="AF210" s="905"/>
      <c r="AG210" s="905"/>
      <c r="AH210" s="905"/>
    </row>
    <row r="211" spans="1:34" hidden="1" x14ac:dyDescent="0.25">
      <c r="A211" s="755" t="str">
        <f>VLOOKUP(Table3[[#This Row],[Location]],location!A:B,2,FALSE)</f>
        <v>Visayas</v>
      </c>
      <c r="B211" s="755" t="s">
        <v>1334</v>
      </c>
      <c r="C211" s="755" t="s">
        <v>1228</v>
      </c>
      <c r="D211" s="755">
        <v>208</v>
      </c>
      <c r="E211" s="750" t="s">
        <v>1267</v>
      </c>
      <c r="F211" s="750" t="s">
        <v>1447</v>
      </c>
      <c r="G211" s="750" t="s">
        <v>1553</v>
      </c>
      <c r="H211" s="755" t="str">
        <f t="shared" si="1"/>
        <v>Negros Occidental</v>
      </c>
      <c r="I211" s="928"/>
      <c r="J211" s="859">
        <v>33.42</v>
      </c>
      <c r="K211" s="931" t="str">
        <f>VLOOKUP(Table3[[#This Row],[Technology]],'GEA Reports'!$A$192:$M$202,11,FALSE)</f>
        <v>5.4028​</v>
      </c>
      <c r="L211" s="756">
        <v>4.9999000000000002</v>
      </c>
      <c r="M211" s="758"/>
      <c r="N211" s="757">
        <v>46753</v>
      </c>
      <c r="O211" s="758"/>
      <c r="P211" s="758"/>
      <c r="Q211" s="758"/>
      <c r="R211" s="750"/>
      <c r="S211" s="750"/>
      <c r="T211" s="905"/>
      <c r="U211" s="757"/>
      <c r="V211" s="757" t="str">
        <f>_xlfn.XLOOKUP(Table3[[#This Row],[RE Developer]],[2]GEA!$B:$B,[2]GEA!$K:$K,"",0,1)</f>
        <v>-</v>
      </c>
      <c r="W211" s="757"/>
      <c r="X211" s="757"/>
      <c r="Y211" s="905"/>
      <c r="Z211" s="905">
        <f>Table3[[#This Row],[Valid from]]+364</f>
        <v>364</v>
      </c>
      <c r="AA211" s="928" t="str">
        <f>_xlfn.XLOOKUP(Table3[[#This Row],[RE Developer]],[2]GEA!$B:$B,[2]GEA!$M:$M,"",0,1)</f>
        <v>-</v>
      </c>
      <c r="AB211" s="750"/>
      <c r="AC211" s="905"/>
      <c r="AD211" s="905"/>
      <c r="AE211" s="905"/>
      <c r="AF211" s="905"/>
      <c r="AG211" s="905"/>
      <c r="AH211" s="905"/>
    </row>
    <row r="212" spans="1:34" hidden="1" x14ac:dyDescent="0.25">
      <c r="A212" s="755" t="str">
        <f>VLOOKUP(Table3[[#This Row],[Location]],location!A:B,2,FALSE)</f>
        <v>Luzon</v>
      </c>
      <c r="B212" s="755" t="s">
        <v>1035</v>
      </c>
      <c r="C212" s="755" t="s">
        <v>1228</v>
      </c>
      <c r="D212" s="755">
        <v>209</v>
      </c>
      <c r="E212" s="750" t="s">
        <v>1251</v>
      </c>
      <c r="F212" s="750" t="s">
        <v>1313</v>
      </c>
      <c r="G212" s="750" t="s">
        <v>1569</v>
      </c>
      <c r="H212" s="755" t="str">
        <f t="shared" si="1"/>
        <v>Isabela</v>
      </c>
      <c r="I212" s="928"/>
      <c r="J212" s="859">
        <v>630</v>
      </c>
      <c r="K212" s="931" t="str">
        <f>VLOOKUP(Table3[[#This Row],[Technology]],'GEA Reports'!$A$192:$M$202,11,FALSE)</f>
        <v>4.4832​</v>
      </c>
      <c r="L212" s="756">
        <v>3.7012999999999998</v>
      </c>
      <c r="M212" s="758"/>
      <c r="N212" s="757">
        <v>46753</v>
      </c>
      <c r="O212" s="758"/>
      <c r="P212" s="758"/>
      <c r="Q212" s="758"/>
      <c r="R212" s="750"/>
      <c r="S212" s="750"/>
      <c r="T212" s="905"/>
      <c r="U212" s="757"/>
      <c r="V212" s="757" t="str">
        <f>_xlfn.XLOOKUP(Table3[[#This Row],[RE Developer]],[2]GEA!$B:$B,[2]GEA!$K:$K,"",0,1)</f>
        <v>-</v>
      </c>
      <c r="W212" s="757"/>
      <c r="X212" s="757"/>
      <c r="Y212" s="905"/>
      <c r="Z212" s="905">
        <f>Table3[[#This Row],[Valid from]]+364</f>
        <v>364</v>
      </c>
      <c r="AA212" s="928" t="str">
        <f>_xlfn.XLOOKUP(Table3[[#This Row],[RE Developer]],[2]GEA!$B:$B,[2]GEA!$M:$M,"",0,1)</f>
        <v>-</v>
      </c>
      <c r="AB212" s="750"/>
      <c r="AC212" s="905"/>
      <c r="AD212" s="905"/>
      <c r="AE212" s="905"/>
      <c r="AF212" s="905"/>
      <c r="AG212" s="905"/>
      <c r="AH212" s="905"/>
    </row>
    <row r="213" spans="1:34" hidden="1" x14ac:dyDescent="0.25">
      <c r="A213" s="755" t="str">
        <f>VLOOKUP(Table3[[#This Row],[Location]],location!A:B,2,FALSE)</f>
        <v>Mindanao</v>
      </c>
      <c r="B213" s="755" t="s">
        <v>1035</v>
      </c>
      <c r="C213" s="755" t="s">
        <v>1228</v>
      </c>
      <c r="D213" s="755">
        <v>210</v>
      </c>
      <c r="E213" s="750" t="s">
        <v>1251</v>
      </c>
      <c r="F213" s="750" t="s">
        <v>1323</v>
      </c>
      <c r="G213" s="750" t="s">
        <v>1559</v>
      </c>
      <c r="H213" s="755" t="str">
        <f t="shared" si="1"/>
        <v>Davao Occidental</v>
      </c>
      <c r="I213" s="928"/>
      <c r="J213" s="859">
        <v>30</v>
      </c>
      <c r="K213" s="931" t="str">
        <f>VLOOKUP(Table3[[#This Row],[Technology]],'GEA Reports'!$A$192:$M$202,11,FALSE)</f>
        <v>4.4832​</v>
      </c>
      <c r="L213" s="756">
        <v>3.8201000000000001</v>
      </c>
      <c r="M213" s="758"/>
      <c r="N213" s="757">
        <v>46753</v>
      </c>
      <c r="O213" s="758"/>
      <c r="P213" s="758"/>
      <c r="Q213" s="758"/>
      <c r="R213" s="750"/>
      <c r="S213" s="750"/>
      <c r="T213" s="905"/>
      <c r="U213" s="757"/>
      <c r="V213" s="757" t="str">
        <f>_xlfn.XLOOKUP(Table3[[#This Row],[RE Developer]],[2]GEA!$B:$B,[2]GEA!$K:$K,"",0,1)</f>
        <v>-</v>
      </c>
      <c r="W213" s="757"/>
      <c r="X213" s="757"/>
      <c r="Y213" s="905"/>
      <c r="Z213" s="905">
        <f>Table3[[#This Row],[Valid from]]+364</f>
        <v>364</v>
      </c>
      <c r="AA213" s="928" t="str">
        <f>_xlfn.XLOOKUP(Table3[[#This Row],[RE Developer]],[2]GEA!$B:$B,[2]GEA!$M:$M,"",0,1)</f>
        <v>-</v>
      </c>
      <c r="AB213" s="750"/>
      <c r="AC213" s="905"/>
      <c r="AD213" s="905"/>
      <c r="AE213" s="905"/>
      <c r="AF213" s="905"/>
      <c r="AG213" s="905"/>
      <c r="AH213" s="905"/>
    </row>
    <row r="214" spans="1:34" hidden="1" x14ac:dyDescent="0.25">
      <c r="A214" s="755" t="str">
        <f>VLOOKUP(Table3[[#This Row],[Location]],location!A:B,2,FALSE)</f>
        <v>Luzon</v>
      </c>
      <c r="B214" s="755" t="s">
        <v>1158</v>
      </c>
      <c r="C214" s="755" t="s">
        <v>1228</v>
      </c>
      <c r="D214" s="755">
        <v>211</v>
      </c>
      <c r="E214" s="750" t="s">
        <v>1251</v>
      </c>
      <c r="F214" s="750" t="s">
        <v>1250</v>
      </c>
      <c r="G214" s="750" t="s">
        <v>1594</v>
      </c>
      <c r="H214" s="755" t="str">
        <f t="shared" si="1"/>
        <v>Bulacan</v>
      </c>
      <c r="I214" s="928"/>
      <c r="J214" s="859">
        <v>540</v>
      </c>
      <c r="K214" s="931" t="str">
        <f>VLOOKUP(Table3[[#This Row],[Technology]],'GEA Reports'!$A$192:$M$202,11,FALSE)</f>
        <v>6.5258​</v>
      </c>
      <c r="L214" s="756">
        <v>5.2511000000000001</v>
      </c>
      <c r="M214" s="758"/>
      <c r="N214" s="757">
        <v>46753</v>
      </c>
      <c r="O214" s="758"/>
      <c r="P214" s="758"/>
      <c r="Q214" s="758"/>
      <c r="R214" s="750"/>
      <c r="S214" s="750"/>
      <c r="T214" s="905"/>
      <c r="U214" s="757"/>
      <c r="V214" s="757" t="str">
        <f>_xlfn.XLOOKUP(Table3[[#This Row],[RE Developer]],[2]GEA!$B:$B,[2]GEA!$K:$K,"",0,1)</f>
        <v>-</v>
      </c>
      <c r="W214" s="757"/>
      <c r="X214" s="757"/>
      <c r="Y214" s="905"/>
      <c r="Z214" s="905">
        <f>Table3[[#This Row],[Valid from]]+364</f>
        <v>364</v>
      </c>
      <c r="AA214" s="928" t="str">
        <f>_xlfn.XLOOKUP(Table3[[#This Row],[RE Developer]],[2]GEA!$B:$B,[2]GEA!$M:$M,"",0,1)</f>
        <v>-</v>
      </c>
      <c r="AB214" s="750"/>
      <c r="AC214" s="905"/>
      <c r="AD214" s="905"/>
      <c r="AE214" s="905"/>
      <c r="AF214" s="905"/>
      <c r="AG214" s="905"/>
      <c r="AH214" s="905"/>
    </row>
    <row r="215" spans="1:34" hidden="1" x14ac:dyDescent="0.25">
      <c r="A215" s="755" t="str">
        <f>VLOOKUP(Table3[[#This Row],[Location]],location!A:B,2,FALSE)</f>
        <v>Luzon</v>
      </c>
      <c r="B215" s="755" t="s">
        <v>1334</v>
      </c>
      <c r="C215" s="755" t="s">
        <v>1228</v>
      </c>
      <c r="D215" s="755">
        <v>212</v>
      </c>
      <c r="E215" s="750" t="s">
        <v>1344</v>
      </c>
      <c r="F215" s="750" t="s">
        <v>1343</v>
      </c>
      <c r="G215" s="750" t="s">
        <v>1595</v>
      </c>
      <c r="H215" s="755" t="str">
        <f t="shared" si="1"/>
        <v>Ilocos Norte</v>
      </c>
      <c r="I215" s="928"/>
      <c r="J215" s="859">
        <v>100</v>
      </c>
      <c r="K215" s="931" t="str">
        <f>VLOOKUP(Table3[[#This Row],[Technology]],'GEA Reports'!$A$192:$M$202,11,FALSE)</f>
        <v>5.4028​</v>
      </c>
      <c r="L215" s="756">
        <v>4.6387999999999998</v>
      </c>
      <c r="M215" s="758"/>
      <c r="N215" s="757">
        <v>47051</v>
      </c>
      <c r="O215" s="758"/>
      <c r="P215" s="758"/>
      <c r="Q215" s="758"/>
      <c r="R215" s="750"/>
      <c r="S215" s="750"/>
      <c r="T215" s="905"/>
      <c r="U215" s="757"/>
      <c r="V215" s="757" t="str">
        <f>_xlfn.XLOOKUP(Table3[[#This Row],[RE Developer]],[2]GEA!$B:$B,[2]GEA!$K:$K,"",0,1)</f>
        <v>-</v>
      </c>
      <c r="W215" s="757"/>
      <c r="X215" s="757"/>
      <c r="Y215" s="905"/>
      <c r="Z215" s="905">
        <f>Table3[[#This Row],[Valid from]]+364</f>
        <v>364</v>
      </c>
      <c r="AA215" s="928" t="str">
        <f>_xlfn.XLOOKUP(Table3[[#This Row],[RE Developer]],[2]GEA!$B:$B,[2]GEA!$M:$M,"",0,1)</f>
        <v>-</v>
      </c>
      <c r="AB215" s="750"/>
      <c r="AC215" s="905"/>
      <c r="AD215" s="905"/>
      <c r="AE215" s="905"/>
      <c r="AF215" s="905"/>
      <c r="AG215" s="905"/>
      <c r="AH215" s="905"/>
    </row>
    <row r="216" spans="1:34" hidden="1" x14ac:dyDescent="0.25">
      <c r="A216" s="755" t="str">
        <f>VLOOKUP(Table3[[#This Row],[Location]],location!A:B,2,FALSE)</f>
        <v>Visayas</v>
      </c>
      <c r="B216" s="755" t="s">
        <v>1334</v>
      </c>
      <c r="C216" s="755" t="s">
        <v>1228</v>
      </c>
      <c r="D216" s="755">
        <v>213</v>
      </c>
      <c r="E216" s="750" t="s">
        <v>1346</v>
      </c>
      <c r="F216" s="750" t="s">
        <v>1345</v>
      </c>
      <c r="G216" s="750" t="s">
        <v>1565</v>
      </c>
      <c r="H216" s="755" t="str">
        <f t="shared" si="1"/>
        <v>Negros Occidental</v>
      </c>
      <c r="I216" s="928"/>
      <c r="J216" s="859">
        <v>120</v>
      </c>
      <c r="K216" s="931" t="str">
        <f>VLOOKUP(Table3[[#This Row],[Technology]],'GEA Reports'!$A$192:$M$202,11,FALSE)</f>
        <v>5.4028​</v>
      </c>
      <c r="L216" s="756">
        <v>5.2888000000000002</v>
      </c>
      <c r="M216" s="758"/>
      <c r="N216" s="757">
        <v>47051</v>
      </c>
      <c r="O216" s="758"/>
      <c r="P216" s="758"/>
      <c r="Q216" s="758"/>
      <c r="R216" s="750"/>
      <c r="S216" s="750"/>
      <c r="T216" s="905"/>
      <c r="U216" s="757"/>
      <c r="V216" s="757" t="str">
        <f>_xlfn.XLOOKUP(Table3[[#This Row],[RE Developer]],[2]GEA!$B:$B,[2]GEA!$K:$K,"",0,1)</f>
        <v>-</v>
      </c>
      <c r="W216" s="757"/>
      <c r="X216" s="757"/>
      <c r="Y216" s="905"/>
      <c r="Z216" s="905">
        <f>Table3[[#This Row],[Valid from]]+364</f>
        <v>364</v>
      </c>
      <c r="AA216" s="928" t="str">
        <f>_xlfn.XLOOKUP(Table3[[#This Row],[RE Developer]],[2]GEA!$B:$B,[2]GEA!$M:$M,"",0,1)</f>
        <v>-</v>
      </c>
      <c r="AB216" s="750"/>
      <c r="AC216" s="905"/>
      <c r="AD216" s="905"/>
      <c r="AE216" s="905"/>
      <c r="AF216" s="905"/>
      <c r="AG216" s="905"/>
      <c r="AH216" s="905"/>
    </row>
    <row r="217" spans="1:34" hidden="1" x14ac:dyDescent="0.25">
      <c r="A217" s="755" t="str">
        <f>VLOOKUP(Table3[[#This Row],[Location]],location!A:B,2,FALSE)</f>
        <v>Visayas</v>
      </c>
      <c r="B217" s="755" t="s">
        <v>1035</v>
      </c>
      <c r="C217" s="755" t="s">
        <v>1228</v>
      </c>
      <c r="D217" s="755">
        <v>214</v>
      </c>
      <c r="E217" s="750" t="s">
        <v>1545</v>
      </c>
      <c r="F217" s="750" t="s">
        <v>1319</v>
      </c>
      <c r="G217" s="750" t="s">
        <v>1575</v>
      </c>
      <c r="H217" s="755" t="str">
        <f t="shared" si="1"/>
        <v>Iloilo</v>
      </c>
      <c r="I217" s="928"/>
      <c r="J217" s="859">
        <v>158.4</v>
      </c>
      <c r="K217" s="931" t="str">
        <f>VLOOKUP(Table3[[#This Row],[Technology]],'GEA Reports'!$A$192:$M$202,11,FALSE)</f>
        <v>4.4832​</v>
      </c>
      <c r="L217" s="756">
        <v>4.0599999999999996</v>
      </c>
      <c r="M217" s="758"/>
      <c r="N217" s="757">
        <v>47099</v>
      </c>
      <c r="O217" s="758"/>
      <c r="P217" s="758"/>
      <c r="Q217" s="758"/>
      <c r="R217" s="750"/>
      <c r="S217" s="750"/>
      <c r="T217" s="905"/>
      <c r="U217" s="757"/>
      <c r="V217" s="757" t="str">
        <f>_xlfn.XLOOKUP(Table3[[#This Row],[RE Developer]],[2]GEA!$B:$B,[2]GEA!$K:$K,"",0,1)</f>
        <v/>
      </c>
      <c r="W217" s="757"/>
      <c r="X217" s="757"/>
      <c r="Y217" s="905"/>
      <c r="Z217" s="905">
        <f>Table3[[#This Row],[Valid from]]+364</f>
        <v>364</v>
      </c>
      <c r="AA217" s="928" t="str">
        <f>_xlfn.XLOOKUP(Table3[[#This Row],[RE Developer]],[2]GEA!$B:$B,[2]GEA!$M:$M,"",0,1)</f>
        <v/>
      </c>
      <c r="AB217" s="750"/>
      <c r="AC217" s="905"/>
      <c r="AD217" s="905"/>
      <c r="AE217" s="905"/>
      <c r="AF217" s="905"/>
      <c r="AG217" s="905"/>
      <c r="AH217" s="905"/>
    </row>
    <row r="218" spans="1:34" hidden="1" x14ac:dyDescent="0.25">
      <c r="A218" s="755" t="str">
        <f>VLOOKUP(Table3[[#This Row],[Location]],location!A:B,2,FALSE)</f>
        <v>Luzon</v>
      </c>
      <c r="B218" s="755" t="s">
        <v>1158</v>
      </c>
      <c r="C218" s="755" t="s">
        <v>1228</v>
      </c>
      <c r="D218" s="755">
        <v>215</v>
      </c>
      <c r="E218" s="750" t="s">
        <v>1253</v>
      </c>
      <c r="F218" s="750" t="s">
        <v>1252</v>
      </c>
      <c r="G218" s="750" t="s">
        <v>1596</v>
      </c>
      <c r="H218" s="755" t="str">
        <f t="shared" si="1"/>
        <v>Zambales</v>
      </c>
      <c r="I218" s="928"/>
      <c r="J218" s="859">
        <v>130</v>
      </c>
      <c r="K218" s="931" t="str">
        <f>VLOOKUP(Table3[[#This Row],[Technology]],'GEA Reports'!$A$192:$M$202,11,FALSE)</f>
        <v>6.5258​</v>
      </c>
      <c r="L218" s="756">
        <v>5.3887999999999998</v>
      </c>
      <c r="M218" s="758"/>
      <c r="N218" s="757">
        <v>47112</v>
      </c>
      <c r="O218" s="758"/>
      <c r="P218" s="758"/>
      <c r="Q218" s="758"/>
      <c r="R218" s="750"/>
      <c r="S218" s="750"/>
      <c r="T218" s="905"/>
      <c r="U218" s="757"/>
      <c r="V218" s="757" t="str">
        <f>_xlfn.XLOOKUP(Table3[[#This Row],[RE Developer]],[2]GEA!$B:$B,[2]GEA!$K:$K,"",0,1)</f>
        <v>-</v>
      </c>
      <c r="W218" s="757"/>
      <c r="X218" s="757"/>
      <c r="Y218" s="905"/>
      <c r="Z218" s="905">
        <f>Table3[[#This Row],[Valid from]]+364</f>
        <v>364</v>
      </c>
      <c r="AA218" s="928" t="str">
        <f>_xlfn.XLOOKUP(Table3[[#This Row],[RE Developer]],[2]GEA!$B:$B,[2]GEA!$M:$M,"",0,1)</f>
        <v>-</v>
      </c>
      <c r="AB218" s="750"/>
      <c r="AC218" s="905"/>
      <c r="AD218" s="905"/>
      <c r="AE218" s="905"/>
      <c r="AF218" s="905"/>
      <c r="AG218" s="905"/>
      <c r="AH218" s="905"/>
    </row>
    <row r="219" spans="1:34" hidden="1" x14ac:dyDescent="0.25">
      <c r="A219" s="755" t="str">
        <f>VLOOKUP(Table3[[#This Row],[Location]],location!A:B,2,FALSE)</f>
        <v>Luzon</v>
      </c>
      <c r="B219" s="755" t="s">
        <v>1035</v>
      </c>
      <c r="C219" s="755" t="s">
        <v>1228</v>
      </c>
      <c r="D219" s="755">
        <v>216</v>
      </c>
      <c r="E219" s="750" t="s">
        <v>1267</v>
      </c>
      <c r="F219" s="750" t="s">
        <v>1314</v>
      </c>
      <c r="G219" s="750" t="s">
        <v>1597</v>
      </c>
      <c r="H219" s="755" t="str">
        <f t="shared" si="1"/>
        <v>Nueva Vizcaya</v>
      </c>
      <c r="I219" s="928"/>
      <c r="J219" s="859">
        <v>50</v>
      </c>
      <c r="K219" s="931" t="str">
        <f>VLOOKUP(Table3[[#This Row],[Technology]],'GEA Reports'!$A$192:$M$202,11,FALSE)</f>
        <v>4.4832​</v>
      </c>
      <c r="L219" s="756">
        <v>4</v>
      </c>
      <c r="M219" s="758"/>
      <c r="N219" s="757">
        <v>47113</v>
      </c>
      <c r="O219" s="758"/>
      <c r="P219" s="758"/>
      <c r="Q219" s="758"/>
      <c r="R219" s="750"/>
      <c r="S219" s="750"/>
      <c r="T219" s="905"/>
      <c r="U219" s="757"/>
      <c r="V219" s="757" t="str">
        <f>_xlfn.XLOOKUP(Table3[[#This Row],[RE Developer]],[2]GEA!$B:$B,[2]GEA!$K:$K,"",0,1)</f>
        <v>-</v>
      </c>
      <c r="W219" s="757"/>
      <c r="X219" s="757"/>
      <c r="Y219" s="905"/>
      <c r="Z219" s="905">
        <f>Table3[[#This Row],[Valid from]]+364</f>
        <v>364</v>
      </c>
      <c r="AA219" s="928" t="str">
        <f>_xlfn.XLOOKUP(Table3[[#This Row],[RE Developer]],[2]GEA!$B:$B,[2]GEA!$M:$M,"",0,1)</f>
        <v>-</v>
      </c>
      <c r="AB219" s="750"/>
      <c r="AC219" s="905"/>
      <c r="AD219" s="905"/>
      <c r="AE219" s="905"/>
      <c r="AF219" s="905"/>
      <c r="AG219" s="905"/>
      <c r="AH219" s="905"/>
    </row>
    <row r="220" spans="1:34" hidden="1" x14ac:dyDescent="0.25">
      <c r="A220" s="755" t="str">
        <f>VLOOKUP(Table3[[#This Row],[Location]],location!A:B,2,FALSE)</f>
        <v>Luzon</v>
      </c>
      <c r="B220" s="755" t="s">
        <v>1035</v>
      </c>
      <c r="C220" s="755" t="s">
        <v>1228</v>
      </c>
      <c r="D220" s="755">
        <v>217</v>
      </c>
      <c r="E220" s="750" t="s">
        <v>1267</v>
      </c>
      <c r="F220" s="750" t="s">
        <v>1315</v>
      </c>
      <c r="G220" s="750" t="s">
        <v>1597</v>
      </c>
      <c r="H220" s="755" t="str">
        <f t="shared" si="1"/>
        <v>Nueva Vizcaya</v>
      </c>
      <c r="I220" s="928"/>
      <c r="J220" s="859">
        <v>50</v>
      </c>
      <c r="K220" s="931" t="str">
        <f>VLOOKUP(Table3[[#This Row],[Technology]],'GEA Reports'!$A$192:$M$202,11,FALSE)</f>
        <v>4.4832​</v>
      </c>
      <c r="L220" s="756">
        <v>4</v>
      </c>
      <c r="M220" s="758"/>
      <c r="N220" s="757">
        <v>47113</v>
      </c>
      <c r="O220" s="758"/>
      <c r="P220" s="758"/>
      <c r="Q220" s="758"/>
      <c r="R220" s="750"/>
      <c r="S220" s="750"/>
      <c r="T220" s="905"/>
      <c r="U220" s="757"/>
      <c r="V220" s="757" t="str">
        <f>_xlfn.XLOOKUP(Table3[[#This Row],[RE Developer]],[2]GEA!$B:$B,[2]GEA!$K:$K,"",0,1)</f>
        <v>-</v>
      </c>
      <c r="W220" s="757"/>
      <c r="X220" s="757"/>
      <c r="Y220" s="905"/>
      <c r="Z220" s="905">
        <f>Table3[[#This Row],[Valid from]]+364</f>
        <v>364</v>
      </c>
      <c r="AA220" s="928" t="str">
        <f>_xlfn.XLOOKUP(Table3[[#This Row],[RE Developer]],[2]GEA!$B:$B,[2]GEA!$M:$M,"",0,1)</f>
        <v>-</v>
      </c>
      <c r="AB220" s="750"/>
      <c r="AC220" s="905"/>
      <c r="AD220" s="905"/>
      <c r="AE220" s="905"/>
      <c r="AF220" s="905"/>
      <c r="AG220" s="905"/>
      <c r="AH220" s="905"/>
    </row>
    <row r="221" spans="1:34" hidden="1" x14ac:dyDescent="0.25">
      <c r="A221" s="755" t="str">
        <f>VLOOKUP(Table3[[#This Row],[Location]],location!A:B,2,FALSE)</f>
        <v>Luzon</v>
      </c>
      <c r="B221" s="755" t="s">
        <v>1139</v>
      </c>
      <c r="C221" s="755" t="s">
        <v>1228</v>
      </c>
      <c r="D221" s="755">
        <v>218</v>
      </c>
      <c r="E221" s="750" t="s">
        <v>1360</v>
      </c>
      <c r="F221" s="750" t="s">
        <v>1361</v>
      </c>
      <c r="G221" s="750" t="s">
        <v>1598</v>
      </c>
      <c r="H221" s="755" t="s">
        <v>1029</v>
      </c>
      <c r="I221" s="928"/>
      <c r="J221" s="859">
        <v>200</v>
      </c>
      <c r="K221" s="931" t="str">
        <f>VLOOKUP("*onshore*",'GEA Reports'!$A$192:$M$202,11,FALSE)</f>
        <v>6.0859​</v>
      </c>
      <c r="L221" s="756">
        <v>4.8776999999999999</v>
      </c>
      <c r="M221" s="758"/>
      <c r="N221" s="757">
        <v>47113</v>
      </c>
      <c r="O221" s="758"/>
      <c r="P221" s="758"/>
      <c r="Q221" s="758"/>
      <c r="R221" s="750"/>
      <c r="S221" s="750"/>
      <c r="T221" s="905"/>
      <c r="U221" s="757"/>
      <c r="V221" s="757" t="str">
        <f>_xlfn.XLOOKUP(Table3[[#This Row],[RE Developer]],[2]GEA!$B:$B,[2]GEA!$K:$K,"",0,1)</f>
        <v>-</v>
      </c>
      <c r="W221" s="757"/>
      <c r="X221" s="757"/>
      <c r="Y221" s="905"/>
      <c r="Z221" s="905">
        <f>Table3[[#This Row],[Valid from]]+364</f>
        <v>364</v>
      </c>
      <c r="AA221" s="928" t="str">
        <f>_xlfn.XLOOKUP(Table3[[#This Row],[RE Developer]],[2]GEA!$B:$B,[2]GEA!$M:$M,"",0,1)</f>
        <v>-</v>
      </c>
      <c r="AB221" s="750"/>
      <c r="AC221" s="905"/>
      <c r="AD221" s="905"/>
      <c r="AE221" s="905"/>
      <c r="AF221" s="905"/>
      <c r="AG221" s="905"/>
      <c r="AH221" s="905"/>
    </row>
    <row r="222" spans="1:34" hidden="1" x14ac:dyDescent="0.25">
      <c r="A222" s="755" t="str">
        <f>VLOOKUP(Table3[[#This Row],[Location]],location!A:B,2,FALSE)</f>
        <v>Visayas</v>
      </c>
      <c r="B222" s="755" t="s">
        <v>1139</v>
      </c>
      <c r="C222" s="755" t="s">
        <v>1228</v>
      </c>
      <c r="D222" s="755">
        <v>219</v>
      </c>
      <c r="E222" s="750" t="s">
        <v>1360</v>
      </c>
      <c r="F222" s="750" t="s">
        <v>1367</v>
      </c>
      <c r="G222" s="750" t="s">
        <v>1599</v>
      </c>
      <c r="H222" s="755" t="str">
        <f t="shared" si="1"/>
        <v>Samar</v>
      </c>
      <c r="I222" s="928"/>
      <c r="J222" s="859">
        <v>50</v>
      </c>
      <c r="K222" s="931" t="str">
        <f>VLOOKUP("*onshore*",'GEA Reports'!$A$192:$M$202,11,FALSE)</f>
        <v>6.0859​</v>
      </c>
      <c r="L222" s="756">
        <v>5.5777999999999999</v>
      </c>
      <c r="M222" s="758"/>
      <c r="N222" s="757">
        <v>47113</v>
      </c>
      <c r="O222" s="758"/>
      <c r="P222" s="758"/>
      <c r="Q222" s="758"/>
      <c r="R222" s="750"/>
      <c r="S222" s="750"/>
      <c r="T222" s="905"/>
      <c r="U222" s="757"/>
      <c r="V222" s="757" t="str">
        <f>_xlfn.XLOOKUP(Table3[[#This Row],[RE Developer]],[2]GEA!$B:$B,[2]GEA!$K:$K,"",0,1)</f>
        <v>-</v>
      </c>
      <c r="W222" s="757"/>
      <c r="X222" s="757"/>
      <c r="Y222" s="905"/>
      <c r="Z222" s="905">
        <f>Table3[[#This Row],[Valid from]]+364</f>
        <v>364</v>
      </c>
      <c r="AA222" s="928" t="str">
        <f>_xlfn.XLOOKUP(Table3[[#This Row],[RE Developer]],[2]GEA!$B:$B,[2]GEA!$M:$M,"",0,1)</f>
        <v>-</v>
      </c>
      <c r="AB222" s="750"/>
      <c r="AC222" s="905"/>
      <c r="AD222" s="905"/>
      <c r="AE222" s="905"/>
      <c r="AF222" s="905"/>
      <c r="AG222" s="905"/>
      <c r="AH222" s="905"/>
    </row>
    <row r="223" spans="1:34" hidden="1" x14ac:dyDescent="0.25">
      <c r="A223" s="755" t="str">
        <f>VLOOKUP(Table3[[#This Row],[Location]],location!A:B,2,FALSE)</f>
        <v>Visayas</v>
      </c>
      <c r="B223" s="755" t="s">
        <v>1139</v>
      </c>
      <c r="C223" s="755" t="s">
        <v>1228</v>
      </c>
      <c r="D223" s="755">
        <v>220</v>
      </c>
      <c r="E223" s="750" t="s">
        <v>1360</v>
      </c>
      <c r="F223" s="750" t="s">
        <v>1368</v>
      </c>
      <c r="G223" s="750" t="s">
        <v>1600</v>
      </c>
      <c r="H223" s="755" t="str">
        <f t="shared" si="1"/>
        <v>Leyte</v>
      </c>
      <c r="I223" s="928"/>
      <c r="J223" s="859">
        <v>110</v>
      </c>
      <c r="K223" s="931" t="str">
        <f>VLOOKUP("*onshore*",'GEA Reports'!$A$192:$M$202,11,FALSE)</f>
        <v>6.0859​</v>
      </c>
      <c r="L223" s="756">
        <v>6.0259</v>
      </c>
      <c r="M223" s="758"/>
      <c r="N223" s="757">
        <v>47113</v>
      </c>
      <c r="O223" s="758"/>
      <c r="P223" s="758"/>
      <c r="Q223" s="758"/>
      <c r="R223" s="750"/>
      <c r="S223" s="750"/>
      <c r="T223" s="905"/>
      <c r="U223" s="757"/>
      <c r="V223" s="757" t="str">
        <f>_xlfn.XLOOKUP(Table3[[#This Row],[RE Developer]],[2]GEA!$B:$B,[2]GEA!$K:$K,"",0,1)</f>
        <v>-</v>
      </c>
      <c r="W223" s="757"/>
      <c r="X223" s="757"/>
      <c r="Y223" s="905"/>
      <c r="Z223" s="905">
        <f>Table3[[#This Row],[Valid from]]+364</f>
        <v>364</v>
      </c>
      <c r="AA223" s="928" t="str">
        <f>_xlfn.XLOOKUP(Table3[[#This Row],[RE Developer]],[2]GEA!$B:$B,[2]GEA!$M:$M,"",0,1)</f>
        <v>-</v>
      </c>
      <c r="AB223" s="750"/>
      <c r="AC223" s="905"/>
      <c r="AD223" s="905"/>
      <c r="AE223" s="905"/>
      <c r="AF223" s="905"/>
      <c r="AG223" s="905"/>
      <c r="AH223" s="905"/>
    </row>
    <row r="224" spans="1:34" hidden="1" x14ac:dyDescent="0.25">
      <c r="A224" s="755" t="str">
        <f>VLOOKUP(Table3[[#This Row],[Location]],location!A:B,2,FALSE)</f>
        <v>Visayas</v>
      </c>
      <c r="B224" s="755" t="s">
        <v>1035</v>
      </c>
      <c r="C224" s="755" t="s">
        <v>1228</v>
      </c>
      <c r="D224" s="755">
        <v>221</v>
      </c>
      <c r="E224" s="750" t="s">
        <v>1317</v>
      </c>
      <c r="F224" s="750" t="s">
        <v>1316</v>
      </c>
      <c r="G224" s="750" t="s">
        <v>1601</v>
      </c>
      <c r="H224" s="755" t="str">
        <f t="shared" si="1"/>
        <v>Negros Occidental</v>
      </c>
      <c r="I224" s="928"/>
      <c r="J224" s="859">
        <v>85</v>
      </c>
      <c r="K224" s="931" t="str">
        <f>VLOOKUP(Table3[[#This Row],[Technology]],'GEA Reports'!$A$192:$M$202,11,FALSE)</f>
        <v>4.4832​</v>
      </c>
      <c r="L224" s="756">
        <v>3.8788</v>
      </c>
      <c r="M224" s="758"/>
      <c r="N224" s="757">
        <v>47116</v>
      </c>
      <c r="O224" s="758"/>
      <c r="P224" s="758"/>
      <c r="Q224" s="758"/>
      <c r="R224" s="750"/>
      <c r="S224" s="750"/>
      <c r="T224" s="905"/>
      <c r="U224" s="757"/>
      <c r="V224" s="757" t="str">
        <f>_xlfn.XLOOKUP(Table3[[#This Row],[RE Developer]],[2]GEA!$B:$B,[2]GEA!$K:$K,"",0,1)</f>
        <v>-</v>
      </c>
      <c r="W224" s="757"/>
      <c r="X224" s="757"/>
      <c r="Y224" s="905"/>
      <c r="Z224" s="905">
        <f>Table3[[#This Row],[Valid from]]+364</f>
        <v>364</v>
      </c>
      <c r="AA224" s="928" t="str">
        <f>_xlfn.XLOOKUP(Table3[[#This Row],[RE Developer]],[2]GEA!$B:$B,[2]GEA!$M:$M,"",0,1)</f>
        <v>-</v>
      </c>
      <c r="AB224" s="750"/>
      <c r="AC224" s="905"/>
      <c r="AD224" s="905"/>
      <c r="AE224" s="905"/>
      <c r="AF224" s="905"/>
      <c r="AG224" s="905"/>
      <c r="AH224" s="905"/>
    </row>
    <row r="225" spans="1:34" hidden="1" x14ac:dyDescent="0.25">
      <c r="A225" s="755" t="str">
        <f>VLOOKUP(Table3[[#This Row],[Location]],location!A:B,2,FALSE)</f>
        <v>Visayas</v>
      </c>
      <c r="B225" s="755" t="s">
        <v>1035</v>
      </c>
      <c r="C225" s="755" t="s">
        <v>1228</v>
      </c>
      <c r="D225" s="755">
        <v>222</v>
      </c>
      <c r="E225" s="750" t="s">
        <v>1306</v>
      </c>
      <c r="F225" s="750" t="s">
        <v>1534</v>
      </c>
      <c r="G225" s="750" t="s">
        <v>1575</v>
      </c>
      <c r="H225" s="755" t="str">
        <f t="shared" si="1"/>
        <v>Iloilo</v>
      </c>
      <c r="I225" s="928"/>
      <c r="J225" s="859">
        <v>55.5</v>
      </c>
      <c r="K225" s="931" t="str">
        <f>VLOOKUP(Table3[[#This Row],[Technology]],'GEA Reports'!$A$192:$M$202,11,FALSE)</f>
        <v>4.4832​</v>
      </c>
      <c r="L225" s="756">
        <v>3.9988999999999999</v>
      </c>
      <c r="M225" s="758"/>
      <c r="N225" s="757">
        <v>47117</v>
      </c>
      <c r="O225" s="758"/>
      <c r="P225" s="758"/>
      <c r="Q225" s="758"/>
      <c r="R225" s="750"/>
      <c r="S225" s="750"/>
      <c r="T225" s="905"/>
      <c r="U225" s="757"/>
      <c r="V225" s="757" t="str">
        <f>_xlfn.XLOOKUP(Table3[[#This Row],[RE Developer]],[2]GEA!$B:$B,[2]GEA!$K:$K,"",0,1)</f>
        <v>-</v>
      </c>
      <c r="W225" s="757"/>
      <c r="X225" s="757"/>
      <c r="Y225" s="905"/>
      <c r="Z225" s="905">
        <f>Table3[[#This Row],[Valid from]]+364</f>
        <v>364</v>
      </c>
      <c r="AA225" s="928" t="str">
        <f>_xlfn.XLOOKUP(Table3[[#This Row],[RE Developer]],[2]GEA!$B:$B,[2]GEA!$M:$M,"",0,1)</f>
        <v>-</v>
      </c>
      <c r="AB225" s="750"/>
      <c r="AC225" s="905"/>
      <c r="AD225" s="905"/>
      <c r="AE225" s="905"/>
      <c r="AF225" s="905"/>
      <c r="AG225" s="905"/>
      <c r="AH225" s="905"/>
    </row>
    <row r="226" spans="1:34" hidden="1" x14ac:dyDescent="0.25">
      <c r="A226" s="755" t="str">
        <f>VLOOKUP(Table3[[#This Row],[Location]],location!A:B,2,FALSE)</f>
        <v>Visayas</v>
      </c>
      <c r="B226" s="755" t="s">
        <v>1035</v>
      </c>
      <c r="C226" s="755" t="s">
        <v>1228</v>
      </c>
      <c r="D226" s="755">
        <v>223</v>
      </c>
      <c r="E226" s="750" t="s">
        <v>1306</v>
      </c>
      <c r="F226" s="750" t="s">
        <v>1318</v>
      </c>
      <c r="G226" s="750" t="s">
        <v>1602</v>
      </c>
      <c r="H226" s="755" t="str">
        <f t="shared" si="1"/>
        <v>Iloilo</v>
      </c>
      <c r="I226" s="928"/>
      <c r="J226" s="859">
        <v>23.966999999999999</v>
      </c>
      <c r="K226" s="931" t="str">
        <f>VLOOKUP(Table3[[#This Row],[Technology]],'GEA Reports'!$A$192:$M$202,11,FALSE)</f>
        <v>4.4832​</v>
      </c>
      <c r="L226" s="756">
        <v>3.9988999999999999</v>
      </c>
      <c r="M226" s="758"/>
      <c r="N226" s="757">
        <v>47117</v>
      </c>
      <c r="O226" s="758"/>
      <c r="P226" s="758"/>
      <c r="Q226" s="758"/>
      <c r="R226" s="750"/>
      <c r="S226" s="750"/>
      <c r="T226" s="905"/>
      <c r="U226" s="757"/>
      <c r="V226" s="757" t="str">
        <f>_xlfn.XLOOKUP(Table3[[#This Row],[RE Developer]],[2]GEA!$B:$B,[2]GEA!$K:$K,"",0,1)</f>
        <v>-</v>
      </c>
      <c r="W226" s="757"/>
      <c r="X226" s="757"/>
      <c r="Y226" s="905"/>
      <c r="Z226" s="905">
        <f>Table3[[#This Row],[Valid from]]+364</f>
        <v>364</v>
      </c>
      <c r="AA226" s="928" t="str">
        <f>_xlfn.XLOOKUP(Table3[[#This Row],[RE Developer]],[2]GEA!$B:$B,[2]GEA!$M:$M,"",0,1)</f>
        <v>-</v>
      </c>
      <c r="AB226" s="750"/>
      <c r="AC226" s="905"/>
      <c r="AD226" s="905"/>
      <c r="AE226" s="905"/>
      <c r="AF226" s="905"/>
      <c r="AG226" s="905"/>
      <c r="AH226" s="905"/>
    </row>
    <row r="227" spans="1:34" hidden="1" x14ac:dyDescent="0.25">
      <c r="A227" s="755" t="str">
        <f>VLOOKUP(Table3[[#This Row],[Location]],location!A:B,2,FALSE)</f>
        <v>Mindanao</v>
      </c>
      <c r="B227" s="755" t="s">
        <v>1334</v>
      </c>
      <c r="C227" s="755" t="s">
        <v>1228</v>
      </c>
      <c r="D227" s="755">
        <v>224</v>
      </c>
      <c r="E227" s="750" t="s">
        <v>1348</v>
      </c>
      <c r="F227" s="750" t="s">
        <v>1347</v>
      </c>
      <c r="G227" s="750" t="s">
        <v>1603</v>
      </c>
      <c r="H227" s="755" t="str">
        <f t="shared" si="1"/>
        <v>Sultan Kudarat</v>
      </c>
      <c r="I227" s="928"/>
      <c r="J227" s="859">
        <v>54</v>
      </c>
      <c r="K227" s="931" t="str">
        <f>VLOOKUP(Table3[[#This Row],[Technology]],'GEA Reports'!$A$192:$M$202,11,FALSE)</f>
        <v>5.4028​</v>
      </c>
      <c r="L227" s="756">
        <v>5.1886000000000001</v>
      </c>
      <c r="M227" s="758"/>
      <c r="N227" s="757">
        <v>47118</v>
      </c>
      <c r="O227" s="758"/>
      <c r="P227" s="758"/>
      <c r="Q227" s="758"/>
      <c r="R227" s="750"/>
      <c r="S227" s="750"/>
      <c r="T227" s="905"/>
      <c r="U227" s="757"/>
      <c r="V227" s="757" t="str">
        <f>_xlfn.XLOOKUP(Table3[[#This Row],[RE Developer]],[2]GEA!$B:$B,[2]GEA!$K:$K,"",0,1)</f>
        <v>-</v>
      </c>
      <c r="W227" s="757"/>
      <c r="X227" s="757"/>
      <c r="Y227" s="905"/>
      <c r="Z227" s="905">
        <f>Table3[[#This Row],[Valid from]]+364</f>
        <v>364</v>
      </c>
      <c r="AA227" s="928" t="str">
        <f>_xlfn.XLOOKUP(Table3[[#This Row],[RE Developer]],[2]GEA!$B:$B,[2]GEA!$M:$M,"",0,1)</f>
        <v>-</v>
      </c>
      <c r="AB227" s="750"/>
      <c r="AC227" s="905"/>
      <c r="AD227" s="905"/>
      <c r="AE227" s="905"/>
      <c r="AF227" s="905"/>
      <c r="AG227" s="905"/>
      <c r="AH227" s="905"/>
    </row>
    <row r="228" spans="1:34" hidden="1" x14ac:dyDescent="0.25">
      <c r="A228" s="755" t="str">
        <f>VLOOKUP(Table3[[#This Row],[Location]],location!A:B,2,FALSE)</f>
        <v>Mindanao</v>
      </c>
      <c r="B228" s="755" t="s">
        <v>1334</v>
      </c>
      <c r="C228" s="755" t="s">
        <v>1228</v>
      </c>
      <c r="D228" s="755">
        <v>225</v>
      </c>
      <c r="E228" s="750" t="s">
        <v>1342</v>
      </c>
      <c r="F228" s="750" t="s">
        <v>1349</v>
      </c>
      <c r="G228" s="750" t="s">
        <v>1583</v>
      </c>
      <c r="H228" s="755" t="str">
        <f t="shared" si="1"/>
        <v>Surigao del Sur</v>
      </c>
      <c r="I228" s="928"/>
      <c r="J228" s="859">
        <v>49.7</v>
      </c>
      <c r="K228" s="931" t="str">
        <f>VLOOKUP(Table3[[#This Row],[Technology]],'GEA Reports'!$A$192:$M$202,11,FALSE)</f>
        <v>5.4028​</v>
      </c>
      <c r="L228" s="756">
        <v>5.3758999999999997</v>
      </c>
      <c r="M228" s="758"/>
      <c r="N228" s="757">
        <v>47118</v>
      </c>
      <c r="O228" s="758"/>
      <c r="P228" s="758"/>
      <c r="Q228" s="758"/>
      <c r="R228" s="750"/>
      <c r="S228" s="750"/>
      <c r="T228" s="905"/>
      <c r="U228" s="757"/>
      <c r="V228" s="757" t="str">
        <f>_xlfn.XLOOKUP(Table3[[#This Row],[RE Developer]],[2]GEA!$B:$B,[2]GEA!$K:$K,"",0,1)</f>
        <v>-</v>
      </c>
      <c r="W228" s="757"/>
      <c r="X228" s="757"/>
      <c r="Y228" s="905"/>
      <c r="Z228" s="905">
        <f>Table3[[#This Row],[Valid from]]+364</f>
        <v>364</v>
      </c>
      <c r="AA228" s="928" t="str">
        <f>_xlfn.XLOOKUP(Table3[[#This Row],[RE Developer]],[2]GEA!$B:$B,[2]GEA!$M:$M,"",0,1)</f>
        <v>-</v>
      </c>
      <c r="AB228" s="750"/>
      <c r="AC228" s="905"/>
      <c r="AD228" s="905"/>
      <c r="AE228" s="905"/>
      <c r="AF228" s="905"/>
      <c r="AG228" s="905"/>
      <c r="AH228" s="905"/>
    </row>
    <row r="229" spans="1:34" hidden="1" x14ac:dyDescent="0.25">
      <c r="A229" s="755" t="str">
        <f>VLOOKUP(Table3[[#This Row],[Location]],location!A:B,2,FALSE)</f>
        <v>Visayas</v>
      </c>
      <c r="B229" s="755" t="s">
        <v>1035</v>
      </c>
      <c r="C229" s="755" t="s">
        <v>1228</v>
      </c>
      <c r="D229" s="755">
        <v>226</v>
      </c>
      <c r="E229" s="750" t="s">
        <v>1321</v>
      </c>
      <c r="F229" s="750" t="s">
        <v>1320</v>
      </c>
      <c r="G229" s="750" t="s">
        <v>1604</v>
      </c>
      <c r="H229" s="755" t="str">
        <f t="shared" si="1"/>
        <v>Negros Occidental</v>
      </c>
      <c r="I229" s="928"/>
      <c r="J229" s="859">
        <v>140.1</v>
      </c>
      <c r="K229" s="931" t="str">
        <f>VLOOKUP(Table3[[#This Row],[Technology]],'GEA Reports'!$A$192:$M$202,11,FALSE)</f>
        <v>4.4832​</v>
      </c>
      <c r="L229" s="756">
        <v>4.0823999999999998</v>
      </c>
      <c r="M229" s="758"/>
      <c r="N229" s="757">
        <v>47118</v>
      </c>
      <c r="O229" s="758"/>
      <c r="P229" s="758"/>
      <c r="Q229" s="758"/>
      <c r="R229" s="750"/>
      <c r="S229" s="750"/>
      <c r="T229" s="905"/>
      <c r="U229" s="757"/>
      <c r="V229" s="757" t="str">
        <f>_xlfn.XLOOKUP(Table3[[#This Row],[RE Developer]],[2]GEA!$B:$B,[2]GEA!$K:$K,"",0,1)</f>
        <v>-</v>
      </c>
      <c r="W229" s="757"/>
      <c r="X229" s="757"/>
      <c r="Y229" s="905"/>
      <c r="Z229" s="905">
        <f>Table3[[#This Row],[Valid from]]+364</f>
        <v>364</v>
      </c>
      <c r="AA229" s="928" t="str">
        <f>_xlfn.XLOOKUP(Table3[[#This Row],[RE Developer]],[2]GEA!$B:$B,[2]GEA!$M:$M,"",0,1)</f>
        <v>-</v>
      </c>
      <c r="AB229" s="750"/>
      <c r="AC229" s="905"/>
      <c r="AD229" s="905"/>
      <c r="AE229" s="905"/>
      <c r="AF229" s="905"/>
      <c r="AG229" s="905"/>
      <c r="AH229" s="905"/>
    </row>
    <row r="230" spans="1:34" hidden="1" x14ac:dyDescent="0.25">
      <c r="A230" s="755" t="str">
        <f>VLOOKUP(Table3[[#This Row],[Location]],location!A:B,2,FALSE)</f>
        <v>Visayas</v>
      </c>
      <c r="B230" s="755" t="s">
        <v>1035</v>
      </c>
      <c r="C230" s="755" t="s">
        <v>1228</v>
      </c>
      <c r="D230" s="755">
        <v>227</v>
      </c>
      <c r="E230" s="750" t="s">
        <v>1546</v>
      </c>
      <c r="F230" s="750" t="s">
        <v>1322</v>
      </c>
      <c r="G230" s="750" t="s">
        <v>1605</v>
      </c>
      <c r="H230" s="755" t="str">
        <f t="shared" si="1"/>
        <v>Bohol</v>
      </c>
      <c r="I230" s="928"/>
      <c r="J230" s="859">
        <v>17.5</v>
      </c>
      <c r="K230" s="931" t="str">
        <f>VLOOKUP(Table3[[#This Row],[Technology]],'GEA Reports'!$A$192:$M$202,11,FALSE)</f>
        <v>4.4832​</v>
      </c>
      <c r="L230" s="756">
        <v>4.1089000000000002</v>
      </c>
      <c r="M230" s="758"/>
      <c r="N230" s="757">
        <v>47118</v>
      </c>
      <c r="O230" s="758"/>
      <c r="P230" s="758"/>
      <c r="Q230" s="758"/>
      <c r="R230" s="750"/>
      <c r="S230" s="750"/>
      <c r="T230" s="905"/>
      <c r="U230" s="757"/>
      <c r="V230" s="757" t="str">
        <f>_xlfn.XLOOKUP(Table3[[#This Row],[RE Developer]],[2]GEA!$B:$B,[2]GEA!$K:$K,"",0,1)</f>
        <v/>
      </c>
      <c r="W230" s="757"/>
      <c r="X230" s="757"/>
      <c r="Y230" s="905"/>
      <c r="Z230" s="905">
        <f>Table3[[#This Row],[Valid from]]+364</f>
        <v>364</v>
      </c>
      <c r="AA230" s="928" t="str">
        <f>_xlfn.XLOOKUP(Table3[[#This Row],[RE Developer]],[2]GEA!$B:$B,[2]GEA!$M:$M,"",0,1)</f>
        <v/>
      </c>
      <c r="AB230" s="750"/>
      <c r="AC230" s="905"/>
      <c r="AD230" s="905"/>
      <c r="AE230" s="905"/>
      <c r="AF230" s="905"/>
      <c r="AG230" s="905"/>
      <c r="AH230" s="905"/>
    </row>
    <row r="231" spans="1:34" hidden="1" x14ac:dyDescent="0.25">
      <c r="A231" s="755" t="str">
        <f>VLOOKUP(Table3[[#This Row],[Location]],location!A:B,2,FALSE)</f>
        <v>Luzon</v>
      </c>
      <c r="B231" s="755" t="s">
        <v>1158</v>
      </c>
      <c r="C231" s="755" t="s">
        <v>1228</v>
      </c>
      <c r="D231" s="755">
        <v>228</v>
      </c>
      <c r="E231" s="750" t="s">
        <v>1075</v>
      </c>
      <c r="F231" s="750" t="s">
        <v>1254</v>
      </c>
      <c r="G231" s="750" t="s">
        <v>1606</v>
      </c>
      <c r="H231" s="755" t="str">
        <f t="shared" si="1"/>
        <v>Tarlac</v>
      </c>
      <c r="I231" s="928"/>
      <c r="J231" s="859">
        <v>34</v>
      </c>
      <c r="K231" s="931" t="str">
        <f>VLOOKUP(Table3[[#This Row],[Technology]],'GEA Reports'!$A$192:$M$202,11,FALSE)</f>
        <v>6.5258​</v>
      </c>
      <c r="L231" s="756">
        <v>6.3886000000000003</v>
      </c>
      <c r="M231" s="758"/>
      <c r="N231" s="757">
        <v>47118</v>
      </c>
      <c r="O231" s="758"/>
      <c r="P231" s="758"/>
      <c r="Q231" s="758"/>
      <c r="R231" s="750"/>
      <c r="S231" s="750"/>
      <c r="T231" s="905"/>
      <c r="U231" s="757"/>
      <c r="V231" s="757" t="str">
        <f>_xlfn.XLOOKUP(Table3[[#This Row],[RE Developer]],[2]GEA!$B:$B,[2]GEA!$K:$K,"",0,1)</f>
        <v/>
      </c>
      <c r="W231" s="757"/>
      <c r="X231" s="757"/>
      <c r="Y231" s="905"/>
      <c r="Z231" s="905">
        <f>Table3[[#This Row],[Valid from]]+364</f>
        <v>364</v>
      </c>
      <c r="AA231" s="928" t="str">
        <f>_xlfn.XLOOKUP(Table3[[#This Row],[RE Developer]],[2]GEA!$B:$B,[2]GEA!$M:$M,"",0,1)</f>
        <v/>
      </c>
      <c r="AB231" s="750"/>
      <c r="AC231" s="905"/>
      <c r="AD231" s="905"/>
      <c r="AE231" s="905"/>
      <c r="AF231" s="905"/>
      <c r="AG231" s="905"/>
      <c r="AH231" s="905"/>
    </row>
    <row r="232" spans="1:34" hidden="1" x14ac:dyDescent="0.25">
      <c r="A232" s="755" t="str">
        <f>VLOOKUP(Table3[[#This Row],[Location]],location!A:B,2,FALSE)</f>
        <v>Luzon</v>
      </c>
      <c r="B232" s="755" t="s">
        <v>1158</v>
      </c>
      <c r="C232" s="755" t="s">
        <v>1228</v>
      </c>
      <c r="D232" s="755">
        <v>229</v>
      </c>
      <c r="E232" s="750" t="s">
        <v>1075</v>
      </c>
      <c r="F232" s="750" t="s">
        <v>1255</v>
      </c>
      <c r="G232" s="750" t="s">
        <v>1606</v>
      </c>
      <c r="H232" s="755" t="str">
        <f t="shared" si="1"/>
        <v>Tarlac</v>
      </c>
      <c r="I232" s="928"/>
      <c r="J232" s="859">
        <v>34</v>
      </c>
      <c r="K232" s="931" t="str">
        <f>VLOOKUP(Table3[[#This Row],[Technology]],'GEA Reports'!$A$192:$M$202,11,FALSE)</f>
        <v>6.5258​</v>
      </c>
      <c r="L232" s="756">
        <v>6.4</v>
      </c>
      <c r="M232" s="758"/>
      <c r="N232" s="757">
        <v>47118</v>
      </c>
      <c r="O232" s="758"/>
      <c r="P232" s="758"/>
      <c r="Q232" s="758"/>
      <c r="R232" s="750"/>
      <c r="S232" s="750"/>
      <c r="T232" s="905"/>
      <c r="U232" s="757"/>
      <c r="V232" s="757" t="str">
        <f>_xlfn.XLOOKUP(Table3[[#This Row],[RE Developer]],[2]GEA!$B:$B,[2]GEA!$K:$K,"",0,1)</f>
        <v/>
      </c>
      <c r="W232" s="757"/>
      <c r="X232" s="757"/>
      <c r="Y232" s="905"/>
      <c r="Z232" s="905">
        <f>Table3[[#This Row],[Valid from]]+364</f>
        <v>364</v>
      </c>
      <c r="AA232" s="928" t="str">
        <f>_xlfn.XLOOKUP(Table3[[#This Row],[RE Developer]],[2]GEA!$B:$B,[2]GEA!$M:$M,"",0,1)</f>
        <v/>
      </c>
      <c r="AB232" s="750"/>
      <c r="AC232" s="905"/>
      <c r="AD232" s="905"/>
      <c r="AE232" s="905"/>
      <c r="AF232" s="905"/>
      <c r="AG232" s="905"/>
      <c r="AH232" s="905"/>
    </row>
    <row r="233" spans="1:34" hidden="1" x14ac:dyDescent="0.25">
      <c r="A233" s="755" t="str">
        <f>VLOOKUP(Table3[[#This Row],[Location]],location!A:B,2,FALSE)</f>
        <v>Luzon</v>
      </c>
      <c r="B233" s="755" t="s">
        <v>1158</v>
      </c>
      <c r="C233" s="755" t="s">
        <v>1228</v>
      </c>
      <c r="D233" s="755">
        <v>230</v>
      </c>
      <c r="E233" s="750" t="s">
        <v>1157</v>
      </c>
      <c r="F233" s="750" t="s">
        <v>1256</v>
      </c>
      <c r="G233" s="750" t="s">
        <v>1607</v>
      </c>
      <c r="H233" s="755" t="str">
        <f t="shared" si="1"/>
        <v>Laguna</v>
      </c>
      <c r="I233" s="928"/>
      <c r="J233" s="859">
        <v>47</v>
      </c>
      <c r="K233" s="931" t="str">
        <f>VLOOKUP(Table3[[#This Row],[Technology]],'GEA Reports'!$A$192:$M$202,11,FALSE)</f>
        <v>6.5258​</v>
      </c>
      <c r="L233" s="756">
        <v>6.5251999999999999</v>
      </c>
      <c r="M233" s="758"/>
      <c r="N233" s="757">
        <v>47118</v>
      </c>
      <c r="O233" s="758"/>
      <c r="P233" s="758"/>
      <c r="Q233" s="758"/>
      <c r="R233" s="750"/>
      <c r="S233" s="750"/>
      <c r="T233" s="905"/>
      <c r="U233" s="757"/>
      <c r="V233" s="757" t="str">
        <f>_xlfn.XLOOKUP(Table3[[#This Row],[RE Developer]],[2]GEA!$B:$B,[2]GEA!$K:$K,"",0,1)</f>
        <v>-</v>
      </c>
      <c r="W233" s="757"/>
      <c r="X233" s="757"/>
      <c r="Y233" s="905"/>
      <c r="Z233" s="905">
        <f>Table3[[#This Row],[Valid from]]+364</f>
        <v>364</v>
      </c>
      <c r="AA233" s="928" t="str">
        <f>_xlfn.XLOOKUP(Table3[[#This Row],[RE Developer]],[2]GEA!$B:$B,[2]GEA!$M:$M,"",0,1)</f>
        <v>-</v>
      </c>
      <c r="AB233" s="750"/>
      <c r="AC233" s="905"/>
      <c r="AD233" s="905"/>
      <c r="AE233" s="905"/>
      <c r="AF233" s="905"/>
      <c r="AG233" s="905"/>
      <c r="AH233" s="905"/>
    </row>
    <row r="234" spans="1:34" hidden="1" x14ac:dyDescent="0.25">
      <c r="A234" s="755" t="str">
        <f>VLOOKUP(Table3[[#This Row],[Location]],location!A:B,2,FALSE)</f>
        <v>Visayas</v>
      </c>
      <c r="B234" s="755" t="s">
        <v>1158</v>
      </c>
      <c r="C234" s="755" t="s">
        <v>1228</v>
      </c>
      <c r="D234" s="755">
        <v>231</v>
      </c>
      <c r="E234" s="750" t="s">
        <v>1258</v>
      </c>
      <c r="F234" s="750" t="s">
        <v>1257</v>
      </c>
      <c r="G234" s="750" t="s">
        <v>1608</v>
      </c>
      <c r="H234" s="755" t="str">
        <f t="shared" si="1"/>
        <v>Negros Occidental</v>
      </c>
      <c r="I234" s="928"/>
      <c r="J234" s="859">
        <v>64</v>
      </c>
      <c r="K234" s="931" t="str">
        <f>VLOOKUP(Table3[[#This Row],[Technology]],'GEA Reports'!$A$192:$M$202,11,FALSE)</f>
        <v>6.5258​</v>
      </c>
      <c r="L234" s="756">
        <v>6.5258000000000003</v>
      </c>
      <c r="M234" s="758"/>
      <c r="N234" s="757">
        <v>47118</v>
      </c>
      <c r="O234" s="758"/>
      <c r="P234" s="758"/>
      <c r="Q234" s="758"/>
      <c r="R234" s="750"/>
      <c r="S234" s="750"/>
      <c r="T234" s="905"/>
      <c r="U234" s="757"/>
      <c r="V234" s="757" t="str">
        <f>_xlfn.XLOOKUP(Table3[[#This Row],[RE Developer]],[2]GEA!$B:$B,[2]GEA!$K:$K,"",0,1)</f>
        <v>-</v>
      </c>
      <c r="W234" s="757"/>
      <c r="X234" s="757"/>
      <c r="Y234" s="905"/>
      <c r="Z234" s="905">
        <f>Table3[[#This Row],[Valid from]]+364</f>
        <v>364</v>
      </c>
      <c r="AA234" s="928" t="str">
        <f>_xlfn.XLOOKUP(Table3[[#This Row],[RE Developer]],[2]GEA!$B:$B,[2]GEA!$M:$M,"",0,1)</f>
        <v>-</v>
      </c>
      <c r="AB234" s="750"/>
      <c r="AC234" s="905"/>
      <c r="AD234" s="905"/>
      <c r="AE234" s="905"/>
      <c r="AF234" s="905"/>
      <c r="AG234" s="905"/>
      <c r="AH234" s="905"/>
    </row>
    <row r="235" spans="1:34" hidden="1" x14ac:dyDescent="0.25">
      <c r="A235" s="755" t="str">
        <f>VLOOKUP(Table3[[#This Row],[Location]],location!A:B,2,FALSE)</f>
        <v>Luzon</v>
      </c>
      <c r="B235" s="755" t="s">
        <v>1139</v>
      </c>
      <c r="C235" s="755" t="s">
        <v>1228</v>
      </c>
      <c r="D235" s="755">
        <v>232</v>
      </c>
      <c r="E235" s="750" t="s">
        <v>1028</v>
      </c>
      <c r="F235" s="750" t="s">
        <v>1362</v>
      </c>
      <c r="G235" s="750" t="s">
        <v>1609</v>
      </c>
      <c r="H235" s="755" t="s">
        <v>1016</v>
      </c>
      <c r="I235" s="928"/>
      <c r="J235" s="859">
        <v>96</v>
      </c>
      <c r="K235" s="931" t="str">
        <f>VLOOKUP("*onshore*",'GEA Reports'!$A$192:$M$202,11,FALSE)</f>
        <v>6.0859​</v>
      </c>
      <c r="L235" s="756">
        <v>5.3886000000000003</v>
      </c>
      <c r="M235" s="758"/>
      <c r="N235" s="757">
        <v>47118</v>
      </c>
      <c r="O235" s="758"/>
      <c r="P235" s="758"/>
      <c r="Q235" s="758"/>
      <c r="R235" s="750"/>
      <c r="S235" s="750"/>
      <c r="T235" s="905"/>
      <c r="U235" s="757"/>
      <c r="V235" s="757" t="str">
        <f>_xlfn.XLOOKUP(Table3[[#This Row],[RE Developer]],[2]GEA!$B:$B,[2]GEA!$K:$K,"",0,1)</f>
        <v/>
      </c>
      <c r="W235" s="757"/>
      <c r="X235" s="757"/>
      <c r="Y235" s="905"/>
      <c r="Z235" s="905">
        <f>Table3[[#This Row],[Valid from]]+364</f>
        <v>364</v>
      </c>
      <c r="AA235" s="928" t="str">
        <f>_xlfn.XLOOKUP(Table3[[#This Row],[RE Developer]],[2]GEA!$B:$B,[2]GEA!$M:$M,"",0,1)</f>
        <v/>
      </c>
      <c r="AB235" s="750"/>
      <c r="AC235" s="905"/>
      <c r="AD235" s="905"/>
      <c r="AE235" s="905"/>
      <c r="AF235" s="905"/>
      <c r="AG235" s="905"/>
      <c r="AH235" s="905"/>
    </row>
    <row r="236" spans="1:34" hidden="1" x14ac:dyDescent="0.25">
      <c r="A236" s="755" t="str">
        <f>VLOOKUP(Table3[[#This Row],[Location]],location!A:B,2,FALSE)</f>
        <v>Luzon</v>
      </c>
      <c r="B236" s="755" t="s">
        <v>1139</v>
      </c>
      <c r="C236" s="755" t="s">
        <v>1228</v>
      </c>
      <c r="D236" s="755">
        <v>233</v>
      </c>
      <c r="E236" s="750" t="s">
        <v>1364</v>
      </c>
      <c r="F236" s="750" t="s">
        <v>1363</v>
      </c>
      <c r="G236" s="750" t="s">
        <v>1610</v>
      </c>
      <c r="H236" s="755" t="s">
        <v>262</v>
      </c>
      <c r="I236" s="928"/>
      <c r="J236" s="859">
        <v>200</v>
      </c>
      <c r="K236" s="931" t="str">
        <f>VLOOKUP("*onshore*",'GEA Reports'!$A$192:$M$202,11,FALSE)</f>
        <v>6.0859​</v>
      </c>
      <c r="L236" s="756">
        <v>5.4001000000000001</v>
      </c>
      <c r="M236" s="758"/>
      <c r="N236" s="757">
        <v>47118</v>
      </c>
      <c r="O236" s="758"/>
      <c r="P236" s="758"/>
      <c r="Q236" s="758"/>
      <c r="R236" s="750"/>
      <c r="S236" s="750"/>
      <c r="T236" s="905"/>
      <c r="U236" s="757"/>
      <c r="V236" s="757" t="str">
        <f>_xlfn.XLOOKUP(Table3[[#This Row],[RE Developer]],[2]GEA!$B:$B,[2]GEA!$K:$K,"",0,1)</f>
        <v>-</v>
      </c>
      <c r="W236" s="757"/>
      <c r="X236" s="757"/>
      <c r="Y236" s="905"/>
      <c r="Z236" s="905">
        <f>Table3[[#This Row],[Valid from]]+364</f>
        <v>364</v>
      </c>
      <c r="AA236" s="928" t="str">
        <f>_xlfn.XLOOKUP(Table3[[#This Row],[RE Developer]],[2]GEA!$B:$B,[2]GEA!$M:$M,"",0,1)</f>
        <v>-</v>
      </c>
      <c r="AB236" s="750"/>
      <c r="AC236" s="905"/>
      <c r="AD236" s="905"/>
      <c r="AE236" s="905"/>
      <c r="AF236" s="905"/>
      <c r="AG236" s="905"/>
      <c r="AH236" s="905"/>
    </row>
    <row r="237" spans="1:34" hidden="1" x14ac:dyDescent="0.25">
      <c r="A237" s="755" t="str">
        <f>VLOOKUP(Table3[[#This Row],[Location]],location!A:B,2,FALSE)</f>
        <v>Visayas</v>
      </c>
      <c r="B237" s="755" t="s">
        <v>1139</v>
      </c>
      <c r="C237" s="755" t="s">
        <v>1228</v>
      </c>
      <c r="D237" s="755">
        <v>234</v>
      </c>
      <c r="E237" s="750" t="s">
        <v>1366</v>
      </c>
      <c r="F237" s="750" t="s">
        <v>1365</v>
      </c>
      <c r="G237" s="750" t="s">
        <v>1611</v>
      </c>
      <c r="H237" s="755" t="str">
        <f t="shared" si="1"/>
        <v>Cebu</v>
      </c>
      <c r="I237" s="928"/>
      <c r="J237" s="859">
        <v>56</v>
      </c>
      <c r="K237" s="931" t="str">
        <f>VLOOKUP("*onshore*",'GEA Reports'!$A$192:$M$202,11,FALSE)</f>
        <v>6.0859​</v>
      </c>
      <c r="L237" s="756">
        <v>5.3886000000000003</v>
      </c>
      <c r="M237" s="758"/>
      <c r="N237" s="757">
        <v>47118</v>
      </c>
      <c r="O237" s="758"/>
      <c r="P237" s="758"/>
      <c r="Q237" s="758"/>
      <c r="R237" s="750"/>
      <c r="S237" s="750"/>
      <c r="T237" s="905"/>
      <c r="U237" s="757"/>
      <c r="V237" s="757" t="str">
        <f>_xlfn.XLOOKUP(Table3[[#This Row],[RE Developer]],[2]GEA!$B:$B,[2]GEA!$K:$K,"",0,1)</f>
        <v>-</v>
      </c>
      <c r="W237" s="757"/>
      <c r="X237" s="757"/>
      <c r="Y237" s="905"/>
      <c r="Z237" s="905">
        <f>Table3[[#This Row],[Valid from]]+364</f>
        <v>364</v>
      </c>
      <c r="AA237" s="928" t="str">
        <f>_xlfn.XLOOKUP(Table3[[#This Row],[RE Developer]],[2]GEA!$B:$B,[2]GEA!$M:$M,"",0,1)</f>
        <v>-</v>
      </c>
      <c r="AB237" s="750"/>
      <c r="AC237" s="905"/>
      <c r="AD237" s="905"/>
      <c r="AE237" s="905"/>
      <c r="AF237" s="905"/>
      <c r="AG237" s="905"/>
      <c r="AH237" s="905"/>
    </row>
    <row r="238" spans="1:34" hidden="1" x14ac:dyDescent="0.25">
      <c r="A238" s="755" t="str">
        <f>VLOOKUP(Table3[[#This Row],[Location]],location!A:B,2,FALSE)</f>
        <v>Visayas</v>
      </c>
      <c r="B238" s="755" t="s">
        <v>1035</v>
      </c>
      <c r="C238" s="755" t="s">
        <v>1228</v>
      </c>
      <c r="D238" s="755">
        <v>235</v>
      </c>
      <c r="E238" s="750" t="s">
        <v>1331</v>
      </c>
      <c r="F238" s="750" t="s">
        <v>1330</v>
      </c>
      <c r="G238" s="750" t="s">
        <v>1612</v>
      </c>
      <c r="H238" s="755" t="str">
        <f t="shared" si="1"/>
        <v>Capiz</v>
      </c>
      <c r="I238" s="928"/>
      <c r="J238" s="859">
        <v>70.08</v>
      </c>
      <c r="K238" s="931" t="str">
        <f>VLOOKUP(Table3[[#This Row],[Technology]],'GEA Reports'!$A$192:$M$202,11,FALSE)</f>
        <v>4.4832​</v>
      </c>
      <c r="L238" s="756">
        <v>4.4832000000000001</v>
      </c>
      <c r="M238" s="758"/>
      <c r="N238" s="757">
        <v>47119</v>
      </c>
      <c r="O238" s="758"/>
      <c r="P238" s="758"/>
      <c r="Q238" s="758"/>
      <c r="R238" s="750"/>
      <c r="S238" s="750"/>
      <c r="T238" s="905"/>
      <c r="U238" s="757"/>
      <c r="V238" s="757" t="str">
        <f>_xlfn.XLOOKUP(Table3[[#This Row],[RE Developer]],[2]GEA!$B:$B,[2]GEA!$K:$K,"",0,1)</f>
        <v>-</v>
      </c>
      <c r="W238" s="757"/>
      <c r="X238" s="757"/>
      <c r="Y238" s="905"/>
      <c r="Z238" s="905">
        <f>Table3[[#This Row],[Valid from]]+364</f>
        <v>364</v>
      </c>
      <c r="AA238" s="928" t="str">
        <f>_xlfn.XLOOKUP(Table3[[#This Row],[RE Developer]],[2]GEA!$B:$B,[2]GEA!$M:$M,"",0,1)</f>
        <v>-</v>
      </c>
      <c r="AB238" s="750"/>
      <c r="AC238" s="905"/>
      <c r="AD238" s="905"/>
      <c r="AE238" s="905"/>
      <c r="AF238" s="905"/>
      <c r="AG238" s="905"/>
      <c r="AH238" s="905"/>
    </row>
    <row r="239" spans="1:34" hidden="1" x14ac:dyDescent="0.25">
      <c r="A239" s="755" t="str">
        <f>VLOOKUP(Table3[[#This Row],[Location]],location!A:B,2,FALSE)</f>
        <v>Mindanao</v>
      </c>
      <c r="B239" s="755" t="s">
        <v>1035</v>
      </c>
      <c r="C239" s="755" t="s">
        <v>1228</v>
      </c>
      <c r="D239" s="755">
        <v>236</v>
      </c>
      <c r="E239" s="750" t="s">
        <v>1251</v>
      </c>
      <c r="F239" s="750" t="s">
        <v>1332</v>
      </c>
      <c r="G239" s="750" t="s">
        <v>1559</v>
      </c>
      <c r="H239" s="755" t="str">
        <f t="shared" si="1"/>
        <v>Davao Occidental</v>
      </c>
      <c r="I239" s="928"/>
      <c r="J239" s="859">
        <v>120</v>
      </c>
      <c r="K239" s="931" t="str">
        <f>VLOOKUP(Table3[[#This Row],[Technology]],'GEA Reports'!$A$192:$M$202,11,FALSE)</f>
        <v>4.4832​</v>
      </c>
      <c r="L239" s="756">
        <v>3.9514999999999998</v>
      </c>
      <c r="M239" s="758"/>
      <c r="N239" s="757">
        <v>47119</v>
      </c>
      <c r="O239" s="758"/>
      <c r="P239" s="758"/>
      <c r="Q239" s="758"/>
      <c r="R239" s="750"/>
      <c r="S239" s="750"/>
      <c r="T239" s="905"/>
      <c r="U239" s="757"/>
      <c r="V239" s="757" t="str">
        <f>_xlfn.XLOOKUP(Table3[[#This Row],[RE Developer]],[2]GEA!$B:$B,[2]GEA!$K:$K,"",0,1)</f>
        <v>-</v>
      </c>
      <c r="W239" s="757"/>
      <c r="X239" s="757"/>
      <c r="Y239" s="905"/>
      <c r="Z239" s="905">
        <f>Table3[[#This Row],[Valid from]]+364</f>
        <v>364</v>
      </c>
      <c r="AA239" s="928" t="str">
        <f>_xlfn.XLOOKUP(Table3[[#This Row],[RE Developer]],[2]GEA!$B:$B,[2]GEA!$M:$M,"",0,1)</f>
        <v>-</v>
      </c>
      <c r="AB239" s="750"/>
      <c r="AC239" s="905"/>
      <c r="AD239" s="905"/>
      <c r="AE239" s="905"/>
      <c r="AF239" s="905"/>
      <c r="AG239" s="905"/>
      <c r="AH239" s="905"/>
    </row>
    <row r="240" spans="1:34" hidden="1" x14ac:dyDescent="0.25">
      <c r="A240" s="755" t="str">
        <f>VLOOKUP(Table3[[#This Row],[Location]],location!A:B,2,FALSE)</f>
        <v>Luzon</v>
      </c>
      <c r="B240" s="755" t="s">
        <v>1158</v>
      </c>
      <c r="C240" s="755" t="s">
        <v>1228</v>
      </c>
      <c r="D240" s="755">
        <v>237</v>
      </c>
      <c r="E240" s="750" t="s">
        <v>1251</v>
      </c>
      <c r="F240" s="750" t="s">
        <v>1259</v>
      </c>
      <c r="G240" s="750" t="s">
        <v>1594</v>
      </c>
      <c r="H240" s="755" t="str">
        <f t="shared" si="1"/>
        <v>Bulacan</v>
      </c>
      <c r="I240" s="928"/>
      <c r="J240" s="859">
        <v>500</v>
      </c>
      <c r="K240" s="931" t="str">
        <f>VLOOKUP(Table3[[#This Row],[Technology]],'GEA Reports'!$A$192:$M$202,11,FALSE)</f>
        <v>6.5258​</v>
      </c>
      <c r="L240" s="756">
        <v>5.5549999999999997</v>
      </c>
      <c r="M240" s="758"/>
      <c r="N240" s="757">
        <v>47119</v>
      </c>
      <c r="O240" s="758"/>
      <c r="P240" s="758"/>
      <c r="Q240" s="758"/>
      <c r="R240" s="750"/>
      <c r="S240" s="750"/>
      <c r="T240" s="905"/>
      <c r="U240" s="757"/>
      <c r="V240" s="757" t="str">
        <f>_xlfn.XLOOKUP(Table3[[#This Row],[RE Developer]],[2]GEA!$B:$B,[2]GEA!$K:$K,"",0,1)</f>
        <v>-</v>
      </c>
      <c r="W240" s="757"/>
      <c r="X240" s="757"/>
      <c r="Y240" s="905"/>
      <c r="Z240" s="905">
        <f>Table3[[#This Row],[Valid from]]+364</f>
        <v>364</v>
      </c>
      <c r="AA240" s="928" t="str">
        <f>_xlfn.XLOOKUP(Table3[[#This Row],[RE Developer]],[2]GEA!$B:$B,[2]GEA!$M:$M,"",0,1)</f>
        <v>-</v>
      </c>
      <c r="AB240" s="750"/>
      <c r="AC240" s="905"/>
      <c r="AD240" s="905"/>
      <c r="AE240" s="905"/>
      <c r="AF240" s="905"/>
      <c r="AG240" s="905"/>
      <c r="AH240" s="905"/>
    </row>
    <row r="241" spans="1:34" hidden="1" x14ac:dyDescent="0.25">
      <c r="A241" s="755" t="str">
        <f>VLOOKUP(Table3[[#This Row],[Location]],location!A:B,2,FALSE)</f>
        <v>Visayas</v>
      </c>
      <c r="B241" s="755" t="s">
        <v>1035</v>
      </c>
      <c r="C241" s="755" t="s">
        <v>1228</v>
      </c>
      <c r="D241" s="755">
        <v>238</v>
      </c>
      <c r="E241" s="750" t="s">
        <v>1454</v>
      </c>
      <c r="F241" s="750" t="s">
        <v>1448</v>
      </c>
      <c r="G241" s="750" t="s">
        <v>1613</v>
      </c>
      <c r="H241" s="755" t="str">
        <f t="shared" si="1"/>
        <v>Leyte</v>
      </c>
      <c r="I241" s="928"/>
      <c r="J241" s="859">
        <v>76.650000000000006</v>
      </c>
      <c r="K241" s="931" t="str">
        <f>VLOOKUP(Table3[[#This Row],[Technology]],'GEA Reports'!$A$192:$M$202,11,FALSE)</f>
        <v>4.4832​</v>
      </c>
      <c r="L241" s="756">
        <v>4.3487999999999998</v>
      </c>
      <c r="M241" s="758"/>
      <c r="N241" s="757">
        <v>47299</v>
      </c>
      <c r="O241" s="758"/>
      <c r="P241" s="758"/>
      <c r="Q241" s="758"/>
      <c r="R241" s="750"/>
      <c r="S241" s="750"/>
      <c r="T241" s="905"/>
      <c r="U241" s="757"/>
      <c r="V241" s="757" t="str">
        <f>_xlfn.XLOOKUP(Table3[[#This Row],[RE Developer]],[2]GEA!$B:$B,[2]GEA!$K:$K,"",0,1)</f>
        <v>-</v>
      </c>
      <c r="W241" s="757"/>
      <c r="X241" s="757"/>
      <c r="Y241" s="905"/>
      <c r="Z241" s="905">
        <f>Table3[[#This Row],[Valid from]]+364</f>
        <v>364</v>
      </c>
      <c r="AA241" s="928" t="str">
        <f>_xlfn.XLOOKUP(Table3[[#This Row],[RE Developer]],[2]GEA!$B:$B,[2]GEA!$M:$M,"",0,1)</f>
        <v>-</v>
      </c>
      <c r="AB241" s="750"/>
      <c r="AC241" s="905"/>
      <c r="AD241" s="905"/>
      <c r="AE241" s="905"/>
      <c r="AF241" s="905"/>
      <c r="AG241" s="905"/>
      <c r="AH241" s="905"/>
    </row>
    <row r="242" spans="1:34" hidden="1" x14ac:dyDescent="0.25">
      <c r="A242" s="755" t="str">
        <f>VLOOKUP(Table3[[#This Row],[Location]],location!A:B,2,FALSE)</f>
        <v>Visayas</v>
      </c>
      <c r="B242" s="755" t="s">
        <v>1035</v>
      </c>
      <c r="C242" s="755" t="s">
        <v>1228</v>
      </c>
      <c r="D242" s="755">
        <v>239</v>
      </c>
      <c r="E242" s="750" t="s">
        <v>1329</v>
      </c>
      <c r="F242" s="750" t="s">
        <v>1328</v>
      </c>
      <c r="G242" s="750" t="s">
        <v>1614</v>
      </c>
      <c r="H242" s="755" t="str">
        <f t="shared" si="1"/>
        <v>Bohol</v>
      </c>
      <c r="I242" s="928"/>
      <c r="J242" s="859">
        <v>20.16</v>
      </c>
      <c r="K242" s="931" t="str">
        <f>VLOOKUP(Table3[[#This Row],[Technology]],'GEA Reports'!$A$192:$M$202,11,FALSE)</f>
        <v>4.4832​</v>
      </c>
      <c r="L242" s="756">
        <v>4.3</v>
      </c>
      <c r="M242" s="758"/>
      <c r="N242" s="757">
        <v>47315</v>
      </c>
      <c r="O242" s="758"/>
      <c r="P242" s="758"/>
      <c r="Q242" s="758"/>
      <c r="R242" s="750"/>
      <c r="S242" s="750"/>
      <c r="T242" s="905"/>
      <c r="U242" s="757"/>
      <c r="V242" s="757" t="str">
        <f>_xlfn.XLOOKUP(Table3[[#This Row],[RE Developer]],[2]GEA!$B:$B,[2]GEA!$K:$K,"",0,1)</f>
        <v>-</v>
      </c>
      <c r="W242" s="757"/>
      <c r="X242" s="757"/>
      <c r="Y242" s="905"/>
      <c r="Z242" s="905">
        <f>Table3[[#This Row],[Valid from]]+364</f>
        <v>364</v>
      </c>
      <c r="AA242" s="928" t="str">
        <f>_xlfn.XLOOKUP(Table3[[#This Row],[RE Developer]],[2]GEA!$B:$B,[2]GEA!$M:$M,"",0,1)</f>
        <v>-</v>
      </c>
      <c r="AB242" s="750"/>
      <c r="AC242" s="905"/>
      <c r="AD242" s="905"/>
      <c r="AE242" s="905"/>
      <c r="AF242" s="905"/>
      <c r="AG242" s="905"/>
      <c r="AH242" s="905"/>
    </row>
    <row r="243" spans="1:34" hidden="1" x14ac:dyDescent="0.25">
      <c r="A243" s="755" t="str">
        <f>VLOOKUP(Table3[[#This Row],[Location]],location!A:B,2,FALSE)</f>
        <v>Luzon</v>
      </c>
      <c r="B243" s="755" t="s">
        <v>1334</v>
      </c>
      <c r="C243" s="755" t="s">
        <v>1228</v>
      </c>
      <c r="D243" s="755">
        <v>240</v>
      </c>
      <c r="E243" s="750" t="s">
        <v>1350</v>
      </c>
      <c r="F243" s="750" t="s">
        <v>104</v>
      </c>
      <c r="G243" s="750" t="s">
        <v>1615</v>
      </c>
      <c r="H243" s="755" t="str">
        <f t="shared" si="1"/>
        <v>Ilocos Norte</v>
      </c>
      <c r="I243" s="928"/>
      <c r="J243" s="859">
        <v>190</v>
      </c>
      <c r="K243" s="931" t="str">
        <f>VLOOKUP(Table3[[#This Row],[Technology]],'GEA Reports'!$A$192:$M$202,11,FALSE)</f>
        <v>5.4028​</v>
      </c>
      <c r="L243" s="756">
        <v>4.2888000000000002</v>
      </c>
      <c r="M243" s="758"/>
      <c r="N243" s="757">
        <v>47416</v>
      </c>
      <c r="O243" s="758"/>
      <c r="P243" s="758"/>
      <c r="Q243" s="758"/>
      <c r="R243" s="750"/>
      <c r="S243" s="750"/>
      <c r="T243" s="905"/>
      <c r="U243" s="757"/>
      <c r="V243" s="757" t="str">
        <f>_xlfn.XLOOKUP(Table3[[#This Row],[RE Developer]],[2]GEA!$B:$B,[2]GEA!$K:$K,"",0,1)</f>
        <v>-</v>
      </c>
      <c r="W243" s="757"/>
      <c r="X243" s="757"/>
      <c r="Y243" s="905"/>
      <c r="Z243" s="905">
        <f>Table3[[#This Row],[Valid from]]+364</f>
        <v>364</v>
      </c>
      <c r="AA243" s="928" t="str">
        <f>_xlfn.XLOOKUP(Table3[[#This Row],[RE Developer]],[2]GEA!$B:$B,[2]GEA!$M:$M,"",0,1)</f>
        <v>-</v>
      </c>
      <c r="AB243" s="750"/>
      <c r="AC243" s="905"/>
      <c r="AD243" s="905"/>
      <c r="AE243" s="905"/>
      <c r="AF243" s="905"/>
      <c r="AG243" s="905"/>
      <c r="AH243" s="905"/>
    </row>
    <row r="244" spans="1:34" hidden="1" x14ac:dyDescent="0.25">
      <c r="A244" s="755" t="str">
        <f>VLOOKUP(Table3[[#This Row],[Location]],location!A:B,2,FALSE)</f>
        <v>Luzon</v>
      </c>
      <c r="B244" s="755" t="s">
        <v>1139</v>
      </c>
      <c r="C244" s="755" t="s">
        <v>1228</v>
      </c>
      <c r="D244" s="755">
        <v>241</v>
      </c>
      <c r="E244" s="750" t="s">
        <v>1371</v>
      </c>
      <c r="F244" s="750" t="s">
        <v>1370</v>
      </c>
      <c r="G244" s="750" t="s">
        <v>1616</v>
      </c>
      <c r="H244" s="755" t="str">
        <f t="shared" si="1"/>
        <v>Quezon</v>
      </c>
      <c r="I244" s="928"/>
      <c r="J244" s="859">
        <v>67</v>
      </c>
      <c r="K244" s="931" t="str">
        <f>VLOOKUP("*onshore*",'GEA Reports'!$A$192:$M$202,11,FALSE)</f>
        <v>6.0859​</v>
      </c>
      <c r="L244" s="756">
        <v>5.1485000000000003</v>
      </c>
      <c r="M244" s="758"/>
      <c r="N244" s="757">
        <v>47476</v>
      </c>
      <c r="O244" s="758"/>
      <c r="P244" s="758"/>
      <c r="Q244" s="758"/>
      <c r="R244" s="750"/>
      <c r="S244" s="750"/>
      <c r="T244" s="905"/>
      <c r="U244" s="757"/>
      <c r="V244" s="757" t="str">
        <f>_xlfn.XLOOKUP(Table3[[#This Row],[RE Developer]],[2]GEA!$B:$B,[2]GEA!$K:$K,"",0,1)</f>
        <v>-</v>
      </c>
      <c r="W244" s="757"/>
      <c r="X244" s="757"/>
      <c r="Y244" s="905"/>
      <c r="Z244" s="905">
        <f>Table3[[#This Row],[Valid from]]+364</f>
        <v>364</v>
      </c>
      <c r="AA244" s="928" t="str">
        <f>_xlfn.XLOOKUP(Table3[[#This Row],[RE Developer]],[2]GEA!$B:$B,[2]GEA!$M:$M,"",0,1)</f>
        <v>-</v>
      </c>
      <c r="AB244" s="750"/>
      <c r="AC244" s="905"/>
      <c r="AD244" s="905"/>
      <c r="AE244" s="905"/>
      <c r="AF244" s="905"/>
      <c r="AG244" s="905"/>
      <c r="AH244" s="905"/>
    </row>
    <row r="245" spans="1:34" hidden="1" x14ac:dyDescent="0.25">
      <c r="A245" s="755" t="str">
        <f>VLOOKUP(Table3[[#This Row],[Location]],location!A:B,2,FALSE)</f>
        <v>Luzon</v>
      </c>
      <c r="B245" s="755" t="s">
        <v>1334</v>
      </c>
      <c r="C245" s="755" t="s">
        <v>1228</v>
      </c>
      <c r="D245" s="755">
        <v>242</v>
      </c>
      <c r="E245" s="750" t="s">
        <v>1267</v>
      </c>
      <c r="F245" s="750" t="s">
        <v>1442</v>
      </c>
      <c r="G245" s="750" t="s">
        <v>1555</v>
      </c>
      <c r="H245" s="755" t="str">
        <f t="shared" si="1"/>
        <v>Quezon</v>
      </c>
      <c r="I245" s="928"/>
      <c r="J245" s="859">
        <v>25</v>
      </c>
      <c r="K245" s="931" t="str">
        <f>VLOOKUP(Table3[[#This Row],[Technology]],'GEA Reports'!$A$192:$M$202,11,FALSE)</f>
        <v>5.4028​</v>
      </c>
      <c r="L245" s="756">
        <v>4.9000000000000004</v>
      </c>
      <c r="M245" s="758"/>
      <c r="N245" s="757">
        <v>47478</v>
      </c>
      <c r="O245" s="758"/>
      <c r="P245" s="758"/>
      <c r="Q245" s="758"/>
      <c r="R245" s="750"/>
      <c r="S245" s="750"/>
      <c r="T245" s="905"/>
      <c r="U245" s="757"/>
      <c r="V245" s="757" t="str">
        <f>_xlfn.XLOOKUP(Table3[[#This Row],[RE Developer]],[2]GEA!$B:$B,[2]GEA!$K:$K,"",0,1)</f>
        <v>-</v>
      </c>
      <c r="W245" s="757"/>
      <c r="X245" s="757"/>
      <c r="Y245" s="905"/>
      <c r="Z245" s="905">
        <f>Table3[[#This Row],[Valid from]]+364</f>
        <v>364</v>
      </c>
      <c r="AA245" s="928" t="str">
        <f>_xlfn.XLOOKUP(Table3[[#This Row],[RE Developer]],[2]GEA!$B:$B,[2]GEA!$M:$M,"",0,1)</f>
        <v>-</v>
      </c>
      <c r="AB245" s="750"/>
      <c r="AC245" s="905"/>
      <c r="AD245" s="905"/>
      <c r="AE245" s="905"/>
      <c r="AF245" s="905"/>
      <c r="AG245" s="905"/>
      <c r="AH245" s="905"/>
    </row>
    <row r="246" spans="1:34" hidden="1" x14ac:dyDescent="0.25">
      <c r="A246" s="755" t="str">
        <f>VLOOKUP(Table3[[#This Row],[Location]],location!A:B,2,FALSE)</f>
        <v>Luzon</v>
      </c>
      <c r="B246" s="755" t="s">
        <v>1334</v>
      </c>
      <c r="C246" s="755" t="s">
        <v>1228</v>
      </c>
      <c r="D246" s="755">
        <v>243</v>
      </c>
      <c r="E246" s="750" t="s">
        <v>1267</v>
      </c>
      <c r="F246" s="750" t="s">
        <v>1443</v>
      </c>
      <c r="G246" s="750" t="s">
        <v>1555</v>
      </c>
      <c r="H246" s="755" t="str">
        <f t="shared" si="1"/>
        <v>Quezon</v>
      </c>
      <c r="I246" s="928"/>
      <c r="J246" s="859">
        <v>50</v>
      </c>
      <c r="K246" s="931" t="str">
        <f>VLOOKUP(Table3[[#This Row],[Technology]],'GEA Reports'!$A$192:$M$202,11,FALSE)</f>
        <v>5.4028​</v>
      </c>
      <c r="L246" s="756">
        <v>4.9000000000000004</v>
      </c>
      <c r="M246" s="758"/>
      <c r="N246" s="757">
        <v>47478</v>
      </c>
      <c r="O246" s="758"/>
      <c r="P246" s="758"/>
      <c r="Q246" s="758"/>
      <c r="R246" s="750"/>
      <c r="S246" s="750"/>
      <c r="T246" s="905"/>
      <c r="U246" s="757"/>
      <c r="V246" s="757" t="str">
        <f>_xlfn.XLOOKUP(Table3[[#This Row],[RE Developer]],[2]GEA!$B:$B,[2]GEA!$K:$K,"",0,1)</f>
        <v>-</v>
      </c>
      <c r="W246" s="757"/>
      <c r="X246" s="757"/>
      <c r="Y246" s="905"/>
      <c r="Z246" s="905">
        <f>Table3[[#This Row],[Valid from]]+364</f>
        <v>364</v>
      </c>
      <c r="AA246" s="928" t="str">
        <f>_xlfn.XLOOKUP(Table3[[#This Row],[RE Developer]],[2]GEA!$B:$B,[2]GEA!$M:$M,"",0,1)</f>
        <v>-</v>
      </c>
      <c r="AB246" s="750"/>
      <c r="AC246" s="905"/>
      <c r="AD246" s="905"/>
      <c r="AE246" s="905"/>
      <c r="AF246" s="905"/>
      <c r="AG246" s="905"/>
      <c r="AH246" s="905"/>
    </row>
    <row r="247" spans="1:34" hidden="1" x14ac:dyDescent="0.25">
      <c r="A247" s="755" t="str">
        <f>VLOOKUP(Table3[[#This Row],[Location]],location!A:B,2,FALSE)</f>
        <v>Luzon</v>
      </c>
      <c r="B247" s="755" t="s">
        <v>1334</v>
      </c>
      <c r="C247" s="755" t="s">
        <v>1228</v>
      </c>
      <c r="D247" s="755">
        <v>244</v>
      </c>
      <c r="E247" s="750" t="s">
        <v>1547</v>
      </c>
      <c r="F247" s="750" t="s">
        <v>1444</v>
      </c>
      <c r="G247" s="750" t="s">
        <v>1617</v>
      </c>
      <c r="H247" s="755" t="str">
        <f t="shared" si="1"/>
        <v>Pampanga</v>
      </c>
      <c r="I247" s="928"/>
      <c r="J247" s="859">
        <v>80</v>
      </c>
      <c r="K247" s="931" t="str">
        <f>VLOOKUP(Table3[[#This Row],[Technology]],'GEA Reports'!$A$192:$M$202,11,FALSE)</f>
        <v>5.4028​</v>
      </c>
      <c r="L247" s="756">
        <v>5.4028</v>
      </c>
      <c r="M247" s="758"/>
      <c r="N247" s="757">
        <v>47478</v>
      </c>
      <c r="O247" s="758"/>
      <c r="P247" s="758"/>
      <c r="Q247" s="758"/>
      <c r="R247" s="750"/>
      <c r="S247" s="750"/>
      <c r="T247" s="905"/>
      <c r="U247" s="757"/>
      <c r="V247" s="757" t="str">
        <f>_xlfn.XLOOKUP(Table3[[#This Row],[RE Developer]],[2]GEA!$B:$B,[2]GEA!$K:$K,"",0,1)</f>
        <v/>
      </c>
      <c r="W247" s="757"/>
      <c r="X247" s="757"/>
      <c r="Y247" s="905"/>
      <c r="Z247" s="905">
        <f>Table3[[#This Row],[Valid from]]+364</f>
        <v>364</v>
      </c>
      <c r="AA247" s="928" t="str">
        <f>_xlfn.XLOOKUP(Table3[[#This Row],[RE Developer]],[2]GEA!$B:$B,[2]GEA!$M:$M,"",0,1)</f>
        <v/>
      </c>
      <c r="AB247" s="750"/>
      <c r="AC247" s="905"/>
      <c r="AD247" s="905"/>
      <c r="AE247" s="905"/>
      <c r="AF247" s="905"/>
      <c r="AG247" s="905"/>
      <c r="AH247" s="905"/>
    </row>
    <row r="248" spans="1:34" hidden="1" x14ac:dyDescent="0.25">
      <c r="A248" s="755" t="str">
        <f>VLOOKUP(Table3[[#This Row],[Location]],location!A:B,2,FALSE)</f>
        <v>Luzon</v>
      </c>
      <c r="B248" s="755" t="s">
        <v>1035</v>
      </c>
      <c r="C248" s="755" t="s">
        <v>1228</v>
      </c>
      <c r="D248" s="755">
        <v>245</v>
      </c>
      <c r="E248" s="750" t="s">
        <v>1267</v>
      </c>
      <c r="F248" s="750" t="s">
        <v>1314</v>
      </c>
      <c r="G248" s="750" t="s">
        <v>1597</v>
      </c>
      <c r="H248" s="755" t="str">
        <f t="shared" si="1"/>
        <v>Nueva Vizcaya</v>
      </c>
      <c r="I248" s="928"/>
      <c r="J248" s="859">
        <v>40</v>
      </c>
      <c r="K248" s="931" t="str">
        <f>VLOOKUP(Table3[[#This Row],[Technology]],'GEA Reports'!$A$192:$M$202,11,FALSE)</f>
        <v>4.4832​</v>
      </c>
      <c r="L248" s="756">
        <v>4</v>
      </c>
      <c r="M248" s="758"/>
      <c r="N248" s="757">
        <v>47478</v>
      </c>
      <c r="O248" s="758"/>
      <c r="P248" s="758"/>
      <c r="Q248" s="758"/>
      <c r="R248" s="750"/>
      <c r="S248" s="750"/>
      <c r="T248" s="905"/>
      <c r="U248" s="757"/>
      <c r="V248" s="757" t="str">
        <f>_xlfn.XLOOKUP(Table3[[#This Row],[RE Developer]],[2]GEA!$B:$B,[2]GEA!$K:$K,"",0,1)</f>
        <v>-</v>
      </c>
      <c r="W248" s="757"/>
      <c r="X248" s="757"/>
      <c r="Y248" s="905"/>
      <c r="Z248" s="905">
        <f>Table3[[#This Row],[Valid from]]+364</f>
        <v>364</v>
      </c>
      <c r="AA248" s="928" t="str">
        <f>_xlfn.XLOOKUP(Table3[[#This Row],[RE Developer]],[2]GEA!$B:$B,[2]GEA!$M:$M,"",0,1)</f>
        <v>-</v>
      </c>
      <c r="AB248" s="750"/>
      <c r="AC248" s="905"/>
      <c r="AD248" s="905"/>
      <c r="AE248" s="905"/>
      <c r="AF248" s="905"/>
      <c r="AG248" s="905"/>
      <c r="AH248" s="905"/>
    </row>
    <row r="249" spans="1:34" hidden="1" x14ac:dyDescent="0.25">
      <c r="A249" s="755" t="str">
        <f>VLOOKUP(Table3[[#This Row],[Location]],location!A:B,2,FALSE)</f>
        <v>Luzon</v>
      </c>
      <c r="B249" s="755" t="s">
        <v>1035</v>
      </c>
      <c r="C249" s="755" t="s">
        <v>1228</v>
      </c>
      <c r="D249" s="755">
        <v>246</v>
      </c>
      <c r="E249" s="750" t="s">
        <v>1267</v>
      </c>
      <c r="F249" s="750" t="s">
        <v>1324</v>
      </c>
      <c r="G249" s="750" t="s">
        <v>1597</v>
      </c>
      <c r="H249" s="755" t="str">
        <f t="shared" si="1"/>
        <v>Nueva Vizcaya</v>
      </c>
      <c r="I249" s="928"/>
      <c r="J249" s="859">
        <v>50</v>
      </c>
      <c r="K249" s="931" t="str">
        <f>VLOOKUP(Table3[[#This Row],[Technology]],'GEA Reports'!$A$192:$M$202,11,FALSE)</f>
        <v>4.4832​</v>
      </c>
      <c r="L249" s="756">
        <v>4</v>
      </c>
      <c r="M249" s="758"/>
      <c r="N249" s="757">
        <v>47478</v>
      </c>
      <c r="O249" s="758"/>
      <c r="P249" s="758"/>
      <c r="Q249" s="758"/>
      <c r="R249" s="750"/>
      <c r="S249" s="750"/>
      <c r="T249" s="905"/>
      <c r="U249" s="757"/>
      <c r="V249" s="757" t="str">
        <f>_xlfn.XLOOKUP(Table3[[#This Row],[RE Developer]],[2]GEA!$B:$B,[2]GEA!$K:$K,"",0,1)</f>
        <v>-</v>
      </c>
      <c r="W249" s="757"/>
      <c r="X249" s="757"/>
      <c r="Y249" s="905"/>
      <c r="Z249" s="905">
        <f>Table3[[#This Row],[Valid from]]+364</f>
        <v>364</v>
      </c>
      <c r="AA249" s="928" t="str">
        <f>_xlfn.XLOOKUP(Table3[[#This Row],[RE Developer]],[2]GEA!$B:$B,[2]GEA!$M:$M,"",0,1)</f>
        <v>-</v>
      </c>
      <c r="AB249" s="750"/>
      <c r="AC249" s="905"/>
      <c r="AD249" s="905"/>
      <c r="AE249" s="905"/>
      <c r="AF249" s="905"/>
      <c r="AG249" s="905"/>
      <c r="AH249" s="905"/>
    </row>
    <row r="250" spans="1:34" hidden="1" x14ac:dyDescent="0.25">
      <c r="A250" s="755" t="str">
        <f>VLOOKUP(Table3[[#This Row],[Location]],location!A:B,2,FALSE)</f>
        <v>Luzon</v>
      </c>
      <c r="B250" s="755" t="s">
        <v>1035</v>
      </c>
      <c r="C250" s="755" t="s">
        <v>1228</v>
      </c>
      <c r="D250" s="755">
        <v>247</v>
      </c>
      <c r="E250" s="750" t="s">
        <v>1267</v>
      </c>
      <c r="F250" s="750" t="s">
        <v>1325</v>
      </c>
      <c r="G250" s="750" t="s">
        <v>1597</v>
      </c>
      <c r="H250" s="755" t="str">
        <f t="shared" si="1"/>
        <v>Nueva Vizcaya</v>
      </c>
      <c r="I250" s="928"/>
      <c r="J250" s="859">
        <v>50</v>
      </c>
      <c r="K250" s="931" t="str">
        <f>VLOOKUP(Table3[[#This Row],[Technology]],'GEA Reports'!$A$192:$M$202,11,FALSE)</f>
        <v>4.4832​</v>
      </c>
      <c r="L250" s="756">
        <v>4</v>
      </c>
      <c r="M250" s="758"/>
      <c r="N250" s="757">
        <v>47478</v>
      </c>
      <c r="O250" s="758"/>
      <c r="P250" s="758"/>
      <c r="Q250" s="758"/>
      <c r="R250" s="750"/>
      <c r="S250" s="750"/>
      <c r="T250" s="905"/>
      <c r="U250" s="757"/>
      <c r="V250" s="757" t="str">
        <f>_xlfn.XLOOKUP(Table3[[#This Row],[RE Developer]],[2]GEA!$B:$B,[2]GEA!$K:$K,"",0,1)</f>
        <v>-</v>
      </c>
      <c r="W250" s="757"/>
      <c r="X250" s="757"/>
      <c r="Y250" s="905"/>
      <c r="Z250" s="905">
        <f>Table3[[#This Row],[Valid from]]+364</f>
        <v>364</v>
      </c>
      <c r="AA250" s="928" t="str">
        <f>_xlfn.XLOOKUP(Table3[[#This Row],[RE Developer]],[2]GEA!$B:$B,[2]GEA!$M:$M,"",0,1)</f>
        <v>-</v>
      </c>
      <c r="AB250" s="750"/>
      <c r="AC250" s="905"/>
      <c r="AD250" s="905"/>
      <c r="AE250" s="905"/>
      <c r="AF250" s="905"/>
      <c r="AG250" s="905"/>
      <c r="AH250" s="905"/>
    </row>
    <row r="251" spans="1:34" hidden="1" x14ac:dyDescent="0.25">
      <c r="A251" s="755" t="str">
        <f>VLOOKUP(Table3[[#This Row],[Location]],location!A:B,2,FALSE)</f>
        <v>Luzon</v>
      </c>
      <c r="B251" s="755" t="s">
        <v>1035</v>
      </c>
      <c r="C251" s="755" t="s">
        <v>1228</v>
      </c>
      <c r="D251" s="755">
        <v>248</v>
      </c>
      <c r="E251" s="750" t="s">
        <v>1267</v>
      </c>
      <c r="F251" s="750" t="s">
        <v>1326</v>
      </c>
      <c r="G251" s="750" t="s">
        <v>1597</v>
      </c>
      <c r="H251" s="755" t="str">
        <f t="shared" si="1"/>
        <v>Nueva Vizcaya</v>
      </c>
      <c r="I251" s="928"/>
      <c r="J251" s="859">
        <v>50</v>
      </c>
      <c r="K251" s="931" t="str">
        <f>VLOOKUP(Table3[[#This Row],[Technology]],'GEA Reports'!$A$192:$M$202,11,FALSE)</f>
        <v>4.4832​</v>
      </c>
      <c r="L251" s="756">
        <v>4</v>
      </c>
      <c r="M251" s="758"/>
      <c r="N251" s="757">
        <v>47478</v>
      </c>
      <c r="O251" s="758"/>
      <c r="P251" s="758"/>
      <c r="Q251" s="758"/>
      <c r="R251" s="750"/>
      <c r="S251" s="750"/>
      <c r="T251" s="905"/>
      <c r="U251" s="757"/>
      <c r="V251" s="757" t="str">
        <f>_xlfn.XLOOKUP(Table3[[#This Row],[RE Developer]],[2]GEA!$B:$B,[2]GEA!$K:$K,"",0,1)</f>
        <v>-</v>
      </c>
      <c r="W251" s="757"/>
      <c r="X251" s="757"/>
      <c r="Y251" s="905"/>
      <c r="Z251" s="905">
        <f>Table3[[#This Row],[Valid from]]+364</f>
        <v>364</v>
      </c>
      <c r="AA251" s="928" t="str">
        <f>_xlfn.XLOOKUP(Table3[[#This Row],[RE Developer]],[2]GEA!$B:$B,[2]GEA!$M:$M,"",0,1)</f>
        <v>-</v>
      </c>
      <c r="AB251" s="750"/>
      <c r="AC251" s="905"/>
      <c r="AD251" s="905"/>
      <c r="AE251" s="905"/>
      <c r="AF251" s="905"/>
      <c r="AG251" s="905"/>
      <c r="AH251" s="905"/>
    </row>
    <row r="252" spans="1:34" hidden="1" x14ac:dyDescent="0.25">
      <c r="A252" s="755" t="str">
        <f>VLOOKUP(Table3[[#This Row],[Location]],location!A:B,2,FALSE)</f>
        <v>Luzon</v>
      </c>
      <c r="B252" s="755" t="s">
        <v>1035</v>
      </c>
      <c r="C252" s="755" t="s">
        <v>1228</v>
      </c>
      <c r="D252" s="755">
        <v>249</v>
      </c>
      <c r="E252" s="750" t="s">
        <v>1267</v>
      </c>
      <c r="F252" s="750" t="s">
        <v>1327</v>
      </c>
      <c r="G252" s="750" t="s">
        <v>1597</v>
      </c>
      <c r="H252" s="755" t="str">
        <f t="shared" si="1"/>
        <v>Nueva Vizcaya</v>
      </c>
      <c r="I252" s="928"/>
      <c r="J252" s="859">
        <v>50</v>
      </c>
      <c r="K252" s="931" t="str">
        <f>VLOOKUP(Table3[[#This Row],[Technology]],'GEA Reports'!$A$192:$M$202,11,FALSE)</f>
        <v>4.4832​</v>
      </c>
      <c r="L252" s="756">
        <v>4</v>
      </c>
      <c r="M252" s="758"/>
      <c r="N252" s="757">
        <v>47478</v>
      </c>
      <c r="O252" s="758"/>
      <c r="P252" s="758"/>
      <c r="Q252" s="758"/>
      <c r="R252" s="750"/>
      <c r="S252" s="750"/>
      <c r="T252" s="905"/>
      <c r="U252" s="757"/>
      <c r="V252" s="757" t="str">
        <f>_xlfn.XLOOKUP(Table3[[#This Row],[RE Developer]],[2]GEA!$B:$B,[2]GEA!$K:$K,"",0,1)</f>
        <v>-</v>
      </c>
      <c r="W252" s="757"/>
      <c r="X252" s="757"/>
      <c r="Y252" s="905"/>
      <c r="Z252" s="905">
        <f>Table3[[#This Row],[Valid from]]+364</f>
        <v>364</v>
      </c>
      <c r="AA252" s="928" t="str">
        <f>_xlfn.XLOOKUP(Table3[[#This Row],[RE Developer]],[2]GEA!$B:$B,[2]GEA!$M:$M,"",0,1)</f>
        <v>-</v>
      </c>
      <c r="AB252" s="750"/>
      <c r="AC252" s="905"/>
      <c r="AD252" s="905"/>
      <c r="AE252" s="905"/>
      <c r="AF252" s="905"/>
      <c r="AG252" s="905"/>
      <c r="AH252" s="905"/>
    </row>
    <row r="253" spans="1:34" hidden="1" x14ac:dyDescent="0.25">
      <c r="A253" s="755" t="str">
        <f>VLOOKUP(Table3[[#This Row],[Location]],location!A:B,2,FALSE)</f>
        <v>Luzon</v>
      </c>
      <c r="B253" s="755" t="s">
        <v>1334</v>
      </c>
      <c r="C253" s="755" t="s">
        <v>1228</v>
      </c>
      <c r="D253" s="755">
        <v>250</v>
      </c>
      <c r="E253" s="750" t="s">
        <v>1267</v>
      </c>
      <c r="F253" s="750" t="s">
        <v>1445</v>
      </c>
      <c r="G253" s="750" t="s">
        <v>1551</v>
      </c>
      <c r="H253" s="755" t="str">
        <f t="shared" si="1"/>
        <v>Batangas</v>
      </c>
      <c r="I253" s="928"/>
      <c r="J253" s="859">
        <v>50</v>
      </c>
      <c r="K253" s="931" t="str">
        <f>VLOOKUP(Table3[[#This Row],[Technology]],'GEA Reports'!$A$192:$M$202,11,FALSE)</f>
        <v>5.4028​</v>
      </c>
      <c r="L253" s="756">
        <v>4.9000000000000004</v>
      </c>
      <c r="M253" s="758"/>
      <c r="N253" s="757">
        <v>47478</v>
      </c>
      <c r="O253" s="758"/>
      <c r="P253" s="758"/>
      <c r="Q253" s="758"/>
      <c r="R253" s="750"/>
      <c r="S253" s="750"/>
      <c r="T253" s="905"/>
      <c r="U253" s="757"/>
      <c r="V253" s="757" t="str">
        <f>_xlfn.XLOOKUP(Table3[[#This Row],[RE Developer]],[2]GEA!$B:$B,[2]GEA!$K:$K,"",0,1)</f>
        <v>-</v>
      </c>
      <c r="W253" s="757"/>
      <c r="X253" s="757"/>
      <c r="Y253" s="905"/>
      <c r="Z253" s="905">
        <f>Table3[[#This Row],[Valid from]]+364</f>
        <v>364</v>
      </c>
      <c r="AA253" s="928" t="str">
        <f>_xlfn.XLOOKUP(Table3[[#This Row],[RE Developer]],[2]GEA!$B:$B,[2]GEA!$M:$M,"",0,1)</f>
        <v>-</v>
      </c>
      <c r="AB253" s="750"/>
      <c r="AC253" s="905"/>
      <c r="AD253" s="905"/>
      <c r="AE253" s="905"/>
      <c r="AF253" s="905"/>
      <c r="AG253" s="905"/>
      <c r="AH253" s="905"/>
    </row>
    <row r="254" spans="1:34" hidden="1" x14ac:dyDescent="0.25">
      <c r="A254" s="755" t="str">
        <f>VLOOKUP(Table3[[#This Row],[Location]],location!A:B,2,FALSE)</f>
        <v>Luzon</v>
      </c>
      <c r="B254" s="755" t="s">
        <v>1334</v>
      </c>
      <c r="C254" s="755" t="s">
        <v>1228</v>
      </c>
      <c r="D254" s="755">
        <v>251</v>
      </c>
      <c r="E254" s="750" t="s">
        <v>1547</v>
      </c>
      <c r="F254" s="750" t="s">
        <v>1446</v>
      </c>
      <c r="G254" s="750" t="s">
        <v>1617</v>
      </c>
      <c r="H254" s="755" t="str">
        <f t="shared" si="1"/>
        <v>Pampanga</v>
      </c>
      <c r="I254" s="928"/>
      <c r="J254" s="859">
        <v>80</v>
      </c>
      <c r="K254" s="931" t="str">
        <f>VLOOKUP(Table3[[#This Row],[Technology]],'GEA Reports'!$A$192:$M$202,11,FALSE)</f>
        <v>5.4028​</v>
      </c>
      <c r="L254" s="756">
        <v>5.15</v>
      </c>
      <c r="M254" s="758"/>
      <c r="N254" s="757">
        <v>47478</v>
      </c>
      <c r="O254" s="758"/>
      <c r="P254" s="758"/>
      <c r="Q254" s="758"/>
      <c r="R254" s="750"/>
      <c r="S254" s="750"/>
      <c r="T254" s="905"/>
      <c r="U254" s="757"/>
      <c r="V254" s="757" t="str">
        <f>_xlfn.XLOOKUP(Table3[[#This Row],[RE Developer]],[2]GEA!$B:$B,[2]GEA!$K:$K,"",0,1)</f>
        <v/>
      </c>
      <c r="W254" s="757"/>
      <c r="X254" s="757"/>
      <c r="Y254" s="905"/>
      <c r="Z254" s="905">
        <f>Table3[[#This Row],[Valid from]]+364</f>
        <v>364</v>
      </c>
      <c r="AA254" s="928" t="str">
        <f>_xlfn.XLOOKUP(Table3[[#This Row],[RE Developer]],[2]GEA!$B:$B,[2]GEA!$M:$M,"",0,1)</f>
        <v/>
      </c>
      <c r="AB254" s="750"/>
      <c r="AC254" s="905"/>
      <c r="AD254" s="905"/>
      <c r="AE254" s="905"/>
      <c r="AF254" s="905"/>
      <c r="AG254" s="905"/>
      <c r="AH254" s="905"/>
    </row>
    <row r="255" spans="1:34" hidden="1" x14ac:dyDescent="0.25">
      <c r="A255" s="755" t="str">
        <f>VLOOKUP(Table3[[#This Row],[Location]],location!A:B,2,FALSE)</f>
        <v>Visayas</v>
      </c>
      <c r="B255" s="755" t="s">
        <v>1139</v>
      </c>
      <c r="C255" s="755" t="s">
        <v>1228</v>
      </c>
      <c r="D255" s="755">
        <v>252</v>
      </c>
      <c r="E255" s="750" t="s">
        <v>1360</v>
      </c>
      <c r="F255" s="750" t="s">
        <v>1374</v>
      </c>
      <c r="G255" s="750" t="s">
        <v>1618</v>
      </c>
      <c r="H255" s="755" t="str">
        <f t="shared" si="1"/>
        <v>Negros Oriental</v>
      </c>
      <c r="I255" s="928"/>
      <c r="J255" s="859">
        <v>150</v>
      </c>
      <c r="K255" s="931" t="str">
        <f>VLOOKUP("*onshore*",'GEA Reports'!$A$192:$M$202,11,FALSE)</f>
        <v>6.0859​</v>
      </c>
      <c r="L255" s="756">
        <v>6.0778999999999996</v>
      </c>
      <c r="M255" s="758"/>
      <c r="N255" s="757">
        <v>47478</v>
      </c>
      <c r="O255" s="758"/>
      <c r="P255" s="758"/>
      <c r="Q255" s="758"/>
      <c r="R255" s="750"/>
      <c r="S255" s="750"/>
      <c r="T255" s="905"/>
      <c r="U255" s="757"/>
      <c r="V255" s="757" t="str">
        <f>_xlfn.XLOOKUP(Table3[[#This Row],[RE Developer]],[2]GEA!$B:$B,[2]GEA!$K:$K,"",0,1)</f>
        <v>-</v>
      </c>
      <c r="W255" s="757"/>
      <c r="X255" s="757"/>
      <c r="Y255" s="905"/>
      <c r="Z255" s="905">
        <f>Table3[[#This Row],[Valid from]]+364</f>
        <v>364</v>
      </c>
      <c r="AA255" s="928" t="str">
        <f>_xlfn.XLOOKUP(Table3[[#This Row],[RE Developer]],[2]GEA!$B:$B,[2]GEA!$M:$M,"",0,1)</f>
        <v>-</v>
      </c>
      <c r="AB255" s="750"/>
      <c r="AC255" s="905"/>
      <c r="AD255" s="905"/>
      <c r="AE255" s="905"/>
      <c r="AF255" s="905"/>
      <c r="AG255" s="905"/>
      <c r="AH255" s="905"/>
    </row>
    <row r="256" spans="1:34" hidden="1" x14ac:dyDescent="0.25">
      <c r="A256" s="755" t="str">
        <f>VLOOKUP(Table3[[#This Row],[Location]],location!A:B,2,FALSE)</f>
        <v>Visayas</v>
      </c>
      <c r="B256" s="755" t="s">
        <v>1035</v>
      </c>
      <c r="C256" s="755" t="s">
        <v>1228</v>
      </c>
      <c r="D256" s="755">
        <v>253</v>
      </c>
      <c r="E256" s="750" t="s">
        <v>1306</v>
      </c>
      <c r="F256" s="750" t="s">
        <v>1535</v>
      </c>
      <c r="G256" s="750" t="s">
        <v>1575</v>
      </c>
      <c r="H256" s="755" t="str">
        <f t="shared" si="1"/>
        <v>Iloilo</v>
      </c>
      <c r="I256" s="928"/>
      <c r="J256" s="859">
        <v>55.5</v>
      </c>
      <c r="K256" s="931" t="str">
        <f>VLOOKUP(Table3[[#This Row],[Technology]],'GEA Reports'!$A$192:$M$202,11,FALSE)</f>
        <v>4.4832​</v>
      </c>
      <c r="L256" s="756">
        <v>3.9988999999999999</v>
      </c>
      <c r="M256" s="758"/>
      <c r="N256" s="757">
        <v>47482</v>
      </c>
      <c r="O256" s="758"/>
      <c r="P256" s="758"/>
      <c r="Q256" s="758"/>
      <c r="R256" s="750"/>
      <c r="S256" s="750"/>
      <c r="T256" s="905"/>
      <c r="U256" s="757"/>
      <c r="V256" s="757" t="str">
        <f>_xlfn.XLOOKUP(Table3[[#This Row],[RE Developer]],[2]GEA!$B:$B,[2]GEA!$K:$K,"",0,1)</f>
        <v>-</v>
      </c>
      <c r="W256" s="757"/>
      <c r="X256" s="757"/>
      <c r="Y256" s="905"/>
      <c r="Z256" s="905">
        <f>Table3[[#This Row],[Valid from]]+364</f>
        <v>364</v>
      </c>
      <c r="AA256" s="928" t="str">
        <f>_xlfn.XLOOKUP(Table3[[#This Row],[RE Developer]],[2]GEA!$B:$B,[2]GEA!$M:$M,"",0,1)</f>
        <v>-</v>
      </c>
      <c r="AB256" s="750"/>
      <c r="AC256" s="905"/>
      <c r="AD256" s="905"/>
      <c r="AE256" s="905"/>
      <c r="AF256" s="905"/>
      <c r="AG256" s="905"/>
      <c r="AH256" s="905"/>
    </row>
    <row r="257" spans="1:34" hidden="1" x14ac:dyDescent="0.25">
      <c r="A257" s="755" t="str">
        <f>VLOOKUP(Table3[[#This Row],[Location]],location!A:B,2,FALSE)</f>
        <v>Luzon</v>
      </c>
      <c r="B257" s="755" t="s">
        <v>1334</v>
      </c>
      <c r="C257" s="755" t="s">
        <v>1228</v>
      </c>
      <c r="D257" s="755">
        <v>254</v>
      </c>
      <c r="E257" s="750" t="s">
        <v>1453</v>
      </c>
      <c r="F257" s="750" t="s">
        <v>1441</v>
      </c>
      <c r="G257" s="750" t="s">
        <v>1619</v>
      </c>
      <c r="H257" s="755" t="str">
        <f t="shared" si="1"/>
        <v>Zambales</v>
      </c>
      <c r="I257" s="928"/>
      <c r="J257" s="859">
        <v>40</v>
      </c>
      <c r="K257" s="931" t="str">
        <f>VLOOKUP(Table3[[#This Row],[Technology]],'GEA Reports'!$A$192:$M$202,11,FALSE)</f>
        <v>5.4028​</v>
      </c>
      <c r="L257" s="756">
        <v>5.1087999999999996</v>
      </c>
      <c r="M257" s="758"/>
      <c r="N257" s="757">
        <v>47483</v>
      </c>
      <c r="O257" s="758"/>
      <c r="P257" s="758"/>
      <c r="Q257" s="758"/>
      <c r="R257" s="750"/>
      <c r="S257" s="750"/>
      <c r="T257" s="905"/>
      <c r="U257" s="757"/>
      <c r="V257" s="757" t="str">
        <f>_xlfn.XLOOKUP(Table3[[#This Row],[RE Developer]],[2]GEA!$B:$B,[2]GEA!$K:$K,"",0,1)</f>
        <v/>
      </c>
      <c r="W257" s="757"/>
      <c r="X257" s="757"/>
      <c r="Y257" s="905"/>
      <c r="Z257" s="905">
        <f>Table3[[#This Row],[Valid from]]+364</f>
        <v>364</v>
      </c>
      <c r="AA257" s="928" t="str">
        <f>_xlfn.XLOOKUP(Table3[[#This Row],[RE Developer]],[2]GEA!$B:$B,[2]GEA!$M:$M,"",0,1)</f>
        <v/>
      </c>
      <c r="AB257" s="750"/>
      <c r="AC257" s="905"/>
      <c r="AD257" s="905"/>
      <c r="AE257" s="905"/>
      <c r="AF257" s="905"/>
      <c r="AG257" s="905"/>
      <c r="AH257" s="905"/>
    </row>
    <row r="258" spans="1:34" hidden="1" x14ac:dyDescent="0.25">
      <c r="A258" s="755" t="str">
        <f>VLOOKUP(Table3[[#This Row],[Location]],location!A:B,2,FALSE)</f>
        <v>Visayas</v>
      </c>
      <c r="B258" s="755" t="s">
        <v>1334</v>
      </c>
      <c r="C258" s="755" t="s">
        <v>1228</v>
      </c>
      <c r="D258" s="755">
        <v>255</v>
      </c>
      <c r="E258" s="750" t="s">
        <v>1184</v>
      </c>
      <c r="F258" s="750" t="s">
        <v>1449</v>
      </c>
      <c r="G258" s="750" t="s">
        <v>1620</v>
      </c>
      <c r="H258" s="755" t="str">
        <f t="shared" si="1"/>
        <v>Iloilo</v>
      </c>
      <c r="I258" s="928"/>
      <c r="J258" s="859">
        <v>13.38</v>
      </c>
      <c r="K258" s="931" t="str">
        <f>VLOOKUP(Table3[[#This Row],[Technology]],'GEA Reports'!$A$192:$M$202,11,FALSE)</f>
        <v>5.4028​</v>
      </c>
      <c r="L258" s="756">
        <v>5.3928000000000003</v>
      </c>
      <c r="M258" s="758"/>
      <c r="N258" s="757">
        <v>47483</v>
      </c>
      <c r="O258" s="758"/>
      <c r="P258" s="758"/>
      <c r="Q258" s="758"/>
      <c r="R258" s="750"/>
      <c r="S258" s="750"/>
      <c r="T258" s="905"/>
      <c r="U258" s="757"/>
      <c r="V258" s="757" t="str">
        <f>_xlfn.XLOOKUP(Table3[[#This Row],[RE Developer]],[2]GEA!$B:$B,[2]GEA!$K:$K,"",0,1)</f>
        <v>-</v>
      </c>
      <c r="W258" s="757"/>
      <c r="X258" s="757"/>
      <c r="Y258" s="905"/>
      <c r="Z258" s="905">
        <f>Table3[[#This Row],[Valid from]]+364</f>
        <v>364</v>
      </c>
      <c r="AA258" s="928" t="str">
        <f>_xlfn.XLOOKUP(Table3[[#This Row],[RE Developer]],[2]GEA!$B:$B,[2]GEA!$M:$M,"",0,1)</f>
        <v>-</v>
      </c>
      <c r="AB258" s="750"/>
      <c r="AC258" s="905"/>
      <c r="AD258" s="905"/>
      <c r="AE258" s="905"/>
      <c r="AF258" s="905"/>
      <c r="AG258" s="905"/>
      <c r="AH258" s="905"/>
    </row>
    <row r="259" spans="1:34" hidden="1" x14ac:dyDescent="0.25">
      <c r="A259" s="755" t="str">
        <f>VLOOKUP(Table3[[#This Row],[Location]],location!A:B,2,FALSE)</f>
        <v>Luzon</v>
      </c>
      <c r="B259" s="755" t="s">
        <v>1139</v>
      </c>
      <c r="C259" s="755" t="s">
        <v>1228</v>
      </c>
      <c r="D259" s="755">
        <v>256</v>
      </c>
      <c r="E259" s="750" t="s">
        <v>1360</v>
      </c>
      <c r="F259" s="750" t="s">
        <v>1369</v>
      </c>
      <c r="G259" s="750" t="s">
        <v>1621</v>
      </c>
      <c r="H259" s="755" t="str">
        <f t="shared" si="1"/>
        <v>Camarines Sur</v>
      </c>
      <c r="I259" s="928"/>
      <c r="J259" s="859">
        <v>200</v>
      </c>
      <c r="K259" s="931" t="str">
        <f>VLOOKUP("*onshore*",'GEA Reports'!$A$192:$M$202,11,FALSE)</f>
        <v>6.0859​</v>
      </c>
      <c r="L259" s="756">
        <v>5.0987999999999998</v>
      </c>
      <c r="M259" s="758"/>
      <c r="N259" s="757">
        <v>47483</v>
      </c>
      <c r="O259" s="758"/>
      <c r="P259" s="758"/>
      <c r="Q259" s="758"/>
      <c r="R259" s="750"/>
      <c r="S259" s="750"/>
      <c r="T259" s="905"/>
      <c r="U259" s="757"/>
      <c r="V259" s="757" t="str">
        <f>_xlfn.XLOOKUP(Table3[[#This Row],[RE Developer]],[2]GEA!$B:$B,[2]GEA!$K:$K,"",0,1)</f>
        <v>-</v>
      </c>
      <c r="W259" s="757"/>
      <c r="X259" s="757"/>
      <c r="Y259" s="905"/>
      <c r="Z259" s="905">
        <f>Table3[[#This Row],[Valid from]]+364</f>
        <v>364</v>
      </c>
      <c r="AA259" s="928" t="str">
        <f>_xlfn.XLOOKUP(Table3[[#This Row],[RE Developer]],[2]GEA!$B:$B,[2]GEA!$M:$M,"",0,1)</f>
        <v>-</v>
      </c>
      <c r="AB259" s="750"/>
      <c r="AC259" s="905"/>
      <c r="AD259" s="905"/>
      <c r="AE259" s="905"/>
      <c r="AF259" s="905"/>
      <c r="AG259" s="905"/>
      <c r="AH259" s="905"/>
    </row>
    <row r="260" spans="1:34" hidden="1" x14ac:dyDescent="0.25">
      <c r="A260" s="755" t="str">
        <f>VLOOKUP(Table3[[#This Row],[Location]],location!A:B,2,FALSE)</f>
        <v>Luzon</v>
      </c>
      <c r="B260" s="755" t="s">
        <v>1139</v>
      </c>
      <c r="C260" s="755" t="s">
        <v>1228</v>
      </c>
      <c r="D260" s="755">
        <v>257</v>
      </c>
      <c r="E260" s="750" t="s">
        <v>1373</v>
      </c>
      <c r="F260" s="750" t="s">
        <v>1372</v>
      </c>
      <c r="G260" s="750" t="s">
        <v>1622</v>
      </c>
      <c r="H260" s="755" t="s">
        <v>1016</v>
      </c>
      <c r="I260" s="928"/>
      <c r="J260" s="859">
        <v>200</v>
      </c>
      <c r="K260" s="931" t="str">
        <f>VLOOKUP("*onshore*",'GEA Reports'!$A$192:$M$202,11,FALSE)</f>
        <v>6.0859​</v>
      </c>
      <c r="L260" s="756">
        <v>5.3087999999999997</v>
      </c>
      <c r="M260" s="758"/>
      <c r="N260" s="757">
        <v>47483</v>
      </c>
      <c r="O260" s="758"/>
      <c r="P260" s="758"/>
      <c r="Q260" s="758"/>
      <c r="R260" s="750"/>
      <c r="S260" s="750"/>
      <c r="T260" s="905"/>
      <c r="U260" s="757"/>
      <c r="V260" s="757" t="str">
        <f>_xlfn.XLOOKUP(Table3[[#This Row],[RE Developer]],[2]GEA!$B:$B,[2]GEA!$K:$K,"",0,1)</f>
        <v>-</v>
      </c>
      <c r="W260" s="757"/>
      <c r="X260" s="757"/>
      <c r="Y260" s="905"/>
      <c r="Z260" s="905">
        <f>Table3[[#This Row],[Valid from]]+364</f>
        <v>364</v>
      </c>
      <c r="AA260" s="928" t="str">
        <f>_xlfn.XLOOKUP(Table3[[#This Row],[RE Developer]],[2]GEA!$B:$B,[2]GEA!$M:$M,"",0,1)</f>
        <v>-</v>
      </c>
      <c r="AB260" s="750"/>
      <c r="AC260" s="905"/>
      <c r="AD260" s="905"/>
      <c r="AE260" s="905"/>
      <c r="AF260" s="905"/>
      <c r="AG260" s="905"/>
      <c r="AH260" s="905"/>
    </row>
    <row r="261" spans="1:34" hidden="1" x14ac:dyDescent="0.25">
      <c r="A261" s="755" t="str">
        <f>VLOOKUP(Table3[[#This Row],[Location]],location!A:B,2,FALSE)</f>
        <v>Mindanao</v>
      </c>
      <c r="B261" s="755" t="s">
        <v>1139</v>
      </c>
      <c r="C261" s="755" t="s">
        <v>1228</v>
      </c>
      <c r="D261" s="755">
        <v>258</v>
      </c>
      <c r="E261" s="750" t="s">
        <v>1376</v>
      </c>
      <c r="F261" s="750" t="s">
        <v>1375</v>
      </c>
      <c r="G261" s="750" t="s">
        <v>1623</v>
      </c>
      <c r="H261" s="755" t="s">
        <v>1003</v>
      </c>
      <c r="I261" s="928"/>
      <c r="J261" s="859">
        <v>101</v>
      </c>
      <c r="K261" s="931" t="str">
        <f>VLOOKUP("*onshore*",'GEA Reports'!$A$192:$M$202,11,FALSE)</f>
        <v>6.0859​</v>
      </c>
      <c r="L261" s="756">
        <v>6.0858999999999996</v>
      </c>
      <c r="M261" s="758"/>
      <c r="N261" s="757">
        <v>47483</v>
      </c>
      <c r="O261" s="758"/>
      <c r="P261" s="758"/>
      <c r="Q261" s="758"/>
      <c r="R261" s="750"/>
      <c r="S261" s="750"/>
      <c r="T261" s="905"/>
      <c r="U261" s="757"/>
      <c r="V261" s="757" t="str">
        <f>_xlfn.XLOOKUP(Table3[[#This Row],[RE Developer]],[2]GEA!$B:$B,[2]GEA!$K:$K,"",0,1)</f>
        <v>-</v>
      </c>
      <c r="W261" s="757"/>
      <c r="X261" s="757"/>
      <c r="Y261" s="905"/>
      <c r="Z261" s="905">
        <f>Table3[[#This Row],[Valid from]]+364</f>
        <v>364</v>
      </c>
      <c r="AA261" s="928" t="str">
        <f>_xlfn.XLOOKUP(Table3[[#This Row],[RE Developer]],[2]GEA!$B:$B,[2]GEA!$M:$M,"",0,1)</f>
        <v>-</v>
      </c>
      <c r="AB261" s="750"/>
      <c r="AC261" s="905"/>
      <c r="AD261" s="905"/>
      <c r="AE261" s="905"/>
      <c r="AF261" s="905"/>
      <c r="AG261" s="905"/>
      <c r="AH261" s="905"/>
    </row>
    <row r="262" spans="1:34" hidden="1" x14ac:dyDescent="0.25">
      <c r="A262" s="755" t="str">
        <f>VLOOKUP(Table3[[#This Row],[Location]],location!A:B,2,FALSE)</f>
        <v>Mindanao</v>
      </c>
      <c r="B262" s="755" t="s">
        <v>1139</v>
      </c>
      <c r="C262" s="755" t="s">
        <v>1228</v>
      </c>
      <c r="D262" s="755">
        <v>259</v>
      </c>
      <c r="E262" s="750" t="s">
        <v>1376</v>
      </c>
      <c r="F262" s="750" t="s">
        <v>1377</v>
      </c>
      <c r="G262" s="750" t="s">
        <v>1624</v>
      </c>
      <c r="H262" s="755" t="str">
        <f t="shared" si="1"/>
        <v>Agusan del Norte</v>
      </c>
      <c r="I262" s="928"/>
      <c r="J262" s="859">
        <v>50</v>
      </c>
      <c r="K262" s="931" t="str">
        <f>VLOOKUP("*onshore*",'GEA Reports'!$A$192:$M$202,11,FALSE)</f>
        <v>6.0859​</v>
      </c>
      <c r="L262" s="756">
        <v>6.0858999999999996</v>
      </c>
      <c r="M262" s="758"/>
      <c r="N262" s="757">
        <v>47483</v>
      </c>
      <c r="O262" s="758"/>
      <c r="P262" s="758"/>
      <c r="Q262" s="758"/>
      <c r="R262" s="750"/>
      <c r="S262" s="750"/>
      <c r="T262" s="905"/>
      <c r="U262" s="757"/>
      <c r="V262" s="757" t="str">
        <f>_xlfn.XLOOKUP(Table3[[#This Row],[RE Developer]],[2]GEA!$B:$B,[2]GEA!$K:$K,"",0,1)</f>
        <v>-</v>
      </c>
      <c r="W262" s="757"/>
      <c r="X262" s="757"/>
      <c r="Y262" s="905"/>
      <c r="Z262" s="905">
        <f>Table3[[#This Row],[Valid from]]+364</f>
        <v>364</v>
      </c>
      <c r="AA262" s="928" t="str">
        <f>_xlfn.XLOOKUP(Table3[[#This Row],[RE Developer]],[2]GEA!$B:$B,[2]GEA!$M:$M,"",0,1)</f>
        <v>-</v>
      </c>
      <c r="AB262" s="750"/>
      <c r="AC262" s="905"/>
      <c r="AD262" s="905"/>
      <c r="AE262" s="905"/>
      <c r="AF262" s="905"/>
      <c r="AG262" s="905"/>
      <c r="AH262" s="905"/>
    </row>
    <row r="263" spans="1:34" x14ac:dyDescent="0.25">
      <c r="A263" s="755"/>
      <c r="B263" s="755"/>
      <c r="C263" s="755"/>
      <c r="D263" s="755"/>
      <c r="E263" s="750"/>
      <c r="F263" s="750"/>
      <c r="G263" s="750"/>
      <c r="H263" s="750"/>
      <c r="I263" s="877"/>
      <c r="J263" s="861">
        <f>SUBTOTAL(109,J128:J139)</f>
        <v>0</v>
      </c>
      <c r="K263" s="756"/>
      <c r="L263" s="756"/>
      <c r="M263" s="758"/>
      <c r="N263" s="758"/>
      <c r="O263" s="758"/>
      <c r="P263" s="758"/>
      <c r="Q263" s="758"/>
      <c r="R263" s="750"/>
      <c r="S263" s="750"/>
      <c r="T263" s="906"/>
      <c r="U263" s="750"/>
      <c r="V263" s="750"/>
      <c r="W263" s="750"/>
      <c r="X263" s="750"/>
      <c r="Y263" s="906"/>
      <c r="Z263" s="906"/>
      <c r="AA263" s="996"/>
      <c r="AB263" s="750"/>
      <c r="AC263" s="926"/>
      <c r="AD263" s="750"/>
    </row>
    <row r="264" spans="1:34" x14ac:dyDescent="0.25">
      <c r="J264" s="556">
        <f>Table3[[#Totals],[Capacity 
(MW)]]-J129</f>
        <v>-3.669</v>
      </c>
      <c r="K264" s="932"/>
      <c r="AA264" s="928"/>
    </row>
    <row r="265" spans="1:34" x14ac:dyDescent="0.25">
      <c r="J265" s="556"/>
      <c r="K265" s="932"/>
      <c r="AA265" s="928"/>
    </row>
    <row r="266" spans="1:34" x14ac:dyDescent="0.25">
      <c r="J266">
        <f>6350-4000</f>
        <v>2350</v>
      </c>
      <c r="AA266" s="928"/>
    </row>
    <row r="267" spans="1:34" x14ac:dyDescent="0.25">
      <c r="AA267" s="928"/>
    </row>
    <row r="268" spans="1:34" x14ac:dyDescent="0.25">
      <c r="AA268" s="928"/>
    </row>
    <row r="269" spans="1:34" x14ac:dyDescent="0.25">
      <c r="AA269" s="928"/>
    </row>
    <row r="270" spans="1:34" x14ac:dyDescent="0.25">
      <c r="AA270" s="928"/>
    </row>
    <row r="271" spans="1:34" x14ac:dyDescent="0.25">
      <c r="AA271" s="928"/>
    </row>
    <row r="272" spans="1:34" x14ac:dyDescent="0.25">
      <c r="AA272" s="928"/>
    </row>
    <row r="273" spans="27:27" x14ac:dyDescent="0.25">
      <c r="AA273" s="928"/>
    </row>
    <row r="274" spans="27:27" x14ac:dyDescent="0.25">
      <c r="AA274" s="928"/>
    </row>
    <row r="275" spans="27:27" x14ac:dyDescent="0.25">
      <c r="AA275" s="928"/>
    </row>
    <row r="276" spans="27:27" x14ac:dyDescent="0.25">
      <c r="AA276" s="928"/>
    </row>
    <row r="277" spans="27:27" x14ac:dyDescent="0.25">
      <c r="AA277" s="928"/>
    </row>
    <row r="278" spans="27:27" x14ac:dyDescent="0.25">
      <c r="AA278" s="928"/>
    </row>
    <row r="279" spans="27:27" x14ac:dyDescent="0.25">
      <c r="AA279" s="928"/>
    </row>
    <row r="280" spans="27:27" x14ac:dyDescent="0.25">
      <c r="AA280" s="928"/>
    </row>
    <row r="281" spans="27:27" x14ac:dyDescent="0.25">
      <c r="AA281" s="928"/>
    </row>
    <row r="282" spans="27:27" x14ac:dyDescent="0.25">
      <c r="AA282" s="928"/>
    </row>
    <row r="283" spans="27:27" x14ac:dyDescent="0.25">
      <c r="AA283" s="928"/>
    </row>
    <row r="284" spans="27:27" x14ac:dyDescent="0.25">
      <c r="AA284" s="928"/>
    </row>
    <row r="285" spans="27:27" x14ac:dyDescent="0.25">
      <c r="AA285" s="928"/>
    </row>
    <row r="286" spans="27:27" x14ac:dyDescent="0.25">
      <c r="AA286" s="928"/>
    </row>
    <row r="287" spans="27:27" x14ac:dyDescent="0.25">
      <c r="AA287" s="928"/>
    </row>
    <row r="288" spans="27:27" x14ac:dyDescent="0.25">
      <c r="AA288" s="928"/>
    </row>
    <row r="289" spans="27:27" x14ac:dyDescent="0.25">
      <c r="AA289" s="928"/>
    </row>
    <row r="290" spans="27:27" x14ac:dyDescent="0.25">
      <c r="AA290" s="928"/>
    </row>
  </sheetData>
  <mergeCells count="3">
    <mergeCell ref="AC2:AG2"/>
    <mergeCell ref="L2:T2"/>
    <mergeCell ref="U2:AA2"/>
  </mergeCells>
  <phoneticPr fontId="49" type="noConversion"/>
  <conditionalFormatting sqref="D4:D262">
    <cfRule type="duplicateValues" dxfId="200" priority="26"/>
  </conditionalFormatting>
  <conditionalFormatting sqref="F4:F262">
    <cfRule type="duplicateValues" dxfId="199" priority="27"/>
  </conditionalFormatting>
  <conditionalFormatting sqref="Y4:AA23 Y27:AA47 Z25:AA26 Y49:AA49 Y51:AA121 AA23:AA140 Y123:AA123 Z122:AA122 Y125:AA127 Z124:AA124 Y129:AA140 Z128:AA128 AA144:AA290 Y144:AA262 Z141:Z143">
    <cfRule type="expression" dxfId="198" priority="2">
      <formula>$U4="COC"</formula>
    </cfRule>
  </conditionalFormatting>
  <conditionalFormatting sqref="E4:E262">
    <cfRule type="duplicateValues" dxfId="197" priority="1"/>
  </conditionalFormatting>
  <pageMargins left="0.7" right="0.7" top="0.75" bottom="0.75" header="0.3" footer="0.3"/>
  <pageSetup paperSize="9"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5424C-5F13-47CD-9C1D-20A66F2A7B6D}">
  <dimension ref="A1:B86"/>
  <sheetViews>
    <sheetView workbookViewId="0">
      <selection activeCell="A35" sqref="A35"/>
    </sheetView>
  </sheetViews>
  <sheetFormatPr defaultRowHeight="15" x14ac:dyDescent="0.25"/>
  <cols>
    <col min="1" max="1" width="45.28515625" customWidth="1"/>
    <col min="2" max="2" width="20.85546875" customWidth="1"/>
  </cols>
  <sheetData>
    <row r="1" spans="1:2" ht="18" x14ac:dyDescent="0.25">
      <c r="A1" s="911" t="s">
        <v>1625</v>
      </c>
    </row>
    <row r="3" spans="1:2" x14ac:dyDescent="0.25">
      <c r="A3" s="912" t="s">
        <v>1626</v>
      </c>
      <c r="B3" s="912" t="s">
        <v>1627</v>
      </c>
    </row>
    <row r="4" spans="1:2" x14ac:dyDescent="0.25">
      <c r="A4" s="4" t="s">
        <v>1628</v>
      </c>
      <c r="B4" s="4" t="s">
        <v>7</v>
      </c>
    </row>
    <row r="5" spans="1:2" x14ac:dyDescent="0.25">
      <c r="A5" s="4" t="s">
        <v>1225</v>
      </c>
      <c r="B5" s="4" t="s">
        <v>7</v>
      </c>
    </row>
    <row r="6" spans="1:2" x14ac:dyDescent="0.25">
      <c r="A6" s="4" t="s">
        <v>1629</v>
      </c>
      <c r="B6" s="4" t="s">
        <v>7</v>
      </c>
    </row>
    <row r="7" spans="1:2" x14ac:dyDescent="0.25">
      <c r="A7" s="4" t="s">
        <v>263</v>
      </c>
      <c r="B7" s="4" t="s">
        <v>7</v>
      </c>
    </row>
    <row r="8" spans="1:2" x14ac:dyDescent="0.25">
      <c r="A8" s="4" t="s">
        <v>1630</v>
      </c>
      <c r="B8" s="4" t="s">
        <v>7</v>
      </c>
    </row>
    <row r="9" spans="1:2" x14ac:dyDescent="0.25">
      <c r="A9" s="4" t="s">
        <v>235</v>
      </c>
      <c r="B9" s="4" t="s">
        <v>7</v>
      </c>
    </row>
    <row r="10" spans="1:2" x14ac:dyDescent="0.25">
      <c r="A10" s="4" t="s">
        <v>995</v>
      </c>
      <c r="B10" s="4" t="s">
        <v>7</v>
      </c>
    </row>
    <row r="11" spans="1:2" x14ac:dyDescent="0.25">
      <c r="A11" s="4" t="s">
        <v>1106</v>
      </c>
      <c r="B11" s="4" t="s">
        <v>7</v>
      </c>
    </row>
    <row r="12" spans="1:2" x14ac:dyDescent="0.25">
      <c r="A12" s="4" t="s">
        <v>1631</v>
      </c>
      <c r="B12" s="4" t="s">
        <v>7</v>
      </c>
    </row>
    <row r="13" spans="1:2" x14ac:dyDescent="0.25">
      <c r="A13" s="4" t="s">
        <v>1632</v>
      </c>
      <c r="B13" s="4" t="s">
        <v>7</v>
      </c>
    </row>
    <row r="14" spans="1:2" x14ac:dyDescent="0.25">
      <c r="A14" s="4" t="s">
        <v>1008</v>
      </c>
      <c r="B14" s="4" t="s">
        <v>7</v>
      </c>
    </row>
    <row r="15" spans="1:2" x14ac:dyDescent="0.25">
      <c r="A15" s="4" t="s">
        <v>1633</v>
      </c>
      <c r="B15" s="4" t="s">
        <v>7</v>
      </c>
    </row>
    <row r="16" spans="1:2" x14ac:dyDescent="0.25">
      <c r="A16" s="4" t="s">
        <v>1634</v>
      </c>
      <c r="B16" s="4" t="s">
        <v>7</v>
      </c>
    </row>
    <row r="17" spans="1:2" x14ac:dyDescent="0.25">
      <c r="A17" s="4" t="s">
        <v>1146</v>
      </c>
      <c r="B17" s="4" t="s">
        <v>7</v>
      </c>
    </row>
    <row r="18" spans="1:2" x14ac:dyDescent="0.25">
      <c r="A18" s="4" t="s">
        <v>1635</v>
      </c>
      <c r="B18" s="4" t="s">
        <v>7</v>
      </c>
    </row>
    <row r="19" spans="1:2" x14ac:dyDescent="0.25">
      <c r="A19" s="4" t="s">
        <v>1038</v>
      </c>
      <c r="B19" s="4" t="s">
        <v>7</v>
      </c>
    </row>
    <row r="20" spans="1:2" x14ac:dyDescent="0.25">
      <c r="A20" s="4" t="s">
        <v>1636</v>
      </c>
      <c r="B20" s="4" t="s">
        <v>7</v>
      </c>
    </row>
    <row r="21" spans="1:2" x14ac:dyDescent="0.25">
      <c r="A21" s="4" t="s">
        <v>1637</v>
      </c>
      <c r="B21" s="4" t="s">
        <v>7</v>
      </c>
    </row>
    <row r="22" spans="1:2" x14ac:dyDescent="0.25">
      <c r="A22" s="4" t="s">
        <v>1029</v>
      </c>
      <c r="B22" s="4" t="s">
        <v>7</v>
      </c>
    </row>
    <row r="23" spans="1:2" x14ac:dyDescent="0.25">
      <c r="A23" s="4" t="s">
        <v>1638</v>
      </c>
      <c r="B23" s="4" t="s">
        <v>7</v>
      </c>
    </row>
    <row r="24" spans="1:2" x14ac:dyDescent="0.25">
      <c r="A24" s="4" t="s">
        <v>262</v>
      </c>
      <c r="B24" s="4" t="s">
        <v>7</v>
      </c>
    </row>
    <row r="25" spans="1:2" x14ac:dyDescent="0.25">
      <c r="A25" s="4" t="s">
        <v>1211</v>
      </c>
      <c r="B25" s="4" t="s">
        <v>7</v>
      </c>
    </row>
    <row r="26" spans="1:2" x14ac:dyDescent="0.25">
      <c r="A26" s="4" t="s">
        <v>1639</v>
      </c>
      <c r="B26" s="4" t="s">
        <v>7</v>
      </c>
    </row>
    <row r="27" spans="1:2" x14ac:dyDescent="0.25">
      <c r="A27" s="4" t="s">
        <v>1640</v>
      </c>
      <c r="B27" s="4" t="s">
        <v>7</v>
      </c>
    </row>
    <row r="28" spans="1:2" x14ac:dyDescent="0.25">
      <c r="A28" s="4" t="s">
        <v>1641</v>
      </c>
      <c r="B28" s="4" t="s">
        <v>7</v>
      </c>
    </row>
    <row r="29" spans="1:2" x14ac:dyDescent="0.25">
      <c r="A29" s="4" t="s">
        <v>1047</v>
      </c>
      <c r="B29" s="4" t="s">
        <v>7</v>
      </c>
    </row>
    <row r="30" spans="1:2" x14ac:dyDescent="0.25">
      <c r="A30" s="4" t="s">
        <v>1057</v>
      </c>
      <c r="B30" s="4" t="s">
        <v>7</v>
      </c>
    </row>
    <row r="31" spans="1:2" x14ac:dyDescent="0.25">
      <c r="A31" s="4" t="s">
        <v>1016</v>
      </c>
      <c r="B31" s="4" t="s">
        <v>7</v>
      </c>
    </row>
    <row r="32" spans="1:2" x14ac:dyDescent="0.25">
      <c r="A32" s="4" t="s">
        <v>1642</v>
      </c>
      <c r="B32" s="4" t="s">
        <v>7</v>
      </c>
    </row>
    <row r="33" spans="1:2" x14ac:dyDescent="0.25">
      <c r="A33" s="4" t="s">
        <v>1141</v>
      </c>
      <c r="B33" s="4" t="s">
        <v>7</v>
      </c>
    </row>
    <row r="34" spans="1:2" x14ac:dyDescent="0.25">
      <c r="A34" s="4" t="s">
        <v>1643</v>
      </c>
      <c r="B34" s="4" t="s">
        <v>7</v>
      </c>
    </row>
    <row r="35" spans="1:2" x14ac:dyDescent="0.25">
      <c r="A35" s="4" t="s">
        <v>1203</v>
      </c>
      <c r="B35" s="4" t="s">
        <v>7</v>
      </c>
    </row>
    <row r="36" spans="1:2" x14ac:dyDescent="0.25">
      <c r="A36" s="4" t="s">
        <v>1012</v>
      </c>
      <c r="B36" s="4" t="s">
        <v>7</v>
      </c>
    </row>
    <row r="37" spans="1:2" x14ac:dyDescent="0.25">
      <c r="A37" s="4" t="s">
        <v>1166</v>
      </c>
      <c r="B37" s="4" t="s">
        <v>7</v>
      </c>
    </row>
    <row r="38" spans="1:2" x14ac:dyDescent="0.25">
      <c r="A38" s="4" t="s">
        <v>1644</v>
      </c>
      <c r="B38" s="4" t="s">
        <v>7</v>
      </c>
    </row>
    <row r="39" spans="1:2" x14ac:dyDescent="0.25">
      <c r="A39" s="4" t="s">
        <v>1645</v>
      </c>
      <c r="B39" s="4" t="s">
        <v>7</v>
      </c>
    </row>
    <row r="40" spans="1:2" x14ac:dyDescent="0.25">
      <c r="A40" s="4" t="s">
        <v>1646</v>
      </c>
      <c r="B40" s="4" t="s">
        <v>7</v>
      </c>
    </row>
    <row r="41" spans="1:2" x14ac:dyDescent="0.25">
      <c r="A41" s="4" t="s">
        <v>1647</v>
      </c>
      <c r="B41" s="4" t="s">
        <v>7</v>
      </c>
    </row>
    <row r="42" spans="1:2" x14ac:dyDescent="0.25">
      <c r="A42" s="4" t="s">
        <v>1063</v>
      </c>
      <c r="B42" s="4" t="s">
        <v>7</v>
      </c>
    </row>
    <row r="43" spans="1:2" x14ac:dyDescent="0.25">
      <c r="A43" s="4" t="s">
        <v>1678</v>
      </c>
      <c r="B43" s="4" t="s">
        <v>7</v>
      </c>
    </row>
    <row r="44" spans="1:2" x14ac:dyDescent="0.25">
      <c r="A44" s="4" t="s">
        <v>1031</v>
      </c>
      <c r="B44" s="4" t="s">
        <v>32</v>
      </c>
    </row>
    <row r="45" spans="1:2" x14ac:dyDescent="0.25">
      <c r="A45" s="4" t="s">
        <v>1648</v>
      </c>
      <c r="B45" s="4" t="s">
        <v>32</v>
      </c>
    </row>
    <row r="46" spans="1:2" x14ac:dyDescent="0.25">
      <c r="A46" s="4" t="s">
        <v>1649</v>
      </c>
      <c r="B46" s="4" t="s">
        <v>32</v>
      </c>
    </row>
    <row r="47" spans="1:2" x14ac:dyDescent="0.25">
      <c r="A47" s="4" t="s">
        <v>1650</v>
      </c>
      <c r="B47" s="4" t="s">
        <v>32</v>
      </c>
    </row>
    <row r="48" spans="1:2" x14ac:dyDescent="0.25">
      <c r="A48" s="4" t="s">
        <v>1651</v>
      </c>
      <c r="B48" s="4" t="s">
        <v>32</v>
      </c>
    </row>
    <row r="49" spans="1:2" x14ac:dyDescent="0.25">
      <c r="A49" s="4" t="s">
        <v>1180</v>
      </c>
      <c r="B49" s="4" t="s">
        <v>32</v>
      </c>
    </row>
    <row r="50" spans="1:2" x14ac:dyDescent="0.25">
      <c r="A50" s="4" t="s">
        <v>1652</v>
      </c>
      <c r="B50" s="4" t="s">
        <v>32</v>
      </c>
    </row>
    <row r="51" spans="1:2" x14ac:dyDescent="0.25">
      <c r="A51" s="4" t="s">
        <v>1653</v>
      </c>
      <c r="B51" s="4" t="s">
        <v>32</v>
      </c>
    </row>
    <row r="52" spans="1:2" x14ac:dyDescent="0.25">
      <c r="A52" s="4" t="s">
        <v>257</v>
      </c>
      <c r="B52" s="4" t="s">
        <v>32</v>
      </c>
    </row>
    <row r="53" spans="1:2" x14ac:dyDescent="0.25">
      <c r="A53" s="4" t="s">
        <v>1020</v>
      </c>
      <c r="B53" s="4" t="s">
        <v>32</v>
      </c>
    </row>
    <row r="54" spans="1:2" x14ac:dyDescent="0.25">
      <c r="A54" s="4" t="s">
        <v>258</v>
      </c>
      <c r="B54" s="4" t="s">
        <v>32</v>
      </c>
    </row>
    <row r="55" spans="1:2" x14ac:dyDescent="0.25">
      <c r="A55" s="4" t="s">
        <v>261</v>
      </c>
      <c r="B55" s="4" t="s">
        <v>32</v>
      </c>
    </row>
    <row r="56" spans="1:2" x14ac:dyDescent="0.25">
      <c r="A56" s="4" t="s">
        <v>1654</v>
      </c>
      <c r="B56" s="4" t="s">
        <v>32</v>
      </c>
    </row>
    <row r="57" spans="1:2" x14ac:dyDescent="0.25">
      <c r="A57" s="4" t="s">
        <v>1196</v>
      </c>
      <c r="B57" s="4" t="s">
        <v>32</v>
      </c>
    </row>
    <row r="58" spans="1:2" x14ac:dyDescent="0.25">
      <c r="A58" s="4" t="s">
        <v>1655</v>
      </c>
      <c r="B58" s="4" t="s">
        <v>32</v>
      </c>
    </row>
    <row r="59" spans="1:2" x14ac:dyDescent="0.25">
      <c r="A59" s="4" t="s">
        <v>1172</v>
      </c>
      <c r="B59" s="4" t="s">
        <v>8</v>
      </c>
    </row>
    <row r="60" spans="1:2" x14ac:dyDescent="0.25">
      <c r="A60" s="4" t="s">
        <v>1656</v>
      </c>
      <c r="B60" s="4" t="s">
        <v>8</v>
      </c>
    </row>
    <row r="61" spans="1:2" x14ac:dyDescent="0.25">
      <c r="A61" s="4" t="s">
        <v>1657</v>
      </c>
      <c r="B61" s="4" t="s">
        <v>8</v>
      </c>
    </row>
    <row r="62" spans="1:2" x14ac:dyDescent="0.25">
      <c r="A62" s="4" t="s">
        <v>999</v>
      </c>
      <c r="B62" s="4" t="s">
        <v>8</v>
      </c>
    </row>
    <row r="63" spans="1:2" x14ac:dyDescent="0.25">
      <c r="A63" s="4" t="s">
        <v>1658</v>
      </c>
      <c r="B63" s="4" t="s">
        <v>8</v>
      </c>
    </row>
    <row r="64" spans="1:2" x14ac:dyDescent="0.25">
      <c r="A64" s="4" t="s">
        <v>1659</v>
      </c>
      <c r="B64" s="4" t="s">
        <v>8</v>
      </c>
    </row>
    <row r="65" spans="1:2" x14ac:dyDescent="0.25">
      <c r="A65" s="4" t="s">
        <v>1660</v>
      </c>
      <c r="B65" s="4" t="s">
        <v>8</v>
      </c>
    </row>
    <row r="66" spans="1:2" x14ac:dyDescent="0.25">
      <c r="A66" s="4" t="s">
        <v>1661</v>
      </c>
      <c r="B66" s="4" t="s">
        <v>8</v>
      </c>
    </row>
    <row r="67" spans="1:2" x14ac:dyDescent="0.25">
      <c r="A67" s="4" t="s">
        <v>1662</v>
      </c>
      <c r="B67" s="4" t="s">
        <v>8</v>
      </c>
    </row>
    <row r="68" spans="1:2" x14ac:dyDescent="0.25">
      <c r="A68" s="4" t="s">
        <v>1663</v>
      </c>
      <c r="B68" s="4" t="s">
        <v>8</v>
      </c>
    </row>
    <row r="69" spans="1:2" x14ac:dyDescent="0.25">
      <c r="A69" s="4" t="s">
        <v>1664</v>
      </c>
      <c r="B69" s="4" t="s">
        <v>8</v>
      </c>
    </row>
    <row r="70" spans="1:2" x14ac:dyDescent="0.25">
      <c r="A70" s="4" t="s">
        <v>1665</v>
      </c>
      <c r="B70" s="4" t="s">
        <v>8</v>
      </c>
    </row>
    <row r="71" spans="1:2" x14ac:dyDescent="0.25">
      <c r="A71" s="4" t="s">
        <v>1666</v>
      </c>
      <c r="B71" s="4" t="s">
        <v>8</v>
      </c>
    </row>
    <row r="72" spans="1:2" x14ac:dyDescent="0.25">
      <c r="A72" s="4" t="s">
        <v>1667</v>
      </c>
      <c r="B72" s="4" t="s">
        <v>8</v>
      </c>
    </row>
    <row r="73" spans="1:2" x14ac:dyDescent="0.25">
      <c r="A73" s="4" t="s">
        <v>1668</v>
      </c>
      <c r="B73" s="4" t="s">
        <v>8</v>
      </c>
    </row>
    <row r="74" spans="1:2" x14ac:dyDescent="0.25">
      <c r="A74" s="4" t="s">
        <v>1005</v>
      </c>
      <c r="B74" s="4" t="s">
        <v>8</v>
      </c>
    </row>
    <row r="75" spans="1:2" x14ac:dyDescent="0.25">
      <c r="A75" s="4" t="s">
        <v>1669</v>
      </c>
      <c r="B75" s="4" t="s">
        <v>8</v>
      </c>
    </row>
    <row r="76" spans="1:2" x14ac:dyDescent="0.25">
      <c r="A76" s="4" t="s">
        <v>1206</v>
      </c>
      <c r="B76" s="4" t="s">
        <v>8</v>
      </c>
    </row>
    <row r="77" spans="1:2" x14ac:dyDescent="0.25">
      <c r="A77" s="4" t="s">
        <v>1670</v>
      </c>
      <c r="B77" s="4" t="s">
        <v>8</v>
      </c>
    </row>
    <row r="78" spans="1:2" x14ac:dyDescent="0.25">
      <c r="A78" s="4" t="s">
        <v>259</v>
      </c>
      <c r="B78" s="4" t="s">
        <v>8</v>
      </c>
    </row>
    <row r="79" spans="1:2" x14ac:dyDescent="0.25">
      <c r="A79" s="4" t="s">
        <v>1671</v>
      </c>
      <c r="B79" s="4" t="s">
        <v>8</v>
      </c>
    </row>
    <row r="80" spans="1:2" x14ac:dyDescent="0.25">
      <c r="A80" s="4" t="s">
        <v>1672</v>
      </c>
      <c r="B80" s="4" t="s">
        <v>8</v>
      </c>
    </row>
    <row r="81" spans="1:2" x14ac:dyDescent="0.25">
      <c r="A81" s="4" t="s">
        <v>1003</v>
      </c>
      <c r="B81" s="4" t="s">
        <v>8</v>
      </c>
    </row>
    <row r="82" spans="1:2" x14ac:dyDescent="0.25">
      <c r="A82" s="4" t="s">
        <v>1673</v>
      </c>
      <c r="B82" s="4" t="s">
        <v>8</v>
      </c>
    </row>
    <row r="83" spans="1:2" x14ac:dyDescent="0.25">
      <c r="A83" s="4" t="s">
        <v>1674</v>
      </c>
      <c r="B83" s="4" t="s">
        <v>8</v>
      </c>
    </row>
    <row r="84" spans="1:2" x14ac:dyDescent="0.25">
      <c r="A84" s="4" t="s">
        <v>1675</v>
      </c>
      <c r="B84" s="4" t="s">
        <v>8</v>
      </c>
    </row>
    <row r="85" spans="1:2" x14ac:dyDescent="0.25">
      <c r="A85" s="4" t="s">
        <v>1676</v>
      </c>
      <c r="B85" s="4" t="s">
        <v>8</v>
      </c>
    </row>
    <row r="86" spans="1:2" x14ac:dyDescent="0.25">
      <c r="A86" s="4" t="s">
        <v>1677</v>
      </c>
      <c r="B86" s="4"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88657-D001-4520-8E65-7330E0910C22}">
  <sheetPr codeName="Sheet22"/>
  <dimension ref="B2:G142"/>
  <sheetViews>
    <sheetView showGridLines="0" zoomScaleNormal="100" workbookViewId="0">
      <selection activeCell="H8" sqref="H8"/>
    </sheetView>
  </sheetViews>
  <sheetFormatPr defaultRowHeight="15" x14ac:dyDescent="0.25"/>
  <cols>
    <col min="2" max="2" width="34.42578125" style="674" customWidth="1"/>
    <col min="3" max="3" width="13.42578125" style="674" bestFit="1" customWidth="1"/>
    <col min="4" max="4" width="21" bestFit="1" customWidth="1"/>
    <col min="5" max="5" width="12.7109375" bestFit="1" customWidth="1"/>
    <col min="6" max="6" width="8.140625" bestFit="1" customWidth="1"/>
    <col min="7" max="7" width="8.140625" style="565" bestFit="1" customWidth="1"/>
    <col min="8" max="8" width="11.28515625" bestFit="1" customWidth="1"/>
    <col min="11" max="11" width="49.140625" bestFit="1" customWidth="1"/>
  </cols>
  <sheetData>
    <row r="2" spans="2:7" x14ac:dyDescent="0.25">
      <c r="B2" s="787" t="s">
        <v>987</v>
      </c>
      <c r="C2" s="787" t="s">
        <v>339</v>
      </c>
      <c r="D2" s="674" t="s">
        <v>1422</v>
      </c>
      <c r="E2" s="767" t="s">
        <v>1380</v>
      </c>
      <c r="F2" s="767" t="s">
        <v>1423</v>
      </c>
      <c r="G2"/>
    </row>
    <row r="3" spans="2:7" x14ac:dyDescent="0.25">
      <c r="B3" s="674" t="s">
        <v>991</v>
      </c>
      <c r="C3"/>
      <c r="D3" s="788">
        <v>1966.93</v>
      </c>
      <c r="E3" s="1176">
        <v>19</v>
      </c>
      <c r="F3" s="562">
        <v>8.8147582319753184E-2</v>
      </c>
      <c r="G3"/>
    </row>
    <row r="4" spans="2:7" x14ac:dyDescent="0.25">
      <c r="B4" s="674" t="s">
        <v>1034</v>
      </c>
      <c r="C4"/>
      <c r="D4" s="788">
        <v>3470.7559999999999</v>
      </c>
      <c r="E4" s="1176">
        <v>105</v>
      </c>
      <c r="F4" s="562">
        <v>0.1555412496742524</v>
      </c>
      <c r="G4"/>
    </row>
    <row r="5" spans="2:7" x14ac:dyDescent="0.25">
      <c r="B5" s="674" t="s">
        <v>1201</v>
      </c>
      <c r="C5"/>
      <c r="D5" s="788">
        <v>6680.8869999999997</v>
      </c>
      <c r="E5" s="1176">
        <v>12</v>
      </c>
      <c r="F5" s="562">
        <v>0.29940264107084075</v>
      </c>
      <c r="G5"/>
    </row>
    <row r="6" spans="2:7" x14ac:dyDescent="0.25">
      <c r="B6" s="674" t="s">
        <v>1228</v>
      </c>
      <c r="C6"/>
      <c r="D6" s="788">
        <v>10195.481999999998</v>
      </c>
      <c r="E6" s="1176">
        <v>123</v>
      </c>
      <c r="F6" s="562">
        <v>0.45690852693515355</v>
      </c>
      <c r="G6"/>
    </row>
    <row r="7" spans="2:7" x14ac:dyDescent="0.25">
      <c r="B7" s="674" t="s">
        <v>204</v>
      </c>
      <c r="D7" s="788">
        <v>22314.055</v>
      </c>
      <c r="E7" s="1176">
        <v>259</v>
      </c>
      <c r="F7" s="562">
        <v>1</v>
      </c>
      <c r="G7"/>
    </row>
    <row r="9" spans="2:7" x14ac:dyDescent="0.25">
      <c r="B9"/>
      <c r="C9"/>
    </row>
    <row r="11" spans="2:7" s="674" customFormat="1" x14ac:dyDescent="0.25">
      <c r="B11" s="787" t="s">
        <v>987</v>
      </c>
      <c r="C11" s="787" t="s">
        <v>339</v>
      </c>
      <c r="D11" s="559" t="s">
        <v>1478</v>
      </c>
      <c r="E11" s="674" t="s">
        <v>1422</v>
      </c>
      <c r="F11" s="767" t="s">
        <v>1380</v>
      </c>
      <c r="G11" s="767" t="s">
        <v>1423</v>
      </c>
    </row>
    <row r="12" spans="2:7" x14ac:dyDescent="0.25">
      <c r="B12" s="674" t="s">
        <v>991</v>
      </c>
      <c r="C12" s="674" t="s">
        <v>219</v>
      </c>
      <c r="D12">
        <v>5.07</v>
      </c>
      <c r="E12" s="788">
        <v>3.4</v>
      </c>
      <c r="F12" s="1176">
        <v>1</v>
      </c>
      <c r="G12" s="562">
        <v>1.523703334064561E-4</v>
      </c>
    </row>
    <row r="13" spans="2:7" x14ac:dyDescent="0.25">
      <c r="C13" s="674" t="s">
        <v>693</v>
      </c>
      <c r="D13">
        <v>5.3875999999999999</v>
      </c>
      <c r="E13" s="788">
        <v>60</v>
      </c>
      <c r="F13" s="1176">
        <v>1</v>
      </c>
      <c r="G13" s="562">
        <v>2.6888882365845193E-3</v>
      </c>
    </row>
    <row r="14" spans="2:7" x14ac:dyDescent="0.25">
      <c r="D14">
        <v>5.4714</v>
      </c>
      <c r="E14" s="788">
        <v>20</v>
      </c>
      <c r="F14" s="1176">
        <v>1</v>
      </c>
      <c r="G14" s="562">
        <v>8.962960788615065E-4</v>
      </c>
    </row>
    <row r="15" spans="2:7" x14ac:dyDescent="0.25">
      <c r="D15">
        <v>5.49</v>
      </c>
      <c r="E15" s="788">
        <v>19.149999999999999</v>
      </c>
      <c r="F15" s="1176">
        <v>4</v>
      </c>
      <c r="G15" s="562">
        <v>8.5820349550989243E-4</v>
      </c>
    </row>
    <row r="16" spans="2:7" x14ac:dyDescent="0.25">
      <c r="C16" s="674" t="s">
        <v>426</v>
      </c>
      <c r="D16">
        <v>3.4</v>
      </c>
      <c r="E16" s="788">
        <v>40.4</v>
      </c>
      <c r="F16" s="1176">
        <v>1</v>
      </c>
      <c r="G16" s="562">
        <v>1.8105180793002431E-3</v>
      </c>
    </row>
    <row r="17" spans="2:7" x14ac:dyDescent="0.25">
      <c r="D17">
        <v>3.41</v>
      </c>
      <c r="E17" s="788">
        <v>99.98</v>
      </c>
      <c r="F17" s="1176">
        <v>1</v>
      </c>
      <c r="G17" s="562">
        <v>4.480584098228671E-3</v>
      </c>
    </row>
    <row r="18" spans="2:7" x14ac:dyDescent="0.25">
      <c r="D18">
        <v>3.67</v>
      </c>
      <c r="E18" s="788">
        <v>930</v>
      </c>
      <c r="F18" s="1176">
        <v>3</v>
      </c>
      <c r="G18" s="562">
        <v>4.1677767667060051E-2</v>
      </c>
    </row>
    <row r="19" spans="2:7" x14ac:dyDescent="0.25">
      <c r="D19">
        <v>3.6779000000000002</v>
      </c>
      <c r="E19" s="788">
        <v>420</v>
      </c>
      <c r="F19" s="1176">
        <v>2</v>
      </c>
      <c r="G19" s="562">
        <v>1.8822217656091635E-2</v>
      </c>
    </row>
    <row r="20" spans="2:7" x14ac:dyDescent="0.25">
      <c r="C20" s="674" t="s">
        <v>392</v>
      </c>
      <c r="D20">
        <v>3.8582999999999998</v>
      </c>
      <c r="E20" s="788">
        <v>70</v>
      </c>
      <c r="F20" s="1176">
        <v>1</v>
      </c>
      <c r="G20" s="562">
        <v>3.1370362760152729E-3</v>
      </c>
    </row>
    <row r="21" spans="2:7" x14ac:dyDescent="0.25">
      <c r="D21">
        <v>4.1997999999999998</v>
      </c>
      <c r="E21" s="788">
        <v>30</v>
      </c>
      <c r="F21" s="1176">
        <v>1</v>
      </c>
      <c r="G21" s="562">
        <v>1.3444441182922596E-3</v>
      </c>
    </row>
    <row r="22" spans="2:7" x14ac:dyDescent="0.25">
      <c r="D22">
        <v>4.4386000000000001</v>
      </c>
      <c r="E22" s="788">
        <v>160</v>
      </c>
      <c r="F22" s="1176">
        <v>1</v>
      </c>
      <c r="G22" s="562">
        <v>7.170368630892052E-3</v>
      </c>
    </row>
    <row r="23" spans="2:7" x14ac:dyDescent="0.25">
      <c r="D23">
        <v>4.6368</v>
      </c>
      <c r="E23" s="788">
        <v>100.8</v>
      </c>
      <c r="F23" s="1176">
        <v>1</v>
      </c>
      <c r="G23" s="562">
        <v>4.5173322374619925E-3</v>
      </c>
    </row>
    <row r="24" spans="2:7" x14ac:dyDescent="0.25">
      <c r="D24">
        <v>5.7554999999999996</v>
      </c>
      <c r="E24" s="788">
        <v>13.2</v>
      </c>
      <c r="F24" s="1176">
        <v>1</v>
      </c>
      <c r="G24" s="562">
        <v>5.9155541204859426E-4</v>
      </c>
    </row>
    <row r="25" spans="2:7" x14ac:dyDescent="0.25">
      <c r="B25" s="674" t="s">
        <v>1034</v>
      </c>
      <c r="C25" s="674" t="s">
        <v>1158</v>
      </c>
      <c r="D25">
        <v>5.0987999999999998</v>
      </c>
      <c r="E25" s="788">
        <v>90</v>
      </c>
      <c r="F25" s="1176">
        <v>1</v>
      </c>
      <c r="G25" s="562">
        <v>4.0333323548767796E-3</v>
      </c>
    </row>
    <row r="26" spans="2:7" x14ac:dyDescent="0.25">
      <c r="C26" s="674" t="s">
        <v>1035</v>
      </c>
      <c r="D26">
        <v>3.5950000000000002</v>
      </c>
      <c r="E26" s="788">
        <v>200</v>
      </c>
      <c r="F26" s="1176">
        <v>1</v>
      </c>
      <c r="G26" s="562">
        <v>8.9629607886150646E-3</v>
      </c>
    </row>
    <row r="27" spans="2:7" x14ac:dyDescent="0.25">
      <c r="D27">
        <v>3.8788</v>
      </c>
      <c r="E27" s="788">
        <v>49.9</v>
      </c>
      <c r="F27" s="1176">
        <v>1</v>
      </c>
      <c r="G27" s="562">
        <v>2.2362587167594587E-3</v>
      </c>
    </row>
    <row r="28" spans="2:7" x14ac:dyDescent="0.25">
      <c r="D28">
        <v>3.9853000000000001</v>
      </c>
      <c r="E28" s="788">
        <v>149.94999999999999</v>
      </c>
      <c r="F28" s="1176">
        <v>1</v>
      </c>
      <c r="G28" s="562">
        <v>6.7199798512641443E-3</v>
      </c>
    </row>
    <row r="29" spans="2:7" x14ac:dyDescent="0.25">
      <c r="D29">
        <v>4.0984999999999996</v>
      </c>
      <c r="E29" s="788">
        <v>274.73500000000001</v>
      </c>
      <c r="F29" s="1176">
        <v>1</v>
      </c>
      <c r="G29" s="562">
        <v>1.2312195161300801E-2</v>
      </c>
    </row>
    <row r="30" spans="2:7" x14ac:dyDescent="0.25">
      <c r="D30">
        <v>4.0999999999999996</v>
      </c>
      <c r="E30" s="788">
        <v>50</v>
      </c>
      <c r="F30" s="1176">
        <v>1</v>
      </c>
      <c r="G30" s="562">
        <v>2.2407401971537661E-3</v>
      </c>
    </row>
    <row r="31" spans="2:7" x14ac:dyDescent="0.25">
      <c r="D31">
        <v>4.1997999999999998</v>
      </c>
      <c r="E31" s="788">
        <v>128.44</v>
      </c>
      <c r="F31" s="1176">
        <v>2</v>
      </c>
      <c r="G31" s="562">
        <v>5.7560134184485943E-3</v>
      </c>
    </row>
    <row r="32" spans="2:7" x14ac:dyDescent="0.25">
      <c r="D32">
        <v>4.2346000000000004</v>
      </c>
      <c r="E32" s="788">
        <v>49</v>
      </c>
      <c r="F32" s="1176">
        <v>1</v>
      </c>
      <c r="G32" s="562">
        <v>2.1959253932106911E-3</v>
      </c>
    </row>
    <row r="33" spans="3:7" x14ac:dyDescent="0.25">
      <c r="D33">
        <v>4.2380000000000004</v>
      </c>
      <c r="E33" s="788">
        <v>18.75</v>
      </c>
      <c r="F33" s="1176">
        <v>1</v>
      </c>
      <c r="G33" s="562">
        <v>8.4027757393266231E-4</v>
      </c>
    </row>
    <row r="34" spans="3:7" x14ac:dyDescent="0.25">
      <c r="D34">
        <v>4.2999000000000001</v>
      </c>
      <c r="E34" s="788">
        <v>20</v>
      </c>
      <c r="F34" s="1176">
        <v>1</v>
      </c>
      <c r="G34" s="562">
        <v>8.962960788615065E-4</v>
      </c>
    </row>
    <row r="35" spans="3:7" x14ac:dyDescent="0.25">
      <c r="D35">
        <v>4.3543000000000003</v>
      </c>
      <c r="E35" s="788">
        <v>14</v>
      </c>
      <c r="F35" s="1176">
        <v>1</v>
      </c>
      <c r="G35" s="562">
        <v>6.2740725520305451E-4</v>
      </c>
    </row>
    <row r="36" spans="3:7" x14ac:dyDescent="0.25">
      <c r="D36">
        <v>4.3552999999999997</v>
      </c>
      <c r="E36" s="788">
        <v>40</v>
      </c>
      <c r="F36" s="1176">
        <v>1</v>
      </c>
      <c r="G36" s="562">
        <v>1.792592157723013E-3</v>
      </c>
    </row>
    <row r="37" spans="3:7" x14ac:dyDescent="0.25">
      <c r="D37">
        <v>4.3898000000000001</v>
      </c>
      <c r="E37" s="788">
        <v>43.75</v>
      </c>
      <c r="F37" s="1176">
        <v>1</v>
      </c>
      <c r="G37" s="562">
        <v>1.9606476725095453E-3</v>
      </c>
    </row>
    <row r="38" spans="3:7" x14ac:dyDescent="0.25">
      <c r="D38">
        <v>4.3998999999999997</v>
      </c>
      <c r="E38" s="788">
        <v>72.176999999999992</v>
      </c>
      <c r="F38" s="1176">
        <v>2</v>
      </c>
      <c r="G38" s="562">
        <v>3.2345981041993475E-3</v>
      </c>
    </row>
    <row r="39" spans="3:7" x14ac:dyDescent="0.25">
      <c r="D39">
        <v>4.4000000000000004</v>
      </c>
      <c r="E39" s="788">
        <v>57</v>
      </c>
      <c r="F39" s="1176">
        <v>2</v>
      </c>
      <c r="G39" s="562">
        <v>2.5544438247552936E-3</v>
      </c>
    </row>
    <row r="40" spans="3:7" x14ac:dyDescent="0.25">
      <c r="D40">
        <v>4.4032999999999998</v>
      </c>
      <c r="E40" s="788">
        <v>40</v>
      </c>
      <c r="F40" s="1176">
        <v>1</v>
      </c>
      <c r="G40" s="562">
        <v>1.792592157723013E-3</v>
      </c>
    </row>
    <row r="41" spans="3:7" x14ac:dyDescent="0.25">
      <c r="D41">
        <v>4.4043000000000001</v>
      </c>
      <c r="E41" s="788">
        <v>701.28000000000009</v>
      </c>
      <c r="F41" s="1176">
        <v>16</v>
      </c>
      <c r="G41" s="562">
        <v>3.1427725709199869E-2</v>
      </c>
    </row>
    <row r="42" spans="3:7" x14ac:dyDescent="0.25">
      <c r="C42" s="674" t="s">
        <v>1139</v>
      </c>
      <c r="D42">
        <v>5.2512999999999996</v>
      </c>
      <c r="E42" s="788">
        <v>239.98500000000001</v>
      </c>
      <c r="F42" s="1176">
        <v>1</v>
      </c>
      <c r="G42" s="562">
        <v>1.0754880724278932E-2</v>
      </c>
    </row>
    <row r="43" spans="3:7" x14ac:dyDescent="0.25">
      <c r="D43">
        <v>5.2888000000000002</v>
      </c>
      <c r="E43" s="788">
        <v>54.6</v>
      </c>
      <c r="F43" s="1176">
        <v>1</v>
      </c>
      <c r="G43" s="562">
        <v>2.4468882952919128E-3</v>
      </c>
    </row>
    <row r="44" spans="3:7" x14ac:dyDescent="0.25">
      <c r="D44">
        <v>5.3087999999999997</v>
      </c>
      <c r="E44" s="788">
        <v>85.8</v>
      </c>
      <c r="F44" s="1176">
        <v>1</v>
      </c>
      <c r="G44" s="562">
        <v>3.8451101783158626E-3</v>
      </c>
    </row>
    <row r="45" spans="3:7" x14ac:dyDescent="0.25">
      <c r="D45">
        <v>5.4387999999999996</v>
      </c>
      <c r="E45" s="788">
        <v>49.999000000000002</v>
      </c>
      <c r="F45" s="1176">
        <v>1</v>
      </c>
      <c r="G45" s="562">
        <v>2.2406953823498233E-3</v>
      </c>
    </row>
    <row r="46" spans="3:7" x14ac:dyDescent="0.25">
      <c r="D46">
        <v>5.5587999999999997</v>
      </c>
      <c r="E46" s="788">
        <v>80</v>
      </c>
      <c r="F46" s="1176">
        <v>1</v>
      </c>
      <c r="G46" s="562">
        <v>3.585184315446026E-3</v>
      </c>
    </row>
    <row r="47" spans="3:7" x14ac:dyDescent="0.25">
      <c r="D47">
        <v>5.6588000000000003</v>
      </c>
      <c r="E47" s="788">
        <v>100</v>
      </c>
      <c r="F47" s="1176">
        <v>1</v>
      </c>
      <c r="G47" s="562">
        <v>4.4814803943075323E-3</v>
      </c>
    </row>
    <row r="48" spans="3:7" x14ac:dyDescent="0.25">
      <c r="D48">
        <v>5.6887999999999996</v>
      </c>
      <c r="E48" s="788">
        <v>152</v>
      </c>
      <c r="F48" s="1176">
        <v>1</v>
      </c>
      <c r="G48" s="562">
        <v>6.8118501993474495E-3</v>
      </c>
    </row>
    <row r="49" spans="2:7" x14ac:dyDescent="0.25">
      <c r="D49">
        <v>5.7530999999999999</v>
      </c>
      <c r="E49" s="788">
        <v>200</v>
      </c>
      <c r="F49" s="1176">
        <v>1</v>
      </c>
      <c r="G49" s="562">
        <v>8.9629607886150646E-3</v>
      </c>
    </row>
    <row r="50" spans="2:7" x14ac:dyDescent="0.25">
      <c r="D50">
        <v>5.7885999999999997</v>
      </c>
      <c r="E50" s="788">
        <v>230</v>
      </c>
      <c r="F50" s="1176">
        <v>1</v>
      </c>
      <c r="G50" s="562">
        <v>1.0307404906907324E-2</v>
      </c>
    </row>
    <row r="51" spans="2:7" x14ac:dyDescent="0.25">
      <c r="D51">
        <v>5.8051000000000004</v>
      </c>
      <c r="E51" s="788">
        <v>90</v>
      </c>
      <c r="F51" s="1176">
        <v>1</v>
      </c>
      <c r="G51" s="562">
        <v>4.0333323548767796E-3</v>
      </c>
    </row>
    <row r="52" spans="2:7" x14ac:dyDescent="0.25">
      <c r="D52">
        <v>5.8479999999999999</v>
      </c>
      <c r="E52" s="788">
        <v>150</v>
      </c>
      <c r="F52" s="1176">
        <v>1</v>
      </c>
      <c r="G52" s="562">
        <v>6.7222205914612984E-3</v>
      </c>
    </row>
    <row r="53" spans="2:7" x14ac:dyDescent="0.25">
      <c r="D53">
        <v>5.8480999999999996</v>
      </c>
      <c r="E53" s="788">
        <v>30</v>
      </c>
      <c r="F53" s="1176">
        <v>1</v>
      </c>
      <c r="G53" s="562">
        <v>1.3444441182922596E-3</v>
      </c>
    </row>
    <row r="54" spans="2:7" x14ac:dyDescent="0.25">
      <c r="C54" s="674" t="s">
        <v>1062</v>
      </c>
      <c r="D54">
        <v>4.8738000000000001</v>
      </c>
      <c r="E54" s="788">
        <v>9.3899999999999988</v>
      </c>
      <c r="F54" s="1176">
        <v>58</v>
      </c>
      <c r="G54" s="562">
        <v>4.2081100902547724E-4</v>
      </c>
    </row>
    <row r="55" spans="2:7" x14ac:dyDescent="0.25">
      <c r="B55" s="674" t="s">
        <v>1201</v>
      </c>
      <c r="C55" s="674" t="s">
        <v>1202</v>
      </c>
      <c r="D55">
        <v>5.1092000000000004</v>
      </c>
      <c r="E55" s="788">
        <v>3.669</v>
      </c>
      <c r="F55" s="1176">
        <v>1</v>
      </c>
      <c r="G55" s="562">
        <v>1.6442551566714337E-4</v>
      </c>
    </row>
    <row r="56" spans="2:7" x14ac:dyDescent="0.25">
      <c r="D56">
        <v>7.6440999999999999</v>
      </c>
      <c r="E56" s="788">
        <v>27.218</v>
      </c>
      <c r="F56" s="1176">
        <v>2</v>
      </c>
      <c r="G56" s="562">
        <v>1.2197693337226241E-3</v>
      </c>
    </row>
    <row r="57" spans="2:7" x14ac:dyDescent="0.25">
      <c r="C57" s="674" t="s">
        <v>1210</v>
      </c>
      <c r="D57">
        <v>4.5</v>
      </c>
      <c r="E57" s="788">
        <v>150</v>
      </c>
      <c r="F57" s="1176">
        <v>1</v>
      </c>
      <c r="G57" s="562">
        <v>6.7222205914612984E-3</v>
      </c>
    </row>
    <row r="58" spans="2:7" x14ac:dyDescent="0.25">
      <c r="D58">
        <v>4.75</v>
      </c>
      <c r="E58" s="788">
        <v>150</v>
      </c>
      <c r="F58" s="1176">
        <v>1</v>
      </c>
      <c r="G58" s="562">
        <v>6.7222205914612984E-3</v>
      </c>
    </row>
    <row r="59" spans="2:7" x14ac:dyDescent="0.25">
      <c r="C59" s="674" t="s">
        <v>1215</v>
      </c>
      <c r="D59">
        <v>2.5787</v>
      </c>
      <c r="E59" s="788">
        <v>500</v>
      </c>
      <c r="F59" s="1176">
        <v>1</v>
      </c>
      <c r="G59" s="562">
        <v>2.2407401971537663E-2</v>
      </c>
    </row>
    <row r="60" spans="2:7" x14ac:dyDescent="0.25">
      <c r="D60">
        <v>3.25</v>
      </c>
      <c r="E60" s="788">
        <v>800</v>
      </c>
      <c r="F60" s="1176">
        <v>1</v>
      </c>
      <c r="G60" s="562">
        <v>3.5851843154460258E-2</v>
      </c>
    </row>
    <row r="61" spans="2:7" x14ac:dyDescent="0.25">
      <c r="D61">
        <v>3.35</v>
      </c>
      <c r="E61" s="788">
        <v>800</v>
      </c>
      <c r="F61" s="1176">
        <v>1</v>
      </c>
      <c r="G61" s="562">
        <v>3.5851843154460258E-2</v>
      </c>
    </row>
    <row r="62" spans="2:7" x14ac:dyDescent="0.25">
      <c r="D62">
        <v>3.5</v>
      </c>
      <c r="E62" s="788">
        <v>2000</v>
      </c>
      <c r="F62" s="1176">
        <v>1</v>
      </c>
      <c r="G62" s="562">
        <v>8.9629607886150653E-2</v>
      </c>
    </row>
    <row r="63" spans="2:7" x14ac:dyDescent="0.25">
      <c r="D63">
        <v>3.7319</v>
      </c>
      <c r="E63" s="788">
        <v>250</v>
      </c>
      <c r="F63" s="1176">
        <v>1</v>
      </c>
      <c r="G63" s="562">
        <v>1.1203700985768832E-2</v>
      </c>
    </row>
    <row r="64" spans="2:7" x14ac:dyDescent="0.25">
      <c r="D64">
        <v>5.3560999999999996</v>
      </c>
      <c r="E64" s="788">
        <v>600</v>
      </c>
      <c r="F64" s="1176">
        <v>1</v>
      </c>
      <c r="G64" s="562">
        <v>2.6888882365845194E-2</v>
      </c>
    </row>
    <row r="65" spans="2:7" x14ac:dyDescent="0.25">
      <c r="D65">
        <v>5.4596999999999998</v>
      </c>
      <c r="E65" s="788">
        <v>1400</v>
      </c>
      <c r="F65" s="1176">
        <v>1</v>
      </c>
      <c r="G65" s="562">
        <v>6.2740725520305449E-2</v>
      </c>
    </row>
    <row r="66" spans="2:7" x14ac:dyDescent="0.25">
      <c r="B66" s="674" t="s">
        <v>1228</v>
      </c>
      <c r="C66" s="674" t="s">
        <v>1158</v>
      </c>
      <c r="D66">
        <v>5.9469000000000003</v>
      </c>
      <c r="E66" s="788">
        <v>50</v>
      </c>
      <c r="F66" s="1176">
        <v>1</v>
      </c>
      <c r="G66" s="562">
        <v>2.2407401971537661E-3</v>
      </c>
    </row>
    <row r="67" spans="2:7" x14ac:dyDescent="0.25">
      <c r="D67">
        <v>6.5258000000000003</v>
      </c>
      <c r="E67" s="788">
        <v>949</v>
      </c>
      <c r="F67" s="1176">
        <v>13</v>
      </c>
      <c r="G67" s="562">
        <v>4.252924894197848E-2</v>
      </c>
    </row>
    <row r="68" spans="2:7" x14ac:dyDescent="0.25">
      <c r="D68">
        <v>5.2511000000000001</v>
      </c>
      <c r="E68" s="788">
        <v>540</v>
      </c>
      <c r="F68" s="1176">
        <v>1</v>
      </c>
      <c r="G68" s="562">
        <v>2.4199994129260674E-2</v>
      </c>
    </row>
    <row r="69" spans="2:7" x14ac:dyDescent="0.25">
      <c r="D69">
        <v>5.3887999999999998</v>
      </c>
      <c r="E69" s="788">
        <v>130</v>
      </c>
      <c r="F69" s="1176">
        <v>1</v>
      </c>
      <c r="G69" s="562">
        <v>5.8259245125997922E-3</v>
      </c>
    </row>
    <row r="70" spans="2:7" x14ac:dyDescent="0.25">
      <c r="D70">
        <v>6.3886000000000003</v>
      </c>
      <c r="E70" s="788">
        <v>34</v>
      </c>
      <c r="F70" s="1176">
        <v>1</v>
      </c>
      <c r="G70" s="562">
        <v>1.5237033340645611E-3</v>
      </c>
    </row>
    <row r="71" spans="2:7" x14ac:dyDescent="0.25">
      <c r="D71">
        <v>6.4</v>
      </c>
      <c r="E71" s="788">
        <v>34</v>
      </c>
      <c r="F71" s="1176">
        <v>1</v>
      </c>
      <c r="G71" s="562">
        <v>1.5237033340645611E-3</v>
      </c>
    </row>
    <row r="72" spans="2:7" x14ac:dyDescent="0.25">
      <c r="D72">
        <v>6.5251999999999999</v>
      </c>
      <c r="E72" s="788">
        <v>47</v>
      </c>
      <c r="F72" s="1176">
        <v>1</v>
      </c>
      <c r="G72" s="562">
        <v>2.1062957853245404E-3</v>
      </c>
    </row>
    <row r="73" spans="2:7" x14ac:dyDescent="0.25">
      <c r="D73">
        <v>5.5549999999999997</v>
      </c>
      <c r="E73" s="788">
        <v>500</v>
      </c>
      <c r="F73" s="1176">
        <v>1</v>
      </c>
      <c r="G73" s="562">
        <v>2.2407401971537663E-2</v>
      </c>
    </row>
    <row r="74" spans="2:7" x14ac:dyDescent="0.25">
      <c r="C74" t="s">
        <v>1035</v>
      </c>
      <c r="D74">
        <v>3.8788</v>
      </c>
      <c r="E74" s="788">
        <v>85</v>
      </c>
      <c r="F74" s="1176">
        <v>1</v>
      </c>
      <c r="G74" s="562">
        <v>3.8092583351614028E-3</v>
      </c>
    </row>
    <row r="75" spans="2:7" x14ac:dyDescent="0.25">
      <c r="C75"/>
      <c r="D75">
        <v>4.0999999999999996</v>
      </c>
      <c r="E75" s="788">
        <v>154.9</v>
      </c>
      <c r="F75" s="1176">
        <v>4</v>
      </c>
      <c r="G75" s="562">
        <v>6.9418131307823682E-3</v>
      </c>
    </row>
    <row r="76" spans="2:7" x14ac:dyDescent="0.25">
      <c r="C76"/>
      <c r="D76">
        <v>3.76</v>
      </c>
      <c r="E76" s="788">
        <v>39.984000000000002</v>
      </c>
      <c r="F76" s="1176">
        <v>1</v>
      </c>
      <c r="G76" s="562">
        <v>1.7918751208599239E-3</v>
      </c>
    </row>
    <row r="77" spans="2:7" x14ac:dyDescent="0.25">
      <c r="C77"/>
      <c r="D77">
        <v>3.98</v>
      </c>
      <c r="E77" s="788">
        <v>56.619</v>
      </c>
      <c r="F77" s="1176">
        <v>3</v>
      </c>
      <c r="G77" s="562">
        <v>2.5373693844529819E-3</v>
      </c>
    </row>
    <row r="78" spans="2:7" x14ac:dyDescent="0.25">
      <c r="C78"/>
      <c r="D78">
        <v>4.1727999999999996</v>
      </c>
      <c r="E78" s="788">
        <v>42</v>
      </c>
      <c r="F78" s="1176">
        <v>1</v>
      </c>
      <c r="G78" s="562">
        <v>1.8822217656091636E-3</v>
      </c>
    </row>
    <row r="79" spans="2:7" x14ac:dyDescent="0.25">
      <c r="C79"/>
      <c r="D79">
        <v>4.1982999999999997</v>
      </c>
      <c r="E79" s="788">
        <v>170</v>
      </c>
      <c r="F79" s="1176">
        <v>1</v>
      </c>
      <c r="G79" s="562">
        <v>7.6185166703228056E-3</v>
      </c>
    </row>
    <row r="80" spans="2:7" x14ac:dyDescent="0.25">
      <c r="C80"/>
      <c r="D80">
        <v>4.2</v>
      </c>
      <c r="E80" s="788">
        <v>456.5</v>
      </c>
      <c r="F80" s="1176">
        <v>9</v>
      </c>
      <c r="G80" s="562">
        <v>2.0457958000013887E-2</v>
      </c>
    </row>
    <row r="81" spans="3:7" x14ac:dyDescent="0.25">
      <c r="C81"/>
      <c r="D81">
        <v>4.25</v>
      </c>
      <c r="E81" s="788">
        <v>33</v>
      </c>
      <c r="F81" s="1176">
        <v>1</v>
      </c>
      <c r="G81" s="562">
        <v>1.4788885301214858E-3</v>
      </c>
    </row>
    <row r="82" spans="3:7" x14ac:dyDescent="0.25">
      <c r="C82"/>
      <c r="D82">
        <v>4.3</v>
      </c>
      <c r="E82" s="788">
        <v>110.16</v>
      </c>
      <c r="F82" s="1176">
        <v>2</v>
      </c>
      <c r="G82" s="562">
        <v>4.9367988023691772E-3</v>
      </c>
    </row>
    <row r="83" spans="3:7" x14ac:dyDescent="0.25">
      <c r="C83"/>
      <c r="D83">
        <v>4.3498000000000001</v>
      </c>
      <c r="E83" s="788">
        <v>96.472999999999999</v>
      </c>
      <c r="F83" s="1176">
        <v>1</v>
      </c>
      <c r="G83" s="562">
        <v>4.3234185808003062E-3</v>
      </c>
    </row>
    <row r="84" spans="3:7" x14ac:dyDescent="0.25">
      <c r="C84"/>
      <c r="D84">
        <v>4.43</v>
      </c>
      <c r="E84" s="788">
        <v>50.1</v>
      </c>
      <c r="F84" s="1176">
        <v>1</v>
      </c>
      <c r="G84" s="562">
        <v>2.245221677548074E-3</v>
      </c>
    </row>
    <row r="85" spans="3:7" x14ac:dyDescent="0.25">
      <c r="C85"/>
      <c r="D85">
        <v>4.45</v>
      </c>
      <c r="E85" s="788">
        <v>150</v>
      </c>
      <c r="F85" s="1176">
        <v>1</v>
      </c>
      <c r="G85" s="562">
        <v>6.7222205914612984E-3</v>
      </c>
    </row>
    <row r="86" spans="3:7" x14ac:dyDescent="0.25">
      <c r="C86"/>
      <c r="D86">
        <v>3.87</v>
      </c>
      <c r="E86" s="788">
        <v>20</v>
      </c>
      <c r="F86" s="1176">
        <v>1</v>
      </c>
      <c r="G86" s="562">
        <v>8.962960788615065E-4</v>
      </c>
    </row>
    <row r="87" spans="3:7" x14ac:dyDescent="0.25">
      <c r="C87"/>
      <c r="D87">
        <v>3.9001999999999999</v>
      </c>
      <c r="E87" s="788">
        <v>108</v>
      </c>
      <c r="F87" s="1176">
        <v>1</v>
      </c>
      <c r="G87" s="562">
        <v>4.8399988258521348E-3</v>
      </c>
    </row>
    <row r="88" spans="3:7" x14ac:dyDescent="0.25">
      <c r="C88"/>
      <c r="D88">
        <v>3.577</v>
      </c>
      <c r="E88" s="788">
        <v>118</v>
      </c>
      <c r="F88" s="1176">
        <v>2</v>
      </c>
      <c r="G88" s="562">
        <v>5.2881468652828884E-3</v>
      </c>
    </row>
    <row r="89" spans="3:7" x14ac:dyDescent="0.25">
      <c r="C89"/>
      <c r="D89">
        <v>3.7507999999999999</v>
      </c>
      <c r="E89" s="788">
        <v>270</v>
      </c>
      <c r="F89" s="1176">
        <v>1</v>
      </c>
      <c r="G89" s="562">
        <v>1.2099997064630337E-2</v>
      </c>
    </row>
    <row r="90" spans="3:7" x14ac:dyDescent="0.25">
      <c r="C90"/>
      <c r="D90">
        <v>3.8839999999999999</v>
      </c>
      <c r="E90" s="788">
        <v>140</v>
      </c>
      <c r="F90" s="1176">
        <v>1</v>
      </c>
      <c r="G90" s="562">
        <v>6.2740725520305457E-3</v>
      </c>
    </row>
    <row r="91" spans="3:7" x14ac:dyDescent="0.25">
      <c r="C91"/>
      <c r="D91">
        <v>4.0979999999999999</v>
      </c>
      <c r="E91" s="788">
        <v>11.84</v>
      </c>
      <c r="F91" s="1176">
        <v>1</v>
      </c>
      <c r="G91" s="562">
        <v>5.3060727868601187E-4</v>
      </c>
    </row>
    <row r="92" spans="3:7" x14ac:dyDescent="0.25">
      <c r="C92"/>
      <c r="D92">
        <v>4.2000999999999999</v>
      </c>
      <c r="E92" s="788">
        <v>18</v>
      </c>
      <c r="F92" s="1176">
        <v>1</v>
      </c>
      <c r="G92" s="562">
        <v>8.0666647097535587E-4</v>
      </c>
    </row>
    <row r="93" spans="3:7" x14ac:dyDescent="0.25">
      <c r="C93"/>
      <c r="D93">
        <v>3.9988999999999999</v>
      </c>
      <c r="E93" s="788">
        <v>165.36700000000002</v>
      </c>
      <c r="F93" s="1176">
        <v>4</v>
      </c>
      <c r="G93" s="562">
        <v>7.4108896836545379E-3</v>
      </c>
    </row>
    <row r="94" spans="3:7" x14ac:dyDescent="0.25">
      <c r="C94"/>
      <c r="D94">
        <v>4.3499999999999996</v>
      </c>
      <c r="E94" s="788">
        <v>50</v>
      </c>
      <c r="F94" s="1176">
        <v>1</v>
      </c>
      <c r="G94" s="562">
        <v>2.2407401971537661E-3</v>
      </c>
    </row>
    <row r="95" spans="3:7" x14ac:dyDescent="0.25">
      <c r="C95"/>
      <c r="D95">
        <v>4.37</v>
      </c>
      <c r="E95" s="788">
        <v>150</v>
      </c>
      <c r="F95" s="1176">
        <v>1</v>
      </c>
      <c r="G95" s="562">
        <v>6.7222205914612984E-3</v>
      </c>
    </row>
    <row r="96" spans="3:7" x14ac:dyDescent="0.25">
      <c r="C96"/>
      <c r="D96">
        <v>3.9533</v>
      </c>
      <c r="E96" s="788">
        <v>27</v>
      </c>
      <c r="F96" s="1176">
        <v>1</v>
      </c>
      <c r="G96" s="562">
        <v>1.2099997064630337E-3</v>
      </c>
    </row>
    <row r="97" spans="3:7" x14ac:dyDescent="0.25">
      <c r="C97"/>
      <c r="D97">
        <v>4.2843</v>
      </c>
      <c r="E97" s="788">
        <v>30</v>
      </c>
      <c r="F97" s="1176">
        <v>1</v>
      </c>
      <c r="G97" s="562">
        <v>1.3444441182922596E-3</v>
      </c>
    </row>
    <row r="98" spans="3:7" x14ac:dyDescent="0.25">
      <c r="C98"/>
      <c r="D98">
        <v>3.7012999999999998</v>
      </c>
      <c r="E98" s="788">
        <v>630</v>
      </c>
      <c r="F98" s="1176">
        <v>1</v>
      </c>
      <c r="G98" s="562">
        <v>2.8233326484137455E-2</v>
      </c>
    </row>
    <row r="99" spans="3:7" x14ac:dyDescent="0.25">
      <c r="C99"/>
      <c r="D99">
        <v>4</v>
      </c>
      <c r="E99" s="788">
        <v>340</v>
      </c>
      <c r="F99" s="1176">
        <v>7</v>
      </c>
      <c r="G99" s="562">
        <v>1.5237033340645611E-2</v>
      </c>
    </row>
    <row r="100" spans="3:7" x14ac:dyDescent="0.25">
      <c r="C100"/>
      <c r="D100">
        <v>4.0599999999999996</v>
      </c>
      <c r="E100" s="788">
        <v>158.4</v>
      </c>
      <c r="F100" s="1176">
        <v>1</v>
      </c>
      <c r="G100" s="562">
        <v>7.0986649445831315E-3</v>
      </c>
    </row>
    <row r="101" spans="3:7" x14ac:dyDescent="0.25">
      <c r="C101"/>
      <c r="D101">
        <v>4.0823999999999998</v>
      </c>
      <c r="E101" s="788">
        <v>140.1</v>
      </c>
      <c r="F101" s="1176">
        <v>1</v>
      </c>
      <c r="G101" s="562">
        <v>6.2785540324248523E-3</v>
      </c>
    </row>
    <row r="102" spans="3:7" x14ac:dyDescent="0.25">
      <c r="C102"/>
      <c r="D102">
        <v>4.1089000000000002</v>
      </c>
      <c r="E102" s="788">
        <v>17.5</v>
      </c>
      <c r="F102" s="1176">
        <v>1</v>
      </c>
      <c r="G102" s="562">
        <v>7.8425906900381822E-4</v>
      </c>
    </row>
    <row r="103" spans="3:7" x14ac:dyDescent="0.25">
      <c r="C103"/>
      <c r="D103">
        <v>3.8201000000000001</v>
      </c>
      <c r="E103" s="788">
        <v>30</v>
      </c>
      <c r="F103" s="1176">
        <v>1</v>
      </c>
      <c r="G103" s="562">
        <v>1.3444441182922596E-3</v>
      </c>
    </row>
    <row r="104" spans="3:7" x14ac:dyDescent="0.25">
      <c r="C104"/>
      <c r="D104">
        <v>4.4832000000000001</v>
      </c>
      <c r="E104" s="788">
        <v>70.08</v>
      </c>
      <c r="F104" s="1176">
        <v>1</v>
      </c>
      <c r="G104" s="562">
        <v>3.1406214603307185E-3</v>
      </c>
    </row>
    <row r="105" spans="3:7" x14ac:dyDescent="0.25">
      <c r="C105"/>
      <c r="D105">
        <v>3.9514999999999998</v>
      </c>
      <c r="E105" s="788">
        <v>120</v>
      </c>
      <c r="F105" s="1176">
        <v>1</v>
      </c>
      <c r="G105" s="562">
        <v>5.3777764731690386E-3</v>
      </c>
    </row>
    <row r="106" spans="3:7" x14ac:dyDescent="0.25">
      <c r="C106"/>
      <c r="D106">
        <v>4.3855000000000004</v>
      </c>
      <c r="E106" s="788">
        <v>43.41</v>
      </c>
      <c r="F106" s="1176">
        <v>1</v>
      </c>
      <c r="G106" s="562">
        <v>1.9454106391688997E-3</v>
      </c>
    </row>
    <row r="107" spans="3:7" x14ac:dyDescent="0.25">
      <c r="C107"/>
      <c r="D107">
        <v>4.3487999999999998</v>
      </c>
      <c r="E107" s="788">
        <v>76.650000000000006</v>
      </c>
      <c r="F107" s="1176">
        <v>1</v>
      </c>
      <c r="G107" s="562">
        <v>3.4350547222367239E-3</v>
      </c>
    </row>
    <row r="108" spans="3:7" x14ac:dyDescent="0.25">
      <c r="C108" s="674" t="s">
        <v>1334</v>
      </c>
      <c r="D108">
        <v>5.2888000000000002</v>
      </c>
      <c r="E108" s="788">
        <v>120</v>
      </c>
      <c r="F108" s="1176">
        <v>1</v>
      </c>
      <c r="G108" s="562">
        <v>5.3777764731690386E-3</v>
      </c>
    </row>
    <row r="109" spans="3:7" x14ac:dyDescent="0.25">
      <c r="D109">
        <v>5.4028</v>
      </c>
      <c r="E109" s="788">
        <v>228.79000000000002</v>
      </c>
      <c r="F109" s="1176">
        <v>5</v>
      </c>
      <c r="G109" s="562">
        <v>1.0253178994136204E-2</v>
      </c>
    </row>
    <row r="110" spans="3:7" x14ac:dyDescent="0.25">
      <c r="D110">
        <v>4.3194999999999997</v>
      </c>
      <c r="E110" s="788">
        <v>67</v>
      </c>
      <c r="F110" s="1176">
        <v>1</v>
      </c>
      <c r="G110" s="562">
        <v>3.0025918641860467E-3</v>
      </c>
    </row>
    <row r="111" spans="3:7" x14ac:dyDescent="0.25">
      <c r="D111">
        <v>4.9999000000000002</v>
      </c>
      <c r="E111" s="788">
        <v>121.42</v>
      </c>
      <c r="F111" s="1176">
        <v>3</v>
      </c>
      <c r="G111" s="562">
        <v>5.4414134947682056E-3</v>
      </c>
    </row>
    <row r="112" spans="3:7" x14ac:dyDescent="0.25">
      <c r="D112">
        <v>4.6387999999999998</v>
      </c>
      <c r="E112" s="788">
        <v>100</v>
      </c>
      <c r="F112" s="1176">
        <v>1</v>
      </c>
      <c r="G112" s="562">
        <v>4.4814803943075323E-3</v>
      </c>
    </row>
    <row r="113" spans="3:7" x14ac:dyDescent="0.25">
      <c r="D113">
        <v>5.1886000000000001</v>
      </c>
      <c r="E113" s="788">
        <v>54</v>
      </c>
      <c r="F113" s="1176">
        <v>1</v>
      </c>
      <c r="G113" s="562">
        <v>2.4199994129260674E-3</v>
      </c>
    </row>
    <row r="114" spans="3:7" x14ac:dyDescent="0.25">
      <c r="D114">
        <v>5.3758999999999997</v>
      </c>
      <c r="E114" s="788">
        <v>49.7</v>
      </c>
      <c r="F114" s="1176">
        <v>1</v>
      </c>
      <c r="G114" s="562">
        <v>2.2272957559708439E-3</v>
      </c>
    </row>
    <row r="115" spans="3:7" x14ac:dyDescent="0.25">
      <c r="D115">
        <v>4.2888000000000002</v>
      </c>
      <c r="E115" s="788">
        <v>190</v>
      </c>
      <c r="F115" s="1176">
        <v>1</v>
      </c>
      <c r="G115" s="562">
        <v>8.5148127491843119E-3</v>
      </c>
    </row>
    <row r="116" spans="3:7" x14ac:dyDescent="0.25">
      <c r="D116">
        <v>5.1087999999999996</v>
      </c>
      <c r="E116" s="788">
        <v>40</v>
      </c>
      <c r="F116" s="1176">
        <v>1</v>
      </c>
      <c r="G116" s="562">
        <v>1.792592157723013E-3</v>
      </c>
    </row>
    <row r="117" spans="3:7" x14ac:dyDescent="0.25">
      <c r="D117">
        <v>4.9000000000000004</v>
      </c>
      <c r="E117" s="788">
        <v>125</v>
      </c>
      <c r="F117" s="1176">
        <v>3</v>
      </c>
      <c r="G117" s="562">
        <v>5.6018504928844158E-3</v>
      </c>
    </row>
    <row r="118" spans="3:7" x14ac:dyDescent="0.25">
      <c r="D118">
        <v>5.15</v>
      </c>
      <c r="E118" s="788">
        <v>80</v>
      </c>
      <c r="F118" s="1176">
        <v>1</v>
      </c>
      <c r="G118" s="562">
        <v>3.585184315446026E-3</v>
      </c>
    </row>
    <row r="119" spans="3:7" x14ac:dyDescent="0.25">
      <c r="D119">
        <v>5.3928000000000003</v>
      </c>
      <c r="E119" s="788">
        <v>13.38</v>
      </c>
      <c r="F119" s="1176">
        <v>1</v>
      </c>
      <c r="G119" s="562">
        <v>5.996220767583479E-4</v>
      </c>
    </row>
    <row r="120" spans="3:7" x14ac:dyDescent="0.25">
      <c r="C120" s="674" t="s">
        <v>1139</v>
      </c>
      <c r="D120">
        <v>5.0987999999999998</v>
      </c>
      <c r="E120" s="788">
        <v>200</v>
      </c>
      <c r="F120" s="1176">
        <v>1</v>
      </c>
      <c r="G120" s="562">
        <v>8.9629607886150646E-3</v>
      </c>
    </row>
    <row r="121" spans="3:7" x14ac:dyDescent="0.25">
      <c r="D121">
        <v>5.3087999999999997</v>
      </c>
      <c r="E121" s="788">
        <v>200</v>
      </c>
      <c r="F121" s="1176">
        <v>1</v>
      </c>
      <c r="G121" s="562">
        <v>8.9629607886150646E-3</v>
      </c>
    </row>
    <row r="122" spans="3:7" x14ac:dyDescent="0.25">
      <c r="D122">
        <v>5.3887999999999998</v>
      </c>
      <c r="E122" s="788">
        <v>49.5</v>
      </c>
      <c r="F122" s="1176">
        <v>1</v>
      </c>
      <c r="G122" s="562">
        <v>2.2183327951822286E-3</v>
      </c>
    </row>
    <row r="123" spans="3:7" x14ac:dyDescent="0.25">
      <c r="D123">
        <v>6.0559000000000003</v>
      </c>
      <c r="E123" s="788">
        <v>49.99</v>
      </c>
      <c r="F123" s="1176">
        <v>1</v>
      </c>
      <c r="G123" s="562">
        <v>2.2402920491143355E-3</v>
      </c>
    </row>
    <row r="124" spans="3:7" x14ac:dyDescent="0.25">
      <c r="D124">
        <v>5.1798000000000002</v>
      </c>
      <c r="E124" s="788">
        <v>200</v>
      </c>
      <c r="F124" s="1176">
        <v>1</v>
      </c>
      <c r="G124" s="562">
        <v>8.9629607886150646E-3</v>
      </c>
    </row>
    <row r="125" spans="3:7" x14ac:dyDescent="0.25">
      <c r="D125">
        <v>5.4999000000000002</v>
      </c>
      <c r="E125" s="788">
        <v>208</v>
      </c>
      <c r="F125" s="1176">
        <v>1</v>
      </c>
      <c r="G125" s="562">
        <v>9.3214792201596671E-3</v>
      </c>
    </row>
    <row r="126" spans="3:7" x14ac:dyDescent="0.25">
      <c r="D126">
        <v>6.0678999999999998</v>
      </c>
      <c r="E126" s="788">
        <v>100</v>
      </c>
      <c r="F126" s="1176">
        <v>1</v>
      </c>
      <c r="G126" s="562">
        <v>4.4814803943075323E-3</v>
      </c>
    </row>
    <row r="127" spans="3:7" x14ac:dyDescent="0.25">
      <c r="D127">
        <v>6.0758999999999999</v>
      </c>
      <c r="E127" s="788">
        <v>50</v>
      </c>
      <c r="F127" s="1176">
        <v>1</v>
      </c>
      <c r="G127" s="562">
        <v>2.2407401971537661E-3</v>
      </c>
    </row>
    <row r="128" spans="3:7" x14ac:dyDescent="0.25">
      <c r="D128">
        <v>4.8776999999999999</v>
      </c>
      <c r="E128" s="788">
        <v>200</v>
      </c>
      <c r="F128" s="1176">
        <v>1</v>
      </c>
      <c r="G128" s="562">
        <v>8.9629607886150646E-3</v>
      </c>
    </row>
    <row r="129" spans="2:7" x14ac:dyDescent="0.25">
      <c r="D129">
        <v>5.3886000000000003</v>
      </c>
      <c r="E129" s="788">
        <v>152</v>
      </c>
      <c r="F129" s="1176">
        <v>2</v>
      </c>
      <c r="G129" s="562">
        <v>6.8118501993474495E-3</v>
      </c>
    </row>
    <row r="130" spans="2:7" x14ac:dyDescent="0.25">
      <c r="D130">
        <v>5.4001000000000001</v>
      </c>
      <c r="E130" s="788">
        <v>200</v>
      </c>
      <c r="F130" s="1176">
        <v>1</v>
      </c>
      <c r="G130" s="562">
        <v>8.9629607886150646E-3</v>
      </c>
    </row>
    <row r="131" spans="2:7" x14ac:dyDescent="0.25">
      <c r="D131">
        <v>5.5777999999999999</v>
      </c>
      <c r="E131" s="788">
        <v>50</v>
      </c>
      <c r="F131" s="1176">
        <v>1</v>
      </c>
      <c r="G131" s="562">
        <v>2.2407401971537661E-3</v>
      </c>
    </row>
    <row r="132" spans="2:7" x14ac:dyDescent="0.25">
      <c r="D132">
        <v>6.0259</v>
      </c>
      <c r="E132" s="788">
        <v>110</v>
      </c>
      <c r="F132" s="1176">
        <v>1</v>
      </c>
      <c r="G132" s="562">
        <v>4.9296284337382859E-3</v>
      </c>
    </row>
    <row r="133" spans="2:7" x14ac:dyDescent="0.25">
      <c r="D133">
        <v>5.1485000000000003</v>
      </c>
      <c r="E133" s="788">
        <v>67</v>
      </c>
      <c r="F133" s="1176">
        <v>1</v>
      </c>
      <c r="G133" s="562">
        <v>3.0025918641860467E-3</v>
      </c>
    </row>
    <row r="134" spans="2:7" x14ac:dyDescent="0.25">
      <c r="D134">
        <v>6.0778999999999996</v>
      </c>
      <c r="E134" s="788">
        <v>150</v>
      </c>
      <c r="F134" s="1176">
        <v>1</v>
      </c>
      <c r="G134" s="562">
        <v>6.7222205914612984E-3</v>
      </c>
    </row>
    <row r="135" spans="2:7" x14ac:dyDescent="0.25">
      <c r="D135">
        <v>6.0858999999999996</v>
      </c>
      <c r="E135" s="788">
        <v>151</v>
      </c>
      <c r="F135" s="1176">
        <v>2</v>
      </c>
      <c r="G135" s="562">
        <v>6.7670353954043744E-3</v>
      </c>
    </row>
    <row r="136" spans="2:7" x14ac:dyDescent="0.25">
      <c r="D136">
        <v>5.95</v>
      </c>
      <c r="E136" s="788">
        <v>230</v>
      </c>
      <c r="F136" s="1176">
        <v>1</v>
      </c>
      <c r="G136" s="562">
        <v>1.0307404906907324E-2</v>
      </c>
    </row>
    <row r="137" spans="2:7" x14ac:dyDescent="0.25">
      <c r="D137">
        <v>6.0585000000000004</v>
      </c>
      <c r="E137" s="788">
        <v>50</v>
      </c>
      <c r="F137" s="1176">
        <v>1</v>
      </c>
      <c r="G137" s="562">
        <v>2.2407401971537661E-3</v>
      </c>
    </row>
    <row r="138" spans="2:7" x14ac:dyDescent="0.25">
      <c r="D138">
        <v>5.99</v>
      </c>
      <c r="E138" s="788">
        <v>100.8</v>
      </c>
      <c r="F138" s="1176">
        <v>1</v>
      </c>
      <c r="G138" s="562">
        <v>4.5173322374619925E-3</v>
      </c>
    </row>
    <row r="139" spans="2:7" x14ac:dyDescent="0.25">
      <c r="C139" t="s">
        <v>1062</v>
      </c>
      <c r="D139">
        <v>5.68</v>
      </c>
      <c r="E139" s="788">
        <v>24.819000000000003</v>
      </c>
      <c r="F139" s="1176">
        <v>4</v>
      </c>
      <c r="G139" s="562">
        <v>1.1122586190631866E-3</v>
      </c>
    </row>
    <row r="140" spans="2:7" x14ac:dyDescent="0.25">
      <c r="B140" s="674" t="s">
        <v>204</v>
      </c>
      <c r="D140" s="674"/>
      <c r="E140" s="788">
        <v>22314.055000000008</v>
      </c>
      <c r="F140" s="1176">
        <v>259</v>
      </c>
      <c r="G140" s="562">
        <v>1</v>
      </c>
    </row>
    <row r="141" spans="2:7" x14ac:dyDescent="0.25">
      <c r="B141"/>
      <c r="C141"/>
      <c r="G141"/>
    </row>
    <row r="142" spans="2:7" x14ac:dyDescent="0.25">
      <c r="B142"/>
      <c r="C142"/>
      <c r="G14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FF00"/>
  </sheetPr>
  <dimension ref="A1:Z47"/>
  <sheetViews>
    <sheetView zoomScale="70" zoomScaleNormal="70" zoomScaleSheetLayoutView="70" workbookViewId="0">
      <pane xSplit="5" ySplit="2" topLeftCell="G3" activePane="bottomRight" state="frozen"/>
      <selection activeCell="E2" sqref="E2"/>
      <selection pane="topRight" activeCell="E2" sqref="E2"/>
      <selection pane="bottomLeft" activeCell="E2" sqref="E2"/>
      <selection pane="bottomRight" activeCell="E2" sqref="E2"/>
    </sheetView>
  </sheetViews>
  <sheetFormatPr defaultColWidth="9.28515625" defaultRowHeight="15" x14ac:dyDescent="0.25"/>
  <cols>
    <col min="1" max="1" width="12.7109375" style="10" customWidth="1"/>
    <col min="2" max="2" width="19.140625" style="10" customWidth="1"/>
    <col min="3" max="3" width="11.28515625" style="2" customWidth="1"/>
    <col min="4" max="4" width="10.140625" style="2" customWidth="1"/>
    <col min="5" max="5" width="28.42578125" style="33" customWidth="1"/>
    <col min="6" max="7" width="28.42578125" style="10" customWidth="1"/>
    <col min="8" max="8" width="43.7109375" style="11" customWidth="1"/>
    <col min="9" max="9" width="43.42578125" style="10" customWidth="1"/>
    <col min="10" max="10" width="50.140625" style="10" customWidth="1"/>
    <col min="11" max="11" width="10.7109375" style="10" hidden="1" customWidth="1"/>
    <col min="12" max="12" width="18.42578125" style="10" customWidth="1"/>
    <col min="13" max="14" width="14.7109375" style="10" hidden="1" customWidth="1"/>
    <col min="15" max="15" width="14.7109375" style="53" hidden="1" customWidth="1"/>
    <col min="16" max="16" width="18.7109375" style="53" hidden="1" customWidth="1"/>
    <col min="17" max="17" width="25.85546875" style="10" customWidth="1"/>
    <col min="18" max="18" width="26.28515625" style="10" customWidth="1"/>
    <col min="19" max="19" width="22.28515625" style="11" customWidth="1"/>
    <col min="20" max="20" width="9.28515625" style="13"/>
    <col min="21" max="21" width="10.28515625" style="13" bestFit="1" customWidth="1"/>
    <col min="22" max="16384" width="9.28515625" style="13"/>
  </cols>
  <sheetData>
    <row r="1" spans="1:26" x14ac:dyDescent="0.25">
      <c r="A1" s="1130" t="str">
        <f>'Per Island'!A1:D1</f>
        <v>As of 30 June 2026</v>
      </c>
      <c r="B1" s="1130"/>
      <c r="C1" s="1130"/>
      <c r="D1" s="1130"/>
      <c r="E1" s="1130"/>
      <c r="F1" s="1130"/>
      <c r="G1" s="1130"/>
      <c r="H1" s="1130"/>
      <c r="I1" s="1130"/>
      <c r="J1" s="1130"/>
      <c r="K1" s="1130"/>
      <c r="L1" s="1130"/>
      <c r="M1" s="1130"/>
      <c r="N1" s="1130"/>
      <c r="O1" s="1130"/>
      <c r="P1" s="1130"/>
      <c r="Q1" s="1130"/>
      <c r="R1" s="1130"/>
      <c r="S1" s="1130"/>
    </row>
    <row r="2" spans="1:26" s="3" customFormat="1" ht="73.900000000000006" customHeight="1" x14ac:dyDescent="0.25">
      <c r="A2" s="523" t="s">
        <v>0</v>
      </c>
      <c r="B2" s="487" t="s">
        <v>1</v>
      </c>
      <c r="C2" s="488" t="s">
        <v>48</v>
      </c>
      <c r="D2" s="488" t="s">
        <v>2</v>
      </c>
      <c r="E2" s="489" t="s">
        <v>3</v>
      </c>
      <c r="F2" s="488" t="s">
        <v>4</v>
      </c>
      <c r="G2" s="488" t="s">
        <v>63</v>
      </c>
      <c r="H2" s="487" t="s">
        <v>64</v>
      </c>
      <c r="I2" s="487" t="s">
        <v>65</v>
      </c>
      <c r="J2" s="487" t="s">
        <v>194</v>
      </c>
      <c r="K2" s="487" t="s">
        <v>786</v>
      </c>
      <c r="L2" s="488" t="s">
        <v>66</v>
      </c>
      <c r="M2" s="487" t="s">
        <v>332</v>
      </c>
      <c r="N2" s="487" t="s">
        <v>286</v>
      </c>
      <c r="O2" s="487" t="s">
        <v>210</v>
      </c>
      <c r="P2" s="487" t="s">
        <v>283</v>
      </c>
      <c r="Q2" s="488" t="s">
        <v>67</v>
      </c>
      <c r="R2" s="487" t="s">
        <v>331</v>
      </c>
      <c r="S2" s="490" t="s">
        <v>330</v>
      </c>
      <c r="Z2" s="13"/>
    </row>
    <row r="3" spans="1:26" s="4" customFormat="1" ht="30" customHeight="1" x14ac:dyDescent="0.25">
      <c r="A3" s="512" t="s">
        <v>32</v>
      </c>
      <c r="B3" s="410" t="s">
        <v>9</v>
      </c>
      <c r="C3" s="411" t="s">
        <v>49</v>
      </c>
      <c r="D3" s="411">
        <v>1</v>
      </c>
      <c r="E3" s="409" t="s">
        <v>68</v>
      </c>
      <c r="F3" s="409" t="s">
        <v>69</v>
      </c>
      <c r="G3" s="409" t="s">
        <v>70</v>
      </c>
      <c r="H3" s="412">
        <v>13</v>
      </c>
      <c r="I3" s="412">
        <v>13</v>
      </c>
      <c r="J3" s="412">
        <v>13</v>
      </c>
      <c r="K3" s="413">
        <v>41794</v>
      </c>
      <c r="L3" s="414">
        <v>41774</v>
      </c>
      <c r="M3" s="414">
        <v>41774</v>
      </c>
      <c r="N3" s="414">
        <v>49078</v>
      </c>
      <c r="O3" s="415">
        <v>20</v>
      </c>
      <c r="P3" s="415" t="s">
        <v>279</v>
      </c>
      <c r="Q3" s="416">
        <v>42044</v>
      </c>
      <c r="R3" s="414">
        <v>42370</v>
      </c>
      <c r="S3" s="518">
        <v>9.68</v>
      </c>
      <c r="T3" s="4">
        <f>MATCH(F3,'FIT Plants'!F:F,0)</f>
        <v>6</v>
      </c>
      <c r="U3" s="113">
        <v>41794</v>
      </c>
      <c r="Z3" s="13"/>
    </row>
    <row r="4" spans="1:26" s="4" customFormat="1" ht="30" customHeight="1" x14ac:dyDescent="0.25">
      <c r="A4" s="512" t="s">
        <v>32</v>
      </c>
      <c r="B4" s="410" t="s">
        <v>9</v>
      </c>
      <c r="C4" s="411" t="s">
        <v>49</v>
      </c>
      <c r="D4" s="411">
        <v>2</v>
      </c>
      <c r="E4" s="409" t="s">
        <v>68</v>
      </c>
      <c r="F4" s="409" t="s">
        <v>71</v>
      </c>
      <c r="G4" s="409" t="s">
        <v>70</v>
      </c>
      <c r="H4" s="412">
        <v>9</v>
      </c>
      <c r="I4" s="412">
        <v>9</v>
      </c>
      <c r="J4" s="412">
        <v>9</v>
      </c>
      <c r="K4" s="413">
        <v>41919</v>
      </c>
      <c r="L4" s="414">
        <v>41867</v>
      </c>
      <c r="M4" s="414">
        <v>41867</v>
      </c>
      <c r="N4" s="414">
        <v>49079</v>
      </c>
      <c r="O4" s="415">
        <v>20</v>
      </c>
      <c r="P4" s="415" t="s">
        <v>280</v>
      </c>
      <c r="Q4" s="416">
        <v>42044</v>
      </c>
      <c r="R4" s="414">
        <v>42370</v>
      </c>
      <c r="S4" s="518">
        <v>9.68</v>
      </c>
      <c r="T4" s="4">
        <f>MATCH(F4,'FIT Plants'!F:F,0)</f>
        <v>7</v>
      </c>
      <c r="U4" s="113">
        <v>41919</v>
      </c>
      <c r="Z4" s="13"/>
    </row>
    <row r="5" spans="1:26" s="4" customFormat="1" ht="30" customHeight="1" x14ac:dyDescent="0.25">
      <c r="A5" s="513" t="s">
        <v>7</v>
      </c>
      <c r="B5" s="418" t="s">
        <v>9</v>
      </c>
      <c r="C5" s="419" t="s">
        <v>49</v>
      </c>
      <c r="D5" s="419">
        <v>3</v>
      </c>
      <c r="E5" s="417" t="s">
        <v>72</v>
      </c>
      <c r="F5" s="343" t="s">
        <v>73</v>
      </c>
      <c r="G5" s="417" t="s">
        <v>74</v>
      </c>
      <c r="H5" s="420">
        <v>10.045999999999999</v>
      </c>
      <c r="I5" s="421">
        <v>10</v>
      </c>
      <c r="J5" s="421">
        <v>10</v>
      </c>
      <c r="K5" s="413">
        <v>42080</v>
      </c>
      <c r="L5" s="422">
        <v>42040</v>
      </c>
      <c r="M5" s="422">
        <v>42040</v>
      </c>
      <c r="N5" s="422">
        <v>49344</v>
      </c>
      <c r="O5" s="423">
        <v>20</v>
      </c>
      <c r="P5" s="423" t="s">
        <v>281</v>
      </c>
      <c r="Q5" s="424">
        <v>42100</v>
      </c>
      <c r="R5" s="422">
        <v>42405</v>
      </c>
      <c r="S5" s="519">
        <v>9.68</v>
      </c>
      <c r="T5" s="4">
        <f>MATCH(F5,'FIT Plants'!F:F,0)</f>
        <v>3</v>
      </c>
      <c r="U5" s="113">
        <v>42080</v>
      </c>
      <c r="Z5" s="13"/>
    </row>
    <row r="6" spans="1:26" s="4" customFormat="1" ht="30" customHeight="1" x14ac:dyDescent="0.25">
      <c r="A6" s="513" t="s">
        <v>7</v>
      </c>
      <c r="B6" s="418" t="s">
        <v>9</v>
      </c>
      <c r="C6" s="419" t="s">
        <v>49</v>
      </c>
      <c r="D6" s="419">
        <v>4</v>
      </c>
      <c r="E6" s="417" t="s">
        <v>75</v>
      </c>
      <c r="F6" s="343" t="s">
        <v>76</v>
      </c>
      <c r="G6" s="417" t="s">
        <v>77</v>
      </c>
      <c r="H6" s="421">
        <v>4.16</v>
      </c>
      <c r="I6" s="421">
        <v>4.0999999999999996</v>
      </c>
      <c r="J6" s="421">
        <v>4.0999999999999996</v>
      </c>
      <c r="K6" s="413">
        <v>42081</v>
      </c>
      <c r="L6" s="422">
        <v>42068</v>
      </c>
      <c r="M6" s="422">
        <v>42068</v>
      </c>
      <c r="N6" s="422">
        <v>49403</v>
      </c>
      <c r="O6" s="423">
        <v>20</v>
      </c>
      <c r="P6" s="423" t="s">
        <v>282</v>
      </c>
      <c r="Q6" s="424">
        <v>42100</v>
      </c>
      <c r="R6" s="422">
        <v>42434</v>
      </c>
      <c r="S6" s="519">
        <v>9.68</v>
      </c>
      <c r="T6" s="4" t="e">
        <f>MATCH(F6,'FIT Plants'!F:F,0)</f>
        <v>#N/A</v>
      </c>
      <c r="U6" s="113">
        <v>42081</v>
      </c>
      <c r="Z6" s="13"/>
    </row>
    <row r="7" spans="1:26" s="4" customFormat="1" ht="30" customHeight="1" x14ac:dyDescent="0.25">
      <c r="A7" s="512" t="s">
        <v>32</v>
      </c>
      <c r="B7" s="410" t="s">
        <v>9</v>
      </c>
      <c r="C7" s="411" t="s">
        <v>49</v>
      </c>
      <c r="D7" s="411">
        <v>5</v>
      </c>
      <c r="E7" s="409" t="s">
        <v>362</v>
      </c>
      <c r="F7" s="342" t="s">
        <v>78</v>
      </c>
      <c r="G7" s="409" t="s">
        <v>79</v>
      </c>
      <c r="H7" s="412">
        <v>30.38</v>
      </c>
      <c r="I7" s="412">
        <v>30</v>
      </c>
      <c r="J7" s="412">
        <v>30</v>
      </c>
      <c r="K7" s="413">
        <v>42123</v>
      </c>
      <c r="L7" s="414">
        <v>42098</v>
      </c>
      <c r="M7" s="414">
        <v>42098</v>
      </c>
      <c r="N7" s="414">
        <v>49403</v>
      </c>
      <c r="O7" s="415">
        <v>20</v>
      </c>
      <c r="P7" s="415" t="s">
        <v>285</v>
      </c>
      <c r="Q7" s="416">
        <v>42163</v>
      </c>
      <c r="R7" s="414">
        <v>42464</v>
      </c>
      <c r="S7" s="518">
        <v>9.68</v>
      </c>
      <c r="T7" s="4">
        <f>MATCH(F7,'FIT Plants'!F:F,0)</f>
        <v>8</v>
      </c>
      <c r="U7" s="113">
        <v>42123</v>
      </c>
      <c r="Z7" s="13"/>
    </row>
    <row r="8" spans="1:26" s="4" customFormat="1" ht="30" customHeight="1" x14ac:dyDescent="0.25">
      <c r="A8" s="513" t="s">
        <v>7</v>
      </c>
      <c r="B8" s="418" t="s">
        <v>9</v>
      </c>
      <c r="C8" s="419" t="s">
        <v>49</v>
      </c>
      <c r="D8" s="419">
        <v>6</v>
      </c>
      <c r="E8" s="417" t="s">
        <v>352</v>
      </c>
      <c r="F8" s="343" t="s">
        <v>80</v>
      </c>
      <c r="G8" s="417" t="s">
        <v>81</v>
      </c>
      <c r="H8" s="421">
        <v>1.5</v>
      </c>
      <c r="I8" s="421">
        <v>1.5</v>
      </c>
      <c r="J8" s="421">
        <v>1.5</v>
      </c>
      <c r="K8" s="413">
        <v>42123</v>
      </c>
      <c r="L8" s="422">
        <v>42101</v>
      </c>
      <c r="M8" s="422">
        <v>42101</v>
      </c>
      <c r="N8" s="422">
        <v>49406</v>
      </c>
      <c r="O8" s="423">
        <v>20</v>
      </c>
      <c r="P8" s="423" t="s">
        <v>284</v>
      </c>
      <c r="Q8" s="424">
        <v>42177</v>
      </c>
      <c r="R8" s="422">
        <v>42467</v>
      </c>
      <c r="S8" s="519">
        <v>9.68</v>
      </c>
      <c r="T8" s="4">
        <f>MATCH(F8,'FIT Plants'!F:F,0)</f>
        <v>5</v>
      </c>
      <c r="U8" s="113">
        <v>42123</v>
      </c>
      <c r="Z8" s="13"/>
    </row>
    <row r="9" spans="1:26" s="4" customFormat="1" ht="30" customHeight="1" x14ac:dyDescent="0.25">
      <c r="A9" s="514"/>
      <c r="B9" s="425"/>
      <c r="C9" s="311"/>
      <c r="D9" s="332">
        <f>COUNT(D3:D8)</f>
        <v>6</v>
      </c>
      <c r="E9" s="77"/>
      <c r="F9" s="314"/>
      <c r="G9" s="77"/>
      <c r="H9" s="315">
        <f>SUM(H3:H8)</f>
        <v>68.085999999999999</v>
      </c>
      <c r="I9" s="315">
        <f>SUM(I3:I8)</f>
        <v>67.599999999999994</v>
      </c>
      <c r="J9" s="315">
        <f>SUM(J3:J8)</f>
        <v>67.599999999999994</v>
      </c>
      <c r="K9" s="312"/>
      <c r="L9" s="87"/>
      <c r="M9" s="87"/>
      <c r="N9" s="87"/>
      <c r="O9" s="88"/>
      <c r="P9" s="88"/>
      <c r="Q9" s="313"/>
      <c r="R9" s="87"/>
      <c r="S9" s="520"/>
      <c r="Z9" s="13"/>
    </row>
    <row r="10" spans="1:26" s="4" customFormat="1" ht="30" customHeight="1" x14ac:dyDescent="0.25">
      <c r="A10" s="512" t="s">
        <v>32</v>
      </c>
      <c r="B10" s="410" t="s">
        <v>9</v>
      </c>
      <c r="C10" s="411" t="s">
        <v>50</v>
      </c>
      <c r="D10" s="411">
        <v>7</v>
      </c>
      <c r="E10" s="409" t="s">
        <v>68</v>
      </c>
      <c r="F10" s="342" t="s">
        <v>82</v>
      </c>
      <c r="G10" s="409" t="s">
        <v>70</v>
      </c>
      <c r="H10" s="412">
        <v>23</v>
      </c>
      <c r="I10" s="412">
        <v>23</v>
      </c>
      <c r="J10" s="412">
        <v>23</v>
      </c>
      <c r="K10" s="312"/>
      <c r="L10" s="414">
        <v>42253</v>
      </c>
      <c r="M10" s="414">
        <v>42253</v>
      </c>
      <c r="N10" s="414">
        <v>49557</v>
      </c>
      <c r="O10" s="415">
        <v>20</v>
      </c>
      <c r="P10" s="415" t="s">
        <v>291</v>
      </c>
      <c r="Q10" s="426" t="s">
        <v>83</v>
      </c>
      <c r="R10" s="414">
        <v>42619</v>
      </c>
      <c r="S10" s="518">
        <v>8.69</v>
      </c>
      <c r="T10" s="4">
        <f>MATCH(F10,'FIT Plants'!F:F,0)</f>
        <v>22</v>
      </c>
      <c r="Z10" s="13"/>
    </row>
    <row r="11" spans="1:26" s="4" customFormat="1" ht="30" customHeight="1" x14ac:dyDescent="0.25">
      <c r="A11" s="515" t="s">
        <v>8</v>
      </c>
      <c r="B11" s="427" t="s">
        <v>9</v>
      </c>
      <c r="C11" s="428" t="s">
        <v>50</v>
      </c>
      <c r="D11" s="428">
        <v>8</v>
      </c>
      <c r="E11" s="429" t="s">
        <v>84</v>
      </c>
      <c r="F11" s="344" t="s">
        <v>85</v>
      </c>
      <c r="G11" s="429" t="s">
        <v>86</v>
      </c>
      <c r="H11" s="430">
        <v>6.23</v>
      </c>
      <c r="I11" s="430">
        <v>6.23</v>
      </c>
      <c r="J11" s="430">
        <v>6.23</v>
      </c>
      <c r="K11" s="312"/>
      <c r="L11" s="431">
        <v>42286</v>
      </c>
      <c r="M11" s="431">
        <v>42668</v>
      </c>
      <c r="N11" s="431">
        <v>49651</v>
      </c>
      <c r="O11" s="432">
        <v>19</v>
      </c>
      <c r="P11" s="432" t="s">
        <v>298</v>
      </c>
      <c r="Q11" s="433">
        <v>42794</v>
      </c>
      <c r="R11" s="431">
        <v>42668</v>
      </c>
      <c r="S11" s="521">
        <v>8.69</v>
      </c>
      <c r="T11" s="4">
        <f>MATCH(F11,'FIT Plants'!F:F,0)</f>
        <v>26</v>
      </c>
      <c r="Z11" s="13"/>
    </row>
    <row r="12" spans="1:26" s="4" customFormat="1" ht="30" customHeight="1" x14ac:dyDescent="0.25">
      <c r="A12" s="513" t="s">
        <v>7</v>
      </c>
      <c r="B12" s="418" t="s">
        <v>9</v>
      </c>
      <c r="C12" s="419" t="s">
        <v>50</v>
      </c>
      <c r="D12" s="419">
        <v>9</v>
      </c>
      <c r="E12" s="417" t="s">
        <v>72</v>
      </c>
      <c r="F12" s="343" t="s">
        <v>87</v>
      </c>
      <c r="G12" s="417" t="s">
        <v>74</v>
      </c>
      <c r="H12" s="421">
        <v>13.14</v>
      </c>
      <c r="I12" s="421">
        <v>13.14</v>
      </c>
      <c r="J12" s="421">
        <v>13.14</v>
      </c>
      <c r="K12" s="312"/>
      <c r="L12" s="422">
        <v>42361</v>
      </c>
      <c r="M12" s="422">
        <v>42361</v>
      </c>
      <c r="N12" s="422">
        <v>49665</v>
      </c>
      <c r="O12" s="423">
        <v>20</v>
      </c>
      <c r="P12" s="423" t="s">
        <v>287</v>
      </c>
      <c r="Q12" s="424">
        <v>42429</v>
      </c>
      <c r="R12" s="422">
        <v>42727</v>
      </c>
      <c r="S12" s="519">
        <v>8.69</v>
      </c>
      <c r="T12" s="4">
        <f>MATCH(F12,'FIT Plants'!F:F,0)</f>
        <v>13</v>
      </c>
      <c r="Z12" s="13"/>
    </row>
    <row r="13" spans="1:26" s="4" customFormat="1" ht="30" customHeight="1" x14ac:dyDescent="0.25">
      <c r="A13" s="513" t="s">
        <v>7</v>
      </c>
      <c r="B13" s="418" t="s">
        <v>9</v>
      </c>
      <c r="C13" s="419" t="s">
        <v>50</v>
      </c>
      <c r="D13" s="419">
        <v>10</v>
      </c>
      <c r="E13" s="417" t="s">
        <v>88</v>
      </c>
      <c r="F13" s="417" t="s">
        <v>89</v>
      </c>
      <c r="G13" s="417" t="s">
        <v>90</v>
      </c>
      <c r="H13" s="421">
        <v>2.66</v>
      </c>
      <c r="I13" s="421">
        <v>2.66</v>
      </c>
      <c r="J13" s="421">
        <v>2.66</v>
      </c>
      <c r="K13" s="312"/>
      <c r="L13" s="422">
        <v>42388</v>
      </c>
      <c r="M13" s="422">
        <v>42388</v>
      </c>
      <c r="N13" s="422">
        <v>49692</v>
      </c>
      <c r="O13" s="423">
        <v>20</v>
      </c>
      <c r="P13" s="423" t="s">
        <v>288</v>
      </c>
      <c r="Q13" s="424">
        <v>42430</v>
      </c>
      <c r="R13" s="422">
        <v>42754</v>
      </c>
      <c r="S13" s="519">
        <v>8.69</v>
      </c>
      <c r="T13" s="4">
        <f>MATCH(F13,'FIT Plants'!F:F,0)</f>
        <v>14</v>
      </c>
      <c r="Z13" s="13"/>
    </row>
    <row r="14" spans="1:26" s="4" customFormat="1" ht="30" customHeight="1" x14ac:dyDescent="0.25">
      <c r="A14" s="516" t="s">
        <v>7</v>
      </c>
      <c r="B14" s="418" t="s">
        <v>9</v>
      </c>
      <c r="C14" s="419" t="s">
        <v>50</v>
      </c>
      <c r="D14" s="419">
        <v>11</v>
      </c>
      <c r="E14" s="417" t="s">
        <v>91</v>
      </c>
      <c r="F14" s="343" t="s">
        <v>92</v>
      </c>
      <c r="G14" s="417" t="s">
        <v>93</v>
      </c>
      <c r="H14" s="420">
        <v>50.069000000000003</v>
      </c>
      <c r="I14" s="421">
        <v>50.07</v>
      </c>
      <c r="J14" s="421">
        <v>50.07</v>
      </c>
      <c r="K14" s="312"/>
      <c r="L14" s="422">
        <v>42410</v>
      </c>
      <c r="M14" s="422">
        <v>42410</v>
      </c>
      <c r="N14" s="422">
        <v>49714</v>
      </c>
      <c r="O14" s="423">
        <v>20</v>
      </c>
      <c r="P14" s="423" t="s">
        <v>292</v>
      </c>
      <c r="Q14" s="424" t="s">
        <v>94</v>
      </c>
      <c r="R14" s="422">
        <v>42776</v>
      </c>
      <c r="S14" s="519">
        <v>8.69</v>
      </c>
      <c r="T14" s="4">
        <f>MATCH(F14,'FIT Plants'!F:F,0)</f>
        <v>15</v>
      </c>
      <c r="Z14" s="13"/>
    </row>
    <row r="15" spans="1:26" s="4" customFormat="1" ht="30" customHeight="1" x14ac:dyDescent="0.25">
      <c r="A15" s="513" t="s">
        <v>7</v>
      </c>
      <c r="B15" s="418" t="s">
        <v>9</v>
      </c>
      <c r="C15" s="419" t="s">
        <v>50</v>
      </c>
      <c r="D15" s="419">
        <v>12</v>
      </c>
      <c r="E15" s="417" t="s">
        <v>95</v>
      </c>
      <c r="F15" s="343" t="s">
        <v>96</v>
      </c>
      <c r="G15" s="417" t="s">
        <v>97</v>
      </c>
      <c r="H15" s="420">
        <v>14.505000000000001</v>
      </c>
      <c r="I15" s="421">
        <v>14.51</v>
      </c>
      <c r="J15" s="421">
        <v>14.51</v>
      </c>
      <c r="K15" s="312"/>
      <c r="L15" s="422">
        <v>42412</v>
      </c>
      <c r="M15" s="422">
        <v>42412</v>
      </c>
      <c r="N15" s="422">
        <v>49716</v>
      </c>
      <c r="O15" s="423">
        <v>20</v>
      </c>
      <c r="P15" s="423" t="s">
        <v>289</v>
      </c>
      <c r="Q15" s="424">
        <v>42459</v>
      </c>
      <c r="R15" s="422">
        <v>42778</v>
      </c>
      <c r="S15" s="519">
        <v>8.69</v>
      </c>
      <c r="T15" s="4">
        <f>MATCH(F15,'FIT Plants'!F:F,0)</f>
        <v>16</v>
      </c>
      <c r="Z15" s="13"/>
    </row>
    <row r="16" spans="1:26" s="4" customFormat="1" ht="30" customHeight="1" x14ac:dyDescent="0.25">
      <c r="A16" s="513" t="s">
        <v>7</v>
      </c>
      <c r="B16" s="417" t="s">
        <v>9</v>
      </c>
      <c r="C16" s="419" t="s">
        <v>50</v>
      </c>
      <c r="D16" s="419">
        <v>13</v>
      </c>
      <c r="E16" s="417" t="s">
        <v>47</v>
      </c>
      <c r="F16" s="343" t="s">
        <v>98</v>
      </c>
      <c r="G16" s="417" t="s">
        <v>99</v>
      </c>
      <c r="H16" s="421">
        <v>10.26</v>
      </c>
      <c r="I16" s="421">
        <v>10.26</v>
      </c>
      <c r="J16" s="421">
        <v>10.26</v>
      </c>
      <c r="K16" s="312"/>
      <c r="L16" s="422">
        <v>42440</v>
      </c>
      <c r="M16" s="422">
        <v>42440</v>
      </c>
      <c r="N16" s="422">
        <v>49744</v>
      </c>
      <c r="O16" s="423">
        <v>20</v>
      </c>
      <c r="P16" s="423" t="s">
        <v>290</v>
      </c>
      <c r="Q16" s="424">
        <v>42473</v>
      </c>
      <c r="R16" s="422">
        <v>42805</v>
      </c>
      <c r="S16" s="519">
        <v>8.69</v>
      </c>
      <c r="T16" s="4">
        <f>MATCH(F16,'FIT Plants'!F:F,0)</f>
        <v>17</v>
      </c>
      <c r="Z16" s="13"/>
    </row>
    <row r="17" spans="1:21" s="4" customFormat="1" ht="30" customHeight="1" x14ac:dyDescent="0.25">
      <c r="A17" s="513" t="s">
        <v>7</v>
      </c>
      <c r="B17" s="417" t="s">
        <v>9</v>
      </c>
      <c r="C17" s="419" t="s">
        <v>50</v>
      </c>
      <c r="D17" s="419">
        <v>14</v>
      </c>
      <c r="E17" s="417" t="s">
        <v>100</v>
      </c>
      <c r="F17" s="343" t="s">
        <v>101</v>
      </c>
      <c r="G17" s="417" t="s">
        <v>102</v>
      </c>
      <c r="H17" s="421">
        <v>63.3</v>
      </c>
      <c r="I17" s="421">
        <v>63.3</v>
      </c>
      <c r="J17" s="421">
        <v>63.3</v>
      </c>
      <c r="K17" s="312"/>
      <c r="L17" s="422">
        <v>42440</v>
      </c>
      <c r="M17" s="422">
        <v>42440</v>
      </c>
      <c r="N17" s="422">
        <v>49744</v>
      </c>
      <c r="O17" s="423">
        <v>20</v>
      </c>
      <c r="P17" s="423" t="s">
        <v>290</v>
      </c>
      <c r="Q17" s="424">
        <v>42549</v>
      </c>
      <c r="R17" s="422">
        <v>42805</v>
      </c>
      <c r="S17" s="519">
        <v>8.69</v>
      </c>
      <c r="T17" s="4">
        <f>MATCH(F17,'FIT Plants'!F:F,0)</f>
        <v>12</v>
      </c>
    </row>
    <row r="18" spans="1:21" s="4" customFormat="1" ht="30" customHeight="1" x14ac:dyDescent="0.25">
      <c r="A18" s="513" t="s">
        <v>7</v>
      </c>
      <c r="B18" s="417" t="s">
        <v>9</v>
      </c>
      <c r="C18" s="419" t="s">
        <v>50</v>
      </c>
      <c r="D18" s="419">
        <v>15</v>
      </c>
      <c r="E18" s="417" t="s">
        <v>103</v>
      </c>
      <c r="F18" s="343" t="s">
        <v>104</v>
      </c>
      <c r="G18" s="417" t="s">
        <v>105</v>
      </c>
      <c r="H18" s="421">
        <v>20</v>
      </c>
      <c r="I18" s="421">
        <v>20</v>
      </c>
      <c r="J18" s="421">
        <v>20</v>
      </c>
      <c r="K18" s="312"/>
      <c r="L18" s="422">
        <v>42429</v>
      </c>
      <c r="M18" s="422">
        <v>42429</v>
      </c>
      <c r="N18" s="422">
        <v>49733</v>
      </c>
      <c r="O18" s="423">
        <v>20</v>
      </c>
      <c r="P18" s="423" t="s">
        <v>297</v>
      </c>
      <c r="Q18" s="424">
        <v>42712</v>
      </c>
      <c r="R18" s="422">
        <v>42794</v>
      </c>
      <c r="S18" s="519">
        <v>8.69</v>
      </c>
      <c r="T18" s="4">
        <f>MATCH(F18,'FIT Plants'!F:F,0)</f>
        <v>18</v>
      </c>
    </row>
    <row r="19" spans="1:21" s="4" customFormat="1" ht="30" customHeight="1" x14ac:dyDescent="0.25">
      <c r="A19" s="513" t="s">
        <v>7</v>
      </c>
      <c r="B19" s="417" t="s">
        <v>9</v>
      </c>
      <c r="C19" s="419" t="s">
        <v>50</v>
      </c>
      <c r="D19" s="419">
        <v>16</v>
      </c>
      <c r="E19" s="417" t="s">
        <v>106</v>
      </c>
      <c r="F19" s="343" t="s">
        <v>107</v>
      </c>
      <c r="G19" s="417" t="s">
        <v>108</v>
      </c>
      <c r="H19" s="421">
        <v>2.04</v>
      </c>
      <c r="I19" s="421">
        <v>2.04</v>
      </c>
      <c r="J19" s="421">
        <v>2.04</v>
      </c>
      <c r="K19" s="312"/>
      <c r="L19" s="422">
        <v>42437</v>
      </c>
      <c r="M19" s="422">
        <v>42437</v>
      </c>
      <c r="N19" s="422">
        <v>49741</v>
      </c>
      <c r="O19" s="423">
        <v>20</v>
      </c>
      <c r="P19" s="423" t="s">
        <v>293</v>
      </c>
      <c r="Q19" s="424">
        <v>42712</v>
      </c>
      <c r="R19" s="422">
        <v>42802</v>
      </c>
      <c r="S19" s="519">
        <v>8.69</v>
      </c>
      <c r="T19" s="4">
        <f>MATCH(F19,'FIT Plants'!F:F,0)</f>
        <v>19</v>
      </c>
    </row>
    <row r="20" spans="1:21" s="4" customFormat="1" ht="41.45" customHeight="1" x14ac:dyDescent="0.25">
      <c r="A20" s="513" t="s">
        <v>7</v>
      </c>
      <c r="B20" s="417" t="s">
        <v>9</v>
      </c>
      <c r="C20" s="419" t="s">
        <v>50</v>
      </c>
      <c r="D20" s="419">
        <v>17</v>
      </c>
      <c r="E20" s="417" t="s">
        <v>109</v>
      </c>
      <c r="F20" s="343" t="s">
        <v>110</v>
      </c>
      <c r="G20" s="417" t="s">
        <v>111</v>
      </c>
      <c r="H20" s="421">
        <v>8.5</v>
      </c>
      <c r="I20" s="421">
        <v>8.5</v>
      </c>
      <c r="J20" s="421">
        <v>8.5</v>
      </c>
      <c r="K20" s="312"/>
      <c r="L20" s="422">
        <v>42437</v>
      </c>
      <c r="M20" s="422">
        <v>42437</v>
      </c>
      <c r="N20" s="422">
        <v>49741</v>
      </c>
      <c r="O20" s="423">
        <v>20</v>
      </c>
      <c r="P20" s="423" t="s">
        <v>293</v>
      </c>
      <c r="Q20" s="424">
        <v>42712</v>
      </c>
      <c r="R20" s="422">
        <v>42802</v>
      </c>
      <c r="S20" s="519">
        <v>8.69</v>
      </c>
      <c r="T20" s="4">
        <f>MATCH(F20,'FIT Plants'!F:F,0)</f>
        <v>10</v>
      </c>
    </row>
    <row r="21" spans="1:21" s="4" customFormat="1" ht="30" customHeight="1" x14ac:dyDescent="0.25">
      <c r="A21" s="512" t="s">
        <v>32</v>
      </c>
      <c r="B21" s="409" t="s">
        <v>9</v>
      </c>
      <c r="C21" s="411" t="s">
        <v>50</v>
      </c>
      <c r="D21" s="411">
        <v>18</v>
      </c>
      <c r="E21" s="409" t="s">
        <v>112</v>
      </c>
      <c r="F21" s="342" t="s">
        <v>113</v>
      </c>
      <c r="G21" s="409" t="s">
        <v>114</v>
      </c>
      <c r="H21" s="412">
        <v>18</v>
      </c>
      <c r="I21" s="412">
        <v>18</v>
      </c>
      <c r="J21" s="412">
        <v>18</v>
      </c>
      <c r="K21" s="312"/>
      <c r="L21" s="414">
        <v>42440</v>
      </c>
      <c r="M21" s="414">
        <v>42440</v>
      </c>
      <c r="N21" s="414">
        <v>49744</v>
      </c>
      <c r="O21" s="415">
        <v>20</v>
      </c>
      <c r="P21" s="415" t="s">
        <v>290</v>
      </c>
      <c r="Q21" s="416">
        <v>42772</v>
      </c>
      <c r="R21" s="414">
        <v>42805</v>
      </c>
      <c r="S21" s="518">
        <v>8.69</v>
      </c>
      <c r="T21" s="4">
        <f>MATCH(F21,'FIT Plants'!F:F,0)</f>
        <v>23</v>
      </c>
    </row>
    <row r="22" spans="1:21" s="4" customFormat="1" ht="30" customHeight="1" x14ac:dyDescent="0.25">
      <c r="A22" s="513" t="s">
        <v>7</v>
      </c>
      <c r="B22" s="417" t="s">
        <v>9</v>
      </c>
      <c r="C22" s="419" t="s">
        <v>50</v>
      </c>
      <c r="D22" s="419">
        <v>19</v>
      </c>
      <c r="E22" s="417" t="s">
        <v>115</v>
      </c>
      <c r="F22" s="343" t="s">
        <v>116</v>
      </c>
      <c r="G22" s="417" t="s">
        <v>117</v>
      </c>
      <c r="H22" s="421">
        <v>22.33</v>
      </c>
      <c r="I22" s="421">
        <v>22.33</v>
      </c>
      <c r="J22" s="421">
        <v>22.33</v>
      </c>
      <c r="K22" s="312"/>
      <c r="L22" s="422">
        <v>42441</v>
      </c>
      <c r="M22" s="422">
        <v>42441</v>
      </c>
      <c r="N22" s="422">
        <v>49745</v>
      </c>
      <c r="O22" s="423">
        <v>20</v>
      </c>
      <c r="P22" s="423" t="s">
        <v>294</v>
      </c>
      <c r="Q22" s="424">
        <v>42712</v>
      </c>
      <c r="R22" s="422">
        <v>42806</v>
      </c>
      <c r="S22" s="519">
        <v>8.69</v>
      </c>
      <c r="T22" s="4">
        <f>MATCH(F22,'FIT Plants'!F:F,0)</f>
        <v>20</v>
      </c>
    </row>
    <row r="23" spans="1:21" s="4" customFormat="1" ht="30" customHeight="1" x14ac:dyDescent="0.25">
      <c r="A23" s="517" t="s">
        <v>8</v>
      </c>
      <c r="B23" s="429" t="s">
        <v>9</v>
      </c>
      <c r="C23" s="428" t="s">
        <v>50</v>
      </c>
      <c r="D23" s="428">
        <v>20</v>
      </c>
      <c r="E23" s="429" t="s">
        <v>216</v>
      </c>
      <c r="F23" s="344" t="s">
        <v>119</v>
      </c>
      <c r="G23" s="429" t="s">
        <v>120</v>
      </c>
      <c r="H23" s="430">
        <v>10.49</v>
      </c>
      <c r="I23" s="430">
        <v>10.49</v>
      </c>
      <c r="J23" s="430">
        <v>10.49</v>
      </c>
      <c r="K23" s="312"/>
      <c r="L23" s="431">
        <v>42442</v>
      </c>
      <c r="M23" s="431">
        <v>42442</v>
      </c>
      <c r="N23" s="431">
        <v>49746</v>
      </c>
      <c r="O23" s="432">
        <v>20</v>
      </c>
      <c r="P23" s="432" t="s">
        <v>295</v>
      </c>
      <c r="Q23" s="433">
        <v>42955</v>
      </c>
      <c r="R23" s="431">
        <v>42807</v>
      </c>
      <c r="S23" s="521">
        <v>8.69</v>
      </c>
      <c r="T23" s="4">
        <f>MATCH(F23,'FIT Plants'!F:F,0)</f>
        <v>27</v>
      </c>
    </row>
    <row r="24" spans="1:21" s="4" customFormat="1" ht="45" customHeight="1" x14ac:dyDescent="0.25">
      <c r="A24" s="513" t="s">
        <v>7</v>
      </c>
      <c r="B24" s="417" t="s">
        <v>9</v>
      </c>
      <c r="C24" s="419" t="s">
        <v>50</v>
      </c>
      <c r="D24" s="419">
        <v>21</v>
      </c>
      <c r="E24" s="417" t="s">
        <v>121</v>
      </c>
      <c r="F24" s="343" t="s">
        <v>122</v>
      </c>
      <c r="G24" s="417" t="s">
        <v>123</v>
      </c>
      <c r="H24" s="421">
        <v>5.0199999999999996</v>
      </c>
      <c r="I24" s="421">
        <v>5.0199999999999996</v>
      </c>
      <c r="J24" s="421">
        <v>5.0199999999999996</v>
      </c>
      <c r="K24" s="312"/>
      <c r="L24" s="422">
        <v>42442</v>
      </c>
      <c r="M24" s="422">
        <v>42442</v>
      </c>
      <c r="N24" s="422">
        <v>49746</v>
      </c>
      <c r="O24" s="423">
        <v>20</v>
      </c>
      <c r="P24" s="423" t="s">
        <v>295</v>
      </c>
      <c r="Q24" s="424">
        <v>42772</v>
      </c>
      <c r="R24" s="422">
        <v>42807</v>
      </c>
      <c r="S24" s="519">
        <v>8.69</v>
      </c>
      <c r="T24" s="4">
        <f>MATCH(F24,'FIT Plants'!F:F,0)</f>
        <v>11</v>
      </c>
    </row>
    <row r="25" spans="1:21" s="4" customFormat="1" ht="30" customHeight="1" x14ac:dyDescent="0.25">
      <c r="A25" s="513" t="s">
        <v>7</v>
      </c>
      <c r="B25" s="417" t="s">
        <v>9</v>
      </c>
      <c r="C25" s="419" t="s">
        <v>50</v>
      </c>
      <c r="D25" s="419">
        <v>22</v>
      </c>
      <c r="E25" s="417" t="s">
        <v>124</v>
      </c>
      <c r="F25" s="343" t="s">
        <v>125</v>
      </c>
      <c r="G25" s="417" t="s">
        <v>126</v>
      </c>
      <c r="H25" s="421">
        <v>15</v>
      </c>
      <c r="I25" s="421">
        <v>15</v>
      </c>
      <c r="J25" s="421">
        <v>15</v>
      </c>
      <c r="K25" s="312"/>
      <c r="L25" s="422">
        <v>42443</v>
      </c>
      <c r="M25" s="422">
        <v>42443</v>
      </c>
      <c r="N25" s="422">
        <v>49747</v>
      </c>
      <c r="O25" s="423">
        <v>20</v>
      </c>
      <c r="P25" s="423" t="s">
        <v>296</v>
      </c>
      <c r="Q25" s="418" t="s">
        <v>127</v>
      </c>
      <c r="R25" s="422">
        <v>42808</v>
      </c>
      <c r="S25" s="519">
        <v>8.69</v>
      </c>
      <c r="T25" s="4" t="e">
        <f>MATCH(F25,'FIT Plants'!F:F,0)</f>
        <v>#N/A</v>
      </c>
    </row>
    <row r="26" spans="1:21" s="4" customFormat="1" ht="30" customHeight="1" x14ac:dyDescent="0.25">
      <c r="A26" s="512" t="s">
        <v>32</v>
      </c>
      <c r="B26" s="409" t="s">
        <v>9</v>
      </c>
      <c r="C26" s="411" t="s">
        <v>50</v>
      </c>
      <c r="D26" s="411">
        <v>23</v>
      </c>
      <c r="E26" s="409" t="s">
        <v>128</v>
      </c>
      <c r="F26" s="342" t="s">
        <v>129</v>
      </c>
      <c r="G26" s="409" t="s">
        <v>130</v>
      </c>
      <c r="H26" s="412">
        <v>132.5</v>
      </c>
      <c r="I26" s="412">
        <v>132.5</v>
      </c>
      <c r="J26" s="412">
        <v>132.5</v>
      </c>
      <c r="K26" s="312"/>
      <c r="L26" s="414">
        <v>42443</v>
      </c>
      <c r="M26" s="414">
        <v>42443</v>
      </c>
      <c r="N26" s="414">
        <v>49747</v>
      </c>
      <c r="O26" s="415">
        <v>20</v>
      </c>
      <c r="P26" s="415" t="s">
        <v>296</v>
      </c>
      <c r="Q26" s="416">
        <v>42712</v>
      </c>
      <c r="R26" s="414">
        <v>42808</v>
      </c>
      <c r="S26" s="518">
        <v>8.69</v>
      </c>
      <c r="T26" s="4">
        <f>MATCH(F26,'FIT Plants'!F:F,0)</f>
        <v>24</v>
      </c>
    </row>
    <row r="27" spans="1:21" s="4" customFormat="1" ht="30" customHeight="1" x14ac:dyDescent="0.25">
      <c r="A27" s="6"/>
      <c r="B27" s="5"/>
      <c r="C27" s="18"/>
      <c r="D27" s="18">
        <v>24</v>
      </c>
      <c r="E27" s="24" t="s">
        <v>768</v>
      </c>
      <c r="F27" s="70" t="s">
        <v>769</v>
      </c>
      <c r="G27" s="484" t="s">
        <v>770</v>
      </c>
      <c r="H27" s="7">
        <v>58.981000000000002</v>
      </c>
      <c r="I27" s="7">
        <v>58.981000000000002</v>
      </c>
      <c r="J27" s="7">
        <v>58.981000000000002</v>
      </c>
      <c r="K27" s="7"/>
      <c r="L27" s="8">
        <v>42444</v>
      </c>
      <c r="M27" s="8"/>
      <c r="N27" s="8"/>
      <c r="O27" s="52"/>
      <c r="P27" s="52"/>
      <c r="Q27" s="9"/>
      <c r="R27" s="8"/>
      <c r="S27" s="522"/>
      <c r="T27" s="4">
        <f>MATCH(F27,'FIT Plants'!F:F,0)</f>
        <v>25</v>
      </c>
      <c r="U27" s="485" t="s">
        <v>773</v>
      </c>
    </row>
    <row r="28" spans="1:21" s="4" customFormat="1" ht="30" customHeight="1" x14ac:dyDescent="0.25">
      <c r="A28" s="514"/>
      <c r="B28" s="77"/>
      <c r="C28" s="311"/>
      <c r="D28" s="332">
        <f>COUNT(D10:D27)</f>
        <v>18</v>
      </c>
      <c r="E28" s="77"/>
      <c r="F28" s="77"/>
      <c r="G28" s="77"/>
      <c r="H28" s="315">
        <f>SUM(H10:H27)-H27</f>
        <v>417.04399999999998</v>
      </c>
      <c r="I28" s="315">
        <f>SUM(I10:I27)</f>
        <v>476.03100000000001</v>
      </c>
      <c r="J28" s="315">
        <f>SUM(J10:J27)</f>
        <v>476.03100000000001</v>
      </c>
      <c r="K28" s="312"/>
      <c r="L28" s="87"/>
      <c r="M28" s="87"/>
      <c r="N28" s="87"/>
      <c r="O28" s="88"/>
      <c r="P28" s="88"/>
      <c r="Q28" s="313"/>
      <c r="R28" s="87"/>
      <c r="S28" s="520"/>
    </row>
    <row r="29" spans="1:21" s="4" customFormat="1" ht="30" customHeight="1" x14ac:dyDescent="0.25">
      <c r="A29" s="524"/>
      <c r="B29" s="525"/>
      <c r="C29" s="526"/>
      <c r="D29" s="526">
        <f>D28+D9</f>
        <v>24</v>
      </c>
      <c r="E29" s="525"/>
      <c r="F29" s="527" t="s">
        <v>366</v>
      </c>
      <c r="G29" s="527"/>
      <c r="H29" s="528">
        <f>H28+H9</f>
        <v>485.13</v>
      </c>
      <c r="I29" s="528">
        <f>I28+I9</f>
        <v>543.63099999999997</v>
      </c>
      <c r="J29" s="528">
        <f>J28+J9</f>
        <v>543.63099999999997</v>
      </c>
      <c r="K29" s="529"/>
      <c r="L29" s="530"/>
      <c r="M29" s="530"/>
      <c r="N29" s="530"/>
      <c r="O29" s="531"/>
      <c r="P29" s="531"/>
      <c r="Q29" s="532"/>
      <c r="R29" s="530"/>
      <c r="S29" s="533"/>
    </row>
    <row r="43" spans="17:17" x14ac:dyDescent="0.25"/>
    <row r="47" spans="17:17" x14ac:dyDescent="0.25"/>
  </sheetData>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V62"/>
  <sheetViews>
    <sheetView zoomScale="90" zoomScaleNormal="90" zoomScaleSheetLayoutView="70" workbookViewId="0">
      <pane xSplit="5" ySplit="2" topLeftCell="F37" activePane="bottomRight" state="frozen"/>
      <selection activeCell="E2" sqref="E2"/>
      <selection pane="topRight" activeCell="E2" sqref="E2"/>
      <selection pane="bottomLeft" activeCell="E2" sqref="E2"/>
      <selection pane="bottomRight" activeCell="E2" sqref="E2"/>
    </sheetView>
  </sheetViews>
  <sheetFormatPr defaultColWidth="9.28515625" defaultRowHeight="15" x14ac:dyDescent="0.25"/>
  <cols>
    <col min="1" max="1" width="12.7109375" style="10" customWidth="1"/>
    <col min="2" max="2" width="11.28515625" style="10" customWidth="1"/>
    <col min="3" max="3" width="11.28515625" style="2" customWidth="1"/>
    <col min="4" max="4" width="7.42578125" style="2" customWidth="1"/>
    <col min="5" max="5" width="28.42578125" style="33" customWidth="1"/>
    <col min="6" max="6" width="43.140625" style="10" customWidth="1"/>
    <col min="7" max="7" width="28.42578125" style="10" customWidth="1"/>
    <col min="8" max="8" width="12.42578125" style="11" customWidth="1"/>
    <col min="9" max="9" width="12.28515625" style="10" customWidth="1"/>
    <col min="10" max="10" width="14.28515625" style="10" customWidth="1"/>
    <col min="11" max="11" width="10.7109375" style="10" hidden="1" customWidth="1"/>
    <col min="12" max="12" width="16.5703125" style="10" customWidth="1"/>
    <col min="13" max="14" width="14.7109375" style="10" customWidth="1"/>
    <col min="15" max="15" width="14.7109375" style="53" customWidth="1"/>
    <col min="16" max="16" width="19.140625" style="53" customWidth="1"/>
    <col min="17" max="17" width="24.7109375" style="10" customWidth="1"/>
    <col min="18" max="18" width="15.42578125" style="10" customWidth="1"/>
    <col min="19" max="19" width="16.28515625" style="11" customWidth="1"/>
    <col min="20" max="20" width="9.28515625" style="13"/>
    <col min="21" max="21" width="10.28515625" style="13" bestFit="1" customWidth="1"/>
    <col min="22" max="16384" width="9.28515625" style="13"/>
  </cols>
  <sheetData>
    <row r="1" spans="1:21" x14ac:dyDescent="0.25">
      <c r="A1" s="1130" t="str">
        <f>'Per Island'!A1:D1</f>
        <v>As of 30 June 2026</v>
      </c>
      <c r="B1" s="1130"/>
      <c r="C1" s="1130"/>
      <c r="D1" s="1130"/>
      <c r="E1" s="1130"/>
      <c r="F1" s="1130"/>
      <c r="G1" s="1130"/>
      <c r="H1" s="1130"/>
      <c r="I1" s="1130"/>
      <c r="J1" s="1130"/>
      <c r="K1" s="1130"/>
      <c r="L1" s="1130"/>
      <c r="M1" s="1130"/>
      <c r="N1" s="1130"/>
      <c r="O1" s="1130"/>
      <c r="P1" s="1130"/>
      <c r="Q1" s="1130"/>
      <c r="R1" s="1130"/>
      <c r="S1" s="1130"/>
    </row>
    <row r="2" spans="1:21" s="3" customFormat="1" ht="73.900000000000006" customHeight="1" x14ac:dyDescent="0.25">
      <c r="A2" s="17" t="s">
        <v>0</v>
      </c>
      <c r="B2" s="16" t="s">
        <v>1</v>
      </c>
      <c r="C2" s="17" t="s">
        <v>48</v>
      </c>
      <c r="D2" s="17" t="s">
        <v>2</v>
      </c>
      <c r="E2" s="326" t="s">
        <v>3</v>
      </c>
      <c r="F2" s="17" t="s">
        <v>4</v>
      </c>
      <c r="G2" s="17" t="s">
        <v>63</v>
      </c>
      <c r="H2" s="16" t="s">
        <v>64</v>
      </c>
      <c r="I2" s="16" t="s">
        <v>65</v>
      </c>
      <c r="J2" s="16" t="s">
        <v>194</v>
      </c>
      <c r="K2" s="16"/>
      <c r="L2" s="17" t="s">
        <v>66</v>
      </c>
      <c r="M2" s="16" t="s">
        <v>332</v>
      </c>
      <c r="N2" s="16" t="s">
        <v>286</v>
      </c>
      <c r="O2" s="16" t="s">
        <v>210</v>
      </c>
      <c r="P2" s="16" t="s">
        <v>283</v>
      </c>
      <c r="Q2" s="17" t="s">
        <v>67</v>
      </c>
      <c r="R2" s="16" t="s">
        <v>331</v>
      </c>
      <c r="S2" s="16" t="s">
        <v>330</v>
      </c>
    </row>
    <row r="3" spans="1:21" s="4" customFormat="1" ht="30" customHeight="1" x14ac:dyDescent="0.25">
      <c r="A3" s="337" t="s">
        <v>7</v>
      </c>
      <c r="B3" s="337" t="s">
        <v>44</v>
      </c>
      <c r="C3" s="340" t="s">
        <v>49</v>
      </c>
      <c r="D3" s="340">
        <v>1</v>
      </c>
      <c r="E3" s="345" t="s">
        <v>34</v>
      </c>
      <c r="F3" s="345" t="s">
        <v>143</v>
      </c>
      <c r="G3" s="345" t="s">
        <v>144</v>
      </c>
      <c r="H3" s="341">
        <v>12</v>
      </c>
      <c r="I3" s="341">
        <v>12</v>
      </c>
      <c r="J3" s="341">
        <v>12</v>
      </c>
      <c r="K3" s="341"/>
      <c r="L3" s="346">
        <v>41945</v>
      </c>
      <c r="M3" s="346">
        <v>41945</v>
      </c>
      <c r="N3" s="346">
        <v>49249</v>
      </c>
      <c r="O3" s="347">
        <v>20</v>
      </c>
      <c r="P3" s="347" t="s">
        <v>312</v>
      </c>
      <c r="Q3" s="348">
        <v>42044</v>
      </c>
      <c r="R3" s="346">
        <v>42370</v>
      </c>
      <c r="S3" s="341">
        <v>6.63</v>
      </c>
      <c r="T3" s="4" t="s">
        <v>787</v>
      </c>
    </row>
    <row r="4" spans="1:21" s="4" customFormat="1" ht="30" customHeight="1" x14ac:dyDescent="0.25">
      <c r="A4" s="337" t="s">
        <v>7</v>
      </c>
      <c r="B4" s="337" t="s">
        <v>44</v>
      </c>
      <c r="C4" s="340" t="s">
        <v>49</v>
      </c>
      <c r="D4" s="340">
        <v>2</v>
      </c>
      <c r="E4" s="345" t="s">
        <v>36</v>
      </c>
      <c r="F4" s="345" t="s">
        <v>145</v>
      </c>
      <c r="G4" s="345" t="s">
        <v>146</v>
      </c>
      <c r="H4" s="349">
        <v>6.37</v>
      </c>
      <c r="I4" s="341">
        <v>8.19</v>
      </c>
      <c r="J4" s="349">
        <v>2.1749999999999998</v>
      </c>
      <c r="K4" s="349"/>
      <c r="L4" s="346">
        <v>42170</v>
      </c>
      <c r="M4" s="346">
        <v>42170</v>
      </c>
      <c r="N4" s="346">
        <v>47157</v>
      </c>
      <c r="O4" s="347">
        <v>14</v>
      </c>
      <c r="P4" s="347" t="s">
        <v>313</v>
      </c>
      <c r="Q4" s="348">
        <v>42170</v>
      </c>
      <c r="R4" s="346">
        <v>42536</v>
      </c>
      <c r="S4" s="341">
        <v>6.63</v>
      </c>
      <c r="T4" s="4" t="s">
        <v>787</v>
      </c>
    </row>
    <row r="5" spans="1:21" s="4" customFormat="1" ht="30" customHeight="1" x14ac:dyDescent="0.25">
      <c r="A5" s="337" t="s">
        <v>7</v>
      </c>
      <c r="B5" s="337" t="s">
        <v>44</v>
      </c>
      <c r="C5" s="340" t="s">
        <v>49</v>
      </c>
      <c r="D5" s="340">
        <v>3</v>
      </c>
      <c r="E5" s="345" t="s">
        <v>33</v>
      </c>
      <c r="F5" s="345" t="s">
        <v>147</v>
      </c>
      <c r="G5" s="345" t="s">
        <v>148</v>
      </c>
      <c r="H5" s="341">
        <v>0.876</v>
      </c>
      <c r="I5" s="350">
        <v>0.94399999999999995</v>
      </c>
      <c r="J5" s="351">
        <v>0.876</v>
      </c>
      <c r="K5" s="351"/>
      <c r="L5" s="352">
        <v>41338</v>
      </c>
      <c r="M5" s="352">
        <v>42170</v>
      </c>
      <c r="N5" s="352">
        <v>48642</v>
      </c>
      <c r="O5" s="353">
        <v>20</v>
      </c>
      <c r="P5" s="353" t="s">
        <v>323</v>
      </c>
      <c r="Q5" s="348">
        <v>42170</v>
      </c>
      <c r="R5" s="352">
        <v>42370</v>
      </c>
      <c r="S5" s="341">
        <v>6.63</v>
      </c>
      <c r="T5" s="4" t="s">
        <v>787</v>
      </c>
    </row>
    <row r="6" spans="1:21" s="4" customFormat="1" ht="30" customHeight="1" x14ac:dyDescent="0.25">
      <c r="A6" s="337" t="s">
        <v>7</v>
      </c>
      <c r="B6" s="337" t="s">
        <v>44</v>
      </c>
      <c r="C6" s="340" t="s">
        <v>49</v>
      </c>
      <c r="D6" s="340">
        <v>4</v>
      </c>
      <c r="E6" s="337" t="s">
        <v>43</v>
      </c>
      <c r="F6" s="337" t="s">
        <v>149</v>
      </c>
      <c r="G6" s="337" t="s">
        <v>150</v>
      </c>
      <c r="H6" s="341">
        <v>3.6</v>
      </c>
      <c r="I6" s="341">
        <v>3.6</v>
      </c>
      <c r="J6" s="341">
        <v>3.6</v>
      </c>
      <c r="K6" s="341"/>
      <c r="L6" s="346">
        <v>39717</v>
      </c>
      <c r="M6" s="346">
        <v>42170</v>
      </c>
      <c r="N6" s="346">
        <v>47021</v>
      </c>
      <c r="O6" s="347">
        <v>13</v>
      </c>
      <c r="P6" s="347" t="s">
        <v>314</v>
      </c>
      <c r="Q6" s="348">
        <v>42170</v>
      </c>
      <c r="R6" s="352">
        <v>42370</v>
      </c>
      <c r="S6" s="341">
        <v>6.63</v>
      </c>
      <c r="T6" s="4" t="s">
        <v>787</v>
      </c>
    </row>
    <row r="7" spans="1:21" s="4" customFormat="1" ht="30" customHeight="1" x14ac:dyDescent="0.25">
      <c r="A7" s="338" t="s">
        <v>32</v>
      </c>
      <c r="B7" s="338" t="s">
        <v>44</v>
      </c>
      <c r="C7" s="373" t="s">
        <v>49</v>
      </c>
      <c r="D7" s="373">
        <v>5</v>
      </c>
      <c r="E7" s="374" t="s">
        <v>35</v>
      </c>
      <c r="F7" s="374" t="s">
        <v>151</v>
      </c>
      <c r="G7" s="374" t="s">
        <v>152</v>
      </c>
      <c r="H7" s="375">
        <v>21.76</v>
      </c>
      <c r="I7" s="375">
        <v>21.76</v>
      </c>
      <c r="J7" s="375">
        <v>8</v>
      </c>
      <c r="K7" s="375"/>
      <c r="L7" s="376">
        <v>40060</v>
      </c>
      <c r="M7" s="376">
        <v>42170</v>
      </c>
      <c r="N7" s="376">
        <v>47216</v>
      </c>
      <c r="O7" s="377">
        <v>14</v>
      </c>
      <c r="P7" s="377" t="s">
        <v>315</v>
      </c>
      <c r="Q7" s="378">
        <v>42170</v>
      </c>
      <c r="R7" s="379">
        <v>42370</v>
      </c>
      <c r="S7" s="375">
        <v>6.63</v>
      </c>
      <c r="T7" s="4" t="s">
        <v>787</v>
      </c>
    </row>
    <row r="8" spans="1:21" s="4" customFormat="1" ht="30" customHeight="1" x14ac:dyDescent="0.25">
      <c r="A8" s="337" t="s">
        <v>7</v>
      </c>
      <c r="B8" s="337" t="s">
        <v>44</v>
      </c>
      <c r="C8" s="340" t="s">
        <v>49</v>
      </c>
      <c r="D8" s="340">
        <v>6</v>
      </c>
      <c r="E8" s="345" t="s">
        <v>37</v>
      </c>
      <c r="F8" s="345" t="s">
        <v>153</v>
      </c>
      <c r="G8" s="345" t="s">
        <v>190</v>
      </c>
      <c r="H8" s="341">
        <v>12.5</v>
      </c>
      <c r="I8" s="341">
        <v>12.5</v>
      </c>
      <c r="J8" s="341">
        <v>11.1</v>
      </c>
      <c r="K8" s="341"/>
      <c r="L8" s="364">
        <v>42195</v>
      </c>
      <c r="M8" s="364">
        <v>42195</v>
      </c>
      <c r="N8" s="364">
        <v>49499</v>
      </c>
      <c r="O8" s="365">
        <v>20</v>
      </c>
      <c r="P8" s="347" t="s">
        <v>317</v>
      </c>
      <c r="Q8" s="348">
        <v>42334</v>
      </c>
      <c r="R8" s="364">
        <v>42561</v>
      </c>
      <c r="S8" s="341">
        <v>6.63</v>
      </c>
      <c r="T8" s="4" t="s">
        <v>787</v>
      </c>
    </row>
    <row r="9" spans="1:21" s="4" customFormat="1" ht="30" customHeight="1" x14ac:dyDescent="0.25">
      <c r="A9" s="337" t="s">
        <v>7</v>
      </c>
      <c r="B9" s="337" t="s">
        <v>44</v>
      </c>
      <c r="C9" s="340" t="s">
        <v>49</v>
      </c>
      <c r="D9" s="340">
        <v>7</v>
      </c>
      <c r="E9" s="345" t="s">
        <v>154</v>
      </c>
      <c r="F9" s="345" t="s">
        <v>155</v>
      </c>
      <c r="G9" s="345" t="s">
        <v>156</v>
      </c>
      <c r="H9" s="341">
        <v>15</v>
      </c>
      <c r="I9" s="341">
        <v>20</v>
      </c>
      <c r="J9" s="341">
        <v>18</v>
      </c>
      <c r="K9" s="341"/>
      <c r="L9" s="346">
        <v>42283</v>
      </c>
      <c r="M9" s="346">
        <v>42283</v>
      </c>
      <c r="N9" s="346">
        <v>49587</v>
      </c>
      <c r="O9" s="347">
        <v>20</v>
      </c>
      <c r="P9" s="347" t="s">
        <v>318</v>
      </c>
      <c r="Q9" s="354" t="s">
        <v>157</v>
      </c>
      <c r="R9" s="346">
        <v>42649</v>
      </c>
      <c r="S9" s="341">
        <v>6.63</v>
      </c>
      <c r="T9" s="4" t="s">
        <v>787</v>
      </c>
    </row>
    <row r="10" spans="1:21" s="4" customFormat="1" ht="30" customHeight="1" x14ac:dyDescent="0.25">
      <c r="A10" s="338" t="s">
        <v>32</v>
      </c>
      <c r="B10" s="338" t="s">
        <v>44</v>
      </c>
      <c r="C10" s="373" t="s">
        <v>49</v>
      </c>
      <c r="D10" s="373">
        <v>8</v>
      </c>
      <c r="E10" s="338" t="s">
        <v>39</v>
      </c>
      <c r="F10" s="374" t="s">
        <v>158</v>
      </c>
      <c r="G10" s="374" t="s">
        <v>159</v>
      </c>
      <c r="H10" s="375">
        <v>46</v>
      </c>
      <c r="I10" s="375">
        <v>46</v>
      </c>
      <c r="J10" s="375">
        <v>20</v>
      </c>
      <c r="K10" s="375"/>
      <c r="L10" s="376">
        <v>42024</v>
      </c>
      <c r="M10" s="376">
        <v>42024</v>
      </c>
      <c r="N10" s="376">
        <v>49328</v>
      </c>
      <c r="O10" s="377">
        <v>20</v>
      </c>
      <c r="P10" s="377" t="s">
        <v>319</v>
      </c>
      <c r="Q10" s="380" t="s">
        <v>222</v>
      </c>
      <c r="R10" s="376">
        <v>42389</v>
      </c>
      <c r="S10" s="375">
        <v>6.63</v>
      </c>
      <c r="T10" s="4" t="s">
        <v>787</v>
      </c>
    </row>
    <row r="11" spans="1:21" s="4" customFormat="1" ht="30" customHeight="1" x14ac:dyDescent="0.25">
      <c r="A11" s="338" t="s">
        <v>32</v>
      </c>
      <c r="B11" s="338" t="s">
        <v>44</v>
      </c>
      <c r="C11" s="373" t="s">
        <v>50</v>
      </c>
      <c r="D11" s="373">
        <v>9</v>
      </c>
      <c r="E11" s="374" t="s">
        <v>239</v>
      </c>
      <c r="F11" s="374" t="s">
        <v>604</v>
      </c>
      <c r="G11" s="374" t="s">
        <v>258</v>
      </c>
      <c r="H11" s="375">
        <v>23</v>
      </c>
      <c r="I11" s="375">
        <v>34</v>
      </c>
      <c r="J11" s="375">
        <v>2.5</v>
      </c>
      <c r="K11" s="375"/>
      <c r="L11" s="376">
        <v>42300</v>
      </c>
      <c r="M11" s="376">
        <v>42300</v>
      </c>
      <c r="N11" s="376">
        <v>49604</v>
      </c>
      <c r="O11" s="377">
        <f>YEAR(N11)-YEAR(M11)</f>
        <v>20</v>
      </c>
      <c r="P11" s="377" t="str">
        <f>DAY(M11)&amp;" "&amp;TEXT(M11,"mmmm")&amp;" "&amp;YEAR(M11)&amp;" - "&amp;DAY(N11)&amp;" "&amp;TEXT(N11,"mmmm")&amp;" "&amp;YEAR(N11)</f>
        <v>23 October 2015 - 22 October 2035</v>
      </c>
      <c r="Q11" s="382" t="s">
        <v>368</v>
      </c>
      <c r="R11" s="376"/>
      <c r="S11" s="375">
        <v>6.63</v>
      </c>
      <c r="T11" s="4" t="s">
        <v>787</v>
      </c>
    </row>
    <row r="12" spans="1:21" s="4" customFormat="1" ht="30" customHeight="1" x14ac:dyDescent="0.25">
      <c r="A12" s="337" t="s">
        <v>7</v>
      </c>
      <c r="B12" s="337" t="s">
        <v>44</v>
      </c>
      <c r="C12" s="340" t="s">
        <v>49</v>
      </c>
      <c r="D12" s="340">
        <v>10</v>
      </c>
      <c r="E12" s="345" t="s">
        <v>38</v>
      </c>
      <c r="F12" s="345" t="s">
        <v>160</v>
      </c>
      <c r="G12" s="345" t="s">
        <v>161</v>
      </c>
      <c r="H12" s="341">
        <v>19.809999999999999</v>
      </c>
      <c r="I12" s="341">
        <v>19.809999999999999</v>
      </c>
      <c r="J12" s="341">
        <v>14</v>
      </c>
      <c r="K12" s="341"/>
      <c r="L12" s="346">
        <v>41243</v>
      </c>
      <c r="M12" s="346">
        <v>41243</v>
      </c>
      <c r="N12" s="346">
        <v>48547</v>
      </c>
      <c r="O12" s="347">
        <v>20</v>
      </c>
      <c r="P12" s="347" t="s">
        <v>316</v>
      </c>
      <c r="Q12" s="348">
        <v>42402</v>
      </c>
      <c r="R12" s="352">
        <v>42370</v>
      </c>
      <c r="S12" s="341">
        <v>6.63</v>
      </c>
      <c r="T12" s="4" t="s">
        <v>787</v>
      </c>
    </row>
    <row r="13" spans="1:21" s="4" customFormat="1" ht="30" customHeight="1" x14ac:dyDescent="0.25">
      <c r="A13" s="337" t="s">
        <v>7</v>
      </c>
      <c r="B13" s="337" t="s">
        <v>44</v>
      </c>
      <c r="C13" s="340" t="s">
        <v>49</v>
      </c>
      <c r="D13" s="340">
        <v>11</v>
      </c>
      <c r="E13" s="337" t="s">
        <v>40</v>
      </c>
      <c r="F13" s="337" t="s">
        <v>162</v>
      </c>
      <c r="G13" s="337" t="s">
        <v>163</v>
      </c>
      <c r="H13" s="341">
        <v>12</v>
      </c>
      <c r="I13" s="341">
        <v>12</v>
      </c>
      <c r="J13" s="341">
        <v>10.8</v>
      </c>
      <c r="K13" s="341"/>
      <c r="L13" s="346">
        <v>42427</v>
      </c>
      <c r="M13" s="346">
        <v>42427</v>
      </c>
      <c r="N13" s="346">
        <v>49731</v>
      </c>
      <c r="O13" s="347">
        <v>20</v>
      </c>
      <c r="P13" s="347" t="s">
        <v>320</v>
      </c>
      <c r="Q13" s="355" t="s">
        <v>164</v>
      </c>
      <c r="R13" s="346">
        <v>42793</v>
      </c>
      <c r="S13" s="341">
        <v>6.63</v>
      </c>
      <c r="T13" s="4" t="s">
        <v>787</v>
      </c>
    </row>
    <row r="14" spans="1:21" s="4" customFormat="1" ht="30" customHeight="1" x14ac:dyDescent="0.25">
      <c r="A14" s="337" t="s">
        <v>7</v>
      </c>
      <c r="B14" s="337" t="s">
        <v>44</v>
      </c>
      <c r="C14" s="340" t="s">
        <v>49</v>
      </c>
      <c r="D14" s="340">
        <v>12</v>
      </c>
      <c r="E14" s="337" t="s">
        <v>41</v>
      </c>
      <c r="F14" s="337" t="s">
        <v>165</v>
      </c>
      <c r="G14" s="337" t="s">
        <v>166</v>
      </c>
      <c r="H14" s="341">
        <v>5</v>
      </c>
      <c r="I14" s="341">
        <v>5</v>
      </c>
      <c r="J14" s="341">
        <v>4.4000000000000004</v>
      </c>
      <c r="K14" s="341"/>
      <c r="L14" s="346">
        <v>42653</v>
      </c>
      <c r="M14" s="346">
        <v>42653</v>
      </c>
      <c r="N14" s="346">
        <v>49957</v>
      </c>
      <c r="O14" s="347">
        <v>20</v>
      </c>
      <c r="P14" s="347" t="s">
        <v>321</v>
      </c>
      <c r="Q14" s="348">
        <v>42821</v>
      </c>
      <c r="R14" s="346">
        <v>43018</v>
      </c>
      <c r="S14" s="341">
        <v>6.63</v>
      </c>
      <c r="T14" s="4" t="s">
        <v>787</v>
      </c>
    </row>
    <row r="15" spans="1:21" s="4" customFormat="1" ht="44.25" customHeight="1" x14ac:dyDescent="0.25">
      <c r="A15" s="339" t="s">
        <v>8</v>
      </c>
      <c r="B15" s="339" t="s">
        <v>44</v>
      </c>
      <c r="C15" s="366" t="s">
        <v>49</v>
      </c>
      <c r="D15" s="366">
        <v>13</v>
      </c>
      <c r="E15" s="339" t="s">
        <v>42</v>
      </c>
      <c r="F15" s="339" t="s">
        <v>167</v>
      </c>
      <c r="G15" s="339" t="s">
        <v>168</v>
      </c>
      <c r="H15" s="368">
        <v>15</v>
      </c>
      <c r="I15" s="339">
        <v>13.5</v>
      </c>
      <c r="J15" s="339">
        <v>13.5</v>
      </c>
      <c r="K15" s="339"/>
      <c r="L15" s="369">
        <v>42653</v>
      </c>
      <c r="M15" s="369">
        <v>42734</v>
      </c>
      <c r="N15" s="369">
        <v>50038</v>
      </c>
      <c r="O15" s="370">
        <v>20</v>
      </c>
      <c r="P15" s="370" t="s">
        <v>324</v>
      </c>
      <c r="Q15" s="371">
        <v>43206</v>
      </c>
      <c r="R15" s="369">
        <v>43018</v>
      </c>
      <c r="S15" s="368">
        <v>6.63</v>
      </c>
      <c r="T15" s="4" t="s">
        <v>787</v>
      </c>
      <c r="U15" s="69">
        <f>SUM(J3:J15)</f>
        <v>120.95100000000001</v>
      </c>
    </row>
    <row r="16" spans="1:21" s="4" customFormat="1" ht="60" x14ac:dyDescent="0.25">
      <c r="A16" s="534" t="s">
        <v>7</v>
      </c>
      <c r="B16" s="534" t="s">
        <v>44</v>
      </c>
      <c r="C16" s="535" t="s">
        <v>49</v>
      </c>
      <c r="D16" s="535">
        <v>14</v>
      </c>
      <c r="E16" s="534" t="s">
        <v>169</v>
      </c>
      <c r="F16" s="536" t="s">
        <v>170</v>
      </c>
      <c r="G16" s="536" t="s">
        <v>171</v>
      </c>
      <c r="H16" s="537">
        <v>8.8000000000000007</v>
      </c>
      <c r="I16" s="537">
        <v>8.8000000000000007</v>
      </c>
      <c r="J16" s="537">
        <v>2.21</v>
      </c>
      <c r="K16" s="537"/>
      <c r="L16" s="538">
        <v>42718</v>
      </c>
      <c r="M16" s="538">
        <v>42718</v>
      </c>
      <c r="N16" s="538">
        <v>50022</v>
      </c>
      <c r="O16" s="539">
        <v>20</v>
      </c>
      <c r="P16" s="539" t="s">
        <v>322</v>
      </c>
      <c r="Q16" s="540">
        <v>43033</v>
      </c>
      <c r="R16" s="538">
        <v>43083</v>
      </c>
      <c r="S16" s="541" t="s">
        <v>217</v>
      </c>
      <c r="T16" s="4" t="s">
        <v>787</v>
      </c>
    </row>
    <row r="17" spans="1:21" s="4" customFormat="1" ht="30" customHeight="1" x14ac:dyDescent="0.25">
      <c r="A17" s="77"/>
      <c r="B17" s="77"/>
      <c r="C17" s="311"/>
      <c r="D17" s="332">
        <f>COUNT(D3:D16)</f>
        <v>14</v>
      </c>
      <c r="E17" s="77"/>
      <c r="F17" s="77"/>
      <c r="G17" s="77"/>
      <c r="H17" s="318">
        <f>SUM(H3:H16)</f>
        <v>201.71600000000001</v>
      </c>
      <c r="I17" s="318">
        <f>SUM(I3:I16)</f>
        <v>218.10400000000001</v>
      </c>
      <c r="J17" s="318">
        <f>SUM(J3:J16)</f>
        <v>123.161</v>
      </c>
      <c r="K17" s="309"/>
      <c r="L17" s="87"/>
      <c r="M17" s="87"/>
      <c r="N17" s="87"/>
      <c r="O17" s="88"/>
      <c r="P17" s="88"/>
      <c r="Q17" s="313"/>
      <c r="R17" s="87"/>
      <c r="S17" s="312"/>
    </row>
    <row r="18" spans="1:21" s="4" customFormat="1" ht="30" customHeight="1" x14ac:dyDescent="0.25">
      <c r="A18" s="339" t="s">
        <v>8</v>
      </c>
      <c r="B18" s="339" t="s">
        <v>44</v>
      </c>
      <c r="C18" s="366" t="s">
        <v>51</v>
      </c>
      <c r="D18" s="366">
        <v>15</v>
      </c>
      <c r="E18" s="339" t="s">
        <v>179</v>
      </c>
      <c r="F18" s="367" t="s">
        <v>180</v>
      </c>
      <c r="G18" s="367" t="s">
        <v>181</v>
      </c>
      <c r="H18" s="368">
        <v>3.33</v>
      </c>
      <c r="I18" s="368">
        <v>3.5</v>
      </c>
      <c r="J18" s="368">
        <v>1.64</v>
      </c>
      <c r="K18" s="368"/>
      <c r="L18" s="369">
        <v>42882</v>
      </c>
      <c r="M18" s="369">
        <v>42882</v>
      </c>
      <c r="N18" s="369">
        <v>50186</v>
      </c>
      <c r="O18" s="370">
        <v>20</v>
      </c>
      <c r="P18" s="370" t="s">
        <v>327</v>
      </c>
      <c r="Q18" s="372" t="s">
        <v>328</v>
      </c>
      <c r="R18" s="369">
        <v>43247</v>
      </c>
      <c r="S18" s="384">
        <v>6.5968999999999998</v>
      </c>
    </row>
    <row r="19" spans="1:21" s="4" customFormat="1" ht="30" customHeight="1" x14ac:dyDescent="0.25">
      <c r="A19" s="337" t="s">
        <v>7</v>
      </c>
      <c r="B19" s="337" t="s">
        <v>44</v>
      </c>
      <c r="C19" s="340" t="s">
        <v>51</v>
      </c>
      <c r="D19" s="340">
        <v>16</v>
      </c>
      <c r="E19" s="345" t="s">
        <v>33</v>
      </c>
      <c r="F19" s="345" t="s">
        <v>172</v>
      </c>
      <c r="G19" s="345" t="s">
        <v>148</v>
      </c>
      <c r="H19" s="341">
        <v>0.64</v>
      </c>
      <c r="I19" s="349">
        <v>0.42399999999999999</v>
      </c>
      <c r="J19" s="349">
        <v>0.42399999999999999</v>
      </c>
      <c r="K19" s="349"/>
      <c r="L19" s="346">
        <v>42783</v>
      </c>
      <c r="M19" s="346">
        <v>42783</v>
      </c>
      <c r="N19" s="346">
        <v>50087</v>
      </c>
      <c r="O19" s="347">
        <v>20</v>
      </c>
      <c r="P19" s="347" t="s">
        <v>326</v>
      </c>
      <c r="Q19" s="356">
        <v>43033</v>
      </c>
      <c r="R19" s="346">
        <v>43148</v>
      </c>
      <c r="S19" s="357">
        <v>6.5968999999999998</v>
      </c>
    </row>
    <row r="20" spans="1:21" s="4" customFormat="1" ht="30" customHeight="1" x14ac:dyDescent="0.25">
      <c r="A20" s="337" t="s">
        <v>7</v>
      </c>
      <c r="B20" s="337" t="s">
        <v>44</v>
      </c>
      <c r="C20" s="340" t="s">
        <v>51</v>
      </c>
      <c r="D20" s="340">
        <v>17</v>
      </c>
      <c r="E20" s="345" t="s">
        <v>34</v>
      </c>
      <c r="F20" s="345" t="s">
        <v>174</v>
      </c>
      <c r="G20" s="345" t="s">
        <v>175</v>
      </c>
      <c r="H20" s="341">
        <v>12</v>
      </c>
      <c r="I20" s="341">
        <v>12</v>
      </c>
      <c r="J20" s="341">
        <v>10.8</v>
      </c>
      <c r="K20" s="341"/>
      <c r="L20" s="346">
        <v>43000</v>
      </c>
      <c r="M20" s="346">
        <v>43000</v>
      </c>
      <c r="N20" s="346">
        <v>50304</v>
      </c>
      <c r="O20" s="347">
        <v>20</v>
      </c>
      <c r="P20" s="347" t="s">
        <v>325</v>
      </c>
      <c r="Q20" s="356">
        <v>43082</v>
      </c>
      <c r="R20" s="346">
        <v>43365</v>
      </c>
      <c r="S20" s="357">
        <v>6.5968999999999998</v>
      </c>
    </row>
    <row r="21" spans="1:21" s="4" customFormat="1" ht="95.65" customHeight="1" x14ac:dyDescent="0.25">
      <c r="A21" s="358" t="s">
        <v>7</v>
      </c>
      <c r="B21" s="359" t="s">
        <v>44</v>
      </c>
      <c r="C21" s="359" t="s">
        <v>51</v>
      </c>
      <c r="D21" s="359">
        <v>18</v>
      </c>
      <c r="E21" s="358" t="s">
        <v>176</v>
      </c>
      <c r="F21" s="360" t="s">
        <v>177</v>
      </c>
      <c r="G21" s="360" t="s">
        <v>173</v>
      </c>
      <c r="H21" s="361">
        <v>2.121</v>
      </c>
      <c r="I21" s="362">
        <v>2</v>
      </c>
      <c r="J21" s="362">
        <v>1.7</v>
      </c>
      <c r="K21" s="362"/>
      <c r="L21" s="352">
        <v>42937</v>
      </c>
      <c r="M21" s="352">
        <v>42937</v>
      </c>
      <c r="N21" s="352">
        <v>50241</v>
      </c>
      <c r="O21" s="353">
        <v>20</v>
      </c>
      <c r="P21" s="353" t="s">
        <v>333</v>
      </c>
      <c r="Q21" s="348" t="s">
        <v>334</v>
      </c>
      <c r="R21" s="352">
        <v>43302</v>
      </c>
      <c r="S21" s="363" t="s">
        <v>335</v>
      </c>
      <c r="U21" s="68">
        <f>SUM(J18:J21)</f>
        <v>14.564</v>
      </c>
    </row>
    <row r="22" spans="1:21" s="4" customFormat="1" ht="29.45" customHeight="1" x14ac:dyDescent="0.25">
      <c r="A22" s="322"/>
      <c r="B22" s="322"/>
      <c r="C22" s="323"/>
      <c r="D22" s="334">
        <f>COUNT(D18:D21)</f>
        <v>4</v>
      </c>
      <c r="E22" s="322"/>
      <c r="F22" s="324"/>
      <c r="G22" s="324"/>
      <c r="H22" s="325">
        <f>SUM(H18:H21)</f>
        <v>18.091000000000001</v>
      </c>
      <c r="I22" s="325">
        <f>SUM(I18:I21)</f>
        <v>17.923999999999999</v>
      </c>
      <c r="J22" s="325">
        <f>SUM(J18:J21)</f>
        <v>14.564</v>
      </c>
      <c r="K22" s="320"/>
      <c r="L22" s="317"/>
      <c r="M22" s="317"/>
      <c r="N22" s="317"/>
      <c r="O22" s="321"/>
      <c r="P22" s="321"/>
      <c r="Q22" s="319"/>
      <c r="R22" s="317"/>
      <c r="S22" s="328"/>
      <c r="U22" s="68"/>
    </row>
    <row r="23" spans="1:21" s="67" customFormat="1" ht="30" customHeight="1" x14ac:dyDescent="0.25">
      <c r="A23" s="339" t="s">
        <v>8</v>
      </c>
      <c r="B23" s="339" t="s">
        <v>44</v>
      </c>
      <c r="C23" s="366" t="s">
        <v>50</v>
      </c>
      <c r="D23" s="366">
        <v>19</v>
      </c>
      <c r="E23" s="367" t="s">
        <v>221</v>
      </c>
      <c r="F23" s="367" t="s">
        <v>221</v>
      </c>
      <c r="G23" s="367" t="s">
        <v>220</v>
      </c>
      <c r="H23" s="368">
        <v>5.96</v>
      </c>
      <c r="I23" s="368">
        <v>5.96</v>
      </c>
      <c r="J23" s="368">
        <v>3.5</v>
      </c>
      <c r="K23" s="368"/>
      <c r="L23" s="369">
        <v>43228</v>
      </c>
      <c r="M23" s="369">
        <v>43228</v>
      </c>
      <c r="N23" s="369">
        <v>50532</v>
      </c>
      <c r="O23" s="370">
        <v>20</v>
      </c>
      <c r="P23" s="370" t="s">
        <v>329</v>
      </c>
      <c r="Q23" s="372">
        <v>43711</v>
      </c>
      <c r="R23" s="369"/>
      <c r="S23" s="384">
        <v>6.5968999999999998</v>
      </c>
    </row>
    <row r="24" spans="1:21" s="67" customFormat="1" ht="30" customHeight="1" x14ac:dyDescent="0.25">
      <c r="A24" s="337" t="s">
        <v>7</v>
      </c>
      <c r="B24" s="337" t="s">
        <v>44</v>
      </c>
      <c r="C24" s="340" t="s">
        <v>50</v>
      </c>
      <c r="D24" s="340">
        <v>20</v>
      </c>
      <c r="E24" s="345" t="s">
        <v>228</v>
      </c>
      <c r="F24" s="345" t="s">
        <v>229</v>
      </c>
      <c r="G24" s="345" t="s">
        <v>227</v>
      </c>
      <c r="H24" s="341">
        <v>15</v>
      </c>
      <c r="I24" s="341">
        <v>15</v>
      </c>
      <c r="J24" s="341">
        <v>13.5</v>
      </c>
      <c r="K24" s="341"/>
      <c r="L24" s="346">
        <v>43741</v>
      </c>
      <c r="M24" s="346">
        <v>43741</v>
      </c>
      <c r="N24" s="346">
        <v>51045</v>
      </c>
      <c r="O24" s="347">
        <f>YEAR(N24)-YEAR(M24)</f>
        <v>20</v>
      </c>
      <c r="P24" s="347" t="str">
        <f>DAY(M24)&amp;" "&amp;TEXT(M24,"mmmm")&amp;" "&amp;YEAR(M24)&amp;" - "&amp;DAY(N24)&amp;" "&amp;TEXT(N24,"mmmm")&amp;" "&amp;YEAR(N24)</f>
        <v>3 October 2019 - 2 October 2039</v>
      </c>
      <c r="Q24" s="356" t="s">
        <v>353</v>
      </c>
      <c r="R24" s="346"/>
      <c r="S24" s="341">
        <v>6.19</v>
      </c>
      <c r="U24" s="108">
        <f>SUM(J3:J25)</f>
        <v>294.45</v>
      </c>
    </row>
    <row r="25" spans="1:21" s="67" customFormat="1" ht="30" customHeight="1" x14ac:dyDescent="0.25">
      <c r="A25" s="337" t="s">
        <v>7</v>
      </c>
      <c r="B25" s="337" t="s">
        <v>44</v>
      </c>
      <c r="C25" s="340" t="s">
        <v>50</v>
      </c>
      <c r="D25" s="340">
        <v>21</v>
      </c>
      <c r="E25" s="345" t="s">
        <v>233</v>
      </c>
      <c r="F25" s="345" t="s">
        <v>234</v>
      </c>
      <c r="G25" s="345" t="s">
        <v>235</v>
      </c>
      <c r="H25" s="341">
        <v>32.5</v>
      </c>
      <c r="I25" s="341">
        <v>31.875</v>
      </c>
      <c r="J25" s="341">
        <v>2</v>
      </c>
      <c r="K25" s="341"/>
      <c r="L25" s="346" t="s">
        <v>236</v>
      </c>
      <c r="M25" s="346">
        <v>43147</v>
      </c>
      <c r="N25" s="346">
        <v>46798</v>
      </c>
      <c r="O25" s="492">
        <f>YEAR(N25)-YEAR(M25)</f>
        <v>10</v>
      </c>
      <c r="P25" s="347" t="str">
        <f>DAY(M25)&amp;" "&amp;TEXT(M25,"mmmm")&amp;" "&amp;YEAR(M25)&amp;" - "&amp;DAY(N25)&amp;" "&amp;TEXT(N25,"mmmm")&amp;" "&amp;YEAR(N25)</f>
        <v>16 February 2018 - 15 February 2028</v>
      </c>
      <c r="Q25" s="356" t="s">
        <v>355</v>
      </c>
      <c r="R25" s="346"/>
      <c r="S25" s="341">
        <v>6.19</v>
      </c>
    </row>
    <row r="26" spans="1:21" s="67" customFormat="1" ht="30" customHeight="1" x14ac:dyDescent="0.25">
      <c r="A26" s="338" t="s">
        <v>32</v>
      </c>
      <c r="B26" s="338" t="s">
        <v>44</v>
      </c>
      <c r="C26" s="373" t="s">
        <v>50</v>
      </c>
      <c r="D26" s="373">
        <v>22</v>
      </c>
      <c r="E26" s="374" t="s">
        <v>237</v>
      </c>
      <c r="F26" s="374" t="s">
        <v>248</v>
      </c>
      <c r="G26" s="374" t="s">
        <v>257</v>
      </c>
      <c r="H26" s="375">
        <v>15</v>
      </c>
      <c r="I26" s="375">
        <v>23</v>
      </c>
      <c r="J26" s="375">
        <v>8</v>
      </c>
      <c r="K26" s="375"/>
      <c r="L26" s="376">
        <v>40518</v>
      </c>
      <c r="M26" s="376">
        <v>44167</v>
      </c>
      <c r="N26" s="376">
        <v>47822</v>
      </c>
      <c r="O26" s="494">
        <f>YEAR(N26)-YEAR(M26)</f>
        <v>10</v>
      </c>
      <c r="P26" s="381" t="str">
        <f>DAY(M26)&amp;" "&amp;TEXT(M26,"mmmm")&amp;" "&amp;YEAR(M26)&amp;" - "&amp;DAY(N26)&amp;" "&amp;TEXT(N26,"mmmm")&amp;" "&amp;YEAR(N26)</f>
        <v>2 December 2020 - 5 December 2030</v>
      </c>
      <c r="Q26" s="382" t="s">
        <v>337</v>
      </c>
      <c r="R26" s="376"/>
      <c r="S26" s="375">
        <v>6.19</v>
      </c>
      <c r="U26" s="107">
        <f>SUM(J3:J26)</f>
        <v>302.45</v>
      </c>
    </row>
    <row r="27" spans="1:21" s="67" customFormat="1" ht="30" customHeight="1" x14ac:dyDescent="0.25">
      <c r="A27" s="338" t="s">
        <v>32</v>
      </c>
      <c r="B27" s="338" t="s">
        <v>44</v>
      </c>
      <c r="C27" s="373" t="s">
        <v>50</v>
      </c>
      <c r="D27" s="373">
        <v>24</v>
      </c>
      <c r="E27" s="374" t="s">
        <v>240</v>
      </c>
      <c r="F27" s="374" t="s">
        <v>793</v>
      </c>
      <c r="G27" s="374" t="s">
        <v>258</v>
      </c>
      <c r="H27" s="375">
        <v>20.58</v>
      </c>
      <c r="I27" s="375">
        <v>9.5</v>
      </c>
      <c r="J27" s="375">
        <v>2</v>
      </c>
      <c r="K27" s="375"/>
      <c r="L27" s="376">
        <v>42039</v>
      </c>
      <c r="M27" s="376">
        <v>43755</v>
      </c>
      <c r="N27" s="376">
        <v>51059</v>
      </c>
      <c r="O27" s="377">
        <f>YEAR(N27)-YEAR(M27)</f>
        <v>20</v>
      </c>
      <c r="P27" s="381" t="str">
        <f>DAY(M27)&amp;" "&amp;TEXT(M27,"mmmm")&amp;" "&amp;YEAR(M27)&amp;" - "&amp;DAY(N27)&amp;" "&amp;TEXT(N27,"mmmm")&amp;" "&amp;YEAR(N27)</f>
        <v>17 October 2019 - 16 October 2039</v>
      </c>
      <c r="Q27" s="382" t="s">
        <v>757</v>
      </c>
      <c r="R27" s="376"/>
      <c r="S27" s="375">
        <v>6.19</v>
      </c>
    </row>
    <row r="28" spans="1:21" s="67" customFormat="1" ht="30" customHeight="1" x14ac:dyDescent="0.25">
      <c r="A28" s="385" t="s">
        <v>8</v>
      </c>
      <c r="B28" s="385" t="s">
        <v>44</v>
      </c>
      <c r="C28" s="386" t="s">
        <v>50</v>
      </c>
      <c r="D28" s="386">
        <v>25</v>
      </c>
      <c r="E28" s="330" t="s">
        <v>238</v>
      </c>
      <c r="F28" s="330" t="s">
        <v>251</v>
      </c>
      <c r="G28" s="330" t="s">
        <v>259</v>
      </c>
      <c r="H28" s="387">
        <v>9.52</v>
      </c>
      <c r="I28" s="387">
        <v>12.39</v>
      </c>
      <c r="J28" s="387">
        <v>6.4</v>
      </c>
      <c r="K28" s="387"/>
      <c r="L28" s="388">
        <v>43439</v>
      </c>
      <c r="M28" s="388"/>
      <c r="N28" s="388"/>
      <c r="O28" s="389"/>
      <c r="P28" s="389"/>
      <c r="Q28" s="390"/>
      <c r="R28" s="388"/>
      <c r="S28" s="387">
        <v>6.19</v>
      </c>
      <c r="T28" s="491" t="s">
        <v>783</v>
      </c>
    </row>
    <row r="29" spans="1:21" s="67" customFormat="1" ht="30" customHeight="1" x14ac:dyDescent="0.25">
      <c r="A29" s="385" t="s">
        <v>32</v>
      </c>
      <c r="B29" s="385" t="s">
        <v>44</v>
      </c>
      <c r="C29" s="386" t="s">
        <v>50</v>
      </c>
      <c r="D29" s="386">
        <v>26</v>
      </c>
      <c r="E29" s="330" t="s">
        <v>241</v>
      </c>
      <c r="F29" s="330" t="s">
        <v>252</v>
      </c>
      <c r="G29" s="330" t="s">
        <v>260</v>
      </c>
      <c r="H29" s="387">
        <v>8.3000000000000007</v>
      </c>
      <c r="I29" s="387">
        <v>8</v>
      </c>
      <c r="J29" s="387">
        <v>1.5</v>
      </c>
      <c r="K29" s="387"/>
      <c r="L29" s="388">
        <v>39881</v>
      </c>
      <c r="M29" s="388"/>
      <c r="N29" s="388"/>
      <c r="O29" s="389"/>
      <c r="P29" s="389"/>
      <c r="Q29" s="390"/>
      <c r="R29" s="388"/>
      <c r="S29" s="387">
        <v>6.19</v>
      </c>
      <c r="T29" s="491" t="s">
        <v>783</v>
      </c>
    </row>
    <row r="30" spans="1:21" s="67" customFormat="1" ht="30" customHeight="1" x14ac:dyDescent="0.25">
      <c r="A30" s="338" t="s">
        <v>32</v>
      </c>
      <c r="B30" s="338" t="s">
        <v>44</v>
      </c>
      <c r="C30" s="373" t="s">
        <v>50</v>
      </c>
      <c r="D30" s="373">
        <v>27</v>
      </c>
      <c r="E30" s="374" t="s">
        <v>242</v>
      </c>
      <c r="F30" s="374" t="s">
        <v>253</v>
      </c>
      <c r="G30" s="374" t="s">
        <v>261</v>
      </c>
      <c r="H30" s="375">
        <v>20</v>
      </c>
      <c r="I30" s="375">
        <v>25</v>
      </c>
      <c r="J30" s="375">
        <v>12</v>
      </c>
      <c r="K30" s="375"/>
      <c r="L30" s="376">
        <v>43783</v>
      </c>
      <c r="M30" s="376"/>
      <c r="N30" s="376"/>
      <c r="O30" s="377"/>
      <c r="P30" s="377"/>
      <c r="Q30" s="383"/>
      <c r="R30" s="376"/>
      <c r="S30" s="375">
        <v>6.19</v>
      </c>
      <c r="T30" s="67" t="s">
        <v>784</v>
      </c>
    </row>
    <row r="31" spans="1:21" s="67" customFormat="1" ht="30" customHeight="1" x14ac:dyDescent="0.25">
      <c r="A31" s="337" t="s">
        <v>7</v>
      </c>
      <c r="B31" s="337" t="s">
        <v>44</v>
      </c>
      <c r="C31" s="340" t="s">
        <v>50</v>
      </c>
      <c r="D31" s="340">
        <v>28</v>
      </c>
      <c r="E31" s="345" t="s">
        <v>243</v>
      </c>
      <c r="F31" s="345" t="s">
        <v>254</v>
      </c>
      <c r="G31" s="345" t="s">
        <v>262</v>
      </c>
      <c r="H31" s="341">
        <v>12</v>
      </c>
      <c r="I31" s="341">
        <v>12</v>
      </c>
      <c r="J31" s="341">
        <v>10.8</v>
      </c>
      <c r="K31" s="341"/>
      <c r="L31" s="346">
        <v>43812</v>
      </c>
      <c r="M31" s="346">
        <v>43812</v>
      </c>
      <c r="N31" s="346">
        <v>51116</v>
      </c>
      <c r="O31" s="347">
        <f>YEAR(N31)-YEAR(M31)</f>
        <v>20</v>
      </c>
      <c r="P31" s="347" t="str">
        <f>DAY(M31)&amp;" "&amp;TEXT(M31,"mmmm")&amp;" "&amp;YEAR(M31)&amp;" - "&amp;DAY(N31)&amp;" "&amp;TEXT(N31,"mmmm")&amp;" "&amp;YEAR(N31)</f>
        <v>13 December 2019 - 12 December 2039</v>
      </c>
      <c r="Q31" s="356" t="s">
        <v>363</v>
      </c>
      <c r="R31" s="346"/>
      <c r="S31" s="341">
        <v>6.19</v>
      </c>
    </row>
    <row r="32" spans="1:21" s="67" customFormat="1" ht="30" customHeight="1" x14ac:dyDescent="0.25">
      <c r="A32" s="337" t="s">
        <v>7</v>
      </c>
      <c r="B32" s="337" t="s">
        <v>44</v>
      </c>
      <c r="C32" s="340" t="s">
        <v>50</v>
      </c>
      <c r="D32" s="340">
        <v>29</v>
      </c>
      <c r="E32" s="345" t="s">
        <v>369</v>
      </c>
      <c r="F32" s="345" t="s">
        <v>255</v>
      </c>
      <c r="G32" s="345" t="s">
        <v>262</v>
      </c>
      <c r="H32" s="341">
        <v>6</v>
      </c>
      <c r="I32" s="341">
        <v>6</v>
      </c>
      <c r="J32" s="341">
        <v>5.4</v>
      </c>
      <c r="K32" s="341"/>
      <c r="L32" s="346">
        <v>43824</v>
      </c>
      <c r="M32" s="346">
        <v>43824</v>
      </c>
      <c r="N32" s="346">
        <v>51128</v>
      </c>
      <c r="O32" s="347">
        <f>YEAR(N32)-YEAR(M32)</f>
        <v>20</v>
      </c>
      <c r="P32" s="346" t="str">
        <f>DAY(M32)&amp;" "&amp;TEXT(M32,"mmmm")&amp;" "&amp;YEAR(M32)&amp;" - "&amp;DAY(N32)&amp;" "&amp;TEXT(N32,"mmmm")&amp;" "&amp;YEAR(N32)</f>
        <v>25 December 2019 - 24 December 2039</v>
      </c>
      <c r="Q32" s="356" t="s">
        <v>364</v>
      </c>
      <c r="R32" s="346"/>
      <c r="S32" s="341">
        <v>6.19</v>
      </c>
    </row>
    <row r="33" spans="1:22" s="67" customFormat="1" ht="30" customHeight="1" x14ac:dyDescent="0.25">
      <c r="A33" s="385" t="s">
        <v>32</v>
      </c>
      <c r="B33" s="385" t="s">
        <v>44</v>
      </c>
      <c r="C33" s="386" t="s">
        <v>50</v>
      </c>
      <c r="D33" s="386">
        <v>30</v>
      </c>
      <c r="E33" s="330" t="s">
        <v>244</v>
      </c>
      <c r="F33" s="330" t="s">
        <v>256</v>
      </c>
      <c r="G33" s="330" t="s">
        <v>258</v>
      </c>
      <c r="H33" s="387">
        <v>30</v>
      </c>
      <c r="I33" s="387">
        <v>48.5</v>
      </c>
      <c r="J33" s="387">
        <v>12.7</v>
      </c>
      <c r="K33" s="387"/>
      <c r="L33" s="388">
        <v>43797</v>
      </c>
      <c r="M33" s="388"/>
      <c r="N33" s="388"/>
      <c r="O33" s="389"/>
      <c r="P33" s="389"/>
      <c r="Q33" s="390"/>
      <c r="R33" s="388"/>
      <c r="S33" s="387">
        <v>6.19</v>
      </c>
      <c r="T33" s="491" t="s">
        <v>783</v>
      </c>
    </row>
    <row r="34" spans="1:22" s="67" customFormat="1" ht="30" customHeight="1" x14ac:dyDescent="0.25">
      <c r="A34" s="337" t="s">
        <v>7</v>
      </c>
      <c r="B34" s="337" t="s">
        <v>44</v>
      </c>
      <c r="C34" s="340" t="s">
        <v>50</v>
      </c>
      <c r="D34" s="340">
        <v>31</v>
      </c>
      <c r="E34" s="345" t="s">
        <v>245</v>
      </c>
      <c r="F34" s="345" t="s">
        <v>255</v>
      </c>
      <c r="G34" s="345" t="s">
        <v>262</v>
      </c>
      <c r="H34" s="341">
        <v>6</v>
      </c>
      <c r="I34" s="341">
        <v>6</v>
      </c>
      <c r="J34" s="341">
        <v>5.4</v>
      </c>
      <c r="K34" s="341"/>
      <c r="L34" s="346">
        <v>43830</v>
      </c>
      <c r="M34" s="346">
        <v>43830</v>
      </c>
      <c r="N34" s="346">
        <v>51134</v>
      </c>
      <c r="O34" s="347">
        <f>YEAR(N34)-YEAR(M34)</f>
        <v>20</v>
      </c>
      <c r="P34" s="347" t="str">
        <f>DAY(M34)&amp;" "&amp;TEXT(M34,"mmmm")&amp;" "&amp;YEAR(M34)&amp;" - "&amp;DAY(N34)&amp;" "&amp;TEXT(N34,"mmmm")&amp;" "&amp;YEAR(N34)</f>
        <v>31 December 2019 - 30 December 2039</v>
      </c>
      <c r="Q34" s="356" t="s">
        <v>365</v>
      </c>
      <c r="R34" s="346"/>
      <c r="S34" s="341">
        <v>6.19</v>
      </c>
      <c r="V34" s="67">
        <v>12</v>
      </c>
    </row>
    <row r="35" spans="1:22" s="67" customFormat="1" ht="30" customHeight="1" x14ac:dyDescent="0.25">
      <c r="A35" s="385" t="s">
        <v>7</v>
      </c>
      <c r="B35" s="385" t="s">
        <v>44</v>
      </c>
      <c r="C35" s="386" t="s">
        <v>50</v>
      </c>
      <c r="D35" s="386">
        <v>32</v>
      </c>
      <c r="E35" s="330" t="s">
        <v>246</v>
      </c>
      <c r="F35" s="330" t="s">
        <v>254</v>
      </c>
      <c r="G35" s="330" t="s">
        <v>263</v>
      </c>
      <c r="H35" s="387"/>
      <c r="I35" s="387">
        <v>12</v>
      </c>
      <c r="J35" s="387">
        <v>7.7</v>
      </c>
      <c r="K35" s="387"/>
      <c r="L35" s="388">
        <v>43830</v>
      </c>
      <c r="M35" s="388"/>
      <c r="N35" s="388"/>
      <c r="O35" s="389"/>
      <c r="P35" s="389"/>
      <c r="Q35" s="390"/>
      <c r="R35" s="388"/>
      <c r="S35" s="387">
        <v>6.19</v>
      </c>
      <c r="T35" s="491" t="s">
        <v>783</v>
      </c>
      <c r="V35" s="67">
        <v>2.1749999999999998</v>
      </c>
    </row>
    <row r="36" spans="1:22" s="67" customFormat="1" ht="30" customHeight="1" x14ac:dyDescent="0.25">
      <c r="A36" s="339" t="s">
        <v>8</v>
      </c>
      <c r="B36" s="339" t="s">
        <v>44</v>
      </c>
      <c r="C36" s="366" t="s">
        <v>50</v>
      </c>
      <c r="D36" s="366">
        <v>33</v>
      </c>
      <c r="E36" s="367" t="s">
        <v>247</v>
      </c>
      <c r="F36" s="367" t="s">
        <v>255</v>
      </c>
      <c r="G36" s="367" t="s">
        <v>259</v>
      </c>
      <c r="H36" s="368">
        <v>6.15</v>
      </c>
      <c r="I36" s="368">
        <v>6</v>
      </c>
      <c r="J36" s="368">
        <v>5.28</v>
      </c>
      <c r="K36" s="368"/>
      <c r="L36" s="369">
        <v>43859</v>
      </c>
      <c r="M36" s="369">
        <v>43859</v>
      </c>
      <c r="N36" s="369">
        <v>51163</v>
      </c>
      <c r="O36" s="370">
        <f>YEAR(N36)-YEAR(M36)</f>
        <v>20</v>
      </c>
      <c r="P36" s="370" t="str">
        <f>DAY(M36)&amp;" "&amp;TEXT(M36,"mmmm")&amp;" "&amp;YEAR(M36)&amp;" - "&amp;DAY(N36)&amp;" "&amp;TEXT(N36,"mmmm")&amp;" "&amp;YEAR(N36)</f>
        <v>29 January 2020 - 28 January 2040</v>
      </c>
      <c r="Q36" s="372" t="s">
        <v>759</v>
      </c>
      <c r="R36" s="369"/>
      <c r="S36" s="368">
        <v>6.19</v>
      </c>
      <c r="V36" s="67">
        <v>0.876</v>
      </c>
    </row>
    <row r="37" spans="1:22" s="67" customFormat="1" ht="30" customHeight="1" x14ac:dyDescent="0.25">
      <c r="A37" s="338" t="s">
        <v>32</v>
      </c>
      <c r="B37" s="338" t="s">
        <v>44</v>
      </c>
      <c r="C37" s="373" t="s">
        <v>50</v>
      </c>
      <c r="D37" s="373">
        <v>34</v>
      </c>
      <c r="E37" s="374" t="s">
        <v>239</v>
      </c>
      <c r="F37" s="374" t="s">
        <v>249</v>
      </c>
      <c r="G37" s="374" t="s">
        <v>258</v>
      </c>
      <c r="H37" s="375">
        <v>40</v>
      </c>
      <c r="I37" s="375">
        <v>40</v>
      </c>
      <c r="J37" s="375">
        <v>21.45</v>
      </c>
      <c r="K37" s="375"/>
      <c r="L37" s="376">
        <v>43520</v>
      </c>
      <c r="M37" s="376">
        <v>44630</v>
      </c>
      <c r="N37" s="376">
        <v>51934</v>
      </c>
      <c r="O37" s="377">
        <f>YEAR(N37)-YEAR(M37)</f>
        <v>20</v>
      </c>
      <c r="P37" s="377" t="str">
        <f>DAY(M37)&amp;" "&amp;TEXT(M37,"mmmm")&amp;" "&amp;YEAR(M37)&amp;" - "&amp;DAY(N37)&amp;" "&amp;TEXT(N37,"mmmm")&amp;" "&amp;YEAR(N37)</f>
        <v>10 March 2022 - 9 March 2042</v>
      </c>
      <c r="Q37" s="383" t="s">
        <v>760</v>
      </c>
      <c r="R37" s="376"/>
      <c r="S37" s="375">
        <v>6.19</v>
      </c>
    </row>
    <row r="38" spans="1:22" s="67" customFormat="1" ht="30" customHeight="1" x14ac:dyDescent="0.25">
      <c r="A38" s="338" t="s">
        <v>32</v>
      </c>
      <c r="B38" s="338" t="s">
        <v>44</v>
      </c>
      <c r="C38" s="373" t="s">
        <v>50</v>
      </c>
      <c r="D38" s="373">
        <v>34</v>
      </c>
      <c r="E38" s="374" t="s">
        <v>574</v>
      </c>
      <c r="F38" s="374" t="s">
        <v>575</v>
      </c>
      <c r="G38" s="374" t="s">
        <v>576</v>
      </c>
      <c r="H38" s="375">
        <v>8</v>
      </c>
      <c r="I38" s="375">
        <v>8</v>
      </c>
      <c r="J38" s="375">
        <v>2</v>
      </c>
      <c r="K38" s="375"/>
      <c r="L38" s="376">
        <v>43484</v>
      </c>
      <c r="M38" s="376">
        <v>43755</v>
      </c>
      <c r="N38" s="376">
        <v>51059</v>
      </c>
      <c r="O38" s="377">
        <v>20</v>
      </c>
      <c r="P38" s="377" t="s">
        <v>794</v>
      </c>
      <c r="Q38" s="383" t="s">
        <v>757</v>
      </c>
      <c r="R38" s="376"/>
      <c r="S38" s="375">
        <v>6.19</v>
      </c>
    </row>
    <row r="39" spans="1:22" s="4" customFormat="1" ht="21" customHeight="1" x14ac:dyDescent="0.25">
      <c r="A39" s="77"/>
      <c r="B39" s="77"/>
      <c r="C39" s="311"/>
      <c r="D39" s="329">
        <f>COUNT(,D36,D34,D32,D31,D27,D26,D25,D24,D23,D37,D30,#REF!)</f>
        <v>12</v>
      </c>
      <c r="E39" s="77"/>
      <c r="F39" s="314"/>
      <c r="G39" s="314"/>
      <c r="H39" s="318">
        <f>SUM(H23:H27,H30:H32,H34,H36:H38)</f>
        <v>187.19000000000003</v>
      </c>
      <c r="I39" s="318">
        <f>SUM(I23:I27,I30:I32,I34,I36:I38)</f>
        <v>188.33500000000001</v>
      </c>
      <c r="J39" s="318">
        <f>SUM(J23:J27,J30:J32,J34,J36:J38)</f>
        <v>91.33</v>
      </c>
      <c r="K39" s="309"/>
      <c r="L39" s="87"/>
      <c r="M39" s="87"/>
      <c r="N39" s="87"/>
      <c r="O39" s="88"/>
      <c r="P39" s="88"/>
      <c r="Q39" s="313"/>
      <c r="R39" s="313"/>
      <c r="S39" s="312">
        <v>6.19</v>
      </c>
      <c r="V39" s="4">
        <v>3.6</v>
      </c>
    </row>
    <row r="40" spans="1:22" s="4" customFormat="1" ht="30" customHeight="1" x14ac:dyDescent="0.25">
      <c r="A40" s="316"/>
      <c r="B40" s="316"/>
      <c r="C40" s="316"/>
      <c r="D40" s="329">
        <f>SUM(D17,D22,D39)</f>
        <v>30</v>
      </c>
      <c r="E40" s="316" t="s">
        <v>366</v>
      </c>
      <c r="G40" s="316"/>
      <c r="H40" s="318">
        <f>H39+H22+H17</f>
        <v>406.99700000000007</v>
      </c>
      <c r="I40" s="318">
        <f>I39+I22+I17</f>
        <v>424.36300000000006</v>
      </c>
      <c r="J40" s="318">
        <f>J39+J22+J17</f>
        <v>229.05500000000001</v>
      </c>
      <c r="K40" s="318"/>
      <c r="L40" s="335"/>
      <c r="M40" s="335"/>
      <c r="N40" s="335"/>
      <c r="O40" s="335"/>
      <c r="P40" s="335"/>
      <c r="Q40" s="335"/>
      <c r="R40" s="335"/>
      <c r="S40" s="335"/>
      <c r="V40" s="4">
        <v>8</v>
      </c>
    </row>
    <row r="41" spans="1:22" x14ac:dyDescent="0.25">
      <c r="I41" s="10" t="s">
        <v>762</v>
      </c>
      <c r="J41" s="11">
        <f>SUM(J23:J27,J31,J32,J34,J36,J37,J30)</f>
        <v>89.33</v>
      </c>
      <c r="K41" s="29"/>
      <c r="Q41" s="12"/>
      <c r="R41" s="12"/>
      <c r="V41" s="13">
        <v>11.1</v>
      </c>
    </row>
    <row r="42" spans="1:22" x14ac:dyDescent="0.25">
      <c r="E42" s="33" t="s">
        <v>765</v>
      </c>
      <c r="I42" s="29"/>
      <c r="J42" s="29">
        <f>SUM(,J37,J34,J32,J31,J23:J27,J22,J17,J36,J30)</f>
        <v>227.05500000000001</v>
      </c>
      <c r="K42" s="29"/>
      <c r="L42" s="29"/>
      <c r="M42" s="14"/>
      <c r="N42" s="14"/>
      <c r="Q42" s="12"/>
      <c r="R42" s="12"/>
      <c r="V42" s="13">
        <v>18</v>
      </c>
    </row>
    <row r="43" spans="1:22" x14ac:dyDescent="0.25">
      <c r="J43" s="29"/>
      <c r="K43" s="29"/>
      <c r="L43" s="29"/>
      <c r="Q43" s="12"/>
      <c r="R43" s="12"/>
      <c r="V43" s="13">
        <v>20</v>
      </c>
    </row>
    <row r="44" spans="1:22" x14ac:dyDescent="0.25">
      <c r="Q44" s="11"/>
      <c r="V44" s="13">
        <v>14</v>
      </c>
    </row>
    <row r="45" spans="1:22" x14ac:dyDescent="0.25">
      <c r="Q45" s="11"/>
      <c r="V45" s="13">
        <v>4.4000000000000004</v>
      </c>
    </row>
    <row r="46" spans="1:22" x14ac:dyDescent="0.25">
      <c r="Q46" s="7"/>
      <c r="V46" s="13">
        <v>13.5</v>
      </c>
    </row>
    <row r="47" spans="1:22" x14ac:dyDescent="0.25">
      <c r="Q47" s="7"/>
      <c r="V47" s="13">
        <v>2.21</v>
      </c>
    </row>
    <row r="48" spans="1:22" x14ac:dyDescent="0.25">
      <c r="Q48" s="45"/>
      <c r="V48" s="13">
        <v>1.64</v>
      </c>
    </row>
    <row r="49" spans="17:22" x14ac:dyDescent="0.25">
      <c r="Q49" s="7"/>
      <c r="V49" s="13">
        <v>0.42399999999999999</v>
      </c>
    </row>
    <row r="50" spans="17:22" x14ac:dyDescent="0.25">
      <c r="Q50" s="7"/>
      <c r="V50" s="13">
        <v>10.8</v>
      </c>
    </row>
    <row r="51" spans="17:22" x14ac:dyDescent="0.25">
      <c r="Q51" s="7"/>
      <c r="V51" s="13">
        <v>1.7</v>
      </c>
    </row>
    <row r="52" spans="17:22" x14ac:dyDescent="0.25">
      <c r="Q52" s="7"/>
      <c r="V52" s="13">
        <v>3.5</v>
      </c>
    </row>
    <row r="53" spans="17:22" x14ac:dyDescent="0.25">
      <c r="Q53" s="7"/>
      <c r="V53" s="13">
        <v>13.5</v>
      </c>
    </row>
    <row r="54" spans="17:22" x14ac:dyDescent="0.25">
      <c r="Q54" s="7"/>
      <c r="V54" s="13">
        <v>2</v>
      </c>
    </row>
    <row r="55" spans="17:22" x14ac:dyDescent="0.25">
      <c r="Q55" s="7"/>
      <c r="V55" s="13">
        <v>8</v>
      </c>
    </row>
    <row r="56" spans="17:22" x14ac:dyDescent="0.25">
      <c r="Q56" s="7"/>
      <c r="V56" s="13">
        <v>2.5</v>
      </c>
    </row>
    <row r="57" spans="17:22" x14ac:dyDescent="0.25">
      <c r="Q57" s="5"/>
      <c r="V57" s="13">
        <v>2</v>
      </c>
    </row>
    <row r="58" spans="17:22" x14ac:dyDescent="0.25">
      <c r="Q58" s="83"/>
      <c r="V58" s="13">
        <v>10.8</v>
      </c>
    </row>
    <row r="59" spans="17:22" x14ac:dyDescent="0.25">
      <c r="Q59" s="7"/>
      <c r="V59" s="13">
        <v>5.4</v>
      </c>
    </row>
    <row r="60" spans="17:22" x14ac:dyDescent="0.25">
      <c r="Q60" s="44"/>
      <c r="V60" s="13">
        <v>5.4</v>
      </c>
    </row>
    <row r="61" spans="17:22" x14ac:dyDescent="0.25">
      <c r="Q61" s="7"/>
      <c r="V61" s="13">
        <f>SUM(V34:V60)</f>
        <v>177.52500000000003</v>
      </c>
    </row>
    <row r="62" spans="17:22" x14ac:dyDescent="0.25"/>
  </sheetData>
  <autoFilter ref="A2:S40" xr:uid="{00000000-0001-0000-0400-000000000000}"/>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rowBreaks count="2" manualBreakCount="2">
    <brk id="2" max="16383" man="1"/>
    <brk id="22" max="18"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53198-42CF-40B2-BAB9-C410A70E7940}">
  <sheetPr codeName="Sheet9"/>
  <dimension ref="A3:C14"/>
  <sheetViews>
    <sheetView showGridLines="0" topLeftCell="B16" zoomScale="110" zoomScaleNormal="110" workbookViewId="0">
      <selection activeCell="E26" sqref="E26"/>
    </sheetView>
  </sheetViews>
  <sheetFormatPr defaultRowHeight="15" x14ac:dyDescent="0.25"/>
  <cols>
    <col min="2" max="2" width="44.28515625" bestFit="1" customWidth="1"/>
  </cols>
  <sheetData>
    <row r="3" spans="1:3" x14ac:dyDescent="0.25">
      <c r="B3" s="479" t="s">
        <v>44</v>
      </c>
    </row>
    <row r="5" spans="1:3" hidden="1" x14ac:dyDescent="0.25">
      <c r="B5" s="493" t="s">
        <v>642</v>
      </c>
      <c r="C5" t="s">
        <v>788</v>
      </c>
    </row>
    <row r="7" spans="1:3" ht="15.75" x14ac:dyDescent="0.25">
      <c r="B7" s="374" t="s">
        <v>242</v>
      </c>
      <c r="C7" t="s">
        <v>785</v>
      </c>
    </row>
    <row r="9" spans="1:3" hidden="1" x14ac:dyDescent="0.25">
      <c r="B9" s="484" t="s">
        <v>176</v>
      </c>
      <c r="C9" t="s">
        <v>789</v>
      </c>
    </row>
    <row r="11" spans="1:3" s="124" customFormat="1" ht="70.5" customHeight="1" x14ac:dyDescent="0.25">
      <c r="A11" s="154">
        <v>23</v>
      </c>
      <c r="B11" s="138" t="s">
        <v>653</v>
      </c>
      <c r="C11" t="s">
        <v>802</v>
      </c>
    </row>
    <row r="12" spans="1:3" x14ac:dyDescent="0.25">
      <c r="B12" s="479" t="s">
        <v>9</v>
      </c>
    </row>
    <row r="14" spans="1:3" x14ac:dyDescent="0.25">
      <c r="B14" t="s">
        <v>795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V24"/>
  <sheetViews>
    <sheetView zoomScaleNormal="100" zoomScaleSheetLayoutView="70" workbookViewId="0">
      <pane xSplit="5" ySplit="2" topLeftCell="F3" activePane="bottomRight" state="frozen"/>
      <selection activeCell="E2" sqref="E2"/>
      <selection pane="topRight" activeCell="E2" sqref="E2"/>
      <selection pane="bottomLeft" activeCell="E2" sqref="E2"/>
      <selection pane="bottomRight" activeCell="E2" sqref="E2"/>
    </sheetView>
  </sheetViews>
  <sheetFormatPr defaultColWidth="9.28515625" defaultRowHeight="15" x14ac:dyDescent="0.25"/>
  <cols>
    <col min="1" max="1" width="12.7109375" style="10" customWidth="1"/>
    <col min="2" max="2" width="11.28515625" style="10" customWidth="1"/>
    <col min="3" max="3" width="11.28515625" style="2" customWidth="1"/>
    <col min="4" max="4" width="7.42578125" style="2" customWidth="1"/>
    <col min="5" max="5" width="28.42578125" style="33" customWidth="1"/>
    <col min="6" max="7" width="28.42578125" style="10" customWidth="1"/>
    <col min="8" max="8" width="12.42578125" style="11" customWidth="1"/>
    <col min="9" max="9" width="12.28515625" style="10" customWidth="1"/>
    <col min="10" max="10" width="14.28515625" style="10" customWidth="1"/>
    <col min="11" max="11" width="10.7109375" style="10" hidden="1" customWidth="1"/>
    <col min="12" max="12" width="16.5703125" style="10" customWidth="1"/>
    <col min="13" max="14" width="14.7109375" style="10" hidden="1" customWidth="1"/>
    <col min="15" max="15" width="14.7109375" style="53" hidden="1" customWidth="1"/>
    <col min="16" max="16" width="18.7109375" style="53" hidden="1" customWidth="1"/>
    <col min="17" max="17" width="24.7109375" style="10" customWidth="1"/>
    <col min="18" max="18" width="15.42578125" style="10" customWidth="1"/>
    <col min="19" max="19" width="14.42578125" style="11" customWidth="1"/>
    <col min="20" max="20" width="9.28515625" style="13"/>
    <col min="21" max="21" width="10.28515625" style="13" bestFit="1" customWidth="1"/>
    <col min="22" max="16384" width="9.28515625" style="13"/>
  </cols>
  <sheetData>
    <row r="1" spans="1:22" x14ac:dyDescent="0.25">
      <c r="A1" s="1130" t="str">
        <f>'Per Island'!A1:D1</f>
        <v>As of 30 June 2026</v>
      </c>
      <c r="B1" s="1130"/>
      <c r="C1" s="1130"/>
      <c r="D1" s="1130"/>
      <c r="E1" s="1130"/>
      <c r="F1" s="1130"/>
      <c r="G1" s="1130"/>
      <c r="H1" s="1130"/>
      <c r="I1" s="1130"/>
      <c r="J1" s="1130"/>
      <c r="K1" s="1130"/>
      <c r="L1" s="1130"/>
      <c r="M1" s="1130"/>
      <c r="N1" s="1130"/>
      <c r="O1" s="1130"/>
      <c r="P1" s="1130"/>
      <c r="Q1" s="1130"/>
      <c r="R1" s="1130"/>
      <c r="S1" s="1130"/>
    </row>
    <row r="2" spans="1:22" s="3" customFormat="1" ht="73.900000000000006" customHeight="1" x14ac:dyDescent="0.25">
      <c r="A2" s="17" t="s">
        <v>0</v>
      </c>
      <c r="B2" s="16" t="s">
        <v>1</v>
      </c>
      <c r="C2" s="17" t="s">
        <v>48</v>
      </c>
      <c r="D2" s="17" t="s">
        <v>2</v>
      </c>
      <c r="E2" s="326" t="s">
        <v>3</v>
      </c>
      <c r="F2" s="17" t="s">
        <v>4</v>
      </c>
      <c r="G2" s="17" t="s">
        <v>63</v>
      </c>
      <c r="H2" s="16" t="s">
        <v>64</v>
      </c>
      <c r="I2" s="16" t="s">
        <v>65</v>
      </c>
      <c r="J2" s="16" t="s">
        <v>194</v>
      </c>
      <c r="K2" s="16"/>
      <c r="L2" s="17" t="s">
        <v>66</v>
      </c>
      <c r="M2" s="16" t="s">
        <v>332</v>
      </c>
      <c r="N2" s="16" t="s">
        <v>286</v>
      </c>
      <c r="O2" s="16" t="s">
        <v>210</v>
      </c>
      <c r="P2" s="16" t="s">
        <v>283</v>
      </c>
      <c r="Q2" s="17" t="s">
        <v>67</v>
      </c>
      <c r="R2" s="16" t="s">
        <v>331</v>
      </c>
      <c r="S2" s="16" t="s">
        <v>330</v>
      </c>
    </row>
    <row r="3" spans="1:22" s="4" customFormat="1" ht="30" customHeight="1" x14ac:dyDescent="0.25">
      <c r="A3" s="80" t="s">
        <v>7</v>
      </c>
      <c r="B3" s="80" t="s">
        <v>10</v>
      </c>
      <c r="C3" s="81" t="s">
        <v>49</v>
      </c>
      <c r="D3" s="81">
        <v>1</v>
      </c>
      <c r="E3" s="82" t="s">
        <v>13</v>
      </c>
      <c r="F3" s="82" t="s">
        <v>14</v>
      </c>
      <c r="G3" s="82" t="s">
        <v>131</v>
      </c>
      <c r="H3" s="83">
        <v>18.899999999999999</v>
      </c>
      <c r="I3" s="83">
        <v>18.899999999999999</v>
      </c>
      <c r="J3" s="83">
        <v>18.899999999999999</v>
      </c>
      <c r="K3" s="83"/>
      <c r="L3" s="84">
        <v>41922</v>
      </c>
      <c r="M3" s="84">
        <v>41922</v>
      </c>
      <c r="N3" s="84">
        <v>49226</v>
      </c>
      <c r="O3" s="85">
        <v>20</v>
      </c>
      <c r="P3" s="85" t="s">
        <v>299</v>
      </c>
      <c r="Q3" s="86">
        <v>42107</v>
      </c>
      <c r="R3" s="84">
        <v>42370</v>
      </c>
      <c r="S3" s="83">
        <v>8.5299999999999994</v>
      </c>
    </row>
    <row r="4" spans="1:22" s="4" customFormat="1" ht="30" customHeight="1" x14ac:dyDescent="0.25">
      <c r="A4" s="80" t="s">
        <v>7</v>
      </c>
      <c r="B4" s="80" t="s">
        <v>10</v>
      </c>
      <c r="C4" s="81" t="s">
        <v>49</v>
      </c>
      <c r="D4" s="81">
        <v>2</v>
      </c>
      <c r="E4" s="82" t="s">
        <v>11</v>
      </c>
      <c r="F4" s="82" t="s">
        <v>12</v>
      </c>
      <c r="G4" s="82" t="s">
        <v>132</v>
      </c>
      <c r="H4" s="83">
        <f>87+63</f>
        <v>150</v>
      </c>
      <c r="I4" s="83">
        <f>87+63</f>
        <v>150</v>
      </c>
      <c r="J4" s="83">
        <v>150</v>
      </c>
      <c r="K4" s="83"/>
      <c r="L4" s="84">
        <v>41954</v>
      </c>
      <c r="M4" s="84">
        <v>41954</v>
      </c>
      <c r="N4" s="84">
        <v>49258</v>
      </c>
      <c r="O4" s="85">
        <v>20</v>
      </c>
      <c r="P4" s="85" t="s">
        <v>300</v>
      </c>
      <c r="Q4" s="86">
        <v>42107</v>
      </c>
      <c r="R4" s="84">
        <v>42370</v>
      </c>
      <c r="S4" s="83">
        <v>8.5299999999999994</v>
      </c>
    </row>
    <row r="5" spans="1:22" s="4" customFormat="1" ht="30" customHeight="1" x14ac:dyDescent="0.25">
      <c r="A5" s="80" t="s">
        <v>7</v>
      </c>
      <c r="B5" s="80" t="s">
        <v>10</v>
      </c>
      <c r="C5" s="81" t="s">
        <v>49</v>
      </c>
      <c r="D5" s="81">
        <v>3</v>
      </c>
      <c r="E5" s="82" t="s">
        <v>133</v>
      </c>
      <c r="F5" s="82" t="s">
        <v>15</v>
      </c>
      <c r="G5" s="82" t="s">
        <v>134</v>
      </c>
      <c r="H5" s="83">
        <v>81</v>
      </c>
      <c r="I5" s="83">
        <v>81</v>
      </c>
      <c r="J5" s="83">
        <v>81</v>
      </c>
      <c r="K5" s="83"/>
      <c r="L5" s="84">
        <v>41954</v>
      </c>
      <c r="M5" s="84">
        <v>41954</v>
      </c>
      <c r="N5" s="84">
        <v>49258</v>
      </c>
      <c r="O5" s="85">
        <v>20</v>
      </c>
      <c r="P5" s="85" t="s">
        <v>300</v>
      </c>
      <c r="Q5" s="86">
        <v>42107</v>
      </c>
      <c r="R5" s="84">
        <v>42370</v>
      </c>
      <c r="S5" s="83">
        <v>8.5299999999999994</v>
      </c>
    </row>
    <row r="6" spans="1:22" s="4" customFormat="1" ht="30" customHeight="1" x14ac:dyDescent="0.25">
      <c r="A6" s="77"/>
      <c r="B6" s="77"/>
      <c r="C6" s="311"/>
      <c r="D6" s="332">
        <f>COUNT(D3:D5)</f>
        <v>3</v>
      </c>
      <c r="E6" s="314"/>
      <c r="F6" s="314"/>
      <c r="G6" s="314"/>
      <c r="H6" s="315"/>
      <c r="I6" s="315"/>
      <c r="J6" s="315">
        <f>SUM(J3:J5)</f>
        <v>249.9</v>
      </c>
      <c r="K6" s="312"/>
      <c r="L6" s="87"/>
      <c r="M6" s="87"/>
      <c r="N6" s="87"/>
      <c r="O6" s="88"/>
      <c r="P6" s="88"/>
      <c r="Q6" s="313"/>
      <c r="R6" s="87"/>
      <c r="S6" s="312"/>
    </row>
    <row r="7" spans="1:22" s="4" customFormat="1" ht="30" customHeight="1" x14ac:dyDescent="0.25">
      <c r="A7" s="391" t="s">
        <v>32</v>
      </c>
      <c r="B7" s="391" t="s">
        <v>10</v>
      </c>
      <c r="C7" s="392" t="s">
        <v>50</v>
      </c>
      <c r="D7" s="392">
        <v>4</v>
      </c>
      <c r="E7" s="393" t="s">
        <v>16</v>
      </c>
      <c r="F7" s="393" t="s">
        <v>17</v>
      </c>
      <c r="G7" s="393" t="s">
        <v>135</v>
      </c>
      <c r="H7" s="394">
        <v>54</v>
      </c>
      <c r="I7" s="394">
        <v>54</v>
      </c>
      <c r="J7" s="394">
        <v>54</v>
      </c>
      <c r="K7" s="394"/>
      <c r="L7" s="395">
        <v>42000</v>
      </c>
      <c r="M7" s="395">
        <v>42000</v>
      </c>
      <c r="N7" s="395">
        <v>49304</v>
      </c>
      <c r="O7" s="396">
        <v>20</v>
      </c>
      <c r="P7" s="396" t="s">
        <v>301</v>
      </c>
      <c r="Q7" s="397">
        <v>42339</v>
      </c>
      <c r="R7" s="395">
        <v>42370</v>
      </c>
      <c r="S7" s="394">
        <v>7.4</v>
      </c>
    </row>
    <row r="8" spans="1:22" s="4" customFormat="1" ht="30" customHeight="1" x14ac:dyDescent="0.25">
      <c r="A8" s="391" t="s">
        <v>32</v>
      </c>
      <c r="B8" s="391" t="s">
        <v>10</v>
      </c>
      <c r="C8" s="392" t="s">
        <v>50</v>
      </c>
      <c r="D8" s="392">
        <v>5</v>
      </c>
      <c r="E8" s="393" t="s">
        <v>20</v>
      </c>
      <c r="F8" s="393" t="s">
        <v>21</v>
      </c>
      <c r="G8" s="393" t="s">
        <v>136</v>
      </c>
      <c r="H8" s="394">
        <v>36</v>
      </c>
      <c r="I8" s="394">
        <v>36</v>
      </c>
      <c r="J8" s="394">
        <v>36</v>
      </c>
      <c r="K8" s="394"/>
      <c r="L8" s="395">
        <v>42165</v>
      </c>
      <c r="M8" s="395">
        <v>42165</v>
      </c>
      <c r="N8" s="395">
        <v>49469</v>
      </c>
      <c r="O8" s="396">
        <v>20</v>
      </c>
      <c r="P8" s="396" t="s">
        <v>302</v>
      </c>
      <c r="Q8" s="397">
        <v>42339</v>
      </c>
      <c r="R8" s="395">
        <v>42531</v>
      </c>
      <c r="S8" s="394">
        <v>7.4</v>
      </c>
    </row>
    <row r="9" spans="1:22" s="4" customFormat="1" ht="30" customHeight="1" x14ac:dyDescent="0.25">
      <c r="A9" s="80" t="s">
        <v>7</v>
      </c>
      <c r="B9" s="80" t="s">
        <v>10</v>
      </c>
      <c r="C9" s="81" t="s">
        <v>50</v>
      </c>
      <c r="D9" s="81">
        <v>6</v>
      </c>
      <c r="E9" s="82" t="s">
        <v>18</v>
      </c>
      <c r="F9" s="82" t="s">
        <v>19</v>
      </c>
      <c r="G9" s="82" t="s">
        <v>137</v>
      </c>
      <c r="H9" s="83">
        <v>54</v>
      </c>
      <c r="I9" s="83">
        <v>54</v>
      </c>
      <c r="J9" s="83">
        <v>54</v>
      </c>
      <c r="K9" s="83"/>
      <c r="L9" s="84">
        <v>42164</v>
      </c>
      <c r="M9" s="84">
        <v>42164</v>
      </c>
      <c r="N9" s="84">
        <v>49468</v>
      </c>
      <c r="O9" s="85">
        <v>20</v>
      </c>
      <c r="P9" s="85" t="s">
        <v>303</v>
      </c>
      <c r="Q9" s="86">
        <v>42339</v>
      </c>
      <c r="R9" s="84">
        <v>42530</v>
      </c>
      <c r="S9" s="83">
        <v>7.4</v>
      </c>
    </row>
    <row r="10" spans="1:22" s="4" customFormat="1" ht="30" customHeight="1" x14ac:dyDescent="0.25">
      <c r="A10" s="77"/>
      <c r="B10" s="77"/>
      <c r="C10" s="311"/>
      <c r="D10" s="332">
        <f>COUNT(D7:D9)</f>
        <v>3</v>
      </c>
      <c r="E10" s="314"/>
      <c r="F10" s="314"/>
      <c r="G10" s="314"/>
      <c r="H10" s="315"/>
      <c r="I10" s="315"/>
      <c r="J10" s="315">
        <f>SUM(J7:J9)</f>
        <v>144</v>
      </c>
      <c r="K10" s="312"/>
      <c r="L10" s="87"/>
      <c r="M10" s="87"/>
      <c r="N10" s="87"/>
      <c r="O10" s="88"/>
      <c r="P10" s="88"/>
      <c r="Q10" s="313"/>
      <c r="R10" s="87"/>
      <c r="S10" s="312"/>
    </row>
    <row r="11" spans="1:22" s="4" customFormat="1" ht="30" customHeight="1" x14ac:dyDescent="0.25">
      <c r="A11" s="80" t="s">
        <v>7</v>
      </c>
      <c r="B11" s="80" t="s">
        <v>10</v>
      </c>
      <c r="C11" s="81" t="s">
        <v>138</v>
      </c>
      <c r="D11" s="81">
        <v>7</v>
      </c>
      <c r="E11" s="82" t="s">
        <v>22</v>
      </c>
      <c r="F11" s="82" t="s">
        <v>209</v>
      </c>
      <c r="G11" s="82" t="s">
        <v>131</v>
      </c>
      <c r="H11" s="83">
        <v>33</v>
      </c>
      <c r="I11" s="83">
        <v>33</v>
      </c>
      <c r="J11" s="83">
        <v>33</v>
      </c>
      <c r="K11" s="83"/>
      <c r="L11" s="84">
        <v>42205</v>
      </c>
      <c r="M11" s="84">
        <v>42205</v>
      </c>
      <c r="N11" s="84">
        <v>45812</v>
      </c>
      <c r="O11" s="85">
        <v>10</v>
      </c>
      <c r="P11" s="85" t="s">
        <v>304</v>
      </c>
      <c r="Q11" s="86">
        <v>42107</v>
      </c>
      <c r="R11" s="84">
        <v>42571</v>
      </c>
      <c r="S11" s="83">
        <v>5.96</v>
      </c>
    </row>
    <row r="12" spans="1:22" s="4" customFormat="1" ht="30" customHeight="1" x14ac:dyDescent="0.25">
      <c r="A12" s="77"/>
      <c r="B12" s="77"/>
      <c r="C12" s="311"/>
      <c r="D12" s="332">
        <f>COUNT(D11)</f>
        <v>1</v>
      </c>
      <c r="E12" s="314"/>
      <c r="F12" s="314"/>
      <c r="G12" s="314"/>
      <c r="H12" s="315"/>
      <c r="I12" s="315"/>
      <c r="J12" s="315">
        <f>SUM(J11)</f>
        <v>33</v>
      </c>
      <c r="K12" s="312"/>
      <c r="L12" s="311"/>
      <c r="M12" s="311"/>
      <c r="N12" s="311"/>
      <c r="O12" s="88"/>
      <c r="P12" s="88"/>
      <c r="Q12" s="77"/>
      <c r="R12" s="311"/>
      <c r="S12" s="312"/>
    </row>
    <row r="13" spans="1:22" s="4" customFormat="1" ht="30" customHeight="1" x14ac:dyDescent="0.25">
      <c r="A13" s="77"/>
      <c r="B13" s="77"/>
      <c r="C13" s="311"/>
      <c r="D13" s="332">
        <f>SUM(D6,D10,D12)</f>
        <v>7</v>
      </c>
      <c r="E13" s="314"/>
      <c r="F13" s="316" t="s">
        <v>366</v>
      </c>
      <c r="G13" s="316"/>
      <c r="H13" s="315"/>
      <c r="I13" s="315"/>
      <c r="J13" s="315">
        <f>J12+J10+J6</f>
        <v>426.9</v>
      </c>
      <c r="K13" s="312"/>
      <c r="L13" s="311"/>
      <c r="M13" s="311"/>
      <c r="N13" s="311"/>
      <c r="O13" s="88"/>
      <c r="P13" s="88"/>
      <c r="Q13" s="77"/>
      <c r="R13" s="311"/>
      <c r="S13" s="312"/>
    </row>
    <row r="14" spans="1:22" x14ac:dyDescent="0.25">
      <c r="Q14" s="7"/>
      <c r="V14" s="13">
        <v>3.5</v>
      </c>
    </row>
    <row r="15" spans="1:22" x14ac:dyDescent="0.25">
      <c r="Q15" s="7"/>
      <c r="V15" s="13">
        <v>13.5</v>
      </c>
    </row>
    <row r="16" spans="1:22" x14ac:dyDescent="0.25">
      <c r="Q16" s="7"/>
      <c r="V16" s="13">
        <v>2</v>
      </c>
    </row>
    <row r="17" spans="17:22" x14ac:dyDescent="0.25">
      <c r="V17" s="13">
        <v>8</v>
      </c>
    </row>
    <row r="18" spans="17:22" x14ac:dyDescent="0.25">
      <c r="V18" s="13">
        <v>2.5</v>
      </c>
    </row>
    <row r="19" spans="17:22" x14ac:dyDescent="0.25">
      <c r="V19" s="13">
        <v>2</v>
      </c>
    </row>
    <row r="20" spans="17:22" x14ac:dyDescent="0.25">
      <c r="V20" s="13">
        <v>10.8</v>
      </c>
    </row>
    <row r="21" spans="17:22" x14ac:dyDescent="0.25">
      <c r="V21" s="13">
        <v>5.4</v>
      </c>
    </row>
    <row r="22" spans="17:22" x14ac:dyDescent="0.25">
      <c r="V22" s="13">
        <v>5.4</v>
      </c>
    </row>
    <row r="23" spans="17:22" x14ac:dyDescent="0.25">
      <c r="V23" s="13">
        <f>SUM(V14:V22)</f>
        <v>53.099999999999994</v>
      </c>
    </row>
    <row r="24" spans="17:22" x14ac:dyDescent="0.25"/>
  </sheetData>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rowBreaks count="2" manualBreakCount="2">
    <brk id="2" max="18" man="1"/>
    <brk id="12" max="18"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V47"/>
  <sheetViews>
    <sheetView zoomScale="109" zoomScaleNormal="70" zoomScaleSheetLayoutView="70" workbookViewId="0">
      <pane xSplit="5" ySplit="2" topLeftCell="F3" activePane="bottomRight" state="frozen"/>
      <selection activeCell="E2" sqref="E2"/>
      <selection pane="topRight" activeCell="E2" sqref="E2"/>
      <selection pane="bottomLeft" activeCell="E2" sqref="E2"/>
      <selection pane="bottomRight" activeCell="E2" sqref="E2"/>
    </sheetView>
  </sheetViews>
  <sheetFormatPr defaultColWidth="9.28515625" defaultRowHeight="15" x14ac:dyDescent="0.25"/>
  <cols>
    <col min="1" max="1" width="12.7109375" style="10" customWidth="1"/>
    <col min="2" max="2" width="11.28515625" style="10" customWidth="1"/>
    <col min="3" max="3" width="11.28515625" style="2" customWidth="1"/>
    <col min="4" max="4" width="7.42578125" style="2" customWidth="1"/>
    <col min="5" max="5" width="28.42578125" style="33" customWidth="1"/>
    <col min="6" max="7" width="28.42578125" style="10" customWidth="1"/>
    <col min="8" max="8" width="12.42578125" style="11" customWidth="1"/>
    <col min="9" max="9" width="12.28515625" style="10" customWidth="1"/>
    <col min="10" max="10" width="14.28515625" style="10" customWidth="1"/>
    <col min="11" max="11" width="10.7109375" style="10" hidden="1" customWidth="1"/>
    <col min="12" max="12" width="16.5703125" style="10" customWidth="1"/>
    <col min="13" max="14" width="14.7109375" style="10" hidden="1" customWidth="1"/>
    <col min="15" max="15" width="14.7109375" style="53" hidden="1" customWidth="1"/>
    <col min="16" max="16" width="18.7109375" style="53" hidden="1" customWidth="1"/>
    <col min="17" max="17" width="24.7109375" style="10" customWidth="1"/>
    <col min="18" max="18" width="15.42578125" style="10" customWidth="1"/>
    <col min="19" max="19" width="14.42578125" style="11" customWidth="1"/>
    <col min="20" max="20" width="9.28515625" style="13"/>
    <col min="21" max="21" width="10.28515625" style="13" bestFit="1" customWidth="1"/>
    <col min="22" max="16384" width="9.28515625" style="13"/>
  </cols>
  <sheetData>
    <row r="1" spans="1:21" x14ac:dyDescent="0.25">
      <c r="A1" s="1130" t="str">
        <f>'Per Island'!A1:D1</f>
        <v>As of 30 June 2026</v>
      </c>
      <c r="B1" s="1130"/>
      <c r="C1" s="1130"/>
      <c r="D1" s="1130"/>
      <c r="E1" s="1130"/>
      <c r="F1" s="1130"/>
      <c r="G1" s="1130"/>
      <c r="H1" s="1130"/>
      <c r="I1" s="1130"/>
      <c r="J1" s="1130"/>
      <c r="K1" s="1130"/>
      <c r="L1" s="1130"/>
      <c r="M1" s="1130"/>
      <c r="N1" s="1130"/>
      <c r="O1" s="1130"/>
      <c r="P1" s="1130"/>
      <c r="Q1" s="1130"/>
      <c r="R1" s="1130"/>
      <c r="S1" s="1130"/>
    </row>
    <row r="2" spans="1:21" s="3" customFormat="1" ht="73.900000000000006" customHeight="1" x14ac:dyDescent="0.25">
      <c r="A2" s="17" t="s">
        <v>0</v>
      </c>
      <c r="B2" s="16" t="s">
        <v>1</v>
      </c>
      <c r="C2" s="17" t="s">
        <v>48</v>
      </c>
      <c r="D2" s="17" t="s">
        <v>2</v>
      </c>
      <c r="E2" s="326" t="s">
        <v>3</v>
      </c>
      <c r="F2" s="17" t="s">
        <v>4</v>
      </c>
      <c r="G2" s="17" t="s">
        <v>63</v>
      </c>
      <c r="H2" s="78" t="s">
        <v>64</v>
      </c>
      <c r="I2" s="16" t="s">
        <v>65</v>
      </c>
      <c r="J2" s="16" t="s">
        <v>194</v>
      </c>
      <c r="K2" s="16"/>
      <c r="L2" s="17" t="s">
        <v>66</v>
      </c>
      <c r="M2" s="16" t="s">
        <v>332</v>
      </c>
      <c r="N2" s="16" t="s">
        <v>286</v>
      </c>
      <c r="O2" s="16" t="s">
        <v>210</v>
      </c>
      <c r="P2" s="16" t="s">
        <v>283</v>
      </c>
      <c r="Q2" s="17" t="s">
        <v>67</v>
      </c>
      <c r="R2" s="16" t="s">
        <v>331</v>
      </c>
      <c r="S2" s="16" t="s">
        <v>330</v>
      </c>
    </row>
    <row r="3" spans="1:21" s="4" customFormat="1" ht="30" customHeight="1" x14ac:dyDescent="0.25">
      <c r="A3" s="442" t="s">
        <v>8</v>
      </c>
      <c r="B3" s="442" t="s">
        <v>6</v>
      </c>
      <c r="C3" s="443" t="s">
        <v>49</v>
      </c>
      <c r="D3" s="443">
        <v>1</v>
      </c>
      <c r="E3" s="444" t="s">
        <v>26</v>
      </c>
      <c r="F3" s="444" t="s">
        <v>27</v>
      </c>
      <c r="G3" s="444" t="s">
        <v>139</v>
      </c>
      <c r="H3" s="445">
        <v>8.1370000000000005</v>
      </c>
      <c r="I3" s="445">
        <v>8.1370000000000005</v>
      </c>
      <c r="J3" s="445">
        <v>7</v>
      </c>
      <c r="K3" s="446"/>
      <c r="L3" s="447">
        <v>41740</v>
      </c>
      <c r="M3" s="447">
        <v>42170</v>
      </c>
      <c r="N3" s="447">
        <v>49044</v>
      </c>
      <c r="O3" s="448">
        <v>20</v>
      </c>
      <c r="P3" s="448" t="s">
        <v>305</v>
      </c>
      <c r="Q3" s="449">
        <v>42170</v>
      </c>
      <c r="R3" s="447">
        <v>42536</v>
      </c>
      <c r="S3" s="446">
        <v>5.9</v>
      </c>
    </row>
    <row r="4" spans="1:21" s="4" customFormat="1" ht="30" customHeight="1" x14ac:dyDescent="0.25">
      <c r="A4" s="450" t="s">
        <v>7</v>
      </c>
      <c r="B4" s="450" t="s">
        <v>6</v>
      </c>
      <c r="C4" s="451" t="s">
        <v>49</v>
      </c>
      <c r="D4" s="451">
        <v>2</v>
      </c>
      <c r="E4" s="452" t="s">
        <v>30</v>
      </c>
      <c r="F4" s="452" t="s">
        <v>31</v>
      </c>
      <c r="G4" s="452" t="s">
        <v>140</v>
      </c>
      <c r="H4" s="454">
        <v>1.8</v>
      </c>
      <c r="I4" s="454">
        <v>1.8</v>
      </c>
      <c r="J4" s="454">
        <v>1.8</v>
      </c>
      <c r="K4" s="454"/>
      <c r="L4" s="455">
        <v>40538</v>
      </c>
      <c r="M4" s="455">
        <v>42170</v>
      </c>
      <c r="N4" s="455">
        <v>47831</v>
      </c>
      <c r="O4" s="456">
        <v>15</v>
      </c>
      <c r="P4" s="456" t="s">
        <v>306</v>
      </c>
      <c r="Q4" s="457">
        <v>42170</v>
      </c>
      <c r="R4" s="455">
        <v>42536</v>
      </c>
      <c r="S4" s="454">
        <v>5.9</v>
      </c>
    </row>
    <row r="5" spans="1:21" s="4" customFormat="1" ht="30" customHeight="1" x14ac:dyDescent="0.25">
      <c r="A5" s="450" t="s">
        <v>7</v>
      </c>
      <c r="B5" s="450" t="s">
        <v>6</v>
      </c>
      <c r="C5" s="451" t="s">
        <v>49</v>
      </c>
      <c r="D5" s="451">
        <v>3</v>
      </c>
      <c r="E5" s="452" t="s">
        <v>28</v>
      </c>
      <c r="F5" s="452" t="s">
        <v>29</v>
      </c>
      <c r="G5" s="452" t="s">
        <v>141</v>
      </c>
      <c r="H5" s="453">
        <v>14.138</v>
      </c>
      <c r="I5" s="453">
        <v>14.138999999999999</v>
      </c>
      <c r="J5" s="453">
        <v>14</v>
      </c>
      <c r="K5" s="454"/>
      <c r="L5" s="458">
        <v>42157</v>
      </c>
      <c r="M5" s="455">
        <v>42157</v>
      </c>
      <c r="N5" s="455">
        <v>49461</v>
      </c>
      <c r="O5" s="456">
        <v>20</v>
      </c>
      <c r="P5" s="456" t="s">
        <v>307</v>
      </c>
      <c r="Q5" s="457">
        <v>42276</v>
      </c>
      <c r="R5" s="458">
        <v>42523</v>
      </c>
      <c r="S5" s="454">
        <v>5.9</v>
      </c>
    </row>
    <row r="6" spans="1:21" s="4" customFormat="1" ht="30" customHeight="1" x14ac:dyDescent="0.25">
      <c r="A6" s="450" t="s">
        <v>7</v>
      </c>
      <c r="B6" s="450" t="s">
        <v>6</v>
      </c>
      <c r="C6" s="451" t="s">
        <v>49</v>
      </c>
      <c r="D6" s="451">
        <v>4</v>
      </c>
      <c r="E6" s="452" t="s">
        <v>24</v>
      </c>
      <c r="F6" s="452" t="s">
        <v>25</v>
      </c>
      <c r="G6" s="452" t="s">
        <v>142</v>
      </c>
      <c r="H6" s="454">
        <v>3.9</v>
      </c>
      <c r="I6" s="454">
        <v>3.8</v>
      </c>
      <c r="J6" s="454">
        <v>3.8</v>
      </c>
      <c r="K6" s="454"/>
      <c r="L6" s="455">
        <v>41029</v>
      </c>
      <c r="M6" s="455">
        <v>41029</v>
      </c>
      <c r="N6" s="455">
        <v>48333</v>
      </c>
      <c r="O6" s="456">
        <v>20</v>
      </c>
      <c r="P6" s="456" t="s">
        <v>308</v>
      </c>
      <c r="Q6" s="457">
        <v>42396</v>
      </c>
      <c r="R6" s="455">
        <v>42370</v>
      </c>
      <c r="S6" s="454">
        <v>5.9</v>
      </c>
    </row>
    <row r="7" spans="1:21" s="4" customFormat="1" ht="30" customHeight="1" x14ac:dyDescent="0.25">
      <c r="A7" s="435" t="s">
        <v>32</v>
      </c>
      <c r="B7" s="435" t="s">
        <v>6</v>
      </c>
      <c r="C7" s="436" t="s">
        <v>49</v>
      </c>
      <c r="D7" s="436">
        <v>5</v>
      </c>
      <c r="E7" s="437" t="s">
        <v>709</v>
      </c>
      <c r="F7" s="437" t="s">
        <v>185</v>
      </c>
      <c r="G7" s="437" t="s">
        <v>183</v>
      </c>
      <c r="H7" s="438">
        <v>8.08</v>
      </c>
      <c r="I7" s="438">
        <v>8.08</v>
      </c>
      <c r="J7" s="438">
        <v>8.08</v>
      </c>
      <c r="K7" s="438"/>
      <c r="L7" s="439">
        <v>42477</v>
      </c>
      <c r="M7" s="439">
        <v>42477</v>
      </c>
      <c r="N7" s="439"/>
      <c r="O7" s="440"/>
      <c r="P7" s="440"/>
      <c r="Q7" s="441" t="s">
        <v>212</v>
      </c>
      <c r="R7" s="439">
        <v>42842</v>
      </c>
      <c r="S7" s="438">
        <v>5.9</v>
      </c>
    </row>
    <row r="8" spans="1:21" s="4" customFormat="1" ht="33.75" customHeight="1" x14ac:dyDescent="0.25">
      <c r="A8" s="77"/>
      <c r="B8" s="77"/>
      <c r="C8" s="311"/>
      <c r="D8" s="332">
        <v>5</v>
      </c>
      <c r="E8" s="314"/>
      <c r="F8" s="314"/>
      <c r="G8" s="314"/>
      <c r="H8" s="315"/>
      <c r="I8" s="315"/>
      <c r="J8" s="315">
        <f>SUM(J3:J7)</f>
        <v>34.68</v>
      </c>
      <c r="K8" s="312"/>
      <c r="L8" s="87"/>
      <c r="M8" s="87"/>
      <c r="N8" s="87"/>
      <c r="O8" s="88"/>
      <c r="P8" s="88"/>
      <c r="Q8" s="313"/>
      <c r="R8" s="87"/>
      <c r="S8" s="312"/>
    </row>
    <row r="9" spans="1:21" s="4" customFormat="1" ht="30" customHeight="1" x14ac:dyDescent="0.25">
      <c r="A9" s="450" t="s">
        <v>7</v>
      </c>
      <c r="B9" s="450" t="s">
        <v>6</v>
      </c>
      <c r="C9" s="451" t="s">
        <v>51</v>
      </c>
      <c r="D9" s="451">
        <v>6</v>
      </c>
      <c r="E9" s="452" t="s">
        <v>186</v>
      </c>
      <c r="F9" s="452" t="s">
        <v>187</v>
      </c>
      <c r="G9" s="452" t="s">
        <v>188</v>
      </c>
      <c r="H9" s="454">
        <v>8.5</v>
      </c>
      <c r="I9" s="454">
        <v>8.5</v>
      </c>
      <c r="J9" s="454">
        <v>8.5</v>
      </c>
      <c r="K9" s="454"/>
      <c r="L9" s="455">
        <v>43059</v>
      </c>
      <c r="M9" s="455">
        <v>43059</v>
      </c>
      <c r="N9" s="455">
        <v>50363</v>
      </c>
      <c r="O9" s="456">
        <v>20</v>
      </c>
      <c r="P9" s="456" t="s">
        <v>309</v>
      </c>
      <c r="Q9" s="457">
        <v>43194</v>
      </c>
      <c r="R9" s="455">
        <v>43424</v>
      </c>
      <c r="S9" s="459">
        <v>5.8704999999999998</v>
      </c>
    </row>
    <row r="10" spans="1:21" s="4" customFormat="1" ht="30" customHeight="1" x14ac:dyDescent="0.25">
      <c r="A10" s="77"/>
      <c r="B10" s="77"/>
      <c r="C10" s="311"/>
      <c r="D10" s="332">
        <v>1</v>
      </c>
      <c r="E10" s="314"/>
      <c r="F10" s="314"/>
      <c r="G10" s="314"/>
      <c r="H10" s="315"/>
      <c r="I10" s="315"/>
      <c r="J10" s="315">
        <f>J9</f>
        <v>8.5</v>
      </c>
      <c r="K10" s="312"/>
      <c r="L10" s="87"/>
      <c r="M10" s="87"/>
      <c r="N10" s="87"/>
      <c r="O10" s="88"/>
      <c r="P10" s="88"/>
      <c r="Q10" s="313"/>
      <c r="R10" s="87"/>
      <c r="S10" s="327"/>
    </row>
    <row r="11" spans="1:21" s="4" customFormat="1" ht="31.5" x14ac:dyDescent="0.25">
      <c r="A11" s="442" t="s">
        <v>8</v>
      </c>
      <c r="B11" s="442" t="s">
        <v>6</v>
      </c>
      <c r="C11" s="443" t="s">
        <v>50</v>
      </c>
      <c r="D11" s="443">
        <v>7</v>
      </c>
      <c r="E11" s="444" t="s">
        <v>763</v>
      </c>
      <c r="F11" s="444" t="s">
        <v>214</v>
      </c>
      <c r="G11" s="444" t="s">
        <v>215</v>
      </c>
      <c r="H11" s="446">
        <v>45.936</v>
      </c>
      <c r="I11" s="446">
        <v>45.936</v>
      </c>
      <c r="J11" s="445">
        <v>45.936</v>
      </c>
      <c r="K11" s="446"/>
      <c r="L11" s="447">
        <v>43283</v>
      </c>
      <c r="M11" s="447">
        <v>43283</v>
      </c>
      <c r="N11" s="447">
        <v>50587</v>
      </c>
      <c r="O11" s="448">
        <v>20</v>
      </c>
      <c r="P11" s="448" t="s">
        <v>310</v>
      </c>
      <c r="Q11" s="449">
        <v>43634</v>
      </c>
      <c r="R11" s="447"/>
      <c r="S11" s="463">
        <v>5.8704999999999998</v>
      </c>
    </row>
    <row r="12" spans="1:21" s="4" customFormat="1" ht="30" customHeight="1" x14ac:dyDescent="0.25">
      <c r="A12" s="450" t="s">
        <v>7</v>
      </c>
      <c r="B12" s="450" t="s">
        <v>6</v>
      </c>
      <c r="C12" s="451" t="s">
        <v>50</v>
      </c>
      <c r="D12" s="451">
        <v>8</v>
      </c>
      <c r="E12" s="452" t="s">
        <v>223</v>
      </c>
      <c r="F12" s="452" t="s">
        <v>224</v>
      </c>
      <c r="G12" s="452" t="s">
        <v>225</v>
      </c>
      <c r="H12" s="454">
        <v>2.3199999999999998</v>
      </c>
      <c r="I12" s="454">
        <v>2.3199999999999998</v>
      </c>
      <c r="J12" s="454">
        <v>2.19</v>
      </c>
      <c r="K12" s="454"/>
      <c r="L12" s="455">
        <v>43602</v>
      </c>
      <c r="M12" s="455"/>
      <c r="N12" s="455"/>
      <c r="O12" s="456"/>
      <c r="P12" s="456"/>
      <c r="Q12" s="457" t="s">
        <v>226</v>
      </c>
      <c r="R12" s="455"/>
      <c r="S12" s="459">
        <v>5.8704999999999998</v>
      </c>
    </row>
    <row r="13" spans="1:21" s="67" customFormat="1" ht="30" customHeight="1" x14ac:dyDescent="0.25">
      <c r="A13" s="442" t="s">
        <v>8</v>
      </c>
      <c r="B13" s="442" t="s">
        <v>6</v>
      </c>
      <c r="C13" s="443" t="s">
        <v>50</v>
      </c>
      <c r="D13" s="443">
        <v>9</v>
      </c>
      <c r="E13" s="444" t="s">
        <v>268</v>
      </c>
      <c r="F13" s="444" t="s">
        <v>264</v>
      </c>
      <c r="G13" s="444" t="s">
        <v>273</v>
      </c>
      <c r="H13" s="445">
        <v>3.1880000000000002</v>
      </c>
      <c r="I13" s="445">
        <v>3.1880000000000002</v>
      </c>
      <c r="J13" s="445">
        <v>3.1880000000000002</v>
      </c>
      <c r="K13" s="445"/>
      <c r="L13" s="447">
        <v>43165</v>
      </c>
      <c r="M13" s="447"/>
      <c r="N13" s="447"/>
      <c r="O13" s="448"/>
      <c r="P13" s="448"/>
      <c r="Q13" s="449" t="s">
        <v>336</v>
      </c>
      <c r="R13" s="447"/>
      <c r="S13" s="463">
        <v>5.8704999999999998</v>
      </c>
      <c r="T13" s="89"/>
      <c r="U13" s="89"/>
    </row>
    <row r="14" spans="1:21" s="67" customFormat="1" ht="30" customHeight="1" x14ac:dyDescent="0.25">
      <c r="A14" s="450" t="s">
        <v>7</v>
      </c>
      <c r="B14" s="450" t="s">
        <v>6</v>
      </c>
      <c r="C14" s="451" t="s">
        <v>50</v>
      </c>
      <c r="D14" s="451">
        <v>10</v>
      </c>
      <c r="E14" s="452" t="s">
        <v>269</v>
      </c>
      <c r="F14" s="452" t="s">
        <v>357</v>
      </c>
      <c r="G14" s="452" t="s">
        <v>274</v>
      </c>
      <c r="H14" s="454">
        <v>1.1000000000000001</v>
      </c>
      <c r="I14" s="454">
        <v>1.1000000000000001</v>
      </c>
      <c r="J14" s="454">
        <v>1.1000000000000001</v>
      </c>
      <c r="K14" s="454"/>
      <c r="L14" s="455">
        <v>43304</v>
      </c>
      <c r="M14" s="455"/>
      <c r="N14" s="455"/>
      <c r="O14" s="456"/>
      <c r="P14" s="456"/>
      <c r="Q14" s="457" t="s">
        <v>337</v>
      </c>
      <c r="R14" s="455"/>
      <c r="S14" s="459">
        <v>5.8704999999999998</v>
      </c>
      <c r="T14" s="89"/>
      <c r="U14" s="89"/>
    </row>
    <row r="15" spans="1:21" s="67" customFormat="1" ht="30" customHeight="1" x14ac:dyDescent="0.25">
      <c r="A15" s="450" t="s">
        <v>7</v>
      </c>
      <c r="B15" s="450" t="s">
        <v>6</v>
      </c>
      <c r="C15" s="451" t="s">
        <v>50</v>
      </c>
      <c r="D15" s="451">
        <v>11</v>
      </c>
      <c r="E15" s="452" t="s">
        <v>269</v>
      </c>
      <c r="F15" s="452" t="s">
        <v>358</v>
      </c>
      <c r="G15" s="452" t="s">
        <v>275</v>
      </c>
      <c r="H15" s="453">
        <v>1.5</v>
      </c>
      <c r="I15" s="453">
        <v>1.5</v>
      </c>
      <c r="J15" s="453">
        <v>1.5</v>
      </c>
      <c r="K15" s="454"/>
      <c r="L15" s="455">
        <v>43392</v>
      </c>
      <c r="M15" s="455"/>
      <c r="N15" s="455"/>
      <c r="O15" s="456"/>
      <c r="P15" s="456"/>
      <c r="Q15" s="457" t="s">
        <v>337</v>
      </c>
      <c r="R15" s="455"/>
      <c r="S15" s="459">
        <v>5.8704999999999998</v>
      </c>
      <c r="T15" s="89"/>
      <c r="U15" s="89"/>
    </row>
    <row r="16" spans="1:21" s="67" customFormat="1" ht="30" customHeight="1" x14ac:dyDescent="0.25">
      <c r="A16" s="442" t="s">
        <v>8</v>
      </c>
      <c r="B16" s="442" t="s">
        <v>6</v>
      </c>
      <c r="C16" s="443" t="s">
        <v>50</v>
      </c>
      <c r="D16" s="443">
        <v>12</v>
      </c>
      <c r="E16" s="444" t="s">
        <v>764</v>
      </c>
      <c r="F16" s="444" t="s">
        <v>265</v>
      </c>
      <c r="G16" s="444" t="s">
        <v>276</v>
      </c>
      <c r="H16" s="446">
        <v>27.387</v>
      </c>
      <c r="I16" s="446">
        <v>27.387</v>
      </c>
      <c r="J16" s="445">
        <v>27.387</v>
      </c>
      <c r="K16" s="446"/>
      <c r="L16" s="447">
        <v>43427</v>
      </c>
      <c r="M16" s="447"/>
      <c r="N16" s="447"/>
      <c r="O16" s="448"/>
      <c r="P16" s="448"/>
      <c r="Q16" s="449" t="s">
        <v>360</v>
      </c>
      <c r="R16" s="447"/>
      <c r="S16" s="463">
        <v>5.8704999999999998</v>
      </c>
      <c r="T16" s="89"/>
      <c r="U16" s="89"/>
    </row>
    <row r="17" spans="1:22" s="67" customFormat="1" ht="30" customHeight="1" x14ac:dyDescent="0.25">
      <c r="A17" s="450" t="s">
        <v>7</v>
      </c>
      <c r="B17" s="450" t="s">
        <v>6</v>
      </c>
      <c r="C17" s="451" t="s">
        <v>50</v>
      </c>
      <c r="D17" s="451">
        <v>13</v>
      </c>
      <c r="E17" s="452" t="s">
        <v>271</v>
      </c>
      <c r="F17" s="452" t="s">
        <v>266</v>
      </c>
      <c r="G17" s="452" t="s">
        <v>277</v>
      </c>
      <c r="H17" s="454">
        <v>20.399999999999999</v>
      </c>
      <c r="I17" s="454">
        <v>20.399999999999999</v>
      </c>
      <c r="J17" s="454">
        <v>20.399999999999999</v>
      </c>
      <c r="K17" s="454"/>
      <c r="L17" s="455">
        <v>43647</v>
      </c>
      <c r="M17" s="455"/>
      <c r="N17" s="455"/>
      <c r="O17" s="456"/>
      <c r="P17" s="456"/>
      <c r="Q17" s="457" t="s">
        <v>338</v>
      </c>
      <c r="R17" s="455"/>
      <c r="S17" s="459">
        <v>5.8704999999999998</v>
      </c>
      <c r="T17" s="89"/>
      <c r="U17" s="89"/>
    </row>
    <row r="18" spans="1:22" s="67" customFormat="1" ht="30" customHeight="1" x14ac:dyDescent="0.25">
      <c r="A18" s="435" t="s">
        <v>32</v>
      </c>
      <c r="B18" s="435" t="s">
        <v>6</v>
      </c>
      <c r="C18" s="436" t="s">
        <v>50</v>
      </c>
      <c r="D18" s="436">
        <v>14</v>
      </c>
      <c r="E18" s="437" t="s">
        <v>272</v>
      </c>
      <c r="F18" s="437" t="s">
        <v>267</v>
      </c>
      <c r="G18" s="437" t="s">
        <v>278</v>
      </c>
      <c r="H18" s="438">
        <v>1.2</v>
      </c>
      <c r="I18" s="438">
        <v>1.2</v>
      </c>
      <c r="J18" s="438">
        <v>1.2</v>
      </c>
      <c r="K18" s="438"/>
      <c r="L18" s="439">
        <v>43824</v>
      </c>
      <c r="M18" s="439"/>
      <c r="N18" s="439"/>
      <c r="O18" s="440"/>
      <c r="P18" s="440"/>
      <c r="Q18" s="441" t="s">
        <v>367</v>
      </c>
      <c r="R18" s="439"/>
      <c r="S18" s="462">
        <v>5.8704999999999998</v>
      </c>
      <c r="T18" s="89"/>
      <c r="U18" s="89"/>
    </row>
    <row r="19" spans="1:22" s="67" customFormat="1" ht="30" customHeight="1" x14ac:dyDescent="0.25">
      <c r="A19" s="77"/>
      <c r="B19" s="77"/>
      <c r="C19" s="311"/>
      <c r="D19" s="332">
        <v>8</v>
      </c>
      <c r="E19" s="314"/>
      <c r="F19" s="314"/>
      <c r="G19" s="314"/>
      <c r="H19" s="318"/>
      <c r="I19" s="318"/>
      <c r="J19" s="318">
        <f>SUM(J11:J18)</f>
        <v>102.901</v>
      </c>
      <c r="K19" s="309"/>
      <c r="L19" s="87"/>
      <c r="M19" s="87"/>
      <c r="N19" s="87"/>
      <c r="O19" s="88"/>
      <c r="P19" s="88"/>
      <c r="Q19" s="313"/>
      <c r="R19" s="87"/>
      <c r="S19" s="327"/>
      <c r="T19" s="89"/>
      <c r="U19" s="89"/>
    </row>
    <row r="20" spans="1:22" s="67" customFormat="1" ht="30" customHeight="1" x14ac:dyDescent="0.25">
      <c r="A20" s="450" t="s">
        <v>7</v>
      </c>
      <c r="B20" s="450" t="s">
        <v>6</v>
      </c>
      <c r="C20" s="451" t="s">
        <v>761</v>
      </c>
      <c r="D20" s="451">
        <v>15</v>
      </c>
      <c r="E20" s="452" t="s">
        <v>269</v>
      </c>
      <c r="F20" s="452" t="s">
        <v>356</v>
      </c>
      <c r="G20" s="452" t="s">
        <v>359</v>
      </c>
      <c r="H20" s="454">
        <v>0.3</v>
      </c>
      <c r="I20" s="454">
        <v>0.3</v>
      </c>
      <c r="J20" s="454">
        <v>0.3</v>
      </c>
      <c r="K20" s="454"/>
      <c r="L20" s="455">
        <v>43836</v>
      </c>
      <c r="M20" s="455"/>
      <c r="N20" s="455"/>
      <c r="O20" s="456"/>
      <c r="P20" s="456"/>
      <c r="Q20" s="457" t="s">
        <v>337</v>
      </c>
      <c r="R20" s="455"/>
      <c r="S20" s="459"/>
      <c r="T20" s="89"/>
      <c r="U20" s="89"/>
    </row>
    <row r="21" spans="1:22" s="67" customFormat="1" ht="30" customHeight="1" x14ac:dyDescent="0.25">
      <c r="A21" s="450" t="s">
        <v>7</v>
      </c>
      <c r="B21" s="450" t="s">
        <v>6</v>
      </c>
      <c r="C21" s="451" t="s">
        <v>761</v>
      </c>
      <c r="D21" s="451">
        <v>16</v>
      </c>
      <c r="E21" s="452" t="s">
        <v>766</v>
      </c>
      <c r="F21" s="460" t="s">
        <v>767</v>
      </c>
      <c r="G21" s="461"/>
      <c r="H21" s="454">
        <v>3.4649999999999999</v>
      </c>
      <c r="I21" s="454">
        <v>3.4649999999999999</v>
      </c>
      <c r="J21" s="454">
        <v>3.456</v>
      </c>
      <c r="K21" s="454"/>
      <c r="L21" s="455">
        <v>43836</v>
      </c>
      <c r="M21" s="455"/>
      <c r="N21" s="455"/>
      <c r="O21" s="456"/>
      <c r="P21" s="456"/>
      <c r="Q21" s="457" t="s">
        <v>337</v>
      </c>
      <c r="R21" s="455"/>
      <c r="S21" s="459"/>
      <c r="T21" s="89"/>
      <c r="U21" s="89"/>
    </row>
    <row r="22" spans="1:22" s="67" customFormat="1" ht="30" customHeight="1" x14ac:dyDescent="0.25">
      <c r="A22" s="77"/>
      <c r="B22" s="77"/>
      <c r="C22" s="311"/>
      <c r="D22" s="311"/>
      <c r="E22" s="314"/>
      <c r="F22" s="465"/>
      <c r="G22" s="466"/>
      <c r="H22" s="312"/>
      <c r="I22" s="312"/>
      <c r="J22" s="312"/>
      <c r="K22" s="312"/>
      <c r="L22" s="87"/>
      <c r="M22" s="87"/>
      <c r="N22" s="87"/>
      <c r="O22" s="88"/>
      <c r="P22" s="88"/>
      <c r="Q22" s="313"/>
      <c r="R22" s="87"/>
      <c r="S22" s="327"/>
      <c r="T22" s="89"/>
      <c r="U22" s="89"/>
    </row>
    <row r="23" spans="1:22" s="67" customFormat="1" ht="30" customHeight="1" x14ac:dyDescent="0.25">
      <c r="A23" s="450"/>
      <c r="B23" s="450"/>
      <c r="C23" s="451" t="s">
        <v>771</v>
      </c>
      <c r="D23" s="451"/>
      <c r="E23" s="452"/>
      <c r="F23" s="460"/>
      <c r="G23" s="461"/>
      <c r="H23" s="454"/>
      <c r="I23" s="454"/>
      <c r="J23" s="454"/>
      <c r="K23" s="454"/>
      <c r="L23" s="455"/>
      <c r="M23" s="455"/>
      <c r="N23" s="455"/>
      <c r="O23" s="456"/>
      <c r="P23" s="456"/>
      <c r="Q23" s="457"/>
      <c r="R23" s="455"/>
      <c r="S23" s="459"/>
      <c r="T23" s="89"/>
      <c r="U23" s="89"/>
    </row>
    <row r="24" spans="1:22" s="67" customFormat="1" ht="30" customHeight="1" x14ac:dyDescent="0.25">
      <c r="A24" s="77"/>
      <c r="B24" s="77"/>
      <c r="C24" s="311"/>
      <c r="D24" s="332">
        <v>2</v>
      </c>
      <c r="E24" s="314"/>
      <c r="F24" s="314"/>
      <c r="G24" s="314"/>
      <c r="H24" s="315">
        <v>0.3</v>
      </c>
      <c r="I24" s="315">
        <v>0.3</v>
      </c>
      <c r="J24" s="315">
        <f>SUM(J20:J21)</f>
        <v>3.7559999999999998</v>
      </c>
      <c r="K24" s="312"/>
      <c r="L24" s="87"/>
      <c r="M24" s="87"/>
      <c r="N24" s="87"/>
      <c r="O24" s="88"/>
      <c r="P24" s="88"/>
      <c r="Q24" s="313"/>
      <c r="R24" s="87"/>
      <c r="S24" s="327"/>
      <c r="T24" s="89"/>
      <c r="U24" s="89"/>
    </row>
    <row r="25" spans="1:22" s="4" customFormat="1" ht="30" customHeight="1" x14ac:dyDescent="0.25">
      <c r="A25" s="450" t="s">
        <v>7</v>
      </c>
      <c r="B25" s="450" t="s">
        <v>6</v>
      </c>
      <c r="C25" s="451" t="s">
        <v>138</v>
      </c>
      <c r="D25" s="451">
        <v>17</v>
      </c>
      <c r="E25" s="452" t="s">
        <v>230</v>
      </c>
      <c r="F25" s="452" t="s">
        <v>231</v>
      </c>
      <c r="G25" s="452" t="s">
        <v>232</v>
      </c>
      <c r="H25" s="453">
        <v>74.8</v>
      </c>
      <c r="I25" s="453">
        <v>74.8</v>
      </c>
      <c r="J25" s="453">
        <v>74.8</v>
      </c>
      <c r="K25" s="453"/>
      <c r="L25" s="464">
        <v>44005</v>
      </c>
      <c r="M25" s="464">
        <v>44005</v>
      </c>
      <c r="N25" s="464">
        <v>46048</v>
      </c>
      <c r="O25" s="464">
        <v>6</v>
      </c>
      <c r="P25" s="464" t="s">
        <v>311</v>
      </c>
      <c r="Q25" s="464">
        <v>44103</v>
      </c>
      <c r="R25" s="455"/>
      <c r="S25" s="459">
        <v>5.6715</v>
      </c>
    </row>
    <row r="26" spans="1:22" s="4" customFormat="1" ht="30" customHeight="1" x14ac:dyDescent="0.25">
      <c r="A26" s="316"/>
      <c r="B26" s="316"/>
      <c r="C26" s="316"/>
      <c r="D26" s="332">
        <v>1</v>
      </c>
      <c r="E26" s="316"/>
      <c r="F26" s="316"/>
      <c r="G26" s="316"/>
      <c r="H26" s="318"/>
      <c r="I26" s="318"/>
      <c r="J26" s="318">
        <v>74.8</v>
      </c>
      <c r="K26" s="318"/>
      <c r="L26" s="87"/>
      <c r="M26" s="87"/>
      <c r="N26" s="87"/>
      <c r="O26" s="88"/>
      <c r="P26" s="88"/>
      <c r="Q26" s="313"/>
      <c r="R26" s="87"/>
      <c r="S26" s="327"/>
    </row>
    <row r="27" spans="1:22" s="4" customFormat="1" ht="30" customHeight="1" x14ac:dyDescent="0.25">
      <c r="A27" s="77"/>
      <c r="B27" s="77"/>
      <c r="C27" s="311"/>
      <c r="D27" s="332">
        <f>COUNT(D3:D7,D9,D11:D18,D20:D21,D25)</f>
        <v>17</v>
      </c>
      <c r="E27" s="314"/>
      <c r="F27" s="331" t="s">
        <v>366</v>
      </c>
      <c r="G27" s="314"/>
      <c r="H27" s="315"/>
      <c r="I27" s="315"/>
      <c r="J27" s="336">
        <f>SUM(J26,J19,J8,J10,J24)</f>
        <v>224.637</v>
      </c>
      <c r="K27" s="312"/>
      <c r="L27" s="87"/>
      <c r="M27" s="87"/>
      <c r="N27" s="87"/>
      <c r="O27" s="88"/>
      <c r="P27" s="88"/>
      <c r="Q27" s="319"/>
      <c r="R27" s="87"/>
      <c r="S27" s="312"/>
    </row>
    <row r="28" spans="1:22" x14ac:dyDescent="0.25">
      <c r="G28" s="10">
        <v>27.387</v>
      </c>
      <c r="Q28" s="11"/>
      <c r="V28" s="13">
        <v>14</v>
      </c>
    </row>
    <row r="29" spans="1:22" x14ac:dyDescent="0.25">
      <c r="Q29" s="11"/>
      <c r="V29" s="13">
        <v>10.8</v>
      </c>
    </row>
    <row r="30" spans="1:22" x14ac:dyDescent="0.25">
      <c r="Q30" s="11"/>
      <c r="V30" s="13">
        <v>4.4000000000000004</v>
      </c>
    </row>
    <row r="31" spans="1:22" x14ac:dyDescent="0.25">
      <c r="Q31" s="7"/>
      <c r="V31" s="13">
        <v>13.5</v>
      </c>
    </row>
    <row r="32" spans="1:22" x14ac:dyDescent="0.25">
      <c r="Q32" s="7"/>
      <c r="V32" s="13">
        <v>2.21</v>
      </c>
    </row>
    <row r="33" spans="17:22" x14ac:dyDescent="0.25">
      <c r="V33" s="13">
        <v>1.64</v>
      </c>
    </row>
    <row r="34" spans="17:22" x14ac:dyDescent="0.25">
      <c r="V34" s="13">
        <v>0.42399999999999999</v>
      </c>
    </row>
    <row r="35" spans="17:22" x14ac:dyDescent="0.25">
      <c r="V35" s="13">
        <v>10.8</v>
      </c>
    </row>
    <row r="36" spans="17:22" x14ac:dyDescent="0.25">
      <c r="V36" s="13">
        <v>1.7</v>
      </c>
    </row>
    <row r="37" spans="17:22" x14ac:dyDescent="0.25">
      <c r="V37" s="13">
        <v>3.5</v>
      </c>
    </row>
    <row r="38" spans="17:22" x14ac:dyDescent="0.25">
      <c r="V38" s="13">
        <v>13.5</v>
      </c>
    </row>
    <row r="39" spans="17:22" x14ac:dyDescent="0.25">
      <c r="V39" s="13">
        <v>2</v>
      </c>
    </row>
    <row r="40" spans="17:22" x14ac:dyDescent="0.25">
      <c r="V40" s="13">
        <v>8</v>
      </c>
    </row>
    <row r="41" spans="17:22" x14ac:dyDescent="0.25">
      <c r="V41" s="13">
        <v>2.5</v>
      </c>
    </row>
    <row r="42" spans="17:22" x14ac:dyDescent="0.25">
      <c r="V42" s="13">
        <v>2</v>
      </c>
    </row>
    <row r="43" spans="17:22" x14ac:dyDescent="0.25">
      <c r="V43" s="13">
        <v>10.8</v>
      </c>
    </row>
    <row r="44" spans="17:22" x14ac:dyDescent="0.25">
      <c r="V44" s="13">
        <v>5.4</v>
      </c>
    </row>
    <row r="45" spans="17:22" x14ac:dyDescent="0.25">
      <c r="V45" s="13">
        <v>5.4</v>
      </c>
    </row>
    <row r="46" spans="17:22" x14ac:dyDescent="0.25">
      <c r="V46" s="13">
        <f>SUM(V28:V45)</f>
        <v>112.57400000000001</v>
      </c>
    </row>
    <row r="47" spans="17:22" x14ac:dyDescent="0.25"/>
  </sheetData>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rowBreaks count="1" manualBreakCount="1">
    <brk id="26" max="16383"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
  <sheetViews>
    <sheetView workbookViewId="0"/>
  </sheetViews>
  <sheetFormatPr defaultRowHeight="15" x14ac:dyDescent="0.2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R97"/>
  <sheetViews>
    <sheetView workbookViewId="0">
      <selection activeCell="G41" sqref="G41"/>
    </sheetView>
  </sheetViews>
  <sheetFormatPr defaultColWidth="9.28515625" defaultRowHeight="14.25" x14ac:dyDescent="0.2"/>
  <cols>
    <col min="1" max="1" width="4.7109375" style="259" customWidth="1"/>
    <col min="2" max="2" width="34.42578125" style="124" customWidth="1"/>
    <col min="3" max="3" width="29.7109375" style="124" customWidth="1"/>
    <col min="4" max="4" width="29.42578125" style="124" customWidth="1"/>
    <col min="5" max="5" width="10.28515625" style="124" customWidth="1"/>
    <col min="6" max="6" width="12.42578125" style="122" customWidth="1"/>
    <col min="7" max="8" width="18.7109375" style="124" customWidth="1"/>
    <col min="9" max="9" width="47.42578125" style="124" customWidth="1"/>
    <col min="10" max="11" width="21.28515625" style="124" customWidth="1"/>
    <col min="12" max="12" width="32.28515625" style="266" customWidth="1"/>
    <col min="13" max="13" width="15.42578125" style="266" customWidth="1"/>
    <col min="14" max="14" width="15.42578125" style="124" customWidth="1"/>
    <col min="15" max="15" width="14.42578125" style="124" customWidth="1"/>
    <col min="16" max="16" width="17.42578125" style="124" customWidth="1"/>
    <col min="17" max="17" width="22.28515625" style="124" customWidth="1"/>
    <col min="18" max="18" width="11.42578125" style="124" bestFit="1" customWidth="1"/>
    <col min="19" max="16384" width="9.28515625" style="124"/>
  </cols>
  <sheetData>
    <row r="1" spans="1:18" x14ac:dyDescent="0.2">
      <c r="A1" s="119" t="s">
        <v>370</v>
      </c>
      <c r="B1" s="120"/>
      <c r="C1" s="120"/>
      <c r="D1" s="120"/>
      <c r="E1" s="121"/>
      <c r="G1" s="121"/>
      <c r="H1" s="121"/>
      <c r="I1" s="121"/>
      <c r="J1" s="121"/>
      <c r="K1" s="121"/>
      <c r="L1" s="265"/>
      <c r="M1" s="265"/>
      <c r="N1" s="121"/>
      <c r="O1" s="121"/>
      <c r="P1" s="123"/>
      <c r="Q1" s="123"/>
      <c r="R1" s="121"/>
    </row>
    <row r="2" spans="1:18" x14ac:dyDescent="0.2">
      <c r="A2" s="119" t="s">
        <v>371</v>
      </c>
      <c r="B2" s="120"/>
      <c r="C2" s="120"/>
      <c r="D2" s="120"/>
      <c r="E2" s="121"/>
      <c r="G2" s="121"/>
      <c r="H2" s="121"/>
      <c r="I2" s="121"/>
      <c r="J2" s="121"/>
      <c r="K2" s="121"/>
      <c r="L2" s="265"/>
      <c r="M2" s="265"/>
      <c r="N2" s="121"/>
      <c r="O2" s="121"/>
      <c r="P2" s="123"/>
      <c r="Q2" s="123"/>
      <c r="R2" s="121"/>
    </row>
    <row r="3" spans="1:18" x14ac:dyDescent="0.2">
      <c r="A3" s="119" t="s">
        <v>372</v>
      </c>
      <c r="B3" s="120"/>
      <c r="C3" s="120"/>
      <c r="D3" s="120"/>
      <c r="E3" s="121"/>
      <c r="G3" s="121"/>
      <c r="H3" s="121"/>
      <c r="I3" s="121"/>
      <c r="J3" s="121"/>
      <c r="K3" s="121"/>
      <c r="L3" s="265"/>
      <c r="M3" s="265"/>
      <c r="N3" s="121"/>
      <c r="O3" s="121"/>
      <c r="P3" s="123"/>
      <c r="Q3" s="123"/>
      <c r="R3" s="121"/>
    </row>
    <row r="4" spans="1:18" x14ac:dyDescent="0.2">
      <c r="A4" s="125" t="s">
        <v>373</v>
      </c>
      <c r="B4" s="126"/>
      <c r="C4" s="126"/>
      <c r="D4" s="120"/>
      <c r="E4" s="121"/>
      <c r="G4" s="121"/>
      <c r="H4" s="121"/>
      <c r="I4" s="121"/>
      <c r="J4" s="121"/>
      <c r="K4" s="121"/>
      <c r="L4" s="265"/>
      <c r="M4" s="265"/>
      <c r="N4" s="121"/>
      <c r="O4" s="121"/>
      <c r="P4" s="123"/>
      <c r="Q4" s="123"/>
      <c r="R4" s="121"/>
    </row>
    <row r="5" spans="1:18" x14ac:dyDescent="0.2">
      <c r="A5" s="127"/>
      <c r="B5" s="120"/>
      <c r="C5" s="120"/>
      <c r="D5" s="120"/>
      <c r="E5" s="121"/>
      <c r="G5" s="121"/>
      <c r="H5" s="121"/>
      <c r="I5" s="121"/>
      <c r="J5" s="121"/>
      <c r="K5" s="121"/>
      <c r="L5" s="265"/>
      <c r="M5" s="265"/>
      <c r="N5" s="121"/>
      <c r="O5" s="121"/>
      <c r="P5" s="123"/>
      <c r="Q5" s="123"/>
      <c r="R5" s="121"/>
    </row>
    <row r="6" spans="1:18" ht="42" customHeight="1" x14ac:dyDescent="0.2">
      <c r="A6" s="1152"/>
      <c r="B6" s="1153" t="s">
        <v>374</v>
      </c>
      <c r="C6" s="1153" t="s">
        <v>375</v>
      </c>
      <c r="D6" s="1153" t="s">
        <v>63</v>
      </c>
      <c r="E6" s="1153" t="s">
        <v>376</v>
      </c>
      <c r="F6" s="1153" t="s">
        <v>202</v>
      </c>
      <c r="G6" s="1145" t="s">
        <v>377</v>
      </c>
      <c r="H6" s="1147" t="s">
        <v>378</v>
      </c>
      <c r="I6" s="1133" t="s">
        <v>379</v>
      </c>
      <c r="J6" s="1133" t="s">
        <v>380</v>
      </c>
      <c r="K6" s="128"/>
      <c r="L6" s="1149" t="s">
        <v>381</v>
      </c>
      <c r="M6" s="1151" t="s">
        <v>382</v>
      </c>
      <c r="N6" s="1133" t="s">
        <v>383</v>
      </c>
      <c r="O6" s="1133" t="s">
        <v>384</v>
      </c>
      <c r="P6" s="1134" t="s">
        <v>385</v>
      </c>
      <c r="Q6" s="1134"/>
      <c r="R6" s="121"/>
    </row>
    <row r="7" spans="1:18" ht="22.5" customHeight="1" x14ac:dyDescent="0.2">
      <c r="A7" s="1152"/>
      <c r="B7" s="1154"/>
      <c r="C7" s="1154"/>
      <c r="D7" s="1154"/>
      <c r="E7" s="1154"/>
      <c r="F7" s="1154"/>
      <c r="G7" s="1146"/>
      <c r="H7" s="1148"/>
      <c r="I7" s="1133"/>
      <c r="J7" s="1133"/>
      <c r="K7" s="129"/>
      <c r="L7" s="1150"/>
      <c r="M7" s="1151"/>
      <c r="N7" s="1133"/>
      <c r="O7" s="1133"/>
      <c r="P7" s="130" t="s">
        <v>386</v>
      </c>
      <c r="Q7" s="130" t="s">
        <v>387</v>
      </c>
      <c r="R7" s="121"/>
    </row>
    <row r="8" spans="1:18" ht="20.25" customHeight="1" x14ac:dyDescent="0.2">
      <c r="A8" s="131"/>
      <c r="B8" s="132" t="s">
        <v>388</v>
      </c>
      <c r="C8" s="133"/>
      <c r="D8" s="133"/>
      <c r="E8" s="134"/>
      <c r="F8" s="135"/>
      <c r="G8" s="134"/>
      <c r="H8" s="134"/>
      <c r="I8" s="121"/>
      <c r="J8" s="121"/>
      <c r="K8" s="121"/>
      <c r="L8" s="265"/>
      <c r="M8" s="275"/>
      <c r="N8" s="134"/>
      <c r="O8" s="136"/>
      <c r="P8" s="137"/>
      <c r="Q8" s="137"/>
      <c r="R8" s="121"/>
    </row>
    <row r="9" spans="1:18" ht="96.75" customHeight="1" x14ac:dyDescent="0.2">
      <c r="A9" s="131">
        <v>1</v>
      </c>
      <c r="B9" s="138" t="s">
        <v>389</v>
      </c>
      <c r="C9" s="138" t="s">
        <v>390</v>
      </c>
      <c r="D9" s="139" t="s">
        <v>391</v>
      </c>
      <c r="E9" s="140" t="s">
        <v>392</v>
      </c>
      <c r="F9" s="140" t="s">
        <v>7</v>
      </c>
      <c r="G9" s="173">
        <v>18.899999999999999</v>
      </c>
      <c r="H9" s="142">
        <v>42107</v>
      </c>
      <c r="I9" s="139" t="s">
        <v>393</v>
      </c>
      <c r="J9" s="141" t="s">
        <v>394</v>
      </c>
      <c r="K9" s="141"/>
      <c r="L9" s="261">
        <v>18.899999999999999</v>
      </c>
      <c r="M9" s="263">
        <v>41922</v>
      </c>
      <c r="N9" s="143">
        <v>41953</v>
      </c>
      <c r="O9" s="141">
        <v>8.5299999999999994</v>
      </c>
      <c r="P9" s="144">
        <v>41922</v>
      </c>
      <c r="Q9" s="144">
        <v>49226</v>
      </c>
      <c r="R9" s="121"/>
    </row>
    <row r="10" spans="1:18" ht="42" customHeight="1" x14ac:dyDescent="0.2">
      <c r="A10" s="131">
        <v>2</v>
      </c>
      <c r="B10" s="139" t="s">
        <v>11</v>
      </c>
      <c r="C10" s="139" t="s">
        <v>395</v>
      </c>
      <c r="D10" s="139" t="s">
        <v>132</v>
      </c>
      <c r="E10" s="140" t="s">
        <v>392</v>
      </c>
      <c r="F10" s="140" t="s">
        <v>7</v>
      </c>
      <c r="G10" s="173">
        <v>150</v>
      </c>
      <c r="H10" s="142">
        <v>42107</v>
      </c>
      <c r="I10" s="139" t="s">
        <v>396</v>
      </c>
      <c r="J10" s="141" t="s">
        <v>397</v>
      </c>
      <c r="K10" s="141"/>
      <c r="L10" s="260">
        <v>150</v>
      </c>
      <c r="M10" s="263">
        <v>41954</v>
      </c>
      <c r="N10" s="143">
        <v>41954</v>
      </c>
      <c r="O10" s="141">
        <v>8.5299999999999994</v>
      </c>
      <c r="P10" s="144">
        <v>41954</v>
      </c>
      <c r="Q10" s="144">
        <v>49258</v>
      </c>
      <c r="R10" s="121"/>
    </row>
    <row r="11" spans="1:18" ht="37.5" customHeight="1" x14ac:dyDescent="0.2">
      <c r="A11" s="131">
        <v>3</v>
      </c>
      <c r="B11" s="139" t="s">
        <v>398</v>
      </c>
      <c r="C11" s="138" t="s">
        <v>399</v>
      </c>
      <c r="D11" s="139" t="s">
        <v>400</v>
      </c>
      <c r="E11" s="140" t="s">
        <v>392</v>
      </c>
      <c r="F11" s="140" t="s">
        <v>7</v>
      </c>
      <c r="G11" s="173">
        <v>81</v>
      </c>
      <c r="H11" s="142">
        <v>42107</v>
      </c>
      <c r="I11" s="139" t="s">
        <v>401</v>
      </c>
      <c r="J11" s="141" t="s">
        <v>402</v>
      </c>
      <c r="K11" s="141"/>
      <c r="L11" s="260">
        <v>81</v>
      </c>
      <c r="M11" s="263">
        <v>41954</v>
      </c>
      <c r="N11" s="143">
        <v>41984</v>
      </c>
      <c r="O11" s="141">
        <v>8.5299999999999994</v>
      </c>
      <c r="P11" s="144">
        <v>41954</v>
      </c>
      <c r="Q11" s="144">
        <v>49258</v>
      </c>
      <c r="R11" s="121"/>
    </row>
    <row r="12" spans="1:18" ht="51.75" customHeight="1" x14ac:dyDescent="0.2">
      <c r="A12" s="131">
        <v>4</v>
      </c>
      <c r="B12" s="139" t="s">
        <v>403</v>
      </c>
      <c r="C12" s="145" t="s">
        <v>404</v>
      </c>
      <c r="D12" s="139" t="s">
        <v>405</v>
      </c>
      <c r="E12" s="140" t="s">
        <v>392</v>
      </c>
      <c r="F12" s="140" t="s">
        <v>32</v>
      </c>
      <c r="G12" s="289">
        <v>54</v>
      </c>
      <c r="H12" s="142">
        <v>42339</v>
      </c>
      <c r="I12" s="139" t="s">
        <v>406</v>
      </c>
      <c r="J12" s="141" t="s">
        <v>407</v>
      </c>
      <c r="K12" s="141"/>
      <c r="L12" s="260">
        <v>54</v>
      </c>
      <c r="M12" s="263">
        <v>42000</v>
      </c>
      <c r="N12" s="143">
        <v>42165</v>
      </c>
      <c r="O12" s="141">
        <v>7.4</v>
      </c>
      <c r="P12" s="144">
        <v>42000</v>
      </c>
      <c r="Q12" s="144">
        <v>49304</v>
      </c>
      <c r="R12" s="121"/>
    </row>
    <row r="13" spans="1:18" ht="66.400000000000006" customHeight="1" x14ac:dyDescent="0.2">
      <c r="A13" s="131">
        <v>5</v>
      </c>
      <c r="B13" s="139" t="s">
        <v>408</v>
      </c>
      <c r="C13" s="139" t="s">
        <v>409</v>
      </c>
      <c r="D13" s="139" t="s">
        <v>410</v>
      </c>
      <c r="E13" s="140" t="s">
        <v>392</v>
      </c>
      <c r="F13" s="140" t="s">
        <v>7</v>
      </c>
      <c r="G13" s="289">
        <v>54</v>
      </c>
      <c r="H13" s="142">
        <v>42339</v>
      </c>
      <c r="I13" s="139" t="s">
        <v>411</v>
      </c>
      <c r="J13" s="141" t="s">
        <v>412</v>
      </c>
      <c r="K13" s="141"/>
      <c r="L13" s="260">
        <v>54</v>
      </c>
      <c r="M13" s="263">
        <v>42164</v>
      </c>
      <c r="N13" s="143">
        <v>42170</v>
      </c>
      <c r="O13" s="141">
        <v>7.4</v>
      </c>
      <c r="P13" s="144">
        <v>42164</v>
      </c>
      <c r="Q13" s="144">
        <v>49468</v>
      </c>
      <c r="R13" s="121"/>
    </row>
    <row r="14" spans="1:18" ht="70.150000000000006" customHeight="1" x14ac:dyDescent="0.2">
      <c r="A14" s="131">
        <v>6</v>
      </c>
      <c r="B14" s="139" t="s">
        <v>413</v>
      </c>
      <c r="C14" s="145" t="s">
        <v>414</v>
      </c>
      <c r="D14" s="139" t="s">
        <v>415</v>
      </c>
      <c r="E14" s="140" t="s">
        <v>392</v>
      </c>
      <c r="F14" s="140" t="s">
        <v>32</v>
      </c>
      <c r="G14" s="289">
        <v>36</v>
      </c>
      <c r="H14" s="142">
        <v>42339</v>
      </c>
      <c r="I14" s="139" t="s">
        <v>416</v>
      </c>
      <c r="J14" s="141" t="s">
        <v>417</v>
      </c>
      <c r="K14" s="141"/>
      <c r="L14" s="260">
        <v>36</v>
      </c>
      <c r="M14" s="263">
        <v>42165</v>
      </c>
      <c r="N14" s="143">
        <v>42171</v>
      </c>
      <c r="O14" s="141">
        <v>7.4</v>
      </c>
      <c r="P14" s="144">
        <v>42165</v>
      </c>
      <c r="Q14" s="144">
        <v>49469</v>
      </c>
      <c r="R14" s="121"/>
    </row>
    <row r="15" spans="1:18" ht="120.75" customHeight="1" x14ac:dyDescent="0.2">
      <c r="A15" s="131">
        <v>7</v>
      </c>
      <c r="B15" s="138" t="s">
        <v>389</v>
      </c>
      <c r="C15" s="138" t="s">
        <v>418</v>
      </c>
      <c r="D15" s="139" t="s">
        <v>131</v>
      </c>
      <c r="E15" s="140" t="s">
        <v>392</v>
      </c>
      <c r="F15" s="140" t="s">
        <v>7</v>
      </c>
      <c r="G15" s="173">
        <v>33</v>
      </c>
      <c r="H15" s="146">
        <v>42205</v>
      </c>
      <c r="I15" s="138" t="s">
        <v>419</v>
      </c>
      <c r="J15" s="140" t="s">
        <v>420</v>
      </c>
      <c r="K15" s="147"/>
      <c r="L15" s="267" t="s">
        <v>421</v>
      </c>
      <c r="M15" s="267" t="s">
        <v>421</v>
      </c>
      <c r="N15" s="148" t="s">
        <v>421</v>
      </c>
      <c r="O15" s="141">
        <v>5.96</v>
      </c>
      <c r="P15" s="144">
        <v>42205</v>
      </c>
      <c r="Q15" s="144">
        <v>45812</v>
      </c>
      <c r="R15" s="121"/>
    </row>
    <row r="16" spans="1:18" ht="29.25" customHeight="1" x14ac:dyDescent="0.2">
      <c r="A16" s="131"/>
      <c r="B16" s="149" t="s">
        <v>422</v>
      </c>
      <c r="C16" s="149"/>
      <c r="D16" s="149"/>
      <c r="E16" s="149"/>
      <c r="F16" s="150"/>
      <c r="G16" s="296">
        <f>SUM(G9:G15)</f>
        <v>426.9</v>
      </c>
      <c r="H16" s="151"/>
      <c r="I16" s="152"/>
      <c r="J16" s="152"/>
      <c r="K16" s="152"/>
      <c r="L16" s="260"/>
      <c r="M16" s="260"/>
      <c r="N16" s="152"/>
      <c r="O16" s="152"/>
      <c r="P16" s="153"/>
      <c r="Q16" s="153"/>
      <c r="R16" s="121"/>
    </row>
    <row r="17" spans="1:18" ht="23.25" customHeight="1" x14ac:dyDescent="0.2">
      <c r="A17" s="154"/>
      <c r="B17" s="155" t="s">
        <v>423</v>
      </c>
      <c r="C17" s="156"/>
      <c r="D17" s="156"/>
      <c r="E17" s="157"/>
      <c r="F17" s="135"/>
      <c r="G17" s="157"/>
      <c r="H17" s="157"/>
      <c r="I17" s="121"/>
      <c r="J17" s="121"/>
      <c r="K17" s="121"/>
      <c r="L17" s="265"/>
      <c r="M17" s="276"/>
      <c r="N17" s="157"/>
      <c r="O17" s="158"/>
      <c r="P17" s="137"/>
      <c r="Q17" s="137"/>
      <c r="R17" s="121"/>
    </row>
    <row r="18" spans="1:18" ht="42.75" x14ac:dyDescent="0.2">
      <c r="A18" s="131">
        <f>A17+1</f>
        <v>1</v>
      </c>
      <c r="B18" s="138" t="s">
        <v>424</v>
      </c>
      <c r="C18" s="138" t="s">
        <v>425</v>
      </c>
      <c r="D18" s="138" t="s">
        <v>70</v>
      </c>
      <c r="E18" s="140" t="s">
        <v>426</v>
      </c>
      <c r="F18" s="140" t="s">
        <v>32</v>
      </c>
      <c r="G18" s="297">
        <v>13</v>
      </c>
      <c r="H18" s="142">
        <v>42044</v>
      </c>
      <c r="I18" s="139" t="s">
        <v>427</v>
      </c>
      <c r="J18" s="141" t="s">
        <v>428</v>
      </c>
      <c r="K18" s="141"/>
      <c r="L18" s="267" t="s">
        <v>429</v>
      </c>
      <c r="M18" s="263">
        <v>41774</v>
      </c>
      <c r="N18" s="143">
        <v>41794</v>
      </c>
      <c r="O18" s="141">
        <v>9.68</v>
      </c>
      <c r="P18" s="144">
        <v>41774</v>
      </c>
      <c r="Q18" s="144">
        <v>49078</v>
      </c>
      <c r="R18" s="121"/>
    </row>
    <row r="19" spans="1:18" ht="45.75" customHeight="1" x14ac:dyDescent="0.2">
      <c r="A19" s="131">
        <f>A18+1</f>
        <v>2</v>
      </c>
      <c r="B19" s="138" t="s">
        <v>424</v>
      </c>
      <c r="C19" s="138" t="s">
        <v>430</v>
      </c>
      <c r="D19" s="138" t="s">
        <v>70</v>
      </c>
      <c r="E19" s="140" t="s">
        <v>426</v>
      </c>
      <c r="F19" s="140" t="s">
        <v>32</v>
      </c>
      <c r="G19" s="297">
        <v>9</v>
      </c>
      <c r="H19" s="142">
        <v>42044</v>
      </c>
      <c r="I19" s="138" t="s">
        <v>431</v>
      </c>
      <c r="J19" s="141" t="s">
        <v>432</v>
      </c>
      <c r="K19" s="141"/>
      <c r="L19" s="267" t="s">
        <v>433</v>
      </c>
      <c r="M19" s="263">
        <v>41867</v>
      </c>
      <c r="N19" s="143">
        <v>41919</v>
      </c>
      <c r="O19" s="141">
        <v>9.68</v>
      </c>
      <c r="P19" s="144">
        <v>41867</v>
      </c>
      <c r="Q19" s="144">
        <v>49171</v>
      </c>
      <c r="R19" s="121"/>
    </row>
    <row r="20" spans="1:18" ht="67.900000000000006" customHeight="1" x14ac:dyDescent="0.2">
      <c r="A20" s="131">
        <f t="shared" ref="A20:A41" si="0">A19+1</f>
        <v>3</v>
      </c>
      <c r="B20" s="139" t="s">
        <v>434</v>
      </c>
      <c r="C20" s="138" t="s">
        <v>435</v>
      </c>
      <c r="D20" s="139" t="s">
        <v>74</v>
      </c>
      <c r="E20" s="140" t="s">
        <v>426</v>
      </c>
      <c r="F20" s="140" t="s">
        <v>7</v>
      </c>
      <c r="G20" s="173">
        <v>10.045999999999999</v>
      </c>
      <c r="H20" s="142">
        <v>42100</v>
      </c>
      <c r="I20" s="139" t="s">
        <v>436</v>
      </c>
      <c r="J20" s="141" t="s">
        <v>437</v>
      </c>
      <c r="K20" s="141"/>
      <c r="L20" s="260" t="s">
        <v>438</v>
      </c>
      <c r="M20" s="263">
        <v>42040</v>
      </c>
      <c r="N20" s="143">
        <v>42080</v>
      </c>
      <c r="O20" s="141">
        <v>9.68</v>
      </c>
      <c r="P20" s="144">
        <v>42040</v>
      </c>
      <c r="Q20" s="144">
        <v>49344</v>
      </c>
      <c r="R20" s="121"/>
    </row>
    <row r="21" spans="1:18" ht="67.900000000000006" customHeight="1" x14ac:dyDescent="0.2">
      <c r="A21" s="131">
        <f t="shared" si="0"/>
        <v>4</v>
      </c>
      <c r="B21" s="138" t="s">
        <v>439</v>
      </c>
      <c r="C21" s="138" t="s">
        <v>440</v>
      </c>
      <c r="D21" s="138" t="s">
        <v>77</v>
      </c>
      <c r="E21" s="140" t="s">
        <v>426</v>
      </c>
      <c r="F21" s="140" t="s">
        <v>7</v>
      </c>
      <c r="G21" s="173">
        <v>4.16</v>
      </c>
      <c r="H21" s="142">
        <v>42100</v>
      </c>
      <c r="I21" s="139" t="s">
        <v>436</v>
      </c>
      <c r="J21" s="141" t="s">
        <v>441</v>
      </c>
      <c r="K21" s="141"/>
      <c r="L21" s="260" t="s">
        <v>442</v>
      </c>
      <c r="M21" s="263">
        <v>42068</v>
      </c>
      <c r="N21" s="143">
        <v>42081</v>
      </c>
      <c r="O21" s="141">
        <v>9.68</v>
      </c>
      <c r="P21" s="144">
        <v>42068</v>
      </c>
      <c r="Q21" s="144">
        <v>49372</v>
      </c>
      <c r="R21" s="121"/>
    </row>
    <row r="22" spans="1:18" ht="39" customHeight="1" x14ac:dyDescent="0.2">
      <c r="A22" s="131">
        <f t="shared" si="0"/>
        <v>5</v>
      </c>
      <c r="B22" s="160" t="s">
        <v>443</v>
      </c>
      <c r="C22" s="160" t="s">
        <v>444</v>
      </c>
      <c r="D22" s="160" t="s">
        <v>445</v>
      </c>
      <c r="E22" s="161" t="s">
        <v>426</v>
      </c>
      <c r="F22" s="161" t="s">
        <v>7</v>
      </c>
      <c r="G22" s="173">
        <v>41.3</v>
      </c>
      <c r="H22" s="162" t="s">
        <v>189</v>
      </c>
      <c r="I22" s="163" t="s">
        <v>446</v>
      </c>
      <c r="J22" s="162" t="s">
        <v>447</v>
      </c>
      <c r="K22" s="162"/>
      <c r="L22" s="260" t="s">
        <v>448</v>
      </c>
      <c r="M22" s="262">
        <v>42078</v>
      </c>
      <c r="N22" s="164">
        <v>42095</v>
      </c>
      <c r="O22" s="162">
        <v>9.68</v>
      </c>
      <c r="P22" s="165" t="s">
        <v>449</v>
      </c>
      <c r="Q22" s="166"/>
      <c r="R22" s="121"/>
    </row>
    <row r="23" spans="1:18" ht="51" customHeight="1" x14ac:dyDescent="0.2">
      <c r="A23" s="173">
        <f t="shared" si="0"/>
        <v>6</v>
      </c>
      <c r="B23" s="287" t="s">
        <v>450</v>
      </c>
      <c r="C23" s="288" t="s">
        <v>451</v>
      </c>
      <c r="D23" s="287" t="s">
        <v>452</v>
      </c>
      <c r="E23" s="289" t="s">
        <v>426</v>
      </c>
      <c r="F23" s="289" t="s">
        <v>32</v>
      </c>
      <c r="G23" s="173">
        <v>30.38</v>
      </c>
      <c r="H23" s="290">
        <v>42163</v>
      </c>
      <c r="I23" s="291" t="s">
        <v>453</v>
      </c>
      <c r="J23" s="173" t="s">
        <v>454</v>
      </c>
      <c r="K23" s="173"/>
      <c r="L23" s="173" t="s">
        <v>455</v>
      </c>
      <c r="M23" s="292">
        <v>42098</v>
      </c>
      <c r="N23" s="292">
        <v>42123</v>
      </c>
      <c r="O23" s="173">
        <v>9.68</v>
      </c>
      <c r="P23" s="137">
        <v>42098</v>
      </c>
      <c r="Q23" s="137">
        <v>49402</v>
      </c>
      <c r="R23" s="121"/>
    </row>
    <row r="24" spans="1:18" ht="37.9" customHeight="1" x14ac:dyDescent="0.2">
      <c r="A24" s="131">
        <f t="shared" si="0"/>
        <v>7</v>
      </c>
      <c r="B24" s="138" t="s">
        <v>456</v>
      </c>
      <c r="C24" s="138" t="s">
        <v>457</v>
      </c>
      <c r="D24" s="139" t="s">
        <v>81</v>
      </c>
      <c r="E24" s="140" t="s">
        <v>426</v>
      </c>
      <c r="F24" s="140" t="s">
        <v>7</v>
      </c>
      <c r="G24" s="173">
        <v>1.5</v>
      </c>
      <c r="H24" s="142">
        <v>42177</v>
      </c>
      <c r="I24" s="167" t="s">
        <v>458</v>
      </c>
      <c r="J24" s="141" t="s">
        <v>459</v>
      </c>
      <c r="K24" s="141"/>
      <c r="L24" s="260" t="s">
        <v>460</v>
      </c>
      <c r="M24" s="263">
        <v>42101</v>
      </c>
      <c r="N24" s="143">
        <v>42123</v>
      </c>
      <c r="O24" s="141">
        <v>9.68</v>
      </c>
      <c r="P24" s="144">
        <v>42101</v>
      </c>
      <c r="Q24" s="168">
        <v>49405</v>
      </c>
      <c r="R24" s="169"/>
    </row>
    <row r="25" spans="1:18" ht="28.5" x14ac:dyDescent="0.2">
      <c r="A25" s="131">
        <f t="shared" si="0"/>
        <v>8</v>
      </c>
      <c r="B25" s="138" t="s">
        <v>424</v>
      </c>
      <c r="C25" s="170" t="s">
        <v>461</v>
      </c>
      <c r="D25" s="138" t="s">
        <v>70</v>
      </c>
      <c r="E25" s="140" t="s">
        <v>426</v>
      </c>
      <c r="F25" s="140" t="s">
        <v>32</v>
      </c>
      <c r="G25" s="173">
        <v>23</v>
      </c>
      <c r="H25" s="143">
        <v>42494</v>
      </c>
      <c r="I25" s="171" t="s">
        <v>462</v>
      </c>
      <c r="J25" s="141" t="s">
        <v>463</v>
      </c>
      <c r="K25" s="141"/>
      <c r="L25" s="260" t="s">
        <v>464</v>
      </c>
      <c r="M25" s="263">
        <v>42253</v>
      </c>
      <c r="N25" s="143">
        <v>42258</v>
      </c>
      <c r="O25" s="141">
        <v>8.69</v>
      </c>
      <c r="P25" s="144">
        <v>42253</v>
      </c>
      <c r="Q25" s="144">
        <v>49557</v>
      </c>
      <c r="R25" s="121"/>
    </row>
    <row r="26" spans="1:18" ht="28.5" x14ac:dyDescent="0.2">
      <c r="A26" s="131">
        <f t="shared" si="0"/>
        <v>9</v>
      </c>
      <c r="B26" s="172" t="s">
        <v>465</v>
      </c>
      <c r="C26" s="172" t="s">
        <v>466</v>
      </c>
      <c r="D26" s="138" t="s">
        <v>86</v>
      </c>
      <c r="E26" s="140" t="s">
        <v>426</v>
      </c>
      <c r="F26" s="148" t="s">
        <v>8</v>
      </c>
      <c r="G26" s="173">
        <v>6.23</v>
      </c>
      <c r="H26" s="143">
        <v>42794</v>
      </c>
      <c r="I26" s="167" t="s">
        <v>467</v>
      </c>
      <c r="J26" s="141" t="s">
        <v>468</v>
      </c>
      <c r="K26" s="141"/>
      <c r="L26" s="260" t="s">
        <v>469</v>
      </c>
      <c r="M26" s="263">
        <v>42347</v>
      </c>
      <c r="N26" s="143">
        <v>42416</v>
      </c>
      <c r="O26" s="141">
        <v>8.69</v>
      </c>
      <c r="P26" s="144">
        <v>42668</v>
      </c>
      <c r="Q26" s="144">
        <v>49651</v>
      </c>
      <c r="R26" s="121"/>
    </row>
    <row r="27" spans="1:18" ht="57" x14ac:dyDescent="0.2">
      <c r="A27" s="131">
        <f t="shared" si="0"/>
        <v>10</v>
      </c>
      <c r="B27" s="139" t="s">
        <v>434</v>
      </c>
      <c r="C27" s="138" t="s">
        <v>470</v>
      </c>
      <c r="D27" s="139" t="s">
        <v>74</v>
      </c>
      <c r="E27" s="140" t="s">
        <v>426</v>
      </c>
      <c r="F27" s="140" t="s">
        <v>7</v>
      </c>
      <c r="G27" s="173">
        <v>13.14</v>
      </c>
      <c r="H27" s="142">
        <v>42429</v>
      </c>
      <c r="I27" s="139" t="s">
        <v>471</v>
      </c>
      <c r="J27" s="141" t="s">
        <v>472</v>
      </c>
      <c r="K27" s="141"/>
      <c r="L27" s="260" t="s">
        <v>473</v>
      </c>
      <c r="M27" s="263">
        <v>42361</v>
      </c>
      <c r="N27" s="143">
        <v>42416</v>
      </c>
      <c r="O27" s="141">
        <v>8.69</v>
      </c>
      <c r="P27" s="144">
        <v>42361</v>
      </c>
      <c r="Q27" s="144">
        <v>49665</v>
      </c>
      <c r="R27" s="121"/>
    </row>
    <row r="28" spans="1:18" ht="57" x14ac:dyDescent="0.2">
      <c r="A28" s="173">
        <f t="shared" si="0"/>
        <v>11</v>
      </c>
      <c r="B28" s="139" t="s">
        <v>439</v>
      </c>
      <c r="C28" s="138" t="s">
        <v>474</v>
      </c>
      <c r="D28" s="139" t="s">
        <v>77</v>
      </c>
      <c r="E28" s="140" t="s">
        <v>426</v>
      </c>
      <c r="F28" s="140" t="s">
        <v>7</v>
      </c>
      <c r="G28" s="173">
        <v>2.66</v>
      </c>
      <c r="H28" s="174">
        <v>42430</v>
      </c>
      <c r="I28" s="139" t="s">
        <v>475</v>
      </c>
      <c r="J28" s="141" t="s">
        <v>476</v>
      </c>
      <c r="K28" s="141"/>
      <c r="L28" s="260" t="s">
        <v>477</v>
      </c>
      <c r="M28" s="263">
        <v>42388</v>
      </c>
      <c r="N28" s="143">
        <v>42416</v>
      </c>
      <c r="O28" s="141">
        <v>8.69</v>
      </c>
      <c r="P28" s="168">
        <v>42388</v>
      </c>
      <c r="Q28" s="144">
        <v>49692</v>
      </c>
      <c r="R28" s="121"/>
    </row>
    <row r="29" spans="1:18" ht="28.5" x14ac:dyDescent="0.2">
      <c r="A29" s="131">
        <f t="shared" si="0"/>
        <v>12</v>
      </c>
      <c r="B29" s="138" t="s">
        <v>478</v>
      </c>
      <c r="C29" s="138" t="s">
        <v>479</v>
      </c>
      <c r="D29" s="138" t="s">
        <v>93</v>
      </c>
      <c r="E29" s="140" t="s">
        <v>426</v>
      </c>
      <c r="F29" s="140" t="s">
        <v>7</v>
      </c>
      <c r="G29" s="173">
        <v>50.069000000000003</v>
      </c>
      <c r="H29" s="142">
        <v>42563</v>
      </c>
      <c r="I29" s="139" t="s">
        <v>480</v>
      </c>
      <c r="J29" s="141" t="s">
        <v>481</v>
      </c>
      <c r="K29" s="141"/>
      <c r="L29" s="260" t="s">
        <v>482</v>
      </c>
      <c r="M29" s="263">
        <v>42410</v>
      </c>
      <c r="N29" s="143">
        <v>42436</v>
      </c>
      <c r="O29" s="141">
        <v>8.69</v>
      </c>
      <c r="P29" s="144">
        <v>42410</v>
      </c>
      <c r="Q29" s="144">
        <v>49714</v>
      </c>
      <c r="R29" s="121"/>
    </row>
    <row r="30" spans="1:18" ht="33.4" customHeight="1" x14ac:dyDescent="0.2">
      <c r="A30" s="131">
        <f t="shared" si="0"/>
        <v>13</v>
      </c>
      <c r="B30" s="138" t="s">
        <v>483</v>
      </c>
      <c r="C30" s="138" t="s">
        <v>484</v>
      </c>
      <c r="D30" s="139" t="s">
        <v>97</v>
      </c>
      <c r="E30" s="140" t="s">
        <v>426</v>
      </c>
      <c r="F30" s="140" t="s">
        <v>7</v>
      </c>
      <c r="G30" s="173">
        <v>14.505000000000001</v>
      </c>
      <c r="H30" s="143">
        <v>42459</v>
      </c>
      <c r="I30" s="139" t="s">
        <v>485</v>
      </c>
      <c r="J30" s="141" t="s">
        <v>486</v>
      </c>
      <c r="K30" s="141"/>
      <c r="L30" s="260" t="s">
        <v>487</v>
      </c>
      <c r="M30" s="263">
        <v>42412</v>
      </c>
      <c r="N30" s="143">
        <v>42436</v>
      </c>
      <c r="O30" s="141">
        <v>8.69</v>
      </c>
      <c r="P30" s="144">
        <v>42412</v>
      </c>
      <c r="Q30" s="144">
        <v>49716</v>
      </c>
      <c r="R30" s="121"/>
    </row>
    <row r="31" spans="1:18" ht="29.25" customHeight="1" x14ac:dyDescent="0.2">
      <c r="A31" s="131">
        <f t="shared" si="0"/>
        <v>14</v>
      </c>
      <c r="B31" s="139" t="s">
        <v>47</v>
      </c>
      <c r="C31" s="138" t="s">
        <v>488</v>
      </c>
      <c r="D31" s="139" t="s">
        <v>99</v>
      </c>
      <c r="E31" s="140" t="s">
        <v>426</v>
      </c>
      <c r="F31" s="140" t="s">
        <v>7</v>
      </c>
      <c r="G31" s="173">
        <v>10.26</v>
      </c>
      <c r="H31" s="142">
        <v>42473</v>
      </c>
      <c r="I31" s="167" t="s">
        <v>489</v>
      </c>
      <c r="J31" s="141" t="s">
        <v>490</v>
      </c>
      <c r="K31" s="141"/>
      <c r="L31" s="260" t="s">
        <v>491</v>
      </c>
      <c r="M31" s="263">
        <v>42440</v>
      </c>
      <c r="N31" s="143">
        <v>42440</v>
      </c>
      <c r="O31" s="141">
        <v>8.69</v>
      </c>
      <c r="P31" s="144">
        <v>42440</v>
      </c>
      <c r="Q31" s="144">
        <v>49744</v>
      </c>
      <c r="R31" s="121"/>
    </row>
    <row r="32" spans="1:18" ht="28.5" x14ac:dyDescent="0.2">
      <c r="A32" s="131">
        <f t="shared" si="0"/>
        <v>15</v>
      </c>
      <c r="B32" s="139" t="s">
        <v>492</v>
      </c>
      <c r="C32" s="138" t="s">
        <v>493</v>
      </c>
      <c r="D32" s="139" t="s">
        <v>494</v>
      </c>
      <c r="E32" s="140" t="s">
        <v>426</v>
      </c>
      <c r="F32" s="140" t="s">
        <v>7</v>
      </c>
      <c r="G32" s="173">
        <v>63.3</v>
      </c>
      <c r="H32" s="143">
        <v>42549</v>
      </c>
      <c r="I32" s="139" t="s">
        <v>495</v>
      </c>
      <c r="J32" s="141" t="s">
        <v>496</v>
      </c>
      <c r="K32" s="141"/>
      <c r="L32" s="260" t="s">
        <v>497</v>
      </c>
      <c r="M32" s="263">
        <v>42440</v>
      </c>
      <c r="N32" s="143">
        <v>42443</v>
      </c>
      <c r="O32" s="141">
        <v>8.69</v>
      </c>
      <c r="P32" s="144">
        <v>42440</v>
      </c>
      <c r="Q32" s="144">
        <v>49744</v>
      </c>
      <c r="R32" s="121"/>
    </row>
    <row r="33" spans="1:18" ht="28.5" x14ac:dyDescent="0.2">
      <c r="A33" s="131">
        <f t="shared" si="0"/>
        <v>16</v>
      </c>
      <c r="B33" s="139" t="s">
        <v>498</v>
      </c>
      <c r="C33" s="138" t="s">
        <v>499</v>
      </c>
      <c r="D33" s="139" t="s">
        <v>105</v>
      </c>
      <c r="E33" s="140" t="s">
        <v>426</v>
      </c>
      <c r="F33" s="140" t="s">
        <v>7</v>
      </c>
      <c r="G33" s="173">
        <v>20</v>
      </c>
      <c r="H33" s="143">
        <v>42712</v>
      </c>
      <c r="I33" s="167" t="s">
        <v>500</v>
      </c>
      <c r="J33" s="141" t="s">
        <v>501</v>
      </c>
      <c r="K33" s="141"/>
      <c r="L33" s="260" t="s">
        <v>502</v>
      </c>
      <c r="M33" s="263">
        <v>42429</v>
      </c>
      <c r="N33" s="143">
        <v>42524</v>
      </c>
      <c r="O33" s="141">
        <v>8.69</v>
      </c>
      <c r="P33" s="144">
        <v>42429</v>
      </c>
      <c r="Q33" s="144">
        <v>49733</v>
      </c>
      <c r="R33" s="121"/>
    </row>
    <row r="34" spans="1:18" ht="40.5" customHeight="1" x14ac:dyDescent="0.2">
      <c r="A34" s="131">
        <f t="shared" si="0"/>
        <v>17</v>
      </c>
      <c r="B34" s="138" t="s">
        <v>503</v>
      </c>
      <c r="C34" s="138" t="s">
        <v>504</v>
      </c>
      <c r="D34" s="139" t="s">
        <v>505</v>
      </c>
      <c r="E34" s="140" t="s">
        <v>426</v>
      </c>
      <c r="F34" s="140" t="s">
        <v>7</v>
      </c>
      <c r="G34" s="173">
        <v>8.5</v>
      </c>
      <c r="H34" s="142">
        <v>42712</v>
      </c>
      <c r="I34" s="167" t="s">
        <v>506</v>
      </c>
      <c r="J34" s="141" t="s">
        <v>507</v>
      </c>
      <c r="K34" s="141"/>
      <c r="L34" s="260" t="s">
        <v>508</v>
      </c>
      <c r="M34" s="262">
        <v>42437</v>
      </c>
      <c r="N34" s="142">
        <v>42524</v>
      </c>
      <c r="O34" s="141">
        <v>8.69</v>
      </c>
      <c r="P34" s="144">
        <v>42437</v>
      </c>
      <c r="Q34" s="144">
        <v>49741</v>
      </c>
      <c r="R34" s="121"/>
    </row>
    <row r="35" spans="1:18" ht="28.5" x14ac:dyDescent="0.2">
      <c r="A35" s="131">
        <f t="shared" si="0"/>
        <v>18</v>
      </c>
      <c r="B35" s="139" t="s">
        <v>106</v>
      </c>
      <c r="C35" s="138" t="s">
        <v>509</v>
      </c>
      <c r="D35" s="139" t="s">
        <v>108</v>
      </c>
      <c r="E35" s="140" t="s">
        <v>426</v>
      </c>
      <c r="F35" s="140" t="s">
        <v>7</v>
      </c>
      <c r="G35" s="173">
        <v>2.04</v>
      </c>
      <c r="H35" s="142">
        <v>42712</v>
      </c>
      <c r="I35" s="139" t="s">
        <v>510</v>
      </c>
      <c r="J35" s="141" t="s">
        <v>511</v>
      </c>
      <c r="K35" s="141"/>
      <c r="L35" s="268" t="s">
        <v>512</v>
      </c>
      <c r="M35" s="262">
        <v>42437</v>
      </c>
      <c r="N35" s="142">
        <v>42524</v>
      </c>
      <c r="O35" s="141">
        <v>8.69</v>
      </c>
      <c r="P35" s="144">
        <v>42437</v>
      </c>
      <c r="Q35" s="144">
        <v>49741</v>
      </c>
      <c r="R35" s="121"/>
    </row>
    <row r="36" spans="1:18" ht="37.5" customHeight="1" x14ac:dyDescent="0.2">
      <c r="A36" s="131">
        <f t="shared" si="0"/>
        <v>19</v>
      </c>
      <c r="B36" s="138" t="s">
        <v>112</v>
      </c>
      <c r="C36" s="138" t="s">
        <v>513</v>
      </c>
      <c r="D36" s="139" t="s">
        <v>114</v>
      </c>
      <c r="E36" s="140" t="s">
        <v>426</v>
      </c>
      <c r="F36" s="140" t="s">
        <v>32</v>
      </c>
      <c r="G36" s="173">
        <v>18</v>
      </c>
      <c r="H36" s="142">
        <v>42772</v>
      </c>
      <c r="I36" s="138" t="s">
        <v>514</v>
      </c>
      <c r="J36" s="141" t="s">
        <v>515</v>
      </c>
      <c r="K36" s="141"/>
      <c r="L36" s="260" t="s">
        <v>516</v>
      </c>
      <c r="M36" s="262">
        <v>42440</v>
      </c>
      <c r="N36" s="142">
        <v>42524</v>
      </c>
      <c r="O36" s="141">
        <v>8.69</v>
      </c>
      <c r="P36" s="144">
        <v>42440</v>
      </c>
      <c r="Q36" s="144">
        <v>49744</v>
      </c>
      <c r="R36" s="121"/>
    </row>
    <row r="37" spans="1:18" ht="57.4" customHeight="1" x14ac:dyDescent="0.2">
      <c r="A37" s="131">
        <f t="shared" si="0"/>
        <v>20</v>
      </c>
      <c r="B37" s="139" t="s">
        <v>517</v>
      </c>
      <c r="C37" s="170" t="s">
        <v>518</v>
      </c>
      <c r="D37" s="138" t="s">
        <v>117</v>
      </c>
      <c r="E37" s="140" t="s">
        <v>426</v>
      </c>
      <c r="F37" s="140" t="s">
        <v>7</v>
      </c>
      <c r="G37" s="298">
        <v>22.33</v>
      </c>
      <c r="H37" s="142">
        <v>42712</v>
      </c>
      <c r="I37" s="139" t="s">
        <v>519</v>
      </c>
      <c r="J37" s="141" t="s">
        <v>520</v>
      </c>
      <c r="K37" s="141"/>
      <c r="L37" s="267" t="s">
        <v>521</v>
      </c>
      <c r="M37" s="262">
        <v>42441</v>
      </c>
      <c r="N37" s="142">
        <v>42524</v>
      </c>
      <c r="O37" s="141">
        <v>8.69</v>
      </c>
      <c r="P37" s="144">
        <v>42441</v>
      </c>
      <c r="Q37" s="144">
        <v>49745</v>
      </c>
      <c r="R37" s="121"/>
    </row>
    <row r="38" spans="1:18" ht="49.9" customHeight="1" x14ac:dyDescent="0.2">
      <c r="A38" s="131">
        <f t="shared" si="0"/>
        <v>21</v>
      </c>
      <c r="B38" s="138" t="s">
        <v>522</v>
      </c>
      <c r="C38" s="138" t="s">
        <v>523</v>
      </c>
      <c r="D38" s="139" t="s">
        <v>120</v>
      </c>
      <c r="E38" s="140" t="s">
        <v>426</v>
      </c>
      <c r="F38" s="140" t="s">
        <v>8</v>
      </c>
      <c r="G38" s="173">
        <v>10.49</v>
      </c>
      <c r="H38" s="142">
        <v>42955</v>
      </c>
      <c r="I38" s="139" t="s">
        <v>524</v>
      </c>
      <c r="J38" s="141" t="s">
        <v>525</v>
      </c>
      <c r="K38" s="141"/>
      <c r="L38" s="260" t="s">
        <v>526</v>
      </c>
      <c r="M38" s="262">
        <v>42442</v>
      </c>
      <c r="N38" s="142">
        <v>42524</v>
      </c>
      <c r="O38" s="141">
        <v>8.69</v>
      </c>
      <c r="P38" s="144">
        <v>42442</v>
      </c>
      <c r="Q38" s="144">
        <v>49746</v>
      </c>
      <c r="R38" s="121"/>
    </row>
    <row r="39" spans="1:18" ht="43.5" customHeight="1" x14ac:dyDescent="0.2">
      <c r="A39" s="131">
        <f t="shared" si="0"/>
        <v>22</v>
      </c>
      <c r="B39" s="172" t="s">
        <v>527</v>
      </c>
      <c r="C39" s="172" t="s">
        <v>528</v>
      </c>
      <c r="D39" s="138" t="s">
        <v>123</v>
      </c>
      <c r="E39" s="140" t="s">
        <v>426</v>
      </c>
      <c r="F39" s="148" t="s">
        <v>7</v>
      </c>
      <c r="G39" s="298">
        <v>5.0199999999999996</v>
      </c>
      <c r="H39" s="175">
        <v>42772</v>
      </c>
      <c r="I39" s="139" t="s">
        <v>529</v>
      </c>
      <c r="J39" s="141" t="s">
        <v>530</v>
      </c>
      <c r="K39" s="141"/>
      <c r="L39" s="260" t="s">
        <v>531</v>
      </c>
      <c r="M39" s="277">
        <v>42442</v>
      </c>
      <c r="N39" s="176">
        <v>42524</v>
      </c>
      <c r="O39" s="141">
        <v>8.69</v>
      </c>
      <c r="P39" s="144">
        <v>42442</v>
      </c>
      <c r="Q39" s="144">
        <v>49746</v>
      </c>
      <c r="R39" s="121"/>
    </row>
    <row r="40" spans="1:18" ht="28.5" x14ac:dyDescent="0.2">
      <c r="A40" s="131">
        <f t="shared" si="0"/>
        <v>23</v>
      </c>
      <c r="B40" s="138" t="s">
        <v>532</v>
      </c>
      <c r="C40" s="138" t="s">
        <v>533</v>
      </c>
      <c r="D40" s="138" t="s">
        <v>126</v>
      </c>
      <c r="E40" s="140" t="s">
        <v>426</v>
      </c>
      <c r="F40" s="140" t="s">
        <v>7</v>
      </c>
      <c r="G40" s="297">
        <v>15</v>
      </c>
      <c r="H40" s="142">
        <v>42724</v>
      </c>
      <c r="I40" s="167" t="s">
        <v>534</v>
      </c>
      <c r="J40" s="141" t="s">
        <v>535</v>
      </c>
      <c r="K40" s="141"/>
      <c r="L40" s="268" t="s">
        <v>536</v>
      </c>
      <c r="M40" s="277">
        <v>42443</v>
      </c>
      <c r="N40" s="176">
        <v>42524</v>
      </c>
      <c r="O40" s="141">
        <v>8.69</v>
      </c>
      <c r="P40" s="144">
        <v>42443</v>
      </c>
      <c r="Q40" s="144">
        <v>49747</v>
      </c>
      <c r="R40" s="121"/>
    </row>
    <row r="41" spans="1:18" ht="42.75" x14ac:dyDescent="0.2">
      <c r="A41" s="131">
        <f t="shared" si="0"/>
        <v>24</v>
      </c>
      <c r="B41" s="139" t="s">
        <v>128</v>
      </c>
      <c r="C41" s="138" t="s">
        <v>537</v>
      </c>
      <c r="D41" s="139" t="s">
        <v>538</v>
      </c>
      <c r="E41" s="140" t="s">
        <v>426</v>
      </c>
      <c r="F41" s="140" t="s">
        <v>32</v>
      </c>
      <c r="G41" s="173">
        <v>132.5</v>
      </c>
      <c r="H41" s="143">
        <v>42712</v>
      </c>
      <c r="I41" s="139" t="s">
        <v>539</v>
      </c>
      <c r="J41" s="141" t="s">
        <v>540</v>
      </c>
      <c r="K41" s="141"/>
      <c r="L41" s="260" t="s">
        <v>541</v>
      </c>
      <c r="M41" s="262">
        <v>42443</v>
      </c>
      <c r="N41" s="142">
        <v>42524</v>
      </c>
      <c r="O41" s="141">
        <v>8.69</v>
      </c>
      <c r="P41" s="144">
        <v>42443</v>
      </c>
      <c r="Q41" s="144">
        <v>49747</v>
      </c>
      <c r="R41" s="121"/>
    </row>
    <row r="42" spans="1:18" ht="24.75" customHeight="1" x14ac:dyDescent="0.2">
      <c r="A42" s="131"/>
      <c r="B42" s="149" t="s">
        <v>542</v>
      </c>
      <c r="C42" s="149"/>
      <c r="D42" s="149"/>
      <c r="E42" s="149"/>
      <c r="F42" s="150"/>
      <c r="G42" s="296">
        <f>SUM(G18:G41)</f>
        <v>526.42999999999995</v>
      </c>
      <c r="H42" s="151"/>
      <c r="I42" s="151"/>
      <c r="J42" s="151"/>
      <c r="K42" s="151"/>
      <c r="L42" s="269"/>
      <c r="M42" s="260"/>
      <c r="N42" s="152"/>
      <c r="O42" s="152"/>
      <c r="P42" s="153"/>
      <c r="Q42" s="153"/>
      <c r="R42" s="121"/>
    </row>
    <row r="43" spans="1:18" ht="24" customHeight="1" x14ac:dyDescent="0.2">
      <c r="A43" s="177"/>
      <c r="B43" s="178" t="s">
        <v>543</v>
      </c>
      <c r="C43" s="179"/>
      <c r="D43" s="179"/>
      <c r="E43" s="180"/>
      <c r="F43" s="181"/>
      <c r="G43" s="180"/>
      <c r="H43" s="180"/>
      <c r="I43" s="121"/>
      <c r="J43" s="121"/>
      <c r="K43" s="121"/>
      <c r="L43" s="265"/>
      <c r="M43" s="278"/>
      <c r="N43" s="180"/>
      <c r="O43" s="180"/>
      <c r="P43" s="137"/>
      <c r="Q43" s="137"/>
      <c r="R43" s="121"/>
    </row>
    <row r="44" spans="1:18" ht="30" customHeight="1" x14ac:dyDescent="0.2">
      <c r="A44" s="154">
        <v>1</v>
      </c>
      <c r="B44" s="1131" t="s">
        <v>544</v>
      </c>
      <c r="C44" s="1135" t="s">
        <v>545</v>
      </c>
      <c r="D44" s="1135" t="s">
        <v>148</v>
      </c>
      <c r="E44" s="1137" t="s">
        <v>219</v>
      </c>
      <c r="F44" s="1139" t="s">
        <v>7</v>
      </c>
      <c r="G44" s="298">
        <v>0.876</v>
      </c>
      <c r="H44" s="1141">
        <v>43174</v>
      </c>
      <c r="I44" s="1143" t="s">
        <v>546</v>
      </c>
      <c r="J44" s="141" t="s">
        <v>547</v>
      </c>
      <c r="K44" s="141">
        <v>0.876</v>
      </c>
      <c r="L44" s="260" t="s">
        <v>548</v>
      </c>
      <c r="M44" s="279">
        <v>41338</v>
      </c>
      <c r="N44" s="142">
        <v>41831</v>
      </c>
      <c r="O44" s="141">
        <v>6.63</v>
      </c>
      <c r="P44" s="144">
        <v>42170</v>
      </c>
      <c r="Q44" s="144">
        <v>48642</v>
      </c>
      <c r="R44" s="121"/>
    </row>
    <row r="45" spans="1:18" ht="47.25" customHeight="1" x14ac:dyDescent="0.2">
      <c r="A45" s="154">
        <f>A44+1</f>
        <v>2</v>
      </c>
      <c r="B45" s="1132"/>
      <c r="C45" s="1136"/>
      <c r="D45" s="1136"/>
      <c r="E45" s="1138"/>
      <c r="F45" s="1140"/>
      <c r="G45" s="298">
        <v>0.64</v>
      </c>
      <c r="H45" s="1142"/>
      <c r="I45" s="1144"/>
      <c r="J45" s="141" t="s">
        <v>549</v>
      </c>
      <c r="K45" s="141">
        <v>0.42399999999999999</v>
      </c>
      <c r="L45" s="261" t="s">
        <v>550</v>
      </c>
      <c r="M45" s="262">
        <v>42783</v>
      </c>
      <c r="N45" s="142">
        <v>42928</v>
      </c>
      <c r="O45" s="141">
        <v>6.5968999999999998</v>
      </c>
      <c r="P45" s="144">
        <v>42783</v>
      </c>
      <c r="Q45" s="144">
        <v>50087</v>
      </c>
      <c r="R45" s="121"/>
    </row>
    <row r="46" spans="1:18" ht="123.75" customHeight="1" x14ac:dyDescent="0.2">
      <c r="A46" s="154">
        <f t="shared" ref="A46:A77" si="1">A45+1</f>
        <v>3</v>
      </c>
      <c r="B46" s="182" t="s">
        <v>38</v>
      </c>
      <c r="C46" s="183" t="s">
        <v>551</v>
      </c>
      <c r="D46" s="182" t="s">
        <v>161</v>
      </c>
      <c r="E46" s="184" t="s">
        <v>219</v>
      </c>
      <c r="F46" s="161" t="s">
        <v>7</v>
      </c>
      <c r="G46" s="173">
        <v>19.809999999999999</v>
      </c>
      <c r="H46" s="185">
        <v>42402</v>
      </c>
      <c r="I46" s="186" t="s">
        <v>552</v>
      </c>
      <c r="J46" s="161" t="s">
        <v>553</v>
      </c>
      <c r="K46" s="161">
        <v>14</v>
      </c>
      <c r="L46" s="261" t="s">
        <v>554</v>
      </c>
      <c r="M46" s="280">
        <v>41243</v>
      </c>
      <c r="N46" s="187">
        <v>42171</v>
      </c>
      <c r="O46" s="162">
        <v>6.63</v>
      </c>
      <c r="P46" s="188">
        <v>41243</v>
      </c>
      <c r="Q46" s="188">
        <v>48547</v>
      </c>
      <c r="R46" s="121"/>
    </row>
    <row r="47" spans="1:18" ht="71.25" x14ac:dyDescent="0.2">
      <c r="A47" s="154">
        <f t="shared" si="1"/>
        <v>4</v>
      </c>
      <c r="B47" s="138" t="s">
        <v>555</v>
      </c>
      <c r="C47" s="170" t="s">
        <v>556</v>
      </c>
      <c r="D47" s="138" t="s">
        <v>146</v>
      </c>
      <c r="E47" s="189" t="s">
        <v>219</v>
      </c>
      <c r="F47" s="140" t="s">
        <v>7</v>
      </c>
      <c r="G47" s="298">
        <v>6.37</v>
      </c>
      <c r="H47" s="176">
        <v>42170</v>
      </c>
      <c r="I47" s="167" t="s">
        <v>557</v>
      </c>
      <c r="J47" s="140" t="s">
        <v>558</v>
      </c>
      <c r="K47" s="140">
        <v>2.1749999999999998</v>
      </c>
      <c r="L47" s="261" t="s">
        <v>559</v>
      </c>
      <c r="M47" s="279">
        <v>39975</v>
      </c>
      <c r="N47" s="142">
        <v>41831</v>
      </c>
      <c r="O47" s="141">
        <v>6.63</v>
      </c>
      <c r="P47" s="144">
        <v>42170</v>
      </c>
      <c r="Q47" s="144">
        <v>47157</v>
      </c>
      <c r="R47" s="121"/>
    </row>
    <row r="48" spans="1:18" ht="60" customHeight="1" x14ac:dyDescent="0.2">
      <c r="A48" s="154">
        <f t="shared" si="1"/>
        <v>5</v>
      </c>
      <c r="B48" s="190" t="s">
        <v>43</v>
      </c>
      <c r="C48" s="191" t="s">
        <v>560</v>
      </c>
      <c r="D48" s="190" t="s">
        <v>150</v>
      </c>
      <c r="E48" s="190" t="s">
        <v>219</v>
      </c>
      <c r="F48" s="192" t="s">
        <v>7</v>
      </c>
      <c r="G48" s="298">
        <v>3.6</v>
      </c>
      <c r="H48" s="193">
        <v>42170</v>
      </c>
      <c r="I48" s="194" t="s">
        <v>561</v>
      </c>
      <c r="J48" s="195" t="s">
        <v>562</v>
      </c>
      <c r="K48" s="195">
        <v>3.6</v>
      </c>
      <c r="L48" s="261" t="s">
        <v>563</v>
      </c>
      <c r="M48" s="281">
        <v>39692</v>
      </c>
      <c r="N48" s="196">
        <v>41907</v>
      </c>
      <c r="O48" s="197">
        <v>6.63</v>
      </c>
      <c r="P48" s="198">
        <v>42170</v>
      </c>
      <c r="Q48" s="198">
        <v>47021</v>
      </c>
      <c r="R48" s="121"/>
    </row>
    <row r="49" spans="1:18" ht="37.5" customHeight="1" x14ac:dyDescent="0.2">
      <c r="A49" s="154">
        <f t="shared" si="1"/>
        <v>6</v>
      </c>
      <c r="B49" s="1131" t="s">
        <v>564</v>
      </c>
      <c r="C49" s="199" t="s">
        <v>565</v>
      </c>
      <c r="D49" s="1131" t="s">
        <v>566</v>
      </c>
      <c r="E49" s="189" t="s">
        <v>219</v>
      </c>
      <c r="F49" s="140" t="s">
        <v>7</v>
      </c>
      <c r="G49" s="298">
        <v>12</v>
      </c>
      <c r="H49" s="176">
        <v>43797</v>
      </c>
      <c r="I49" s="139" t="s">
        <v>567</v>
      </c>
      <c r="J49" s="141" t="s">
        <v>568</v>
      </c>
      <c r="K49" s="141">
        <v>12</v>
      </c>
      <c r="L49" s="260" t="s">
        <v>569</v>
      </c>
      <c r="M49" s="262">
        <v>41945</v>
      </c>
      <c r="N49" s="142">
        <v>41977</v>
      </c>
      <c r="O49" s="141">
        <v>6.63</v>
      </c>
      <c r="P49" s="144">
        <v>41945</v>
      </c>
      <c r="Q49" s="144">
        <v>49249</v>
      </c>
      <c r="R49" s="121"/>
    </row>
    <row r="50" spans="1:18" ht="77.25" customHeight="1" x14ac:dyDescent="0.2">
      <c r="A50" s="154">
        <f t="shared" si="1"/>
        <v>7</v>
      </c>
      <c r="B50" s="1132"/>
      <c r="C50" s="199" t="s">
        <v>570</v>
      </c>
      <c r="D50" s="1132"/>
      <c r="E50" s="189" t="s">
        <v>219</v>
      </c>
      <c r="F50" s="140" t="s">
        <v>7</v>
      </c>
      <c r="G50" s="298">
        <v>12</v>
      </c>
      <c r="H50" s="176">
        <v>43082</v>
      </c>
      <c r="I50" s="147" t="s">
        <v>571</v>
      </c>
      <c r="J50" s="141" t="s">
        <v>572</v>
      </c>
      <c r="K50" s="141">
        <v>10.8</v>
      </c>
      <c r="L50" s="261" t="s">
        <v>573</v>
      </c>
      <c r="M50" s="262">
        <v>43000</v>
      </c>
      <c r="N50" s="142">
        <v>43042</v>
      </c>
      <c r="O50" s="141">
        <v>6.5968999999999998</v>
      </c>
      <c r="P50" s="144">
        <v>43000</v>
      </c>
      <c r="Q50" s="144">
        <v>50304</v>
      </c>
      <c r="R50" s="121"/>
    </row>
    <row r="51" spans="1:18" ht="28.5" x14ac:dyDescent="0.2">
      <c r="A51" s="154">
        <f t="shared" si="1"/>
        <v>8</v>
      </c>
      <c r="B51" s="147" t="s">
        <v>574</v>
      </c>
      <c r="C51" s="140" t="s">
        <v>575</v>
      </c>
      <c r="D51" s="147" t="s">
        <v>576</v>
      </c>
      <c r="E51" s="189" t="s">
        <v>219</v>
      </c>
      <c r="F51" s="200" t="s">
        <v>32</v>
      </c>
      <c r="G51" s="299">
        <v>8</v>
      </c>
      <c r="H51" s="201" t="s">
        <v>189</v>
      </c>
      <c r="I51" s="167" t="s">
        <v>577</v>
      </c>
      <c r="J51" s="141" t="s">
        <v>578</v>
      </c>
      <c r="K51" s="141">
        <v>2</v>
      </c>
      <c r="L51" s="261" t="s">
        <v>579</v>
      </c>
      <c r="M51" s="282">
        <v>42039</v>
      </c>
      <c r="N51" s="202">
        <v>42080</v>
      </c>
      <c r="O51" s="203">
        <v>6.19</v>
      </c>
      <c r="P51" s="168">
        <v>43755</v>
      </c>
      <c r="Q51" s="168">
        <v>51059</v>
      </c>
      <c r="R51" s="121" t="s">
        <v>580</v>
      </c>
    </row>
    <row r="52" spans="1:18" ht="42.75" x14ac:dyDescent="0.2">
      <c r="A52" s="154">
        <f t="shared" si="1"/>
        <v>9</v>
      </c>
      <c r="B52" s="138" t="s">
        <v>581</v>
      </c>
      <c r="C52" s="189" t="s">
        <v>582</v>
      </c>
      <c r="D52" s="138" t="s">
        <v>159</v>
      </c>
      <c r="E52" s="138" t="s">
        <v>219</v>
      </c>
      <c r="F52" s="148" t="s">
        <v>32</v>
      </c>
      <c r="G52" s="298">
        <v>46</v>
      </c>
      <c r="H52" s="176">
        <v>42719</v>
      </c>
      <c r="I52" s="147" t="s">
        <v>583</v>
      </c>
      <c r="J52" s="140" t="s">
        <v>584</v>
      </c>
      <c r="K52" s="140">
        <v>20</v>
      </c>
      <c r="L52" s="261" t="s">
        <v>585</v>
      </c>
      <c r="M52" s="262">
        <v>42024</v>
      </c>
      <c r="N52" s="142">
        <v>42335</v>
      </c>
      <c r="O52" s="141">
        <v>6.63</v>
      </c>
      <c r="P52" s="144">
        <v>42024</v>
      </c>
      <c r="Q52" s="144">
        <v>49328</v>
      </c>
      <c r="R52" s="169"/>
    </row>
    <row r="53" spans="1:18" ht="66" customHeight="1" x14ac:dyDescent="0.2">
      <c r="A53" s="154">
        <f t="shared" si="1"/>
        <v>10</v>
      </c>
      <c r="B53" s="138" t="s">
        <v>586</v>
      </c>
      <c r="C53" s="189" t="s">
        <v>587</v>
      </c>
      <c r="D53" s="138" t="s">
        <v>588</v>
      </c>
      <c r="E53" s="138" t="s">
        <v>219</v>
      </c>
      <c r="F53" s="148" t="s">
        <v>32</v>
      </c>
      <c r="G53" s="298">
        <v>21.76</v>
      </c>
      <c r="H53" s="143">
        <v>42170</v>
      </c>
      <c r="I53" s="139" t="s">
        <v>589</v>
      </c>
      <c r="J53" s="141" t="s">
        <v>590</v>
      </c>
      <c r="K53" s="141">
        <v>8</v>
      </c>
      <c r="L53" s="261" t="s">
        <v>591</v>
      </c>
      <c r="M53" s="262">
        <v>40060</v>
      </c>
      <c r="N53" s="142">
        <v>42139</v>
      </c>
      <c r="O53" s="141">
        <v>6.63</v>
      </c>
      <c r="P53" s="144">
        <v>42170</v>
      </c>
      <c r="Q53" s="168">
        <v>47234</v>
      </c>
      <c r="R53" s="121"/>
    </row>
    <row r="54" spans="1:18" ht="57" x14ac:dyDescent="0.2">
      <c r="A54" s="154">
        <f t="shared" si="1"/>
        <v>11</v>
      </c>
      <c r="B54" s="172" t="s">
        <v>592</v>
      </c>
      <c r="C54" s="172" t="s">
        <v>593</v>
      </c>
      <c r="D54" s="138" t="s">
        <v>190</v>
      </c>
      <c r="E54" s="138" t="s">
        <v>219</v>
      </c>
      <c r="F54" s="148" t="s">
        <v>7</v>
      </c>
      <c r="G54" s="298">
        <v>12.5</v>
      </c>
      <c r="H54" s="176">
        <v>42334</v>
      </c>
      <c r="I54" s="138" t="s">
        <v>594</v>
      </c>
      <c r="J54" s="140" t="s">
        <v>595</v>
      </c>
      <c r="K54" s="140">
        <v>11.1</v>
      </c>
      <c r="L54" s="261" t="s">
        <v>596</v>
      </c>
      <c r="M54" s="262">
        <v>42195</v>
      </c>
      <c r="N54" s="142">
        <v>42244</v>
      </c>
      <c r="O54" s="141">
        <v>6.63</v>
      </c>
      <c r="P54" s="144">
        <v>42195</v>
      </c>
      <c r="Q54" s="144">
        <v>49499</v>
      </c>
      <c r="R54" s="121"/>
    </row>
    <row r="55" spans="1:18" ht="40.5" customHeight="1" x14ac:dyDescent="0.2">
      <c r="A55" s="154">
        <f t="shared" si="1"/>
        <v>12</v>
      </c>
      <c r="B55" s="138" t="s">
        <v>597</v>
      </c>
      <c r="C55" s="138" t="s">
        <v>598</v>
      </c>
      <c r="D55" s="138" t="s">
        <v>156</v>
      </c>
      <c r="E55" s="189" t="s">
        <v>219</v>
      </c>
      <c r="F55" s="140" t="s">
        <v>7</v>
      </c>
      <c r="G55" s="298">
        <v>20</v>
      </c>
      <c r="H55" s="176" t="s">
        <v>599</v>
      </c>
      <c r="I55" s="167" t="s">
        <v>600</v>
      </c>
      <c r="J55" s="140" t="s">
        <v>601</v>
      </c>
      <c r="K55" s="140">
        <v>18</v>
      </c>
      <c r="L55" s="261" t="s">
        <v>602</v>
      </c>
      <c r="M55" s="282">
        <v>42283</v>
      </c>
      <c r="N55" s="202">
        <v>42310</v>
      </c>
      <c r="O55" s="141">
        <v>6.63</v>
      </c>
      <c r="P55" s="144">
        <v>42283</v>
      </c>
      <c r="Q55" s="144">
        <v>49587</v>
      </c>
      <c r="R55" s="121"/>
    </row>
    <row r="56" spans="1:18" ht="44.25" customHeight="1" x14ac:dyDescent="0.2">
      <c r="A56" s="154">
        <f t="shared" si="1"/>
        <v>13</v>
      </c>
      <c r="B56" s="147" t="s">
        <v>603</v>
      </c>
      <c r="C56" s="139" t="s">
        <v>604</v>
      </c>
      <c r="D56" s="147" t="s">
        <v>605</v>
      </c>
      <c r="E56" s="189" t="s">
        <v>219</v>
      </c>
      <c r="F56" s="140" t="s">
        <v>32</v>
      </c>
      <c r="G56" s="173">
        <v>23</v>
      </c>
      <c r="H56" s="176" t="s">
        <v>189</v>
      </c>
      <c r="I56" s="204" t="s">
        <v>606</v>
      </c>
      <c r="J56" s="141" t="s">
        <v>607</v>
      </c>
      <c r="K56" s="141">
        <v>2.5</v>
      </c>
      <c r="L56" s="261" t="s">
        <v>608</v>
      </c>
      <c r="M56" s="262">
        <v>42300</v>
      </c>
      <c r="N56" s="142">
        <v>42347</v>
      </c>
      <c r="O56" s="141">
        <v>6.63</v>
      </c>
      <c r="P56" s="144">
        <f>M56</f>
        <v>42300</v>
      </c>
      <c r="Q56" s="144">
        <f>EDATE(P56,20*12)-1</f>
        <v>49604</v>
      </c>
      <c r="R56" s="121"/>
    </row>
    <row r="57" spans="1:18" ht="40.5" customHeight="1" x14ac:dyDescent="0.2">
      <c r="A57" s="154">
        <f t="shared" si="1"/>
        <v>14</v>
      </c>
      <c r="B57" s="138" t="s">
        <v>609</v>
      </c>
      <c r="C57" s="138" t="s">
        <v>610</v>
      </c>
      <c r="D57" s="147" t="s">
        <v>163</v>
      </c>
      <c r="E57" s="189" t="s">
        <v>219</v>
      </c>
      <c r="F57" s="140" t="s">
        <v>7</v>
      </c>
      <c r="G57" s="173">
        <v>12</v>
      </c>
      <c r="H57" s="142">
        <v>42891</v>
      </c>
      <c r="I57" s="167" t="s">
        <v>611</v>
      </c>
      <c r="J57" s="148" t="s">
        <v>612</v>
      </c>
      <c r="K57" s="140">
        <v>10.8</v>
      </c>
      <c r="L57" s="261" t="s">
        <v>573</v>
      </c>
      <c r="M57" s="262">
        <v>42427</v>
      </c>
      <c r="N57" s="142">
        <v>42451</v>
      </c>
      <c r="O57" s="141">
        <v>6.63</v>
      </c>
      <c r="P57" s="144">
        <v>42427</v>
      </c>
      <c r="Q57" s="144">
        <v>49731</v>
      </c>
      <c r="R57" s="121"/>
    </row>
    <row r="58" spans="1:18" ht="43.5" customHeight="1" x14ac:dyDescent="0.2">
      <c r="A58" s="154">
        <f t="shared" si="1"/>
        <v>15</v>
      </c>
      <c r="B58" s="147" t="s">
        <v>613</v>
      </c>
      <c r="C58" s="139" t="s">
        <v>614</v>
      </c>
      <c r="D58" s="147" t="s">
        <v>166</v>
      </c>
      <c r="E58" s="138" t="s">
        <v>219</v>
      </c>
      <c r="F58" s="148" t="s">
        <v>7</v>
      </c>
      <c r="G58" s="173">
        <v>5</v>
      </c>
      <c r="H58" s="176">
        <v>42997</v>
      </c>
      <c r="I58" s="167" t="s">
        <v>615</v>
      </c>
      <c r="J58" s="140" t="s">
        <v>616</v>
      </c>
      <c r="K58" s="140">
        <v>4.4000000000000004</v>
      </c>
      <c r="L58" s="261" t="s">
        <v>617</v>
      </c>
      <c r="M58" s="262">
        <v>42653</v>
      </c>
      <c r="N58" s="142">
        <v>42795</v>
      </c>
      <c r="O58" s="141">
        <v>6.63</v>
      </c>
      <c r="P58" s="144">
        <v>42653</v>
      </c>
      <c r="Q58" s="144">
        <v>49957</v>
      </c>
      <c r="R58" s="121"/>
    </row>
    <row r="59" spans="1:18" ht="46.5" customHeight="1" x14ac:dyDescent="0.2">
      <c r="A59" s="154">
        <f t="shared" si="1"/>
        <v>16</v>
      </c>
      <c r="B59" s="147" t="s">
        <v>618</v>
      </c>
      <c r="C59" s="205" t="s">
        <v>619</v>
      </c>
      <c r="D59" s="138" t="s">
        <v>620</v>
      </c>
      <c r="E59" s="138" t="s">
        <v>219</v>
      </c>
      <c r="F59" s="148" t="s">
        <v>8</v>
      </c>
      <c r="G59" s="298">
        <v>15</v>
      </c>
      <c r="H59" s="176">
        <v>43206</v>
      </c>
      <c r="I59" s="204" t="s">
        <v>621</v>
      </c>
      <c r="J59" s="141" t="s">
        <v>622</v>
      </c>
      <c r="K59" s="141">
        <v>13.5</v>
      </c>
      <c r="L59" s="261" t="s">
        <v>623</v>
      </c>
      <c r="M59" s="283">
        <v>42734</v>
      </c>
      <c r="N59" s="202">
        <v>42877</v>
      </c>
      <c r="O59" s="203">
        <v>6.63</v>
      </c>
      <c r="P59" s="206">
        <v>42734</v>
      </c>
      <c r="Q59" s="206">
        <v>50038</v>
      </c>
      <c r="R59" s="121"/>
    </row>
    <row r="60" spans="1:18" ht="63" customHeight="1" x14ac:dyDescent="0.2">
      <c r="A60" s="154">
        <f t="shared" si="1"/>
        <v>17</v>
      </c>
      <c r="B60" s="207" t="s">
        <v>624</v>
      </c>
      <c r="C60" s="208" t="s">
        <v>625</v>
      </c>
      <c r="D60" s="208" t="s">
        <v>171</v>
      </c>
      <c r="E60" s="208" t="s">
        <v>219</v>
      </c>
      <c r="F60" s="209" t="s">
        <v>7</v>
      </c>
      <c r="G60" s="298">
        <v>8.8000000000000007</v>
      </c>
      <c r="H60" s="210">
        <v>43033</v>
      </c>
      <c r="I60" s="207" t="s">
        <v>626</v>
      </c>
      <c r="J60" s="211" t="s">
        <v>627</v>
      </c>
      <c r="K60" s="211">
        <v>2.21</v>
      </c>
      <c r="L60" s="261" t="s">
        <v>628</v>
      </c>
      <c r="M60" s="264">
        <v>42718</v>
      </c>
      <c r="N60" s="213">
        <v>42877</v>
      </c>
      <c r="O60" s="214">
        <v>6.63</v>
      </c>
      <c r="P60" s="212">
        <v>42718</v>
      </c>
      <c r="Q60" s="212">
        <v>50022</v>
      </c>
      <c r="R60" s="121"/>
    </row>
    <row r="61" spans="1:18" ht="73.900000000000006" customHeight="1" x14ac:dyDescent="0.2">
      <c r="A61" s="154">
        <f t="shared" si="1"/>
        <v>18</v>
      </c>
      <c r="B61" s="139" t="s">
        <v>629</v>
      </c>
      <c r="C61" s="145" t="s">
        <v>630</v>
      </c>
      <c r="D61" s="139" t="s">
        <v>173</v>
      </c>
      <c r="E61" s="145" t="s">
        <v>219</v>
      </c>
      <c r="F61" s="148" t="s">
        <v>7</v>
      </c>
      <c r="G61" s="300">
        <f>(1059+1062)/1000</f>
        <v>2.121</v>
      </c>
      <c r="H61" s="176">
        <v>43802</v>
      </c>
      <c r="I61" s="139" t="s">
        <v>631</v>
      </c>
      <c r="J61" s="140" t="s">
        <v>632</v>
      </c>
      <c r="K61" s="140">
        <v>1.7</v>
      </c>
      <c r="L61" s="261" t="s">
        <v>633</v>
      </c>
      <c r="M61" s="262">
        <v>42937</v>
      </c>
      <c r="N61" s="142">
        <v>43154</v>
      </c>
      <c r="O61" s="141">
        <v>6.5968999999999998</v>
      </c>
      <c r="P61" s="215" t="s">
        <v>634</v>
      </c>
      <c r="Q61" s="215" t="s">
        <v>635</v>
      </c>
      <c r="R61" s="121"/>
    </row>
    <row r="62" spans="1:18" ht="40.15" customHeight="1" x14ac:dyDescent="0.2">
      <c r="A62" s="154">
        <f t="shared" si="1"/>
        <v>19</v>
      </c>
      <c r="B62" s="205" t="s">
        <v>636</v>
      </c>
      <c r="C62" s="216" t="s">
        <v>637</v>
      </c>
      <c r="D62" s="138" t="s">
        <v>638</v>
      </c>
      <c r="E62" s="138" t="s">
        <v>219</v>
      </c>
      <c r="F62" s="148" t="s">
        <v>8</v>
      </c>
      <c r="G62" s="298">
        <v>3.33</v>
      </c>
      <c r="H62" s="176">
        <v>43685</v>
      </c>
      <c r="I62" s="147" t="s">
        <v>639</v>
      </c>
      <c r="J62" s="141" t="s">
        <v>640</v>
      </c>
      <c r="K62" s="141">
        <v>1.64</v>
      </c>
      <c r="L62" s="261" t="s">
        <v>641</v>
      </c>
      <c r="M62" s="262">
        <v>42882</v>
      </c>
      <c r="N62" s="142">
        <v>43042</v>
      </c>
      <c r="O62" s="141">
        <v>6.5968999999999998</v>
      </c>
      <c r="P62" s="144">
        <v>42882</v>
      </c>
      <c r="Q62" s="144">
        <v>50186</v>
      </c>
      <c r="R62" s="121"/>
    </row>
    <row r="63" spans="1:18" ht="29.25" customHeight="1" x14ac:dyDescent="0.2">
      <c r="A63" s="154">
        <f t="shared" si="1"/>
        <v>20</v>
      </c>
      <c r="B63" s="139" t="s">
        <v>642</v>
      </c>
      <c r="C63" s="139" t="s">
        <v>643</v>
      </c>
      <c r="D63" s="147" t="s">
        <v>644</v>
      </c>
      <c r="E63" s="189" t="s">
        <v>219</v>
      </c>
      <c r="F63" s="140" t="s">
        <v>7</v>
      </c>
      <c r="G63" s="289">
        <v>32.5</v>
      </c>
      <c r="H63" s="176">
        <v>44139</v>
      </c>
      <c r="I63" s="139" t="s">
        <v>645</v>
      </c>
      <c r="J63" s="141" t="s">
        <v>646</v>
      </c>
      <c r="K63" s="141">
        <v>2</v>
      </c>
      <c r="L63" s="261" t="s">
        <v>647</v>
      </c>
      <c r="M63" s="262">
        <v>43147</v>
      </c>
      <c r="N63" s="142">
        <v>43311</v>
      </c>
      <c r="O63" s="141"/>
      <c r="P63" s="168">
        <v>43147</v>
      </c>
      <c r="Q63" s="144">
        <v>46798</v>
      </c>
      <c r="R63" s="121"/>
    </row>
    <row r="64" spans="1:18" ht="45.75" customHeight="1" x14ac:dyDescent="0.2">
      <c r="A64" s="154">
        <f t="shared" si="1"/>
        <v>21</v>
      </c>
      <c r="B64" s="147" t="s">
        <v>238</v>
      </c>
      <c r="C64" s="147" t="s">
        <v>648</v>
      </c>
      <c r="D64" s="138" t="s">
        <v>649</v>
      </c>
      <c r="E64" s="138" t="s">
        <v>219</v>
      </c>
      <c r="F64" s="148" t="s">
        <v>8</v>
      </c>
      <c r="G64" s="298">
        <v>5.96</v>
      </c>
      <c r="H64" s="176">
        <v>43711</v>
      </c>
      <c r="I64" s="204" t="s">
        <v>650</v>
      </c>
      <c r="J64" s="217" t="s">
        <v>651</v>
      </c>
      <c r="K64" s="141">
        <v>3.5</v>
      </c>
      <c r="L64" s="261" t="s">
        <v>652</v>
      </c>
      <c r="M64" s="284">
        <v>43228</v>
      </c>
      <c r="N64" s="218">
        <v>43455</v>
      </c>
      <c r="O64" s="219">
        <v>6.5968999999999998</v>
      </c>
      <c r="P64" s="220">
        <v>43228</v>
      </c>
      <c r="Q64" s="220">
        <v>50532</v>
      </c>
      <c r="R64" s="121"/>
    </row>
    <row r="65" spans="1:18" ht="55.5" customHeight="1" x14ac:dyDescent="0.2">
      <c r="A65" s="154">
        <f t="shared" si="1"/>
        <v>22</v>
      </c>
      <c r="B65" s="138" t="s">
        <v>653</v>
      </c>
      <c r="C65" s="189" t="s">
        <v>654</v>
      </c>
      <c r="D65" s="139" t="s">
        <v>655</v>
      </c>
      <c r="E65" s="189" t="s">
        <v>219</v>
      </c>
      <c r="F65" s="140" t="s">
        <v>32</v>
      </c>
      <c r="G65" s="301">
        <v>15</v>
      </c>
      <c r="H65" s="176" t="s">
        <v>189</v>
      </c>
      <c r="I65" s="147" t="s">
        <v>656</v>
      </c>
      <c r="J65" s="141" t="s">
        <v>657</v>
      </c>
      <c r="K65" s="141">
        <v>8</v>
      </c>
      <c r="L65" s="261" t="s">
        <v>658</v>
      </c>
      <c r="M65" s="262">
        <v>40518</v>
      </c>
      <c r="N65" s="142">
        <v>43489</v>
      </c>
      <c r="O65" s="141">
        <v>6.5968999999999998</v>
      </c>
      <c r="P65" s="168">
        <v>44167</v>
      </c>
      <c r="Q65" s="144">
        <v>47822</v>
      </c>
      <c r="R65" s="121"/>
    </row>
    <row r="66" spans="1:18" s="223" customFormat="1" ht="55.5" customHeight="1" x14ac:dyDescent="0.2">
      <c r="A66" s="154">
        <f t="shared" si="1"/>
        <v>23</v>
      </c>
      <c r="B66" s="182" t="s">
        <v>239</v>
      </c>
      <c r="C66" s="184" t="s">
        <v>659</v>
      </c>
      <c r="D66" s="221" t="s">
        <v>258</v>
      </c>
      <c r="E66" s="184" t="s">
        <v>219</v>
      </c>
      <c r="F66" s="161" t="s">
        <v>32</v>
      </c>
      <c r="G66" s="301">
        <v>40</v>
      </c>
      <c r="H66" s="185"/>
      <c r="I66" s="160" t="s">
        <v>660</v>
      </c>
      <c r="J66" s="162" t="s">
        <v>661</v>
      </c>
      <c r="K66" s="162">
        <v>21.45</v>
      </c>
      <c r="L66" s="261"/>
      <c r="M66" s="262">
        <v>43520</v>
      </c>
      <c r="N66" s="164">
        <v>43747</v>
      </c>
      <c r="O66" s="162"/>
      <c r="P66" s="165"/>
      <c r="Q66" s="188"/>
      <c r="R66" s="222"/>
    </row>
    <row r="67" spans="1:18" s="223" customFormat="1" ht="55.5" customHeight="1" x14ac:dyDescent="0.2">
      <c r="A67" s="154">
        <f t="shared" si="1"/>
        <v>24</v>
      </c>
      <c r="B67" s="182" t="s">
        <v>238</v>
      </c>
      <c r="C67" s="184" t="s">
        <v>662</v>
      </c>
      <c r="D67" s="221" t="s">
        <v>259</v>
      </c>
      <c r="E67" s="184" t="s">
        <v>219</v>
      </c>
      <c r="F67" s="161" t="s">
        <v>32</v>
      </c>
      <c r="G67" s="302">
        <f>5.6+3.918</f>
        <v>9.5180000000000007</v>
      </c>
      <c r="H67" s="185"/>
      <c r="I67" s="160" t="s">
        <v>663</v>
      </c>
      <c r="J67" s="161" t="s">
        <v>664</v>
      </c>
      <c r="K67" s="162">
        <v>6.4</v>
      </c>
      <c r="L67" s="261"/>
      <c r="M67" s="285">
        <v>43677</v>
      </c>
      <c r="N67" s="164">
        <v>43794</v>
      </c>
      <c r="O67" s="162"/>
      <c r="P67" s="165"/>
      <c r="Q67" s="188"/>
      <c r="R67" s="222"/>
    </row>
    <row r="68" spans="1:18" s="223" customFormat="1" ht="55.5" customHeight="1" x14ac:dyDescent="0.2">
      <c r="A68" s="154">
        <f t="shared" si="1"/>
        <v>25</v>
      </c>
      <c r="B68" s="182" t="s">
        <v>241</v>
      </c>
      <c r="C68" s="184" t="s">
        <v>665</v>
      </c>
      <c r="D68" s="221" t="s">
        <v>260</v>
      </c>
      <c r="E68" s="184" t="s">
        <v>219</v>
      </c>
      <c r="F68" s="161" t="s">
        <v>32</v>
      </c>
      <c r="G68" s="302">
        <v>8.3000000000000007</v>
      </c>
      <c r="H68" s="185"/>
      <c r="I68" s="160" t="s">
        <v>666</v>
      </c>
      <c r="J68" s="162" t="s">
        <v>667</v>
      </c>
      <c r="K68" s="162">
        <v>1.5</v>
      </c>
      <c r="L68" s="261"/>
      <c r="M68" s="279">
        <v>43706</v>
      </c>
      <c r="N68" s="164">
        <v>43816</v>
      </c>
      <c r="O68" s="162"/>
      <c r="P68" s="165"/>
      <c r="Q68" s="188"/>
      <c r="R68" s="222"/>
    </row>
    <row r="69" spans="1:18" s="223" customFormat="1" ht="55.5" customHeight="1" x14ac:dyDescent="0.2">
      <c r="A69" s="154">
        <f t="shared" si="1"/>
        <v>26</v>
      </c>
      <c r="B69" s="138" t="s">
        <v>668</v>
      </c>
      <c r="C69" s="189" t="s">
        <v>669</v>
      </c>
      <c r="D69" s="139" t="s">
        <v>670</v>
      </c>
      <c r="E69" s="189" t="s">
        <v>219</v>
      </c>
      <c r="F69" s="140" t="s">
        <v>7</v>
      </c>
      <c r="G69" s="301">
        <v>15</v>
      </c>
      <c r="H69" s="224" t="s">
        <v>189</v>
      </c>
      <c r="I69" s="147" t="s">
        <v>671</v>
      </c>
      <c r="J69" s="141" t="s">
        <v>672</v>
      </c>
      <c r="K69" s="141">
        <v>13.5</v>
      </c>
      <c r="L69" s="261" t="s">
        <v>623</v>
      </c>
      <c r="M69" s="262">
        <v>43741</v>
      </c>
      <c r="N69" s="142">
        <v>43794</v>
      </c>
      <c r="O69" s="141">
        <v>6.19</v>
      </c>
      <c r="P69" s="168">
        <f>M69</f>
        <v>43741</v>
      </c>
      <c r="Q69" s="168">
        <v>51045</v>
      </c>
      <c r="R69" s="222"/>
    </row>
    <row r="70" spans="1:18" s="223" customFormat="1" ht="55.5" customHeight="1" x14ac:dyDescent="0.2">
      <c r="A70" s="154">
        <f t="shared" si="1"/>
        <v>27</v>
      </c>
      <c r="B70" s="182" t="s">
        <v>242</v>
      </c>
      <c r="C70" s="184" t="s">
        <v>673</v>
      </c>
      <c r="D70" s="221" t="s">
        <v>261</v>
      </c>
      <c r="E70" s="184" t="s">
        <v>219</v>
      </c>
      <c r="F70" s="161" t="s">
        <v>32</v>
      </c>
      <c r="G70" s="303">
        <v>20</v>
      </c>
      <c r="H70" s="225"/>
      <c r="I70" s="160" t="s">
        <v>660</v>
      </c>
      <c r="J70" s="162" t="s">
        <v>674</v>
      </c>
      <c r="K70" s="162">
        <v>12</v>
      </c>
      <c r="L70" s="261"/>
      <c r="M70" s="262">
        <v>43783</v>
      </c>
      <c r="N70" s="164">
        <v>43816</v>
      </c>
      <c r="O70" s="162"/>
      <c r="P70" s="165"/>
      <c r="Q70" s="188"/>
      <c r="R70" s="222"/>
    </row>
    <row r="71" spans="1:18" s="223" customFormat="1" ht="55.5" customHeight="1" x14ac:dyDescent="0.2">
      <c r="A71" s="154">
        <f t="shared" si="1"/>
        <v>28</v>
      </c>
      <c r="B71" s="138" t="s">
        <v>240</v>
      </c>
      <c r="C71" s="189" t="s">
        <v>250</v>
      </c>
      <c r="D71" s="139" t="s">
        <v>258</v>
      </c>
      <c r="E71" s="189" t="s">
        <v>219</v>
      </c>
      <c r="F71" s="140" t="s">
        <v>32</v>
      </c>
      <c r="G71" s="304">
        <v>20.58</v>
      </c>
      <c r="H71" s="226" t="s">
        <v>189</v>
      </c>
      <c r="I71" s="167" t="s">
        <v>577</v>
      </c>
      <c r="J71" s="140" t="s">
        <v>675</v>
      </c>
      <c r="K71" s="141">
        <v>9.5</v>
      </c>
      <c r="L71" s="261" t="s">
        <v>676</v>
      </c>
      <c r="M71" s="262">
        <v>43484</v>
      </c>
      <c r="N71" s="142">
        <v>43769</v>
      </c>
      <c r="O71" s="141">
        <v>6.19</v>
      </c>
      <c r="P71" s="168">
        <v>43755</v>
      </c>
      <c r="Q71" s="168">
        <v>51059</v>
      </c>
      <c r="R71" s="222"/>
    </row>
    <row r="72" spans="1:18" s="223" customFormat="1" ht="55.5" customHeight="1" x14ac:dyDescent="0.2">
      <c r="A72" s="227">
        <f t="shared" si="1"/>
        <v>29</v>
      </c>
      <c r="B72" s="138" t="s">
        <v>243</v>
      </c>
      <c r="C72" s="189" t="s">
        <v>254</v>
      </c>
      <c r="D72" s="139" t="s">
        <v>262</v>
      </c>
      <c r="E72" s="189" t="s">
        <v>219</v>
      </c>
      <c r="F72" s="140" t="s">
        <v>7</v>
      </c>
      <c r="G72" s="301">
        <v>12</v>
      </c>
      <c r="H72" s="224" t="s">
        <v>189</v>
      </c>
      <c r="I72" s="147" t="s">
        <v>677</v>
      </c>
      <c r="J72" s="141" t="s">
        <v>678</v>
      </c>
      <c r="K72" s="141">
        <v>10.8</v>
      </c>
      <c r="L72" s="261" t="s">
        <v>573</v>
      </c>
      <c r="M72" s="262">
        <v>43812</v>
      </c>
      <c r="N72" s="142">
        <v>43845</v>
      </c>
      <c r="O72" s="141">
        <v>6.19</v>
      </c>
      <c r="P72" s="168">
        <v>43812</v>
      </c>
      <c r="Q72" s="168">
        <v>51116</v>
      </c>
      <c r="R72" s="222"/>
    </row>
    <row r="73" spans="1:18" s="223" customFormat="1" ht="55.5" customHeight="1" x14ac:dyDescent="0.2">
      <c r="A73" s="227">
        <f t="shared" si="1"/>
        <v>30</v>
      </c>
      <c r="B73" s="138" t="s">
        <v>40</v>
      </c>
      <c r="C73" s="189" t="s">
        <v>254</v>
      </c>
      <c r="D73" s="139" t="s">
        <v>262</v>
      </c>
      <c r="E73" s="189" t="s">
        <v>219</v>
      </c>
      <c r="F73" s="140" t="s">
        <v>7</v>
      </c>
      <c r="G73" s="301">
        <v>6</v>
      </c>
      <c r="H73" s="224" t="s">
        <v>189</v>
      </c>
      <c r="I73" s="147" t="s">
        <v>679</v>
      </c>
      <c r="J73" s="141" t="s">
        <v>680</v>
      </c>
      <c r="K73" s="141">
        <v>5.4</v>
      </c>
      <c r="L73" s="261" t="s">
        <v>681</v>
      </c>
      <c r="M73" s="262">
        <v>43824</v>
      </c>
      <c r="N73" s="142">
        <v>44063</v>
      </c>
      <c r="O73" s="141">
        <v>6.19</v>
      </c>
      <c r="P73" s="168">
        <v>43824</v>
      </c>
      <c r="Q73" s="168">
        <v>51128</v>
      </c>
      <c r="R73" s="222"/>
    </row>
    <row r="74" spans="1:18" s="223" customFormat="1" ht="55.5" customHeight="1" x14ac:dyDescent="0.2">
      <c r="A74" s="154">
        <f t="shared" si="1"/>
        <v>31</v>
      </c>
      <c r="B74" s="182" t="s">
        <v>244</v>
      </c>
      <c r="C74" s="184" t="s">
        <v>256</v>
      </c>
      <c r="D74" s="221" t="s">
        <v>258</v>
      </c>
      <c r="E74" s="184" t="s">
        <v>219</v>
      </c>
      <c r="F74" s="161" t="s">
        <v>32</v>
      </c>
      <c r="G74" s="301">
        <v>30</v>
      </c>
      <c r="H74" s="225"/>
      <c r="I74" s="160" t="s">
        <v>682</v>
      </c>
      <c r="J74" s="162" t="s">
        <v>683</v>
      </c>
      <c r="K74" s="162">
        <v>12.7</v>
      </c>
      <c r="L74" s="261"/>
      <c r="M74" s="262">
        <v>43797</v>
      </c>
      <c r="N74" s="164">
        <v>44063</v>
      </c>
      <c r="O74" s="162"/>
      <c r="P74" s="165"/>
      <c r="Q74" s="188"/>
      <c r="R74" s="222"/>
    </row>
    <row r="75" spans="1:18" s="223" customFormat="1" ht="55.5" customHeight="1" x14ac:dyDescent="0.2">
      <c r="A75" s="219">
        <f t="shared" si="1"/>
        <v>32</v>
      </c>
      <c r="B75" s="138" t="s">
        <v>245</v>
      </c>
      <c r="C75" s="189" t="s">
        <v>255</v>
      </c>
      <c r="D75" s="139" t="s">
        <v>262</v>
      </c>
      <c r="E75" s="189" t="s">
        <v>219</v>
      </c>
      <c r="F75" s="140" t="s">
        <v>7</v>
      </c>
      <c r="G75" s="301">
        <v>6</v>
      </c>
      <c r="H75" s="224"/>
      <c r="I75" s="147" t="s">
        <v>684</v>
      </c>
      <c r="J75" s="141" t="s">
        <v>685</v>
      </c>
      <c r="K75" s="141">
        <v>5.4</v>
      </c>
      <c r="L75" s="261" t="s">
        <v>681</v>
      </c>
      <c r="M75" s="262">
        <v>43830</v>
      </c>
      <c r="N75" s="142">
        <v>44063</v>
      </c>
      <c r="O75" s="141">
        <v>6.19</v>
      </c>
      <c r="P75" s="168">
        <v>43830</v>
      </c>
      <c r="Q75" s="168">
        <v>51134</v>
      </c>
      <c r="R75" s="222"/>
    </row>
    <row r="76" spans="1:18" s="223" customFormat="1" ht="55.5" customHeight="1" x14ac:dyDescent="0.2">
      <c r="A76" s="154">
        <f t="shared" si="1"/>
        <v>33</v>
      </c>
      <c r="B76" s="182" t="s">
        <v>246</v>
      </c>
      <c r="C76" s="184" t="s">
        <v>254</v>
      </c>
      <c r="D76" s="221" t="s">
        <v>263</v>
      </c>
      <c r="E76" s="184" t="s">
        <v>219</v>
      </c>
      <c r="F76" s="161" t="s">
        <v>7</v>
      </c>
      <c r="G76" s="301"/>
      <c r="H76" s="228"/>
      <c r="I76" s="160" t="s">
        <v>686</v>
      </c>
      <c r="J76" s="162" t="s">
        <v>687</v>
      </c>
      <c r="K76" s="162">
        <v>7.7</v>
      </c>
      <c r="L76" s="261"/>
      <c r="M76" s="262">
        <v>43830</v>
      </c>
      <c r="N76" s="164">
        <v>44063</v>
      </c>
      <c r="O76" s="162"/>
      <c r="P76" s="165"/>
      <c r="Q76" s="188"/>
      <c r="R76" s="222"/>
    </row>
    <row r="77" spans="1:18" s="223" customFormat="1" ht="55.5" customHeight="1" x14ac:dyDescent="0.2">
      <c r="A77" s="154">
        <f t="shared" si="1"/>
        <v>34</v>
      </c>
      <c r="B77" s="182" t="s">
        <v>247</v>
      </c>
      <c r="C77" s="184" t="s">
        <v>255</v>
      </c>
      <c r="D77" s="221" t="s">
        <v>259</v>
      </c>
      <c r="E77" s="184" t="s">
        <v>219</v>
      </c>
      <c r="F77" s="161" t="s">
        <v>8</v>
      </c>
      <c r="G77" s="302">
        <v>6.15</v>
      </c>
      <c r="H77" s="228"/>
      <c r="I77" s="160" t="s">
        <v>686</v>
      </c>
      <c r="J77" s="162" t="s">
        <v>688</v>
      </c>
      <c r="K77" s="162">
        <v>5.28</v>
      </c>
      <c r="L77" s="261"/>
      <c r="M77" s="262">
        <v>43859</v>
      </c>
      <c r="N77" s="164">
        <v>44063</v>
      </c>
      <c r="O77" s="162"/>
      <c r="P77" s="165"/>
      <c r="Q77" s="188"/>
      <c r="R77" s="222"/>
    </row>
    <row r="78" spans="1:18" ht="29.25" customHeight="1" x14ac:dyDescent="0.2">
      <c r="A78" s="131"/>
      <c r="B78" s="229" t="s">
        <v>689</v>
      </c>
      <c r="C78" s="229"/>
      <c r="D78" s="229"/>
      <c r="E78" s="229"/>
      <c r="F78" s="230"/>
      <c r="G78" s="305">
        <f>SUM(G44:G65,G69,G71:G73,G75)</f>
        <v>345.84699999999998</v>
      </c>
      <c r="H78" s="231"/>
      <c r="I78" s="231"/>
      <c r="J78" s="231"/>
      <c r="K78" s="231"/>
      <c r="L78" s="267"/>
      <c r="M78" s="260"/>
      <c r="N78" s="232"/>
      <c r="O78" s="232"/>
      <c r="P78" s="233"/>
      <c r="Q78" s="233"/>
      <c r="R78" s="121"/>
    </row>
    <row r="79" spans="1:18" ht="21" customHeight="1" x14ac:dyDescent="0.2">
      <c r="A79" s="131"/>
      <c r="B79" s="178" t="s">
        <v>690</v>
      </c>
      <c r="C79" s="179"/>
      <c r="D79" s="234"/>
      <c r="E79" s="234"/>
      <c r="F79" s="235"/>
      <c r="G79" s="173"/>
      <c r="H79" s="236"/>
      <c r="I79" s="121"/>
      <c r="J79" s="121"/>
      <c r="K79" s="121"/>
      <c r="L79" s="265"/>
      <c r="M79" s="260"/>
      <c r="N79" s="237"/>
      <c r="O79" s="173"/>
      <c r="P79" s="137"/>
      <c r="Q79" s="137"/>
      <c r="R79" s="121"/>
    </row>
    <row r="80" spans="1:18" ht="51.75" customHeight="1" x14ac:dyDescent="0.2">
      <c r="A80" s="131">
        <v>1</v>
      </c>
      <c r="B80" s="205" t="s">
        <v>691</v>
      </c>
      <c r="C80" s="216" t="s">
        <v>692</v>
      </c>
      <c r="D80" s="139" t="s">
        <v>139</v>
      </c>
      <c r="E80" s="148" t="s">
        <v>693</v>
      </c>
      <c r="F80" s="140" t="s">
        <v>8</v>
      </c>
      <c r="G80" s="173">
        <v>8.1370000000000005</v>
      </c>
      <c r="H80" s="175">
        <v>43529</v>
      </c>
      <c r="I80" s="172" t="s">
        <v>694</v>
      </c>
      <c r="J80" s="141" t="s">
        <v>695</v>
      </c>
      <c r="K80" s="141"/>
      <c r="L80" s="260">
        <v>8.1370000000000005</v>
      </c>
      <c r="M80" s="262">
        <v>41740</v>
      </c>
      <c r="N80" s="142">
        <v>44358</v>
      </c>
      <c r="O80" s="141">
        <v>5.9</v>
      </c>
      <c r="P80" s="144">
        <v>42170</v>
      </c>
      <c r="Q80" s="144">
        <v>49044</v>
      </c>
      <c r="R80" s="121"/>
    </row>
    <row r="81" spans="1:18" ht="48.75" customHeight="1" x14ac:dyDescent="0.2">
      <c r="A81" s="131">
        <v>2</v>
      </c>
      <c r="B81" s="238" t="s">
        <v>696</v>
      </c>
      <c r="C81" s="138" t="s">
        <v>697</v>
      </c>
      <c r="D81" s="139" t="s">
        <v>142</v>
      </c>
      <c r="E81" s="148" t="s">
        <v>693</v>
      </c>
      <c r="F81" s="140" t="s">
        <v>7</v>
      </c>
      <c r="G81" s="173">
        <v>3.9</v>
      </c>
      <c r="H81" s="142">
        <v>42844</v>
      </c>
      <c r="I81" s="147" t="s">
        <v>698</v>
      </c>
      <c r="J81" s="141" t="s">
        <v>699</v>
      </c>
      <c r="K81" s="141"/>
      <c r="L81" s="260">
        <v>3.8</v>
      </c>
      <c r="M81" s="285">
        <v>41029</v>
      </c>
      <c r="N81" s="142">
        <v>41806</v>
      </c>
      <c r="O81" s="141">
        <v>5.9</v>
      </c>
      <c r="P81" s="144">
        <v>41029</v>
      </c>
      <c r="Q81" s="144">
        <v>48333</v>
      </c>
      <c r="R81" s="121"/>
    </row>
    <row r="82" spans="1:18" ht="66" customHeight="1" x14ac:dyDescent="0.2">
      <c r="A82" s="131">
        <v>3</v>
      </c>
      <c r="B82" s="139" t="s">
        <v>700</v>
      </c>
      <c r="C82" s="170" t="s">
        <v>701</v>
      </c>
      <c r="D82" s="139" t="s">
        <v>140</v>
      </c>
      <c r="E82" s="148" t="s">
        <v>693</v>
      </c>
      <c r="F82" s="140" t="s">
        <v>7</v>
      </c>
      <c r="G82" s="173">
        <v>1.8</v>
      </c>
      <c r="H82" s="143">
        <v>42339</v>
      </c>
      <c r="I82" s="147" t="s">
        <v>702</v>
      </c>
      <c r="J82" s="141" t="s">
        <v>703</v>
      </c>
      <c r="K82" s="141"/>
      <c r="L82" s="260">
        <v>1.8</v>
      </c>
      <c r="M82" s="285">
        <v>40538</v>
      </c>
      <c r="N82" s="142">
        <v>41855</v>
      </c>
      <c r="O82" s="141">
        <v>5.9</v>
      </c>
      <c r="P82" s="144">
        <v>42170</v>
      </c>
      <c r="Q82" s="144">
        <v>47831</v>
      </c>
      <c r="R82" s="121"/>
    </row>
    <row r="83" spans="1:18" ht="68.650000000000006" customHeight="1" x14ac:dyDescent="0.2">
      <c r="A83" s="131">
        <v>4</v>
      </c>
      <c r="B83" s="139" t="s">
        <v>704</v>
      </c>
      <c r="C83" s="138" t="s">
        <v>705</v>
      </c>
      <c r="D83" s="139" t="s">
        <v>706</v>
      </c>
      <c r="E83" s="148" t="s">
        <v>693</v>
      </c>
      <c r="F83" s="140" t="s">
        <v>7</v>
      </c>
      <c r="G83" s="173">
        <v>14.138</v>
      </c>
      <c r="H83" s="143">
        <v>42276</v>
      </c>
      <c r="I83" s="147" t="s">
        <v>707</v>
      </c>
      <c r="J83" s="141" t="s">
        <v>708</v>
      </c>
      <c r="K83" s="141"/>
      <c r="L83" s="260">
        <v>14.138999999999999</v>
      </c>
      <c r="M83" s="262">
        <v>42157</v>
      </c>
      <c r="N83" s="142">
        <v>44365</v>
      </c>
      <c r="O83" s="141">
        <v>5.9</v>
      </c>
      <c r="P83" s="144">
        <v>42157</v>
      </c>
      <c r="Q83" s="144">
        <v>49461</v>
      </c>
      <c r="R83" s="121"/>
    </row>
    <row r="84" spans="1:18" ht="54.75" customHeight="1" x14ac:dyDescent="0.2">
      <c r="A84" s="131">
        <v>5</v>
      </c>
      <c r="B84" s="138" t="s">
        <v>709</v>
      </c>
      <c r="C84" s="170" t="s">
        <v>710</v>
      </c>
      <c r="D84" s="138" t="s">
        <v>711</v>
      </c>
      <c r="E84" s="148" t="s">
        <v>693</v>
      </c>
      <c r="F84" s="140" t="s">
        <v>32</v>
      </c>
      <c r="G84" s="173">
        <v>8.08</v>
      </c>
      <c r="H84" s="143">
        <v>43642</v>
      </c>
      <c r="I84" s="147" t="s">
        <v>712</v>
      </c>
      <c r="J84" s="141" t="s">
        <v>713</v>
      </c>
      <c r="K84" s="141"/>
      <c r="L84" s="260">
        <v>8</v>
      </c>
      <c r="M84" s="262">
        <v>42477</v>
      </c>
      <c r="N84" s="142">
        <v>42593</v>
      </c>
      <c r="O84" s="141">
        <v>5.9</v>
      </c>
      <c r="P84" s="144">
        <v>42477</v>
      </c>
      <c r="Q84" s="144">
        <v>49781</v>
      </c>
      <c r="R84" s="121"/>
    </row>
    <row r="85" spans="1:18" ht="39.75" customHeight="1" x14ac:dyDescent="0.2">
      <c r="A85" s="131">
        <v>6</v>
      </c>
      <c r="B85" s="238" t="s">
        <v>714</v>
      </c>
      <c r="C85" s="138" t="s">
        <v>715</v>
      </c>
      <c r="D85" s="139" t="s">
        <v>716</v>
      </c>
      <c r="E85" s="148" t="s">
        <v>693</v>
      </c>
      <c r="F85" s="140" t="s">
        <v>7</v>
      </c>
      <c r="G85" s="173">
        <v>8.5</v>
      </c>
      <c r="H85" s="142">
        <v>43194</v>
      </c>
      <c r="I85" s="204" t="s">
        <v>717</v>
      </c>
      <c r="J85" s="141" t="s">
        <v>718</v>
      </c>
      <c r="K85" s="141"/>
      <c r="L85" s="260">
        <v>8.5</v>
      </c>
      <c r="M85" s="262">
        <v>43059</v>
      </c>
      <c r="N85" s="142">
        <v>43154</v>
      </c>
      <c r="O85" s="141">
        <v>5.8704999999999998</v>
      </c>
      <c r="P85" s="144">
        <v>43059</v>
      </c>
      <c r="Q85" s="144">
        <v>50363</v>
      </c>
      <c r="R85" s="121"/>
    </row>
    <row r="86" spans="1:18" ht="63" customHeight="1" x14ac:dyDescent="0.2">
      <c r="A86" s="131">
        <v>7</v>
      </c>
      <c r="B86" s="205" t="s">
        <v>719</v>
      </c>
      <c r="C86" s="216" t="s">
        <v>720</v>
      </c>
      <c r="D86" s="205" t="s">
        <v>721</v>
      </c>
      <c r="E86" s="239" t="s">
        <v>693</v>
      </c>
      <c r="F86" s="140" t="s">
        <v>8</v>
      </c>
      <c r="G86" s="306">
        <f>1062.5*3/1000</f>
        <v>3.1875</v>
      </c>
      <c r="H86" s="240" t="s">
        <v>189</v>
      </c>
      <c r="I86" s="147" t="s">
        <v>722</v>
      </c>
      <c r="J86" s="141" t="s">
        <v>723</v>
      </c>
      <c r="K86" s="141"/>
      <c r="L86" s="267">
        <v>3.1880000000000002</v>
      </c>
      <c r="M86" s="262">
        <v>43165</v>
      </c>
      <c r="N86" s="142">
        <v>44308</v>
      </c>
      <c r="O86" s="141">
        <v>5.8704999999999998</v>
      </c>
      <c r="P86" s="168">
        <v>43165</v>
      </c>
      <c r="Q86" s="144">
        <v>43164</v>
      </c>
      <c r="R86" s="121"/>
    </row>
    <row r="87" spans="1:18" ht="30.4" customHeight="1" x14ac:dyDescent="0.2">
      <c r="A87" s="131">
        <v>8</v>
      </c>
      <c r="B87" s="205" t="s">
        <v>270</v>
      </c>
      <c r="C87" s="216" t="s">
        <v>724</v>
      </c>
      <c r="D87" s="205" t="s">
        <v>725</v>
      </c>
      <c r="E87" s="148" t="s">
        <v>693</v>
      </c>
      <c r="F87" s="140" t="s">
        <v>8</v>
      </c>
      <c r="G87" s="173">
        <v>45.936</v>
      </c>
      <c r="H87" s="142">
        <v>43634</v>
      </c>
      <c r="I87" s="204" t="s">
        <v>726</v>
      </c>
      <c r="J87" s="141" t="s">
        <v>727</v>
      </c>
      <c r="K87" s="141"/>
      <c r="L87" s="260">
        <v>45.936</v>
      </c>
      <c r="M87" s="262">
        <v>43283</v>
      </c>
      <c r="N87" s="142">
        <v>43462</v>
      </c>
      <c r="O87" s="141">
        <v>5.8704999999999998</v>
      </c>
      <c r="P87" s="144">
        <v>43283</v>
      </c>
      <c r="Q87" s="144">
        <v>50587</v>
      </c>
      <c r="R87" s="121"/>
    </row>
    <row r="88" spans="1:18" ht="33.75" customHeight="1" x14ac:dyDescent="0.2">
      <c r="A88" s="131">
        <v>9</v>
      </c>
      <c r="B88" s="205" t="s">
        <v>270</v>
      </c>
      <c r="C88" s="216" t="s">
        <v>728</v>
      </c>
      <c r="D88" s="205" t="s">
        <v>729</v>
      </c>
      <c r="E88" s="241" t="s">
        <v>693</v>
      </c>
      <c r="F88" s="140" t="s">
        <v>8</v>
      </c>
      <c r="G88" s="307">
        <v>27.387</v>
      </c>
      <c r="H88" s="142">
        <v>44321</v>
      </c>
      <c r="I88" s="147" t="s">
        <v>730</v>
      </c>
      <c r="J88" s="140" t="s">
        <v>731</v>
      </c>
      <c r="K88" s="140"/>
      <c r="L88" s="270">
        <v>27.387</v>
      </c>
      <c r="M88" s="262">
        <v>43427</v>
      </c>
      <c r="N88" s="142">
        <v>43719</v>
      </c>
      <c r="O88" s="141">
        <v>5.8704999999999998</v>
      </c>
      <c r="P88" s="168">
        <v>43427</v>
      </c>
      <c r="Q88" s="144">
        <v>50731</v>
      </c>
      <c r="R88" s="121"/>
    </row>
    <row r="89" spans="1:18" ht="71.650000000000006" customHeight="1" x14ac:dyDescent="0.2">
      <c r="A89" s="131">
        <f t="shared" ref="A89:A95" si="2">A88+1</f>
        <v>10</v>
      </c>
      <c r="B89" s="139" t="s">
        <v>223</v>
      </c>
      <c r="C89" s="139" t="s">
        <v>732</v>
      </c>
      <c r="D89" s="139" t="s">
        <v>225</v>
      </c>
      <c r="E89" s="241" t="s">
        <v>693</v>
      </c>
      <c r="F89" s="140" t="s">
        <v>7</v>
      </c>
      <c r="G89" s="306">
        <v>2.3199999999999998</v>
      </c>
      <c r="H89" s="142">
        <v>44384</v>
      </c>
      <c r="I89" s="147" t="s">
        <v>733</v>
      </c>
      <c r="J89" s="140" t="s">
        <v>734</v>
      </c>
      <c r="K89" s="140"/>
      <c r="L89" s="271" t="s">
        <v>735</v>
      </c>
      <c r="M89" s="262">
        <v>43602</v>
      </c>
      <c r="N89" s="142">
        <v>43755</v>
      </c>
      <c r="O89" s="242">
        <v>5.8704999999999998</v>
      </c>
      <c r="P89" s="168">
        <v>43602</v>
      </c>
      <c r="Q89" s="144">
        <v>50906</v>
      </c>
      <c r="R89" s="121"/>
    </row>
    <row r="90" spans="1:18" ht="42" customHeight="1" x14ac:dyDescent="0.2">
      <c r="A90" s="154">
        <f t="shared" si="2"/>
        <v>11</v>
      </c>
      <c r="B90" s="139" t="s">
        <v>736</v>
      </c>
      <c r="C90" s="139" t="s">
        <v>737</v>
      </c>
      <c r="D90" s="139" t="s">
        <v>738</v>
      </c>
      <c r="E90" s="241" t="s">
        <v>693</v>
      </c>
      <c r="F90" s="140" t="s">
        <v>7</v>
      </c>
      <c r="G90" s="306">
        <v>74.8</v>
      </c>
      <c r="H90" s="142">
        <v>44103</v>
      </c>
      <c r="I90" s="147" t="s">
        <v>739</v>
      </c>
      <c r="J90" s="243" t="s">
        <v>740</v>
      </c>
      <c r="K90" s="243"/>
      <c r="L90" s="271" t="s">
        <v>421</v>
      </c>
      <c r="M90" s="262" t="s">
        <v>421</v>
      </c>
      <c r="N90" s="142" t="s">
        <v>421</v>
      </c>
      <c r="O90" s="244">
        <v>5.6715</v>
      </c>
      <c r="P90" s="168">
        <v>44005</v>
      </c>
      <c r="Q90" s="168">
        <v>46048</v>
      </c>
      <c r="R90" s="121"/>
    </row>
    <row r="91" spans="1:18" ht="42" customHeight="1" x14ac:dyDescent="0.2">
      <c r="A91" s="154">
        <f t="shared" si="2"/>
        <v>12</v>
      </c>
      <c r="B91" s="139" t="s">
        <v>271</v>
      </c>
      <c r="C91" s="139" t="s">
        <v>741</v>
      </c>
      <c r="D91" s="139" t="s">
        <v>742</v>
      </c>
      <c r="E91" s="241" t="s">
        <v>693</v>
      </c>
      <c r="F91" s="140" t="s">
        <v>7</v>
      </c>
      <c r="G91" s="306">
        <v>20.399999999999999</v>
      </c>
      <c r="H91" s="142" t="s">
        <v>189</v>
      </c>
      <c r="I91" s="147" t="s">
        <v>743</v>
      </c>
      <c r="J91" s="243" t="s">
        <v>744</v>
      </c>
      <c r="K91" s="243"/>
      <c r="L91" s="272">
        <v>20.399999999999999</v>
      </c>
      <c r="M91" s="262">
        <v>43647</v>
      </c>
      <c r="N91" s="142">
        <v>43858</v>
      </c>
      <c r="O91" s="141">
        <v>5.8704999999999998</v>
      </c>
      <c r="P91" s="168">
        <f>M91</f>
        <v>43647</v>
      </c>
      <c r="Q91" s="168">
        <v>50951</v>
      </c>
      <c r="R91" s="121"/>
    </row>
    <row r="92" spans="1:18" ht="42" customHeight="1" x14ac:dyDescent="0.2">
      <c r="A92" s="154">
        <f t="shared" si="2"/>
        <v>13</v>
      </c>
      <c r="B92" s="139" t="s">
        <v>745</v>
      </c>
      <c r="C92" s="139" t="s">
        <v>357</v>
      </c>
      <c r="D92" s="139" t="s">
        <v>274</v>
      </c>
      <c r="E92" s="241" t="s">
        <v>693</v>
      </c>
      <c r="F92" s="140" t="s">
        <v>7</v>
      </c>
      <c r="G92" s="306">
        <v>1.1000000000000001</v>
      </c>
      <c r="H92" s="240" t="s">
        <v>189</v>
      </c>
      <c r="I92" s="147" t="s">
        <v>746</v>
      </c>
      <c r="J92" s="243" t="s">
        <v>747</v>
      </c>
      <c r="K92" s="243"/>
      <c r="L92" s="273">
        <v>1.1000000000000001</v>
      </c>
      <c r="M92" s="262">
        <v>43304</v>
      </c>
      <c r="N92" s="142">
        <v>43738</v>
      </c>
      <c r="O92" s="141">
        <v>5.8704999999999998</v>
      </c>
      <c r="P92" s="168">
        <v>43304</v>
      </c>
      <c r="Q92" s="245">
        <v>14083</v>
      </c>
      <c r="R92" s="121"/>
    </row>
    <row r="93" spans="1:18" ht="42" customHeight="1" x14ac:dyDescent="0.2">
      <c r="A93" s="154">
        <f t="shared" si="2"/>
        <v>14</v>
      </c>
      <c r="B93" s="139" t="s">
        <v>745</v>
      </c>
      <c r="C93" s="139" t="s">
        <v>358</v>
      </c>
      <c r="D93" s="139" t="s">
        <v>748</v>
      </c>
      <c r="E93" s="241" t="s">
        <v>693</v>
      </c>
      <c r="F93" s="140" t="s">
        <v>7</v>
      </c>
      <c r="G93" s="306">
        <v>1.5</v>
      </c>
      <c r="H93" s="240" t="s">
        <v>189</v>
      </c>
      <c r="I93" s="147" t="s">
        <v>746</v>
      </c>
      <c r="J93" s="243" t="s">
        <v>749</v>
      </c>
      <c r="K93" s="243"/>
      <c r="L93" s="273">
        <v>1.5</v>
      </c>
      <c r="M93" s="262">
        <v>43392</v>
      </c>
      <c r="N93" s="142">
        <v>43738</v>
      </c>
      <c r="O93" s="141">
        <v>5.8704999999999998</v>
      </c>
      <c r="P93" s="168">
        <v>43392</v>
      </c>
      <c r="Q93" s="245">
        <v>50696</v>
      </c>
      <c r="R93" s="121"/>
    </row>
    <row r="94" spans="1:18" ht="42" customHeight="1" x14ac:dyDescent="0.2">
      <c r="A94" s="154">
        <f t="shared" si="2"/>
        <v>15</v>
      </c>
      <c r="B94" s="139" t="s">
        <v>745</v>
      </c>
      <c r="C94" s="139" t="s">
        <v>356</v>
      </c>
      <c r="D94" s="139" t="s">
        <v>359</v>
      </c>
      <c r="E94" s="241" t="s">
        <v>693</v>
      </c>
      <c r="F94" s="140" t="s">
        <v>7</v>
      </c>
      <c r="G94" s="306">
        <v>0.3</v>
      </c>
      <c r="H94" s="240" t="s">
        <v>189</v>
      </c>
      <c r="I94" s="147" t="s">
        <v>746</v>
      </c>
      <c r="J94" s="243" t="s">
        <v>750</v>
      </c>
      <c r="K94" s="243"/>
      <c r="L94" s="273">
        <v>0.3</v>
      </c>
      <c r="M94" s="262">
        <v>43836</v>
      </c>
      <c r="N94" s="142">
        <v>43972</v>
      </c>
      <c r="O94" s="141">
        <v>5.8704999999999998</v>
      </c>
      <c r="P94" s="168">
        <v>43836</v>
      </c>
      <c r="Q94" s="245">
        <v>51140</v>
      </c>
      <c r="R94" s="121"/>
    </row>
    <row r="95" spans="1:18" ht="42" customHeight="1" x14ac:dyDescent="0.2">
      <c r="A95" s="154">
        <f t="shared" si="2"/>
        <v>16</v>
      </c>
      <c r="B95" s="139" t="s">
        <v>272</v>
      </c>
      <c r="C95" s="139" t="s">
        <v>751</v>
      </c>
      <c r="D95" s="139" t="s">
        <v>752</v>
      </c>
      <c r="E95" s="241" t="s">
        <v>693</v>
      </c>
      <c r="F95" s="140" t="s">
        <v>32</v>
      </c>
      <c r="G95" s="306">
        <v>1.2</v>
      </c>
      <c r="H95" s="240" t="s">
        <v>189</v>
      </c>
      <c r="I95" s="147" t="s">
        <v>753</v>
      </c>
      <c r="J95" s="243" t="s">
        <v>754</v>
      </c>
      <c r="K95" s="243"/>
      <c r="L95" s="273">
        <v>1.2</v>
      </c>
      <c r="M95" s="262">
        <v>43824</v>
      </c>
      <c r="N95" s="142">
        <v>44110</v>
      </c>
      <c r="O95" s="159">
        <v>5.8704999999999998</v>
      </c>
      <c r="P95" s="168">
        <v>43824</v>
      </c>
      <c r="Q95" s="168">
        <v>51128</v>
      </c>
      <c r="R95" s="121"/>
    </row>
    <row r="96" spans="1:18" ht="30" customHeight="1" x14ac:dyDescent="0.2">
      <c r="A96" s="154"/>
      <c r="B96" s="246" t="s">
        <v>755</v>
      </c>
      <c r="C96" s="246"/>
      <c r="D96" s="246"/>
      <c r="E96" s="246" t="s">
        <v>693</v>
      </c>
      <c r="F96" s="247"/>
      <c r="G96" s="296">
        <f>SUM(G80:G89)</f>
        <v>123.38549999999999</v>
      </c>
      <c r="H96" s="248"/>
      <c r="I96" s="249"/>
      <c r="J96" s="249"/>
      <c r="K96" s="249"/>
      <c r="L96" s="269"/>
      <c r="M96" s="260"/>
      <c r="N96" s="250"/>
      <c r="O96" s="250"/>
      <c r="P96" s="251"/>
      <c r="Q96" s="251"/>
      <c r="R96" s="121"/>
    </row>
    <row r="97" spans="1:17" ht="30" customHeight="1" x14ac:dyDescent="0.2">
      <c r="A97" s="127"/>
      <c r="B97" s="252" t="s">
        <v>756</v>
      </c>
      <c r="C97" s="253"/>
      <c r="D97" s="252"/>
      <c r="E97" s="254"/>
      <c r="F97" s="255"/>
      <c r="G97" s="256"/>
      <c r="H97" s="257"/>
      <c r="I97" s="258"/>
      <c r="J97" s="120"/>
      <c r="K97" s="120"/>
      <c r="L97" s="274"/>
      <c r="M97" s="286"/>
      <c r="N97" s="122"/>
      <c r="O97" s="122"/>
      <c r="P97" s="123"/>
      <c r="Q97" s="123"/>
    </row>
  </sheetData>
  <mergeCells count="24">
    <mergeCell ref="L6:L7"/>
    <mergeCell ref="M6:M7"/>
    <mergeCell ref="A6:A7"/>
    <mergeCell ref="B6:B7"/>
    <mergeCell ref="C6:C7"/>
    <mergeCell ref="D6:D7"/>
    <mergeCell ref="E6:E7"/>
    <mergeCell ref="F6:F7"/>
    <mergeCell ref="B49:B50"/>
    <mergeCell ref="D49:D50"/>
    <mergeCell ref="N6:N7"/>
    <mergeCell ref="O6:O7"/>
    <mergeCell ref="P6:Q6"/>
    <mergeCell ref="B44:B45"/>
    <mergeCell ref="C44:C45"/>
    <mergeCell ref="D44:D45"/>
    <mergeCell ref="E44:E45"/>
    <mergeCell ref="F44:F45"/>
    <mergeCell ref="H44:H45"/>
    <mergeCell ref="I44:I45"/>
    <mergeCell ref="G6:G7"/>
    <mergeCell ref="H6:H7"/>
    <mergeCell ref="I6:I7"/>
    <mergeCell ref="J6:J7"/>
  </mergeCells>
  <pageMargins left="0.7" right="0.7" top="0.75" bottom="0.75" header="0.3" footer="0.3"/>
  <pageSetup paperSize="9" orientation="landscape"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L19"/>
  <sheetViews>
    <sheetView topLeftCell="B1" zoomScale="145" zoomScaleNormal="145" workbookViewId="0">
      <selection activeCell="C15" sqref="C15"/>
    </sheetView>
  </sheetViews>
  <sheetFormatPr defaultColWidth="8.7109375" defaultRowHeight="15" x14ac:dyDescent="0.25"/>
  <cols>
    <col min="2" max="2" width="11.28515625" bestFit="1" customWidth="1"/>
  </cols>
  <sheetData>
    <row r="1" spans="1:12" x14ac:dyDescent="0.25">
      <c r="B1" t="s">
        <v>9</v>
      </c>
      <c r="C1" s="35">
        <v>484.65</v>
      </c>
      <c r="D1" s="30">
        <f>C1/C5</f>
        <v>0.44463221168401523</v>
      </c>
    </row>
    <row r="2" spans="1:12" x14ac:dyDescent="0.25">
      <c r="B2" t="s">
        <v>10</v>
      </c>
      <c r="C2" s="35">
        <v>426.9</v>
      </c>
      <c r="D2" s="30">
        <f>C2/C5</f>
        <v>0.39165065752172934</v>
      </c>
    </row>
    <row r="3" spans="1:12" x14ac:dyDescent="0.25">
      <c r="B3" t="s">
        <v>44</v>
      </c>
      <c r="C3" s="35">
        <v>135.352</v>
      </c>
      <c r="D3" s="30">
        <f>C3/C5</f>
        <v>0.124175918943268</v>
      </c>
    </row>
    <row r="4" spans="1:12" x14ac:dyDescent="0.25">
      <c r="B4" t="s">
        <v>56</v>
      </c>
      <c r="C4" s="35">
        <v>43.1</v>
      </c>
      <c r="D4" s="30">
        <f>C4/C5</f>
        <v>3.9541211850987433E-2</v>
      </c>
    </row>
    <row r="5" spans="1:12" x14ac:dyDescent="0.25">
      <c r="C5" s="35">
        <f>SUM(C1:C4)</f>
        <v>1090.002</v>
      </c>
    </row>
    <row r="6" spans="1:12" x14ac:dyDescent="0.25">
      <c r="A6" t="s">
        <v>10</v>
      </c>
      <c r="B6" s="30"/>
      <c r="C6" s="30"/>
    </row>
    <row r="7" spans="1:12" x14ac:dyDescent="0.25">
      <c r="A7" t="s">
        <v>9</v>
      </c>
      <c r="B7" s="30"/>
      <c r="C7" s="30"/>
    </row>
    <row r="8" spans="1:12" x14ac:dyDescent="0.25">
      <c r="A8" t="s">
        <v>44</v>
      </c>
      <c r="B8" s="30"/>
      <c r="C8" s="30"/>
    </row>
    <row r="9" spans="1:12" x14ac:dyDescent="0.25">
      <c r="A9" t="s">
        <v>6</v>
      </c>
      <c r="B9" s="30"/>
      <c r="C9" s="30"/>
    </row>
    <row r="10" spans="1:12" x14ac:dyDescent="0.25">
      <c r="A10" t="s">
        <v>10</v>
      </c>
      <c r="B10" s="30"/>
    </row>
    <row r="11" spans="1:12" x14ac:dyDescent="0.25">
      <c r="A11" t="s">
        <v>9</v>
      </c>
      <c r="B11" s="30"/>
    </row>
    <row r="12" spans="1:12" x14ac:dyDescent="0.25">
      <c r="A12" t="s">
        <v>44</v>
      </c>
      <c r="B12" s="30"/>
    </row>
    <row r="13" spans="1:12" x14ac:dyDescent="0.25">
      <c r="B13" s="30"/>
    </row>
    <row r="14" spans="1:12" x14ac:dyDescent="0.25">
      <c r="A14" t="s">
        <v>6</v>
      </c>
      <c r="B14" s="30" t="s">
        <v>191</v>
      </c>
      <c r="F14" t="s">
        <v>61</v>
      </c>
      <c r="J14" t="s">
        <v>62</v>
      </c>
    </row>
    <row r="15" spans="1:12" x14ac:dyDescent="0.25">
      <c r="B15" t="s">
        <v>9</v>
      </c>
      <c r="C15" s="35">
        <v>242.43</v>
      </c>
      <c r="D15" s="30">
        <f>C15/$C$19</f>
        <v>0.34851425367662914</v>
      </c>
      <c r="F15" t="s">
        <v>9</v>
      </c>
      <c r="G15">
        <v>225.5</v>
      </c>
      <c r="H15" s="30">
        <f>G15/G19</f>
        <v>0.64153627311522043</v>
      </c>
      <c r="J15" t="s">
        <v>9</v>
      </c>
      <c r="K15">
        <v>16.72</v>
      </c>
      <c r="L15" s="30">
        <f>K15/K19</f>
        <v>0.42886090235206609</v>
      </c>
    </row>
    <row r="16" spans="1:12" x14ac:dyDescent="0.25">
      <c r="B16" t="s">
        <v>10</v>
      </c>
      <c r="C16" s="35">
        <v>336.9</v>
      </c>
      <c r="D16" s="30">
        <f>C16/$C$19</f>
        <v>0.48432311208867035</v>
      </c>
      <c r="F16" t="s">
        <v>10</v>
      </c>
      <c r="G16">
        <v>90</v>
      </c>
      <c r="H16" s="30">
        <f>G16/G19</f>
        <v>0.25604551920341395</v>
      </c>
      <c r="J16" t="s">
        <v>10</v>
      </c>
      <c r="K16">
        <v>0</v>
      </c>
      <c r="L16" s="30">
        <f>K16/K19</f>
        <v>0</v>
      </c>
    </row>
    <row r="17" spans="2:12" x14ac:dyDescent="0.25">
      <c r="B17" t="s">
        <v>44</v>
      </c>
      <c r="C17" s="35">
        <v>88.18</v>
      </c>
      <c r="D17" s="30">
        <f>C17/$C$19</f>
        <v>0.12676643521513492</v>
      </c>
      <c r="F17" t="s">
        <v>44</v>
      </c>
      <c r="G17">
        <v>28</v>
      </c>
      <c r="H17" s="30">
        <f>G17/G19</f>
        <v>7.9658605974395447E-2</v>
      </c>
      <c r="J17" t="s">
        <v>44</v>
      </c>
      <c r="K17">
        <v>15.266999999999999</v>
      </c>
      <c r="L17" s="30">
        <f>K17/K19</f>
        <v>0.39159206915125561</v>
      </c>
    </row>
    <row r="18" spans="2:12" x14ac:dyDescent="0.25">
      <c r="B18" t="s">
        <v>6</v>
      </c>
      <c r="C18" s="35">
        <v>28.1</v>
      </c>
      <c r="D18" s="30">
        <f>C18/$C$19</f>
        <v>4.0396199019565565E-2</v>
      </c>
      <c r="F18" t="s">
        <v>6</v>
      </c>
      <c r="G18">
        <v>8</v>
      </c>
      <c r="H18" s="30">
        <f>G18/G19</f>
        <v>2.2759601706970129E-2</v>
      </c>
      <c r="J18" t="s">
        <v>6</v>
      </c>
      <c r="K18">
        <v>7</v>
      </c>
      <c r="L18" s="30">
        <f>K18/K19</f>
        <v>0.17954702849667839</v>
      </c>
    </row>
    <row r="19" spans="2:12" x14ac:dyDescent="0.25">
      <c r="C19" s="35">
        <f>SUM(C15:C18)</f>
        <v>695.61</v>
      </c>
      <c r="G19">
        <f>SUM(G15:G18)</f>
        <v>351.5</v>
      </c>
      <c r="K19">
        <f>SUM(K15:K18)</f>
        <v>38.986999999999995</v>
      </c>
    </row>
  </sheetData>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M58"/>
  <sheetViews>
    <sheetView view="pageBreakPreview" topLeftCell="E1" zoomScaleNormal="85" zoomScaleSheetLayoutView="100" workbookViewId="0">
      <selection activeCell="C15" sqref="C15"/>
    </sheetView>
  </sheetViews>
  <sheetFormatPr defaultColWidth="9.28515625" defaultRowHeight="15" x14ac:dyDescent="0.25"/>
  <cols>
    <col min="1" max="1" width="11.28515625" style="10" hidden="1" customWidth="1"/>
    <col min="2" max="2" width="11.28515625" style="2" hidden="1" customWidth="1"/>
    <col min="3" max="3" width="6.28515625" style="2" customWidth="1"/>
    <col min="4" max="4" width="80.42578125" style="10" bestFit="1" customWidth="1"/>
    <col min="5" max="5" width="57.42578125" style="33" customWidth="1"/>
    <col min="6" max="6" width="56.42578125" style="10" hidden="1" customWidth="1"/>
    <col min="7" max="7" width="10.28515625" style="11" hidden="1" customWidth="1"/>
    <col min="8" max="8" width="9.42578125" style="10" hidden="1" customWidth="1"/>
    <col min="9" max="9" width="15" style="10" bestFit="1" customWidth="1"/>
    <col min="10" max="10" width="16.7109375" style="10" bestFit="1" customWidth="1"/>
    <col min="11" max="11" width="50" style="10" bestFit="1" customWidth="1"/>
    <col min="12" max="12" width="20.42578125" style="10" customWidth="1"/>
    <col min="13" max="13" width="2.42578125" style="11" hidden="1" customWidth="1"/>
    <col min="14" max="16384" width="9.28515625" style="13"/>
  </cols>
  <sheetData>
    <row r="1" spans="1:13" s="3" customFormat="1" ht="104.25" customHeight="1" x14ac:dyDescent="0.25">
      <c r="A1" s="38" t="s">
        <v>1</v>
      </c>
      <c r="B1" s="39" t="s">
        <v>48</v>
      </c>
      <c r="C1" s="40" t="s">
        <v>2</v>
      </c>
      <c r="D1" s="40" t="s">
        <v>4</v>
      </c>
      <c r="E1" s="41" t="s">
        <v>3</v>
      </c>
      <c r="F1" s="39" t="s">
        <v>63</v>
      </c>
      <c r="G1" s="42" t="s">
        <v>64</v>
      </c>
      <c r="H1" s="42" t="s">
        <v>65</v>
      </c>
      <c r="I1" s="39" t="s">
        <v>202</v>
      </c>
      <c r="J1" s="39" t="s">
        <v>66</v>
      </c>
      <c r="K1" s="39" t="s">
        <v>67</v>
      </c>
      <c r="L1" s="43" t="s">
        <v>194</v>
      </c>
      <c r="M1" s="17" t="s">
        <v>5</v>
      </c>
    </row>
    <row r="2" spans="1:13" s="3" customFormat="1" x14ac:dyDescent="0.25">
      <c r="A2" s="16"/>
      <c r="B2" s="15"/>
      <c r="C2" s="1155" t="s">
        <v>44</v>
      </c>
      <c r="D2" s="1156"/>
      <c r="E2" s="1156"/>
      <c r="F2" s="1156"/>
      <c r="G2" s="1156"/>
      <c r="H2" s="1156"/>
      <c r="I2" s="1156"/>
      <c r="J2" s="1156"/>
      <c r="K2" s="1157"/>
      <c r="L2" s="37">
        <f>SUM(L3:L19)</f>
        <v>135.352</v>
      </c>
      <c r="M2" s="17"/>
    </row>
    <row r="3" spans="1:13" s="4" customFormat="1" ht="15.75" x14ac:dyDescent="0.25">
      <c r="A3" s="5" t="s">
        <v>44</v>
      </c>
      <c r="B3" s="18" t="s">
        <v>49</v>
      </c>
      <c r="C3" s="18">
        <v>1</v>
      </c>
      <c r="D3" s="19" t="s">
        <v>143</v>
      </c>
      <c r="E3" s="32" t="s">
        <v>34</v>
      </c>
      <c r="F3" s="22" t="s">
        <v>144</v>
      </c>
      <c r="G3" s="7">
        <v>12</v>
      </c>
      <c r="H3" s="7">
        <v>12</v>
      </c>
      <c r="I3" s="5" t="s">
        <v>7</v>
      </c>
      <c r="J3" s="8">
        <v>41945</v>
      </c>
      <c r="K3" s="26">
        <v>42044</v>
      </c>
      <c r="L3" s="7">
        <v>12</v>
      </c>
      <c r="M3" s="7">
        <v>6.63</v>
      </c>
    </row>
    <row r="4" spans="1:13" s="4" customFormat="1" ht="15.75" x14ac:dyDescent="0.25">
      <c r="A4" s="5" t="s">
        <v>44</v>
      </c>
      <c r="B4" s="18" t="s">
        <v>49</v>
      </c>
      <c r="C4" s="18">
        <v>2</v>
      </c>
      <c r="D4" s="19" t="s">
        <v>145</v>
      </c>
      <c r="E4" s="32" t="s">
        <v>36</v>
      </c>
      <c r="F4" s="22" t="s">
        <v>146</v>
      </c>
      <c r="G4" s="7">
        <v>2.1749999999999998</v>
      </c>
      <c r="H4" s="7">
        <v>8.19</v>
      </c>
      <c r="I4" s="5" t="s">
        <v>7</v>
      </c>
      <c r="J4" s="8">
        <v>39975</v>
      </c>
      <c r="K4" s="26">
        <v>42170</v>
      </c>
      <c r="L4" s="7">
        <v>2.1749999999999998</v>
      </c>
      <c r="M4" s="7">
        <v>6.63</v>
      </c>
    </row>
    <row r="5" spans="1:13" s="4" customFormat="1" ht="15.75" x14ac:dyDescent="0.25">
      <c r="A5" s="5" t="s">
        <v>44</v>
      </c>
      <c r="B5" s="18" t="s">
        <v>49</v>
      </c>
      <c r="C5" s="18">
        <v>3</v>
      </c>
      <c r="D5" s="19" t="s">
        <v>147</v>
      </c>
      <c r="E5" s="32" t="s">
        <v>33</v>
      </c>
      <c r="F5" s="22" t="s">
        <v>148</v>
      </c>
      <c r="G5" s="7">
        <v>0.876</v>
      </c>
      <c r="H5" s="34">
        <v>0.94399999999999995</v>
      </c>
      <c r="I5" s="5" t="s">
        <v>7</v>
      </c>
      <c r="J5" s="25">
        <v>41338</v>
      </c>
      <c r="K5" s="26">
        <v>42170</v>
      </c>
      <c r="L5" s="34">
        <v>0.876</v>
      </c>
      <c r="M5" s="7">
        <v>6.63</v>
      </c>
    </row>
    <row r="6" spans="1:13" s="4" customFormat="1" x14ac:dyDescent="0.25">
      <c r="A6" s="5" t="s">
        <v>44</v>
      </c>
      <c r="B6" s="18" t="s">
        <v>49</v>
      </c>
      <c r="C6" s="18">
        <v>4</v>
      </c>
      <c r="D6" s="5" t="s">
        <v>149</v>
      </c>
      <c r="E6" s="31" t="s">
        <v>43</v>
      </c>
      <c r="F6" s="6" t="s">
        <v>150</v>
      </c>
      <c r="G6" s="7">
        <v>3.6</v>
      </c>
      <c r="H6" s="7">
        <v>3.6</v>
      </c>
      <c r="I6" s="5" t="s">
        <v>7</v>
      </c>
      <c r="J6" s="8">
        <v>39717</v>
      </c>
      <c r="K6" s="26">
        <v>42170</v>
      </c>
      <c r="L6" s="7">
        <v>3.6</v>
      </c>
      <c r="M6" s="7">
        <v>6.63</v>
      </c>
    </row>
    <row r="7" spans="1:13" s="4" customFormat="1" ht="15.75" x14ac:dyDescent="0.25">
      <c r="A7" s="5" t="s">
        <v>44</v>
      </c>
      <c r="B7" s="18" t="s">
        <v>49</v>
      </c>
      <c r="C7" s="18">
        <v>5</v>
      </c>
      <c r="D7" s="19" t="s">
        <v>151</v>
      </c>
      <c r="E7" s="32" t="s">
        <v>35</v>
      </c>
      <c r="F7" s="22" t="s">
        <v>152</v>
      </c>
      <c r="G7" s="7">
        <v>8</v>
      </c>
      <c r="H7" s="7">
        <v>21.76</v>
      </c>
      <c r="I7" s="5" t="s">
        <v>32</v>
      </c>
      <c r="J7" s="8">
        <v>40060</v>
      </c>
      <c r="K7" s="26">
        <v>42170</v>
      </c>
      <c r="L7" s="7">
        <v>8</v>
      </c>
      <c r="M7" s="7">
        <v>6.63</v>
      </c>
    </row>
    <row r="8" spans="1:13" s="4" customFormat="1" ht="15.75" x14ac:dyDescent="0.25">
      <c r="A8" s="5" t="s">
        <v>44</v>
      </c>
      <c r="B8" s="18" t="s">
        <v>49</v>
      </c>
      <c r="C8" s="18">
        <v>6</v>
      </c>
      <c r="D8" s="19" t="s">
        <v>153</v>
      </c>
      <c r="E8" s="32" t="s">
        <v>37</v>
      </c>
      <c r="F8" s="22" t="s">
        <v>190</v>
      </c>
      <c r="G8" s="7">
        <v>12.5</v>
      </c>
      <c r="H8" s="7">
        <v>12.5</v>
      </c>
      <c r="I8" s="5" t="s">
        <v>7</v>
      </c>
      <c r="J8" s="27">
        <v>42195</v>
      </c>
      <c r="K8" s="26">
        <v>42334</v>
      </c>
      <c r="L8" s="7">
        <v>11.1</v>
      </c>
      <c r="M8" s="7">
        <v>6.63</v>
      </c>
    </row>
    <row r="9" spans="1:13" s="4" customFormat="1" ht="15.75" x14ac:dyDescent="0.25">
      <c r="A9" s="5" t="s">
        <v>44</v>
      </c>
      <c r="B9" s="18" t="s">
        <v>49</v>
      </c>
      <c r="C9" s="18">
        <v>7</v>
      </c>
      <c r="D9" s="19" t="s">
        <v>155</v>
      </c>
      <c r="E9" s="32" t="s">
        <v>154</v>
      </c>
      <c r="F9" s="22" t="s">
        <v>156</v>
      </c>
      <c r="G9" s="7">
        <v>18</v>
      </c>
      <c r="H9" s="7">
        <v>20</v>
      </c>
      <c r="I9" s="5" t="s">
        <v>7</v>
      </c>
      <c r="J9" s="8">
        <v>42283</v>
      </c>
      <c r="K9" s="28" t="s">
        <v>198</v>
      </c>
      <c r="L9" s="7">
        <v>18</v>
      </c>
      <c r="M9" s="7">
        <v>6.63</v>
      </c>
    </row>
    <row r="10" spans="1:13" s="4" customFormat="1" ht="15.75" x14ac:dyDescent="0.25">
      <c r="A10" s="5" t="s">
        <v>44</v>
      </c>
      <c r="B10" s="18" t="s">
        <v>49</v>
      </c>
      <c r="C10" s="18">
        <v>8</v>
      </c>
      <c r="D10" s="19" t="s">
        <v>158</v>
      </c>
      <c r="E10" s="31" t="s">
        <v>39</v>
      </c>
      <c r="F10" s="22" t="s">
        <v>159</v>
      </c>
      <c r="G10" s="7">
        <v>20</v>
      </c>
      <c r="H10" s="7">
        <v>46</v>
      </c>
      <c r="I10" s="5" t="s">
        <v>32</v>
      </c>
      <c r="J10" s="8">
        <v>42024</v>
      </c>
      <c r="K10" s="28" t="s">
        <v>199</v>
      </c>
      <c r="L10" s="7">
        <v>20</v>
      </c>
      <c r="M10" s="7">
        <v>6.63</v>
      </c>
    </row>
    <row r="11" spans="1:13" s="4" customFormat="1" ht="15.75" x14ac:dyDescent="0.25">
      <c r="A11" s="5" t="s">
        <v>44</v>
      </c>
      <c r="B11" s="18" t="s">
        <v>49</v>
      </c>
      <c r="C11" s="18">
        <v>9</v>
      </c>
      <c r="D11" s="19" t="s">
        <v>160</v>
      </c>
      <c r="E11" s="32" t="s">
        <v>38</v>
      </c>
      <c r="F11" s="22" t="s">
        <v>161</v>
      </c>
      <c r="G11" s="7">
        <v>14</v>
      </c>
      <c r="H11" s="7">
        <v>19.809999999999999</v>
      </c>
      <c r="I11" s="5" t="s">
        <v>7</v>
      </c>
      <c r="J11" s="8">
        <v>41243</v>
      </c>
      <c r="K11" s="26">
        <v>42402</v>
      </c>
      <c r="L11" s="7">
        <v>14</v>
      </c>
      <c r="M11" s="7">
        <v>6.63</v>
      </c>
    </row>
    <row r="12" spans="1:13" s="4" customFormat="1" x14ac:dyDescent="0.25">
      <c r="A12" s="5" t="s">
        <v>44</v>
      </c>
      <c r="B12" s="18" t="s">
        <v>49</v>
      </c>
      <c r="C12" s="18">
        <v>10</v>
      </c>
      <c r="D12" s="5" t="s">
        <v>162</v>
      </c>
      <c r="E12" s="31" t="s">
        <v>40</v>
      </c>
      <c r="F12" s="6" t="s">
        <v>163</v>
      </c>
      <c r="G12" s="7">
        <v>10.8</v>
      </c>
      <c r="H12" s="7">
        <v>12</v>
      </c>
      <c r="I12" s="5" t="s">
        <v>7</v>
      </c>
      <c r="J12" s="8">
        <v>42427</v>
      </c>
      <c r="K12" s="24" t="s">
        <v>200</v>
      </c>
      <c r="L12" s="7">
        <v>10.8</v>
      </c>
      <c r="M12" s="7">
        <v>6.63</v>
      </c>
    </row>
    <row r="13" spans="1:13" s="4" customFormat="1" x14ac:dyDescent="0.25">
      <c r="A13" s="5" t="s">
        <v>44</v>
      </c>
      <c r="B13" s="18" t="s">
        <v>49</v>
      </c>
      <c r="C13" s="18">
        <v>11</v>
      </c>
      <c r="D13" s="5" t="s">
        <v>165</v>
      </c>
      <c r="E13" s="31" t="s">
        <v>41</v>
      </c>
      <c r="F13" s="6" t="s">
        <v>166</v>
      </c>
      <c r="G13" s="7">
        <v>4.4000000000000004</v>
      </c>
      <c r="H13" s="7">
        <v>5</v>
      </c>
      <c r="I13" s="5" t="s">
        <v>7</v>
      </c>
      <c r="J13" s="8">
        <v>42653</v>
      </c>
      <c r="K13" s="26">
        <v>42821</v>
      </c>
      <c r="L13" s="7">
        <v>4.4000000000000004</v>
      </c>
      <c r="M13" s="7">
        <v>6.63</v>
      </c>
    </row>
    <row r="14" spans="1:13" s="4" customFormat="1" x14ac:dyDescent="0.25">
      <c r="A14" s="5" t="s">
        <v>44</v>
      </c>
      <c r="B14" s="18" t="s">
        <v>49</v>
      </c>
      <c r="C14" s="18">
        <v>12</v>
      </c>
      <c r="D14" s="5" t="s">
        <v>167</v>
      </c>
      <c r="E14" s="31" t="s">
        <v>42</v>
      </c>
      <c r="F14" s="6" t="s">
        <v>168</v>
      </c>
      <c r="G14" s="7">
        <v>15</v>
      </c>
      <c r="H14" s="5"/>
      <c r="I14" s="5" t="s">
        <v>8</v>
      </c>
      <c r="J14" s="8">
        <v>42653</v>
      </c>
      <c r="K14" s="26">
        <v>42821</v>
      </c>
      <c r="L14" s="5">
        <v>13.5</v>
      </c>
      <c r="M14" s="7">
        <v>6.63</v>
      </c>
    </row>
    <row r="15" spans="1:13" s="4" customFormat="1" ht="15.75" x14ac:dyDescent="0.25">
      <c r="A15" s="5" t="s">
        <v>44</v>
      </c>
      <c r="B15" s="18" t="s">
        <v>51</v>
      </c>
      <c r="C15" s="18">
        <v>13</v>
      </c>
      <c r="D15" s="19" t="s">
        <v>180</v>
      </c>
      <c r="E15" s="31" t="s">
        <v>179</v>
      </c>
      <c r="F15" s="22" t="s">
        <v>181</v>
      </c>
      <c r="G15" s="7">
        <v>3.5</v>
      </c>
      <c r="H15" s="7">
        <v>3.5</v>
      </c>
      <c r="I15" s="5" t="s">
        <v>8</v>
      </c>
      <c r="J15" s="8">
        <v>41894</v>
      </c>
      <c r="K15" s="9" t="s">
        <v>182</v>
      </c>
      <c r="L15" s="44">
        <v>1.7669999999999999</v>
      </c>
      <c r="M15" s="23">
        <v>6.5968999999999998</v>
      </c>
    </row>
    <row r="16" spans="1:13" s="4" customFormat="1" ht="15.75" x14ac:dyDescent="0.25">
      <c r="A16" s="5" t="s">
        <v>44</v>
      </c>
      <c r="B16" s="18" t="s">
        <v>51</v>
      </c>
      <c r="C16" s="18">
        <v>14</v>
      </c>
      <c r="D16" s="19" t="s">
        <v>170</v>
      </c>
      <c r="E16" s="31" t="s">
        <v>169</v>
      </c>
      <c r="F16" s="22" t="s">
        <v>171</v>
      </c>
      <c r="G16" s="7">
        <v>8.8000000000000007</v>
      </c>
      <c r="H16" s="7">
        <v>8.8000000000000007</v>
      </c>
      <c r="I16" s="5" t="s">
        <v>7</v>
      </c>
      <c r="J16" s="8">
        <v>42718</v>
      </c>
      <c r="K16" s="9">
        <v>43033</v>
      </c>
      <c r="L16" s="7">
        <v>2.21</v>
      </c>
      <c r="M16" s="23">
        <v>6.5968999999999998</v>
      </c>
    </row>
    <row r="17" spans="1:13" s="4" customFormat="1" ht="15.75" x14ac:dyDescent="0.25">
      <c r="A17" s="5" t="s">
        <v>44</v>
      </c>
      <c r="B17" s="18" t="s">
        <v>51</v>
      </c>
      <c r="C17" s="18">
        <v>15</v>
      </c>
      <c r="D17" s="19" t="s">
        <v>172</v>
      </c>
      <c r="E17" s="32" t="s">
        <v>33</v>
      </c>
      <c r="F17" s="22" t="s">
        <v>173</v>
      </c>
      <c r="G17" s="7">
        <v>0.64</v>
      </c>
      <c r="H17" s="7">
        <v>0.42399999999999999</v>
      </c>
      <c r="I17" s="5" t="s">
        <v>7</v>
      </c>
      <c r="J17" s="8">
        <v>42783</v>
      </c>
      <c r="K17" s="9">
        <v>43033</v>
      </c>
      <c r="L17" s="7">
        <v>0.42399999999999999</v>
      </c>
      <c r="M17" s="23">
        <v>6.5968999999999998</v>
      </c>
    </row>
    <row r="18" spans="1:13" s="4" customFormat="1" ht="15.75" x14ac:dyDescent="0.25">
      <c r="A18" s="5" t="s">
        <v>44</v>
      </c>
      <c r="B18" s="18" t="s">
        <v>51</v>
      </c>
      <c r="C18" s="18">
        <v>16</v>
      </c>
      <c r="D18" s="19" t="s">
        <v>174</v>
      </c>
      <c r="E18" s="32" t="s">
        <v>34</v>
      </c>
      <c r="F18" s="22" t="s">
        <v>175</v>
      </c>
      <c r="G18" s="7">
        <v>12</v>
      </c>
      <c r="H18" s="7">
        <v>12</v>
      </c>
      <c r="I18" s="5" t="s">
        <v>7</v>
      </c>
      <c r="J18" s="8">
        <v>43000</v>
      </c>
      <c r="K18" s="9">
        <v>43082</v>
      </c>
      <c r="L18" s="7">
        <v>10.8</v>
      </c>
      <c r="M18" s="23">
        <v>6.5968999999999998</v>
      </c>
    </row>
    <row r="19" spans="1:13" s="4" customFormat="1" ht="15.75" x14ac:dyDescent="0.25">
      <c r="A19" s="5" t="s">
        <v>44</v>
      </c>
      <c r="B19" s="18" t="s">
        <v>51</v>
      </c>
      <c r="C19" s="18">
        <v>17</v>
      </c>
      <c r="D19" s="19" t="s">
        <v>177</v>
      </c>
      <c r="E19" s="31" t="s">
        <v>176</v>
      </c>
      <c r="F19" s="22" t="s">
        <v>173</v>
      </c>
      <c r="G19" s="7">
        <v>2.121</v>
      </c>
      <c r="H19" s="7">
        <v>2</v>
      </c>
      <c r="I19" s="5" t="s">
        <v>7</v>
      </c>
      <c r="J19" s="8">
        <v>42937</v>
      </c>
      <c r="K19" s="9" t="s">
        <v>178</v>
      </c>
      <c r="L19" s="7">
        <v>1.7</v>
      </c>
      <c r="M19" s="23">
        <v>6.5968999999999998</v>
      </c>
    </row>
    <row r="20" spans="1:13" s="4" customFormat="1" ht="15.75" customHeight="1" x14ac:dyDescent="0.25">
      <c r="A20" s="5"/>
      <c r="B20" s="18"/>
      <c r="C20" s="1158" t="s">
        <v>6</v>
      </c>
      <c r="D20" s="1159"/>
      <c r="E20" s="1159"/>
      <c r="F20" s="1159"/>
      <c r="G20" s="1159"/>
      <c r="H20" s="1159"/>
      <c r="I20" s="1159"/>
      <c r="J20" s="1159"/>
      <c r="K20" s="1160"/>
      <c r="L20" s="36">
        <f>SUM(L21:L26)</f>
        <v>43.1</v>
      </c>
      <c r="M20" s="23"/>
    </row>
    <row r="21" spans="1:13" s="4" customFormat="1" ht="15.75" x14ac:dyDescent="0.25">
      <c r="A21" s="5" t="s">
        <v>6</v>
      </c>
      <c r="B21" s="18" t="s">
        <v>49</v>
      </c>
      <c r="C21" s="18">
        <v>1</v>
      </c>
      <c r="D21" s="19" t="s">
        <v>27</v>
      </c>
      <c r="E21" s="32" t="s">
        <v>26</v>
      </c>
      <c r="F21" s="22" t="s">
        <v>139</v>
      </c>
      <c r="G21" s="7">
        <v>7</v>
      </c>
      <c r="H21" s="7">
        <v>7</v>
      </c>
      <c r="I21" s="5" t="s">
        <v>8</v>
      </c>
      <c r="J21" s="8">
        <v>41740</v>
      </c>
      <c r="K21" s="9">
        <v>42170</v>
      </c>
      <c r="L21" s="7">
        <v>7</v>
      </c>
      <c r="M21" s="7">
        <v>5.9</v>
      </c>
    </row>
    <row r="22" spans="1:13" s="4" customFormat="1" ht="15.75" x14ac:dyDescent="0.25">
      <c r="A22" s="5" t="s">
        <v>6</v>
      </c>
      <c r="B22" s="18" t="s">
        <v>49</v>
      </c>
      <c r="C22" s="18">
        <v>2</v>
      </c>
      <c r="D22" s="19" t="s">
        <v>31</v>
      </c>
      <c r="E22" s="32" t="s">
        <v>30</v>
      </c>
      <c r="F22" s="22" t="s">
        <v>140</v>
      </c>
      <c r="G22" s="7">
        <v>1.8</v>
      </c>
      <c r="H22" s="7">
        <v>1.8</v>
      </c>
      <c r="I22" s="5" t="s">
        <v>7</v>
      </c>
      <c r="J22" s="8">
        <v>40538</v>
      </c>
      <c r="K22" s="9">
        <v>42170</v>
      </c>
      <c r="L22" s="7">
        <v>1.8</v>
      </c>
      <c r="M22" s="7">
        <v>5.9</v>
      </c>
    </row>
    <row r="23" spans="1:13" s="4" customFormat="1" ht="15.75" x14ac:dyDescent="0.25">
      <c r="A23" s="5" t="s">
        <v>6</v>
      </c>
      <c r="B23" s="18" t="s">
        <v>49</v>
      </c>
      <c r="C23" s="18">
        <v>3</v>
      </c>
      <c r="D23" s="19" t="s">
        <v>29</v>
      </c>
      <c r="E23" s="32" t="s">
        <v>28</v>
      </c>
      <c r="F23" s="22" t="s">
        <v>141</v>
      </c>
      <c r="G23" s="7">
        <v>14</v>
      </c>
      <c r="H23" s="7">
        <v>14</v>
      </c>
      <c r="I23" s="5" t="s">
        <v>7</v>
      </c>
      <c r="J23" s="8">
        <v>42179</v>
      </c>
      <c r="K23" s="9">
        <v>42276</v>
      </c>
      <c r="L23" s="7">
        <v>14</v>
      </c>
      <c r="M23" s="7">
        <v>5.9</v>
      </c>
    </row>
    <row r="24" spans="1:13" s="4" customFormat="1" ht="15.75" x14ac:dyDescent="0.25">
      <c r="A24" s="5" t="s">
        <v>6</v>
      </c>
      <c r="B24" s="18" t="s">
        <v>49</v>
      </c>
      <c r="C24" s="18">
        <v>4</v>
      </c>
      <c r="D24" s="19" t="s">
        <v>25</v>
      </c>
      <c r="E24" s="32" t="s">
        <v>24</v>
      </c>
      <c r="F24" s="22" t="s">
        <v>142</v>
      </c>
      <c r="G24" s="7">
        <v>3.8</v>
      </c>
      <c r="H24" s="7">
        <v>3.8</v>
      </c>
      <c r="I24" s="5" t="s">
        <v>7</v>
      </c>
      <c r="J24" s="8">
        <v>41029</v>
      </c>
      <c r="K24" s="9">
        <v>42396</v>
      </c>
      <c r="L24" s="7">
        <v>3.8</v>
      </c>
      <c r="M24" s="7">
        <v>5.9</v>
      </c>
    </row>
    <row r="25" spans="1:13" s="4" customFormat="1" ht="15.75" x14ac:dyDescent="0.25">
      <c r="A25" s="5" t="s">
        <v>6</v>
      </c>
      <c r="B25" s="18" t="s">
        <v>49</v>
      </c>
      <c r="C25" s="18">
        <v>5</v>
      </c>
      <c r="D25" s="19" t="s">
        <v>185</v>
      </c>
      <c r="E25" s="32" t="s">
        <v>184</v>
      </c>
      <c r="F25" s="22" t="s">
        <v>183</v>
      </c>
      <c r="G25" s="7">
        <v>8</v>
      </c>
      <c r="H25" s="7">
        <v>8</v>
      </c>
      <c r="I25" s="5" t="s">
        <v>32</v>
      </c>
      <c r="J25" s="8">
        <v>42477</v>
      </c>
      <c r="K25" s="9">
        <v>42821</v>
      </c>
      <c r="L25" s="7">
        <v>8</v>
      </c>
      <c r="M25" s="7">
        <v>5.9</v>
      </c>
    </row>
    <row r="26" spans="1:13" s="4" customFormat="1" ht="15.75" x14ac:dyDescent="0.25">
      <c r="A26" s="5" t="s">
        <v>6</v>
      </c>
      <c r="B26" s="18" t="s">
        <v>51</v>
      </c>
      <c r="C26" s="18">
        <v>6</v>
      </c>
      <c r="D26" s="19" t="s">
        <v>187</v>
      </c>
      <c r="E26" s="32" t="s">
        <v>186</v>
      </c>
      <c r="F26" s="22" t="s">
        <v>188</v>
      </c>
      <c r="G26" s="7">
        <v>8.5</v>
      </c>
      <c r="H26" s="7">
        <v>8.5</v>
      </c>
      <c r="I26" s="5" t="s">
        <v>7</v>
      </c>
      <c r="J26" s="8">
        <v>43059</v>
      </c>
      <c r="K26" s="9">
        <v>43194</v>
      </c>
      <c r="L26" s="7">
        <v>8.5</v>
      </c>
      <c r="M26" s="23">
        <v>5.8704999999999998</v>
      </c>
    </row>
    <row r="27" spans="1:13" s="4" customFormat="1" ht="15.75" customHeight="1" x14ac:dyDescent="0.25">
      <c r="A27" s="5"/>
      <c r="B27" s="18"/>
      <c r="C27" s="1158" t="s">
        <v>9</v>
      </c>
      <c r="D27" s="1159"/>
      <c r="E27" s="1159"/>
      <c r="F27" s="1159"/>
      <c r="G27" s="1159"/>
      <c r="H27" s="1159"/>
      <c r="I27" s="1159"/>
      <c r="J27" s="1159"/>
      <c r="K27" s="1160"/>
      <c r="L27" s="36">
        <f>SUM(L28:L50)</f>
        <v>484.65</v>
      </c>
      <c r="M27" s="23"/>
    </row>
    <row r="28" spans="1:13" s="4" customFormat="1" x14ac:dyDescent="0.25">
      <c r="A28" s="5" t="s">
        <v>9</v>
      </c>
      <c r="B28" s="18" t="s">
        <v>49</v>
      </c>
      <c r="C28" s="18">
        <v>1</v>
      </c>
      <c r="D28" s="5" t="s">
        <v>69</v>
      </c>
      <c r="E28" s="31" t="s">
        <v>68</v>
      </c>
      <c r="F28" s="6" t="s">
        <v>70</v>
      </c>
      <c r="G28" s="7">
        <v>13</v>
      </c>
      <c r="H28" s="7">
        <v>13</v>
      </c>
      <c r="I28" s="5" t="s">
        <v>32</v>
      </c>
      <c r="J28" s="8">
        <v>41774</v>
      </c>
      <c r="K28" s="9">
        <v>42044</v>
      </c>
      <c r="L28" s="7">
        <v>13</v>
      </c>
      <c r="M28" s="7">
        <v>9.68</v>
      </c>
    </row>
    <row r="29" spans="1:13" s="4" customFormat="1" x14ac:dyDescent="0.25">
      <c r="A29" s="5" t="s">
        <v>9</v>
      </c>
      <c r="B29" s="18" t="s">
        <v>49</v>
      </c>
      <c r="C29" s="18">
        <v>2</v>
      </c>
      <c r="D29" s="5" t="s">
        <v>71</v>
      </c>
      <c r="E29" s="31" t="s">
        <v>68</v>
      </c>
      <c r="F29" s="6" t="s">
        <v>70</v>
      </c>
      <c r="G29" s="7">
        <v>9</v>
      </c>
      <c r="H29" s="7">
        <v>9</v>
      </c>
      <c r="I29" s="5" t="s">
        <v>32</v>
      </c>
      <c r="J29" s="8">
        <v>41867</v>
      </c>
      <c r="K29" s="9">
        <v>42044</v>
      </c>
      <c r="L29" s="7">
        <v>9</v>
      </c>
      <c r="M29" s="7">
        <v>9.68</v>
      </c>
    </row>
    <row r="30" spans="1:13" s="4" customFormat="1" ht="15.75" x14ac:dyDescent="0.25">
      <c r="A30" s="5" t="s">
        <v>9</v>
      </c>
      <c r="B30" s="18" t="s">
        <v>49</v>
      </c>
      <c r="C30" s="18">
        <v>3</v>
      </c>
      <c r="D30" s="19" t="s">
        <v>73</v>
      </c>
      <c r="E30" s="31" t="s">
        <v>72</v>
      </c>
      <c r="F30" s="6" t="s">
        <v>74</v>
      </c>
      <c r="G30" s="7">
        <v>10.039999999999999</v>
      </c>
      <c r="H30" s="7">
        <v>10</v>
      </c>
      <c r="I30" s="5" t="s">
        <v>7</v>
      </c>
      <c r="J30" s="8">
        <v>42040</v>
      </c>
      <c r="K30" s="9">
        <v>42100</v>
      </c>
      <c r="L30" s="7">
        <v>10</v>
      </c>
      <c r="M30" s="7">
        <v>9.68</v>
      </c>
    </row>
    <row r="31" spans="1:13" s="4" customFormat="1" ht="15.75" x14ac:dyDescent="0.25">
      <c r="A31" s="5" t="s">
        <v>9</v>
      </c>
      <c r="B31" s="18" t="s">
        <v>49</v>
      </c>
      <c r="C31" s="18">
        <v>4</v>
      </c>
      <c r="D31" s="19" t="s">
        <v>76</v>
      </c>
      <c r="E31" s="31" t="s">
        <v>75</v>
      </c>
      <c r="F31" s="6" t="s">
        <v>77</v>
      </c>
      <c r="G31" s="7">
        <v>4.16</v>
      </c>
      <c r="H31" s="7">
        <v>4.0999999999999996</v>
      </c>
      <c r="I31" s="5" t="s">
        <v>7</v>
      </c>
      <c r="J31" s="8">
        <v>42068</v>
      </c>
      <c r="K31" s="9">
        <v>42100</v>
      </c>
      <c r="L31" s="7">
        <v>4.0999999999999996</v>
      </c>
      <c r="M31" s="7">
        <v>9.68</v>
      </c>
    </row>
    <row r="32" spans="1:13" s="4" customFormat="1" ht="15.75" x14ac:dyDescent="0.25">
      <c r="A32" s="5" t="s">
        <v>9</v>
      </c>
      <c r="B32" s="18" t="s">
        <v>49</v>
      </c>
      <c r="C32" s="18">
        <v>5</v>
      </c>
      <c r="D32" s="19" t="s">
        <v>78</v>
      </c>
      <c r="E32" s="31" t="s">
        <v>46</v>
      </c>
      <c r="F32" s="6" t="s">
        <v>79</v>
      </c>
      <c r="G32" s="7">
        <v>30.38</v>
      </c>
      <c r="H32" s="7">
        <v>30</v>
      </c>
      <c r="I32" s="5" t="s">
        <v>32</v>
      </c>
      <c r="J32" s="8">
        <v>42068</v>
      </c>
      <c r="K32" s="9">
        <v>42163</v>
      </c>
      <c r="L32" s="7">
        <v>30</v>
      </c>
      <c r="M32" s="7">
        <v>9.68</v>
      </c>
    </row>
    <row r="33" spans="1:13" s="4" customFormat="1" ht="15.75" x14ac:dyDescent="0.25">
      <c r="A33" s="5" t="s">
        <v>9</v>
      </c>
      <c r="B33" s="18" t="s">
        <v>49</v>
      </c>
      <c r="C33" s="18">
        <v>6</v>
      </c>
      <c r="D33" s="19" t="s">
        <v>80</v>
      </c>
      <c r="E33" s="31" t="s">
        <v>45</v>
      </c>
      <c r="F33" s="6" t="s">
        <v>81</v>
      </c>
      <c r="G33" s="7">
        <v>1.5</v>
      </c>
      <c r="H33" s="7">
        <v>1.5</v>
      </c>
      <c r="I33" s="5" t="s">
        <v>7</v>
      </c>
      <c r="J33" s="8">
        <v>42101</v>
      </c>
      <c r="K33" s="9">
        <v>42177</v>
      </c>
      <c r="L33" s="7">
        <v>1.5</v>
      </c>
      <c r="M33" s="7">
        <v>9.68</v>
      </c>
    </row>
    <row r="34" spans="1:13" s="4" customFormat="1" ht="15.75" x14ac:dyDescent="0.25">
      <c r="A34" s="5" t="s">
        <v>9</v>
      </c>
      <c r="B34" s="18" t="s">
        <v>50</v>
      </c>
      <c r="C34" s="18">
        <v>7</v>
      </c>
      <c r="D34" s="19" t="s">
        <v>82</v>
      </c>
      <c r="E34" s="31" t="s">
        <v>68</v>
      </c>
      <c r="F34" s="6" t="s">
        <v>70</v>
      </c>
      <c r="G34" s="7">
        <v>23</v>
      </c>
      <c r="H34" s="7">
        <v>23</v>
      </c>
      <c r="I34" s="5" t="s">
        <v>32</v>
      </c>
      <c r="J34" s="8">
        <v>42253</v>
      </c>
      <c r="K34" s="20" t="s">
        <v>195</v>
      </c>
      <c r="L34" s="7">
        <v>23</v>
      </c>
      <c r="M34" s="7">
        <v>8.69</v>
      </c>
    </row>
    <row r="35" spans="1:13" s="4" customFormat="1" ht="15.75" x14ac:dyDescent="0.25">
      <c r="A35" s="5" t="s">
        <v>9</v>
      </c>
      <c r="B35" s="18" t="s">
        <v>50</v>
      </c>
      <c r="C35" s="18">
        <v>8</v>
      </c>
      <c r="D35" s="19" t="s">
        <v>85</v>
      </c>
      <c r="E35" s="31" t="s">
        <v>84</v>
      </c>
      <c r="F35" s="6" t="s">
        <v>86</v>
      </c>
      <c r="G35" s="7">
        <v>6.23</v>
      </c>
      <c r="H35" s="7">
        <v>6.23</v>
      </c>
      <c r="I35" s="5" t="s">
        <v>8</v>
      </c>
      <c r="J35" s="8">
        <v>42347</v>
      </c>
      <c r="K35" s="9">
        <v>42794</v>
      </c>
      <c r="L35" s="7">
        <v>6.23</v>
      </c>
      <c r="M35" s="7">
        <v>8.69</v>
      </c>
    </row>
    <row r="36" spans="1:13" s="4" customFormat="1" ht="15.75" x14ac:dyDescent="0.25">
      <c r="A36" s="5" t="s">
        <v>9</v>
      </c>
      <c r="B36" s="18" t="s">
        <v>50</v>
      </c>
      <c r="C36" s="18">
        <v>9</v>
      </c>
      <c r="D36" s="19" t="s">
        <v>87</v>
      </c>
      <c r="E36" s="31" t="s">
        <v>72</v>
      </c>
      <c r="F36" s="6" t="s">
        <v>74</v>
      </c>
      <c r="G36" s="7">
        <v>13.14</v>
      </c>
      <c r="H36" s="7">
        <v>13.14</v>
      </c>
      <c r="I36" s="5" t="s">
        <v>7</v>
      </c>
      <c r="J36" s="8">
        <v>42361</v>
      </c>
      <c r="K36" s="9">
        <v>42429</v>
      </c>
      <c r="L36" s="7">
        <v>13.14</v>
      </c>
      <c r="M36" s="7">
        <v>8.69</v>
      </c>
    </row>
    <row r="37" spans="1:13" s="4" customFormat="1" x14ac:dyDescent="0.25">
      <c r="A37" s="5" t="s">
        <v>9</v>
      </c>
      <c r="B37" s="18" t="s">
        <v>50</v>
      </c>
      <c r="C37" s="18">
        <v>10</v>
      </c>
      <c r="D37" s="5" t="s">
        <v>89</v>
      </c>
      <c r="E37" s="31" t="s">
        <v>88</v>
      </c>
      <c r="F37" s="6" t="s">
        <v>90</v>
      </c>
      <c r="G37" s="7">
        <v>2.66</v>
      </c>
      <c r="H37" s="7">
        <v>2.66</v>
      </c>
      <c r="I37" s="5" t="s">
        <v>7</v>
      </c>
      <c r="J37" s="8">
        <v>42388</v>
      </c>
      <c r="K37" s="9">
        <v>42430</v>
      </c>
      <c r="L37" s="7">
        <v>2.66</v>
      </c>
      <c r="M37" s="7">
        <v>8.69</v>
      </c>
    </row>
    <row r="38" spans="1:13" s="4" customFormat="1" ht="15.75" x14ac:dyDescent="0.25">
      <c r="A38" s="5" t="s">
        <v>9</v>
      </c>
      <c r="B38" s="18" t="s">
        <v>50</v>
      </c>
      <c r="C38" s="18">
        <v>11</v>
      </c>
      <c r="D38" s="19" t="s">
        <v>92</v>
      </c>
      <c r="E38" s="31" t="s">
        <v>91</v>
      </c>
      <c r="F38" s="6" t="s">
        <v>93</v>
      </c>
      <c r="G38" s="7">
        <v>50.07</v>
      </c>
      <c r="H38" s="7">
        <v>50.07</v>
      </c>
      <c r="I38" s="5" t="s">
        <v>7</v>
      </c>
      <c r="J38" s="8">
        <v>42410</v>
      </c>
      <c r="K38" s="9" t="s">
        <v>196</v>
      </c>
      <c r="L38" s="7">
        <v>50.07</v>
      </c>
      <c r="M38" s="7">
        <v>8.69</v>
      </c>
    </row>
    <row r="39" spans="1:13" s="4" customFormat="1" ht="15.75" x14ac:dyDescent="0.25">
      <c r="A39" s="5" t="s">
        <v>9</v>
      </c>
      <c r="B39" s="18" t="s">
        <v>50</v>
      </c>
      <c r="C39" s="18">
        <v>12</v>
      </c>
      <c r="D39" s="19" t="s">
        <v>96</v>
      </c>
      <c r="E39" s="31" t="s">
        <v>95</v>
      </c>
      <c r="F39" s="6" t="s">
        <v>97</v>
      </c>
      <c r="G39" s="7">
        <v>14.51</v>
      </c>
      <c r="H39" s="7">
        <v>14.51</v>
      </c>
      <c r="I39" s="5" t="s">
        <v>7</v>
      </c>
      <c r="J39" s="8">
        <v>42412</v>
      </c>
      <c r="K39" s="9">
        <v>42459</v>
      </c>
      <c r="L39" s="7">
        <v>14.51</v>
      </c>
      <c r="M39" s="7">
        <v>8.69</v>
      </c>
    </row>
    <row r="40" spans="1:13" s="4" customFormat="1" ht="15.75" x14ac:dyDescent="0.25">
      <c r="A40" s="5" t="s">
        <v>9</v>
      </c>
      <c r="B40" s="18" t="s">
        <v>50</v>
      </c>
      <c r="C40" s="18">
        <v>13</v>
      </c>
      <c r="D40" s="19" t="s">
        <v>98</v>
      </c>
      <c r="E40" s="31" t="s">
        <v>47</v>
      </c>
      <c r="F40" s="6" t="s">
        <v>99</v>
      </c>
      <c r="G40" s="7">
        <v>10.26</v>
      </c>
      <c r="H40" s="7">
        <v>10.26</v>
      </c>
      <c r="I40" s="5" t="s">
        <v>7</v>
      </c>
      <c r="J40" s="8">
        <v>42440</v>
      </c>
      <c r="K40" s="9">
        <v>42473</v>
      </c>
      <c r="L40" s="7">
        <v>10.26</v>
      </c>
      <c r="M40" s="7">
        <v>8.69</v>
      </c>
    </row>
    <row r="41" spans="1:13" s="4" customFormat="1" ht="15.75" x14ac:dyDescent="0.25">
      <c r="A41" s="5" t="s">
        <v>9</v>
      </c>
      <c r="B41" s="18" t="s">
        <v>50</v>
      </c>
      <c r="C41" s="18">
        <v>14</v>
      </c>
      <c r="D41" s="19" t="s">
        <v>101</v>
      </c>
      <c r="E41" s="31" t="s">
        <v>100</v>
      </c>
      <c r="F41" s="6" t="s">
        <v>102</v>
      </c>
      <c r="G41" s="7">
        <v>63.3</v>
      </c>
      <c r="H41" s="7">
        <v>63.3</v>
      </c>
      <c r="I41" s="5" t="s">
        <v>7</v>
      </c>
      <c r="J41" s="8">
        <v>42440</v>
      </c>
      <c r="K41" s="9">
        <v>42549</v>
      </c>
      <c r="L41" s="7">
        <v>63.3</v>
      </c>
      <c r="M41" s="7">
        <v>8.69</v>
      </c>
    </row>
    <row r="42" spans="1:13" s="4" customFormat="1" ht="15.75" x14ac:dyDescent="0.25">
      <c r="A42" s="5" t="s">
        <v>9</v>
      </c>
      <c r="B42" s="18" t="s">
        <v>50</v>
      </c>
      <c r="C42" s="18">
        <v>15</v>
      </c>
      <c r="D42" s="19" t="s">
        <v>104</v>
      </c>
      <c r="E42" s="31" t="s">
        <v>103</v>
      </c>
      <c r="F42" s="6" t="s">
        <v>105</v>
      </c>
      <c r="G42" s="7">
        <v>20</v>
      </c>
      <c r="H42" s="7">
        <v>20</v>
      </c>
      <c r="I42" s="5" t="s">
        <v>7</v>
      </c>
      <c r="J42" s="8">
        <v>42429</v>
      </c>
      <c r="K42" s="9">
        <v>42712</v>
      </c>
      <c r="L42" s="7">
        <v>20</v>
      </c>
      <c r="M42" s="7">
        <v>8.69</v>
      </c>
    </row>
    <row r="43" spans="1:13" s="4" customFormat="1" ht="15.75" x14ac:dyDescent="0.25">
      <c r="A43" s="5" t="s">
        <v>9</v>
      </c>
      <c r="B43" s="18" t="s">
        <v>50</v>
      </c>
      <c r="C43" s="18">
        <v>16</v>
      </c>
      <c r="D43" s="19" t="s">
        <v>107</v>
      </c>
      <c r="E43" s="31" t="s">
        <v>106</v>
      </c>
      <c r="F43" s="6" t="s">
        <v>108</v>
      </c>
      <c r="G43" s="7">
        <v>2.04</v>
      </c>
      <c r="H43" s="7">
        <v>2.04</v>
      </c>
      <c r="I43" s="5" t="s">
        <v>7</v>
      </c>
      <c r="J43" s="8">
        <v>42437</v>
      </c>
      <c r="K43" s="9">
        <v>42712</v>
      </c>
      <c r="L43" s="7">
        <v>2.04</v>
      </c>
      <c r="M43" s="7">
        <v>8.69</v>
      </c>
    </row>
    <row r="44" spans="1:13" s="4" customFormat="1" ht="15.75" x14ac:dyDescent="0.25">
      <c r="A44" s="5" t="s">
        <v>9</v>
      </c>
      <c r="B44" s="18" t="s">
        <v>50</v>
      </c>
      <c r="C44" s="18">
        <v>17</v>
      </c>
      <c r="D44" s="19" t="s">
        <v>110</v>
      </c>
      <c r="E44" s="31" t="s">
        <v>109</v>
      </c>
      <c r="F44" s="6" t="s">
        <v>111</v>
      </c>
      <c r="G44" s="7">
        <v>8.5</v>
      </c>
      <c r="H44" s="7">
        <v>8.5</v>
      </c>
      <c r="I44" s="5" t="s">
        <v>7</v>
      </c>
      <c r="J44" s="8">
        <v>42437</v>
      </c>
      <c r="K44" s="9">
        <v>42712</v>
      </c>
      <c r="L44" s="7">
        <v>8.5</v>
      </c>
      <c r="M44" s="7">
        <v>8.69</v>
      </c>
    </row>
    <row r="45" spans="1:13" s="4" customFormat="1" ht="15.75" x14ac:dyDescent="0.25">
      <c r="A45" s="5" t="s">
        <v>9</v>
      </c>
      <c r="B45" s="18" t="s">
        <v>50</v>
      </c>
      <c r="C45" s="18">
        <v>18</v>
      </c>
      <c r="D45" s="19" t="s">
        <v>113</v>
      </c>
      <c r="E45" s="31" t="s">
        <v>112</v>
      </c>
      <c r="F45" s="6" t="s">
        <v>114</v>
      </c>
      <c r="G45" s="7">
        <v>18</v>
      </c>
      <c r="H45" s="7">
        <v>18</v>
      </c>
      <c r="I45" s="5" t="s">
        <v>32</v>
      </c>
      <c r="J45" s="8">
        <v>42440</v>
      </c>
      <c r="K45" s="9">
        <v>42712</v>
      </c>
      <c r="L45" s="7">
        <v>18</v>
      </c>
      <c r="M45" s="7">
        <v>8.69</v>
      </c>
    </row>
    <row r="46" spans="1:13" s="4" customFormat="1" ht="15.75" x14ac:dyDescent="0.25">
      <c r="A46" s="5" t="s">
        <v>9</v>
      </c>
      <c r="B46" s="18" t="s">
        <v>50</v>
      </c>
      <c r="C46" s="18">
        <v>19</v>
      </c>
      <c r="D46" s="19" t="s">
        <v>116</v>
      </c>
      <c r="E46" s="31" t="s">
        <v>115</v>
      </c>
      <c r="F46" s="6" t="s">
        <v>117</v>
      </c>
      <c r="G46" s="7">
        <v>22.33</v>
      </c>
      <c r="H46" s="7">
        <v>22.33</v>
      </c>
      <c r="I46" s="5" t="s">
        <v>7</v>
      </c>
      <c r="J46" s="8">
        <v>42441</v>
      </c>
      <c r="K46" s="9">
        <v>42712</v>
      </c>
      <c r="L46" s="7">
        <v>22.33</v>
      </c>
      <c r="M46" s="7">
        <v>8.69</v>
      </c>
    </row>
    <row r="47" spans="1:13" s="4" customFormat="1" ht="15.75" x14ac:dyDescent="0.25">
      <c r="A47" s="5" t="s">
        <v>9</v>
      </c>
      <c r="B47" s="18" t="s">
        <v>50</v>
      </c>
      <c r="C47" s="18">
        <v>20</v>
      </c>
      <c r="D47" s="19" t="s">
        <v>119</v>
      </c>
      <c r="E47" s="31" t="s">
        <v>118</v>
      </c>
      <c r="F47" s="6" t="s">
        <v>120</v>
      </c>
      <c r="G47" s="7">
        <v>10.49</v>
      </c>
      <c r="H47" s="7">
        <v>10.49</v>
      </c>
      <c r="I47" s="5" t="s">
        <v>8</v>
      </c>
      <c r="J47" s="8">
        <v>42442</v>
      </c>
      <c r="K47" s="9">
        <v>42712</v>
      </c>
      <c r="L47" s="7">
        <v>10.49</v>
      </c>
      <c r="M47" s="7">
        <v>8.69</v>
      </c>
    </row>
    <row r="48" spans="1:13" s="4" customFormat="1" ht="15.75" x14ac:dyDescent="0.25">
      <c r="A48" s="5" t="s">
        <v>9</v>
      </c>
      <c r="B48" s="18" t="s">
        <v>50</v>
      </c>
      <c r="C48" s="18">
        <v>21</v>
      </c>
      <c r="D48" s="19" t="s">
        <v>122</v>
      </c>
      <c r="E48" s="31" t="s">
        <v>201</v>
      </c>
      <c r="F48" s="6" t="s">
        <v>123</v>
      </c>
      <c r="G48" s="7">
        <v>5.0199999999999996</v>
      </c>
      <c r="H48" s="7">
        <v>5.0199999999999996</v>
      </c>
      <c r="I48" s="5" t="s">
        <v>7</v>
      </c>
      <c r="J48" s="8">
        <v>42442</v>
      </c>
      <c r="K48" s="9">
        <v>42712</v>
      </c>
      <c r="L48" s="7">
        <v>5.0199999999999996</v>
      </c>
      <c r="M48" s="7">
        <v>8.69</v>
      </c>
    </row>
    <row r="49" spans="1:13" s="4" customFormat="1" ht="15.75" x14ac:dyDescent="0.25">
      <c r="A49" s="5" t="s">
        <v>9</v>
      </c>
      <c r="B49" s="18" t="s">
        <v>50</v>
      </c>
      <c r="C49" s="18">
        <v>22</v>
      </c>
      <c r="D49" s="19" t="s">
        <v>125</v>
      </c>
      <c r="E49" s="31" t="s">
        <v>124</v>
      </c>
      <c r="F49" s="6" t="s">
        <v>126</v>
      </c>
      <c r="G49" s="7">
        <v>15</v>
      </c>
      <c r="H49" s="7">
        <v>15</v>
      </c>
      <c r="I49" s="5" t="s">
        <v>7</v>
      </c>
      <c r="J49" s="8">
        <v>42443</v>
      </c>
      <c r="K49" s="21" t="s">
        <v>197</v>
      </c>
      <c r="L49" s="7">
        <v>15</v>
      </c>
      <c r="M49" s="7">
        <v>8.69</v>
      </c>
    </row>
    <row r="50" spans="1:13" s="4" customFormat="1" ht="15.75" x14ac:dyDescent="0.25">
      <c r="A50" s="5" t="s">
        <v>9</v>
      </c>
      <c r="B50" s="18" t="s">
        <v>50</v>
      </c>
      <c r="C50" s="18">
        <v>23</v>
      </c>
      <c r="D50" s="19" t="s">
        <v>129</v>
      </c>
      <c r="E50" s="31" t="s">
        <v>128</v>
      </c>
      <c r="F50" s="6" t="s">
        <v>130</v>
      </c>
      <c r="G50" s="7">
        <v>132.5</v>
      </c>
      <c r="H50" s="7">
        <v>132.5</v>
      </c>
      <c r="I50" s="5" t="s">
        <v>32</v>
      </c>
      <c r="J50" s="8">
        <v>42443</v>
      </c>
      <c r="K50" s="9">
        <v>42712</v>
      </c>
      <c r="L50" s="7">
        <v>132.5</v>
      </c>
      <c r="M50" s="7">
        <v>8.69</v>
      </c>
    </row>
    <row r="51" spans="1:13" s="4" customFormat="1" x14ac:dyDescent="0.25">
      <c r="A51" s="5"/>
      <c r="B51" s="18"/>
      <c r="C51" s="1158" t="s">
        <v>10</v>
      </c>
      <c r="D51" s="1159"/>
      <c r="E51" s="1159"/>
      <c r="F51" s="1159"/>
      <c r="G51" s="1159"/>
      <c r="H51" s="1159"/>
      <c r="I51" s="1159"/>
      <c r="J51" s="1159"/>
      <c r="K51" s="1160"/>
      <c r="L51" s="36">
        <f>SUM(L52:L58)</f>
        <v>426.9</v>
      </c>
      <c r="M51" s="7"/>
    </row>
    <row r="52" spans="1:13" s="4" customFormat="1" ht="15.75" x14ac:dyDescent="0.25">
      <c r="A52" s="5" t="s">
        <v>10</v>
      </c>
      <c r="B52" s="18" t="s">
        <v>49</v>
      </c>
      <c r="C52" s="18">
        <v>1</v>
      </c>
      <c r="D52" s="19" t="s">
        <v>14</v>
      </c>
      <c r="E52" s="32" t="s">
        <v>13</v>
      </c>
      <c r="F52" s="22" t="s">
        <v>131</v>
      </c>
      <c r="G52" s="7">
        <v>18.899999999999999</v>
      </c>
      <c r="H52" s="7">
        <v>18.899999999999999</v>
      </c>
      <c r="I52" s="5" t="s">
        <v>7</v>
      </c>
      <c r="J52" s="8">
        <v>41922</v>
      </c>
      <c r="K52" s="9">
        <v>42107</v>
      </c>
      <c r="L52" s="7">
        <v>18.899999999999999</v>
      </c>
      <c r="M52" s="7">
        <v>8.5299999999999994</v>
      </c>
    </row>
    <row r="53" spans="1:13" s="4" customFormat="1" ht="15.75" x14ac:dyDescent="0.25">
      <c r="A53" s="5" t="s">
        <v>10</v>
      </c>
      <c r="B53" s="18" t="s">
        <v>49</v>
      </c>
      <c r="C53" s="18">
        <v>2</v>
      </c>
      <c r="D53" s="19" t="s">
        <v>12</v>
      </c>
      <c r="E53" s="32" t="s">
        <v>11</v>
      </c>
      <c r="F53" s="22" t="s">
        <v>132</v>
      </c>
      <c r="G53" s="7">
        <f>87+63</f>
        <v>150</v>
      </c>
      <c r="H53" s="7">
        <f>87+63</f>
        <v>150</v>
      </c>
      <c r="I53" s="5" t="s">
        <v>7</v>
      </c>
      <c r="J53" s="8">
        <v>41954</v>
      </c>
      <c r="K53" s="9">
        <v>42107</v>
      </c>
      <c r="L53" s="7">
        <v>150</v>
      </c>
      <c r="M53" s="7">
        <v>8.5299999999999994</v>
      </c>
    </row>
    <row r="54" spans="1:13" s="4" customFormat="1" ht="15.75" x14ac:dyDescent="0.25">
      <c r="A54" s="5" t="s">
        <v>10</v>
      </c>
      <c r="B54" s="18" t="s">
        <v>49</v>
      </c>
      <c r="C54" s="18">
        <v>3</v>
      </c>
      <c r="D54" s="19" t="s">
        <v>15</v>
      </c>
      <c r="E54" s="32" t="s">
        <v>133</v>
      </c>
      <c r="F54" s="22" t="s">
        <v>134</v>
      </c>
      <c r="G54" s="7">
        <v>81</v>
      </c>
      <c r="H54" s="7">
        <v>81</v>
      </c>
      <c r="I54" s="5" t="s">
        <v>7</v>
      </c>
      <c r="J54" s="8">
        <v>41954</v>
      </c>
      <c r="K54" s="9">
        <v>42107</v>
      </c>
      <c r="L54" s="7">
        <v>81</v>
      </c>
      <c r="M54" s="7">
        <v>8.5299999999999994</v>
      </c>
    </row>
    <row r="55" spans="1:13" s="4" customFormat="1" ht="15.75" x14ac:dyDescent="0.25">
      <c r="A55" s="5" t="s">
        <v>10</v>
      </c>
      <c r="B55" s="18" t="s">
        <v>50</v>
      </c>
      <c r="C55" s="18">
        <v>4</v>
      </c>
      <c r="D55" s="19" t="s">
        <v>17</v>
      </c>
      <c r="E55" s="32" t="s">
        <v>16</v>
      </c>
      <c r="F55" s="22" t="s">
        <v>135</v>
      </c>
      <c r="G55" s="7">
        <v>54</v>
      </c>
      <c r="H55" s="7">
        <v>54</v>
      </c>
      <c r="I55" s="5" t="s">
        <v>32</v>
      </c>
      <c r="J55" s="8">
        <v>42000</v>
      </c>
      <c r="K55" s="9">
        <v>42339</v>
      </c>
      <c r="L55" s="7">
        <v>54</v>
      </c>
      <c r="M55" s="7">
        <v>7.4</v>
      </c>
    </row>
    <row r="56" spans="1:13" s="4" customFormat="1" ht="15.75" x14ac:dyDescent="0.25">
      <c r="A56" s="5" t="s">
        <v>10</v>
      </c>
      <c r="B56" s="18" t="s">
        <v>50</v>
      </c>
      <c r="C56" s="18">
        <v>5</v>
      </c>
      <c r="D56" s="19" t="s">
        <v>21</v>
      </c>
      <c r="E56" s="32" t="s">
        <v>20</v>
      </c>
      <c r="F56" s="22" t="s">
        <v>136</v>
      </c>
      <c r="G56" s="7">
        <v>36</v>
      </c>
      <c r="H56" s="7">
        <v>36</v>
      </c>
      <c r="I56" s="5" t="s">
        <v>32</v>
      </c>
      <c r="J56" s="8">
        <v>42165</v>
      </c>
      <c r="K56" s="9">
        <v>42339</v>
      </c>
      <c r="L56" s="7">
        <v>36</v>
      </c>
      <c r="M56" s="7">
        <v>7.4</v>
      </c>
    </row>
    <row r="57" spans="1:13" s="4" customFormat="1" ht="15.75" x14ac:dyDescent="0.25">
      <c r="A57" s="5" t="s">
        <v>10</v>
      </c>
      <c r="B57" s="18" t="s">
        <v>50</v>
      </c>
      <c r="C57" s="18">
        <v>6</v>
      </c>
      <c r="D57" s="19" t="s">
        <v>19</v>
      </c>
      <c r="E57" s="32" t="s">
        <v>18</v>
      </c>
      <c r="F57" s="22" t="s">
        <v>137</v>
      </c>
      <c r="G57" s="7">
        <v>54</v>
      </c>
      <c r="H57" s="7">
        <v>54</v>
      </c>
      <c r="I57" s="5" t="s">
        <v>7</v>
      </c>
      <c r="J57" s="8">
        <v>42164</v>
      </c>
      <c r="K57" s="9">
        <v>42339</v>
      </c>
      <c r="L57" s="7">
        <v>54</v>
      </c>
      <c r="M57" s="7">
        <v>7.4</v>
      </c>
    </row>
    <row r="58" spans="1:13" s="4" customFormat="1" ht="15.75" x14ac:dyDescent="0.25">
      <c r="A58" s="5" t="s">
        <v>10</v>
      </c>
      <c r="B58" s="18" t="s">
        <v>138</v>
      </c>
      <c r="C58" s="18">
        <v>7</v>
      </c>
      <c r="D58" s="19" t="s">
        <v>23</v>
      </c>
      <c r="E58" s="32" t="s">
        <v>22</v>
      </c>
      <c r="F58" s="22" t="s">
        <v>131</v>
      </c>
      <c r="G58" s="7">
        <v>33</v>
      </c>
      <c r="H58" s="7">
        <v>33</v>
      </c>
      <c r="I58" s="5" t="s">
        <v>7</v>
      </c>
      <c r="J58" s="8">
        <v>41954</v>
      </c>
      <c r="K58" s="9">
        <v>42107</v>
      </c>
      <c r="L58" s="7">
        <v>33</v>
      </c>
      <c r="M58" s="7">
        <v>5.96</v>
      </c>
    </row>
  </sheetData>
  <autoFilter ref="A1:M58" xr:uid="{00000000-0009-0000-0000-00000C000000}"/>
  <mergeCells count="4">
    <mergeCell ref="C2:K2"/>
    <mergeCell ref="C20:K20"/>
    <mergeCell ref="C27:K27"/>
    <mergeCell ref="C51:K51"/>
  </mergeCells>
  <printOptions horizontalCentered="1"/>
  <pageMargins left="0.5" right="0.5" top="0.75" bottom="0.25" header="0.3" footer="0.3"/>
  <pageSetup paperSize="258" scale="62" orientation="landscape" r:id="rId1"/>
  <headerFooter>
    <oddFooter>Page &amp;P of &amp;N</oddFooter>
  </headerFooter>
  <rowBreaks count="1" manualBreakCount="1">
    <brk id="50" max="12"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14"/>
  <sheetViews>
    <sheetView workbookViewId="0">
      <selection activeCell="C15" sqref="C15"/>
    </sheetView>
  </sheetViews>
  <sheetFormatPr defaultColWidth="8.7109375" defaultRowHeight="15" x14ac:dyDescent="0.25"/>
  <cols>
    <col min="1" max="1" width="17.7109375" customWidth="1"/>
    <col min="2" max="2" width="13.42578125" customWidth="1"/>
    <col min="3" max="3" width="12.28515625" customWidth="1"/>
    <col min="4" max="4" width="10.28515625" customWidth="1"/>
  </cols>
  <sheetData>
    <row r="1" spans="1:4" ht="45.75" thickBot="1" x14ac:dyDescent="0.3">
      <c r="A1" s="98" t="s">
        <v>339</v>
      </c>
      <c r="B1" s="99" t="s">
        <v>57</v>
      </c>
      <c r="C1" s="100" t="s">
        <v>340</v>
      </c>
      <c r="D1" s="100" t="s">
        <v>343</v>
      </c>
    </row>
    <row r="2" spans="1:4" x14ac:dyDescent="0.25">
      <c r="A2" s="102" t="s">
        <v>341</v>
      </c>
      <c r="B2" s="90">
        <v>50</v>
      </c>
      <c r="C2" s="103">
        <f>SUM('FIT Plants'!J3:J8)</f>
        <v>67.599999999999994</v>
      </c>
      <c r="D2" s="104">
        <v>9.68</v>
      </c>
    </row>
    <row r="3" spans="1:4" x14ac:dyDescent="0.25">
      <c r="A3" s="91" t="s">
        <v>342</v>
      </c>
      <c r="B3" s="56">
        <v>450</v>
      </c>
      <c r="C3" s="93">
        <f>SUM('FIT Plants'!J11:J27)</f>
        <v>467.53200000000004</v>
      </c>
      <c r="D3" s="96">
        <v>8.69</v>
      </c>
    </row>
    <row r="4" spans="1:4" x14ac:dyDescent="0.25">
      <c r="A4" s="91" t="s">
        <v>344</v>
      </c>
      <c r="B4" s="56">
        <v>200</v>
      </c>
      <c r="C4" s="93">
        <f>SUM('FIT Plants'!J34:J36)</f>
        <v>141</v>
      </c>
      <c r="D4" s="96">
        <v>8.5299999999999994</v>
      </c>
    </row>
    <row r="5" spans="1:4" x14ac:dyDescent="0.25">
      <c r="A5" s="91" t="s">
        <v>345</v>
      </c>
      <c r="B5" s="56">
        <v>200</v>
      </c>
      <c r="C5" s="93">
        <f>SUM('FIT Plants'!J41:J59)</f>
        <v>259.24599999999998</v>
      </c>
      <c r="D5" s="96">
        <v>7.4</v>
      </c>
    </row>
    <row r="6" spans="1:4" x14ac:dyDescent="0.25">
      <c r="A6" s="91" t="s">
        <v>351</v>
      </c>
      <c r="B6" s="56"/>
      <c r="C6" s="93">
        <f>SUM('FIT Plants'!J61)</f>
        <v>3.5</v>
      </c>
      <c r="D6" s="96">
        <v>5.96</v>
      </c>
    </row>
    <row r="7" spans="1:4" x14ac:dyDescent="0.25">
      <c r="A7" s="91" t="s">
        <v>56</v>
      </c>
      <c r="B7" s="1161">
        <v>250</v>
      </c>
      <c r="C7" s="93">
        <f>SUM('FIT Plants'!J44:J48)</f>
        <v>47.576000000000001</v>
      </c>
      <c r="D7" s="96">
        <v>5.9</v>
      </c>
    </row>
    <row r="8" spans="1:4" x14ac:dyDescent="0.25">
      <c r="A8" s="91" t="s">
        <v>346</v>
      </c>
      <c r="B8" s="1048"/>
      <c r="C8" s="93">
        <f>'FIT Plants'!J50</f>
        <v>4.4000000000000004</v>
      </c>
      <c r="D8" s="1165">
        <v>5.8704999999999998</v>
      </c>
    </row>
    <row r="9" spans="1:4" x14ac:dyDescent="0.25">
      <c r="A9" s="91" t="s">
        <v>347</v>
      </c>
      <c r="B9" s="1162"/>
      <c r="C9" s="94">
        <f>SUM('FIT Plants'!J52:J54,'FIT Plants'!J63,'FIT Plants'!J65)</f>
        <v>54.8</v>
      </c>
      <c r="D9" s="1166"/>
    </row>
    <row r="10" spans="1:4" x14ac:dyDescent="0.25">
      <c r="A10" s="91" t="s">
        <v>350</v>
      </c>
      <c r="B10" s="56"/>
      <c r="C10" s="93">
        <f>'FIT Plants'!J68</f>
        <v>7.7</v>
      </c>
      <c r="D10" s="97">
        <v>5.6715</v>
      </c>
    </row>
    <row r="11" spans="1:4" x14ac:dyDescent="0.25">
      <c r="A11" s="91" t="s">
        <v>44</v>
      </c>
      <c r="B11" s="1161">
        <v>250</v>
      </c>
      <c r="C11" s="94">
        <f>SUM('FIT Plants'!J98:J109)</f>
        <v>70.712000000000003</v>
      </c>
      <c r="D11" s="96">
        <v>6.63</v>
      </c>
    </row>
    <row r="12" spans="1:4" x14ac:dyDescent="0.25">
      <c r="A12" s="91" t="s">
        <v>348</v>
      </c>
      <c r="B12" s="1048"/>
      <c r="C12" s="94">
        <f>SUM('FIT Plants'!J112:J116)</f>
        <v>145.941</v>
      </c>
      <c r="D12" s="97">
        <v>6.5968999999999998</v>
      </c>
    </row>
    <row r="13" spans="1:4" ht="15.75" thickBot="1" x14ac:dyDescent="0.3">
      <c r="A13" s="92" t="s">
        <v>349</v>
      </c>
      <c r="B13" s="1049"/>
      <c r="C13" s="95">
        <f>SUM('FIT Plants'!J120:J122)</f>
        <v>224.39999999999998</v>
      </c>
      <c r="D13" s="105">
        <v>6.19</v>
      </c>
    </row>
    <row r="14" spans="1:4" ht="15.75" thickBot="1" x14ac:dyDescent="0.3">
      <c r="A14" s="1163" t="s">
        <v>203</v>
      </c>
      <c r="B14" s="1164"/>
      <c r="C14" s="106">
        <f>SUM(C2:C13)</f>
        <v>1494.4070000000002</v>
      </c>
      <c r="D14" s="101"/>
    </row>
  </sheetData>
  <mergeCells count="4">
    <mergeCell ref="B7:B9"/>
    <mergeCell ref="B11:B13"/>
    <mergeCell ref="A14:B14"/>
    <mergeCell ref="D8:D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17</vt:i4>
      </vt:variant>
    </vt:vector>
  </HeadingPairs>
  <TitlesOfParts>
    <vt:vector size="40" baseType="lpstr">
      <vt:lpstr>FIT Summary</vt:lpstr>
      <vt:lpstr>GEA Summary</vt:lpstr>
      <vt:lpstr>FIT.pvt</vt:lpstr>
      <vt:lpstr>Sheet3</vt:lpstr>
      <vt:lpstr>FIT Plants</vt:lpstr>
      <vt:lpstr>Per RE</vt:lpstr>
      <vt:lpstr>Sheet4</vt:lpstr>
      <vt:lpstr>Per Island</vt:lpstr>
      <vt:lpstr>GEA Sum</vt:lpstr>
      <vt:lpstr>GEA Reports</vt:lpstr>
      <vt:lpstr>GEA Plants</vt:lpstr>
      <vt:lpstr>location</vt:lpstr>
      <vt:lpstr>GEA.pvt</vt:lpstr>
      <vt:lpstr>Solar</vt:lpstr>
      <vt:lpstr>Biomass</vt:lpstr>
      <vt:lpstr>comments</vt:lpstr>
      <vt:lpstr>Wind</vt:lpstr>
      <vt:lpstr>Hydro</vt:lpstr>
      <vt:lpstr>Sheet5</vt:lpstr>
      <vt:lpstr>Sheet2</vt:lpstr>
      <vt:lpstr>graph</vt:lpstr>
      <vt:lpstr>main (2)</vt:lpstr>
      <vt:lpstr>Sheet1</vt:lpstr>
      <vt:lpstr>'main (2)'!_FilterDatabase</vt:lpstr>
      <vt:lpstr>Biomass!Print_Area</vt:lpstr>
      <vt:lpstr>'FIT Plants'!Print_Area</vt:lpstr>
      <vt:lpstr>'FIT Summary'!Print_Area</vt:lpstr>
      <vt:lpstr>Hydro!Print_Area</vt:lpstr>
      <vt:lpstr>'main (2)'!Print_Area</vt:lpstr>
      <vt:lpstr>'Per Island'!Print_Area</vt:lpstr>
      <vt:lpstr>'Per RE'!Print_Area</vt:lpstr>
      <vt:lpstr>Solar!Print_Area</vt:lpstr>
      <vt:lpstr>Wind!Print_Area</vt:lpstr>
      <vt:lpstr>Biomass!Print_Titles</vt:lpstr>
      <vt:lpstr>'FIT Plants'!Print_Titles</vt:lpstr>
      <vt:lpstr>Hydro!Print_Titles</vt:lpstr>
      <vt:lpstr>'main (2)'!Print_Titles</vt:lpstr>
      <vt:lpstr>Sheet2!Print_Titles</vt:lpstr>
      <vt:lpstr>Solar!Print_Titles</vt:lpstr>
      <vt:lpstr>Wind!Print_Titles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Leizel Ramos</dc:creator>
  <cp:lastModifiedBy>Leizel Ramos</cp:lastModifiedBy>
  <cp:lastPrinted>2025-01-13T05:50:32Z</cp:lastPrinted>
  <dcterms:created xsi:type="dcterms:W3CDTF">2018-05-03T03:21:13Z</dcterms:created>
  <dcterms:modified xsi:type="dcterms:W3CDTF">2026-07-13T10:05:09Z</dcterms:modified>
</cp:coreProperties>
</file>