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>
    <definedName hidden="1" localSheetId="0" name="_xlnm._FilterDatabase">Sheet1!$A$1:$S$183</definedName>
  </definedNames>
  <calcPr/>
</workbook>
</file>

<file path=xl/sharedStrings.xml><?xml version="1.0" encoding="utf-8"?>
<sst xmlns="http://schemas.openxmlformats.org/spreadsheetml/2006/main" count="213" uniqueCount="210">
  <si>
    <t>Price Performance</t>
  </si>
  <si>
    <t>Moving Averages</t>
  </si>
  <si>
    <t>Ticker</t>
  </si>
  <si>
    <t>Company</t>
  </si>
  <si>
    <t>Price</t>
  </si>
  <si>
    <t>Open</t>
  </si>
  <si>
    <t>High</t>
  </si>
  <si>
    <t>Low</t>
  </si>
  <si>
    <t>Previous Close</t>
  </si>
  <si>
    <t>Change</t>
  </si>
  <si>
    <t>Change in %</t>
  </si>
  <si>
    <t>Volume</t>
  </si>
  <si>
    <t>Market Cap</t>
  </si>
  <si>
    <t>PE</t>
  </si>
  <si>
    <t>Buy</t>
  </si>
  <si>
    <t>Sell</t>
  </si>
  <si>
    <t>SBIN</t>
  </si>
  <si>
    <t>idex, match</t>
  </si>
  <si>
    <t>AARTIIND</t>
  </si>
  <si>
    <t>vlookup</t>
  </si>
  <si>
    <t>ABBOTINDIA</t>
  </si>
  <si>
    <t>hlookup</t>
  </si>
  <si>
    <t>ABFRL</t>
  </si>
  <si>
    <t>conditional formatting</t>
  </si>
  <si>
    <t>ACC</t>
  </si>
  <si>
    <t>pivot table</t>
  </si>
  <si>
    <t>ADANIENT</t>
  </si>
  <si>
    <t>sum, sumif</t>
  </si>
  <si>
    <t>ADANIPORTS</t>
  </si>
  <si>
    <t>if, if nested</t>
  </si>
  <si>
    <t>ALKEM</t>
  </si>
  <si>
    <t>count, counta, countif, countifs</t>
  </si>
  <si>
    <t>AMARAJABAT</t>
  </si>
  <si>
    <t>maxif, max, min, minif</t>
  </si>
  <si>
    <t>AMBUJACEM</t>
  </si>
  <si>
    <t>APLLTD</t>
  </si>
  <si>
    <t>APOLLOHOSP</t>
  </si>
  <si>
    <t>APOLLOTYRE</t>
  </si>
  <si>
    <t>ASHOKLEY</t>
  </si>
  <si>
    <t>ASIANPAINT</t>
  </si>
  <si>
    <t>ASTRAL</t>
  </si>
  <si>
    <t>AUBANK</t>
  </si>
  <si>
    <t>AUROPHARMA</t>
  </si>
  <si>
    <t>AXISBANK</t>
  </si>
  <si>
    <t>BAJAJ-AUTO</t>
  </si>
  <si>
    <t>BAJAJFINSV</t>
  </si>
  <si>
    <t>BAJFINANCE</t>
  </si>
  <si>
    <t>BALKRISIND</t>
  </si>
  <si>
    <t>BANDHANBNK</t>
  </si>
  <si>
    <t>BANKBARODA</t>
  </si>
  <si>
    <t>BATAINDIA</t>
  </si>
  <si>
    <t>BEL</t>
  </si>
  <si>
    <t>BERGEPAINT</t>
  </si>
  <si>
    <t>BHARATFORG</t>
  </si>
  <si>
    <t>BHARTIARTL</t>
  </si>
  <si>
    <t>BHEL</t>
  </si>
  <si>
    <t>BIOCON</t>
  </si>
  <si>
    <t>BOSCHLTD</t>
  </si>
  <si>
    <t>BPCL</t>
  </si>
  <si>
    <t>BRITANNIA</t>
  </si>
  <si>
    <t>CADILAHC</t>
  </si>
  <si>
    <t>CANBK</t>
  </si>
  <si>
    <t>CANFINHOME</t>
  </si>
  <si>
    <t>CHOLAFIN</t>
  </si>
  <si>
    <t>CIPLA</t>
  </si>
  <si>
    <t>COALINDIA</t>
  </si>
  <si>
    <t>COFORGE</t>
  </si>
  <si>
    <t>COLPAL</t>
  </si>
  <si>
    <t>CONCOR</t>
  </si>
  <si>
    <t>COROMANDEL</t>
  </si>
  <si>
    <t>CROMPTON</t>
  </si>
  <si>
    <t>CUB</t>
  </si>
  <si>
    <t>CUMMINSIND</t>
  </si>
  <si>
    <t>DABUR</t>
  </si>
  <si>
    <t>DALBHARAT</t>
  </si>
  <si>
    <t>DEEPAKNTR</t>
  </si>
  <si>
    <t>DELTACORP</t>
  </si>
  <si>
    <t>DIVISLAB</t>
  </si>
  <si>
    <t>DIXON</t>
  </si>
  <si>
    <t>DLF</t>
  </si>
  <si>
    <t>DRREDDY</t>
  </si>
  <si>
    <t>EICHERMOT</t>
  </si>
  <si>
    <t>ESCORTS</t>
  </si>
  <si>
    <t>EXIDEIND</t>
  </si>
  <si>
    <t>FEDERALBNK</t>
  </si>
  <si>
    <t>GAIL</t>
  </si>
  <si>
    <t>GLENMARK</t>
  </si>
  <si>
    <t>GMRINFRA</t>
  </si>
  <si>
    <t>GODREJCP</t>
  </si>
  <si>
    <t>GODREJPROP</t>
  </si>
  <si>
    <t>GRANULES</t>
  </si>
  <si>
    <t>GRASIM</t>
  </si>
  <si>
    <t>GUJGASLTD</t>
  </si>
  <si>
    <t>HAL</t>
  </si>
  <si>
    <t>HAVELLS</t>
  </si>
  <si>
    <t>HCLTECH</t>
  </si>
  <si>
    <t>HDFC</t>
  </si>
  <si>
    <t>HDFCAMC</t>
  </si>
  <si>
    <t>HDFCBANK</t>
  </si>
  <si>
    <t>HDFCLIFE</t>
  </si>
  <si>
    <t>HEROMOTOCO</t>
  </si>
  <si>
    <t>HINDALCO</t>
  </si>
  <si>
    <t>HINDPETRO</t>
  </si>
  <si>
    <t>HINDUNILVR</t>
  </si>
  <si>
    <t>IBULHSGFIN</t>
  </si>
  <si>
    <t>ICICIBANK</t>
  </si>
  <si>
    <t>ICICIGI</t>
  </si>
  <si>
    <t>ICICIPRULI</t>
  </si>
  <si>
    <t>IDEA</t>
  </si>
  <si>
    <t>IDFCFIRSTB</t>
  </si>
  <si>
    <t>IEX</t>
  </si>
  <si>
    <t>IGL</t>
  </si>
  <si>
    <t>INDHOTEL</t>
  </si>
  <si>
    <t>INDIACEM</t>
  </si>
  <si>
    <t>INDIAMART</t>
  </si>
  <si>
    <t>INDIGO</t>
  </si>
  <si>
    <t>INDUSINDBK</t>
  </si>
  <si>
    <t>INDUSTOWER</t>
  </si>
  <si>
    <t>INFY</t>
  </si>
  <si>
    <t>IOC</t>
  </si>
  <si>
    <t>IPCALAB</t>
  </si>
  <si>
    <t>IRCTC</t>
  </si>
  <si>
    <t>ITC</t>
  </si>
  <si>
    <t>JINDALSTEL</t>
  </si>
  <si>
    <t>JKCEMENT</t>
  </si>
  <si>
    <t>JSWSTEEL</t>
  </si>
  <si>
    <t>JUBLFOOD</t>
  </si>
  <si>
    <t>KOTAKBANK</t>
  </si>
  <si>
    <t>L&amp;TFH</t>
  </si>
  <si>
    <t>LALPATHLAB</t>
  </si>
  <si>
    <t>LICHSGFIN</t>
  </si>
  <si>
    <t>LT</t>
  </si>
  <si>
    <t>LTI</t>
  </si>
  <si>
    <t>LTTS</t>
  </si>
  <si>
    <t>LUPIN</t>
  </si>
  <si>
    <t>M&amp;M</t>
  </si>
  <si>
    <t>M&amp;MFIN</t>
  </si>
  <si>
    <t>MANAPPURAM</t>
  </si>
  <si>
    <t>MARICO</t>
  </si>
  <si>
    <t>MARUTI</t>
  </si>
  <si>
    <t>MCDOWELL-N</t>
  </si>
  <si>
    <t>MCX</t>
  </si>
  <si>
    <t>METROPOLIS</t>
  </si>
  <si>
    <t>MFSL</t>
  </si>
  <si>
    <t>MGL</t>
  </si>
  <si>
    <t>MINDTREE</t>
  </si>
  <si>
    <t>MOTHERSUMI</t>
  </si>
  <si>
    <t>MPHASIS</t>
  </si>
  <si>
    <t>MRF</t>
  </si>
  <si>
    <t>MUTHOOTFIN</t>
  </si>
  <si>
    <t>NAM-INDIA</t>
  </si>
  <si>
    <t>NATIONALUM</t>
  </si>
  <si>
    <t>NAUKRI</t>
  </si>
  <si>
    <t>NAVINFLUOR</t>
  </si>
  <si>
    <t>NESTLEIND</t>
  </si>
  <si>
    <t>NMDC</t>
  </si>
  <si>
    <t>NTPC</t>
  </si>
  <si>
    <t>OBEROIRLTY</t>
  </si>
  <si>
    <t>OFSS</t>
  </si>
  <si>
    <t>ONGC</t>
  </si>
  <si>
    <t>PAGEIND</t>
  </si>
  <si>
    <t>PEL</t>
  </si>
  <si>
    <t>PERSISTENT</t>
  </si>
  <si>
    <t>PETRONET</t>
  </si>
  <si>
    <t>PFC</t>
  </si>
  <si>
    <t>PFIZER</t>
  </si>
  <si>
    <t>PIDILITIND</t>
  </si>
  <si>
    <t>PIIND</t>
  </si>
  <si>
    <t>PNB</t>
  </si>
  <si>
    <t>POLYCAB</t>
  </si>
  <si>
    <t>POWERGRID</t>
  </si>
  <si>
    <t>PVR</t>
  </si>
  <si>
    <t>RAMCOCEM</t>
  </si>
  <si>
    <t>RBLBANK</t>
  </si>
  <si>
    <t>RECLTD</t>
  </si>
  <si>
    <t>RELIANCE</t>
  </si>
  <si>
    <t>SAIL</t>
  </si>
  <si>
    <t>SBILIFE</t>
  </si>
  <si>
    <t>SHREECEM</t>
  </si>
  <si>
    <t>SIEMENS</t>
  </si>
  <si>
    <t>SRF</t>
  </si>
  <si>
    <t>SRTRANSFIN</t>
  </si>
  <si>
    <t>STAR</t>
  </si>
  <si>
    <t>SUNPHARMA</t>
  </si>
  <si>
    <t>SUNTV</t>
  </si>
  <si>
    <t>SYNGENE</t>
  </si>
  <si>
    <t>TATACHEM</t>
  </si>
  <si>
    <t>TATACONSUM</t>
  </si>
  <si>
    <t>TATAMOTORS</t>
  </si>
  <si>
    <t>TATAPOWER</t>
  </si>
  <si>
    <t>TATASTEEL</t>
  </si>
  <si>
    <t>TCS</t>
  </si>
  <si>
    <t>TECHM</t>
  </si>
  <si>
    <t>TITAN</t>
  </si>
  <si>
    <t>TORNTPHARM</t>
  </si>
  <si>
    <t>TORNTPOWER</t>
  </si>
  <si>
    <t>TRENT</t>
  </si>
  <si>
    <t>TVSMOTOR</t>
  </si>
  <si>
    <t>UBL</t>
  </si>
  <si>
    <t>ULTRACEMCO</t>
  </si>
  <si>
    <t>UPL</t>
  </si>
  <si>
    <t>VEDL</t>
  </si>
  <si>
    <t>VOLTAS</t>
  </si>
  <si>
    <t>WIPRO</t>
  </si>
  <si>
    <t>ZEEL</t>
  </si>
  <si>
    <t>HISTORICAL DATA</t>
  </si>
  <si>
    <t>Select Stock</t>
  </si>
  <si>
    <t>Select Start Date</t>
  </si>
  <si>
    <t>Select End date</t>
  </si>
  <si>
    <t>(Double Click to select 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</si>
</sst>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0">
    <numFmt numFmtId="164" formatCode=" 0 &quot;days %&quot;"/>
    <numFmt numFmtId="165" formatCode=" 0 &quot;days MA&quot;"/>
    <numFmt numFmtId="166" formatCode="0 &quot;d Chart&quot;"/>
    <numFmt numFmtId="167" formatCode="[color50]+#,##0.00;[red]-#,##0.00"/>
    <numFmt numFmtId="168" formatCode="[color50]+#,##0.0%;[red]-#,##0.0%"/>
    <numFmt numFmtId="169" formatCode="#,##0,&quot;k&quot;"/>
    <numFmt numFmtId="170" formatCode="#,##0,,,&quot;b&quot;"/>
    <numFmt numFmtId="171" formatCode="#,##0.0&quot;x&quot;"/>
    <numFmt numFmtId="172" formatCode="yyyy-mm-dd"/>
    <numFmt numFmtId="173" formatCode="m/d/yyyy h:mm:ss"/>
  </numFmts>
  <fonts count="7">
    <font>
      <sz val="10.0"/>
      <color rgb="FF000000"/>
      <name val="Arial"/>
      <scheme val="minor"/>
    </font>
    <font>
      <b/>
      <sz val="12.0"/>
      <color theme="1"/>
      <name val="Arial"/>
    </font>
    <font>
      <color theme="1"/>
      <name val="Arial"/>
    </font>
    <font>
      <color rgb="FF339966"/>
      <name val="Arial"/>
    </font>
    <font>
      <color theme="1"/>
      <name val="Arial"/>
      <scheme val="minor"/>
    </font>
    <font>
      <sz val="24.0"/>
      <color rgb="FFF3F3F3"/>
      <name val="Arial"/>
      <scheme val="minor"/>
    </font>
    <font>
      <b/>
      <color theme="1"/>
      <name val="Arial"/>
      <scheme val="minor"/>
    </font>
  </fonts>
  <fills count="9">
    <fill>
      <patternFill patternType="none"/>
    </fill>
    <fill>
      <patternFill patternType="lightGray"/>
    </fill>
    <fill>
      <patternFill patternType="solid">
        <fgColor rgb="FF999999"/>
        <bgColor rgb="FF999999"/>
      </patternFill>
    </fill>
    <fill>
      <patternFill patternType="solid">
        <fgColor rgb="FFEFEFEF"/>
        <bgColor rgb="FFEFEFEF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  <fill>
      <patternFill patternType="solid">
        <fgColor rgb="FFB7B7B7"/>
        <bgColor rgb="FFB7B7B7"/>
      </patternFill>
    </fill>
  </fills>
  <borders count="1">
    <border/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3" fontId="1" numFmtId="164" xfId="0" applyAlignment="1" applyFill="1" applyFont="1" applyNumberFormat="1">
      <alignment horizontal="center" vertical="bottom"/>
    </xf>
    <xf borderId="0" fillId="3" fontId="1" numFmtId="165" xfId="0" applyAlignment="1" applyFont="1" applyNumberFormat="1">
      <alignment horizontal="center" vertical="bottom"/>
    </xf>
    <xf borderId="0" fillId="2" fontId="1" numFmtId="0" xfId="0" applyAlignment="1" applyFont="1">
      <alignment horizontal="center" vertical="bottom"/>
    </xf>
    <xf borderId="0" fillId="2" fontId="1" numFmtId="166" xfId="0" applyAlignment="1" applyFont="1" applyNumberFormat="1">
      <alignment horizontal="center" readingOrder="0" vertical="bottom"/>
    </xf>
    <xf borderId="0" fillId="2" fontId="1" numFmtId="164" xfId="0" applyAlignment="1" applyFont="1" applyNumberFormat="1">
      <alignment horizontal="center" readingOrder="0" vertical="bottom"/>
    </xf>
    <xf borderId="0" fillId="2" fontId="1" numFmtId="165" xfId="0" applyAlignment="1" applyFont="1" applyNumberFormat="1">
      <alignment horizontal="center" vertical="bottom"/>
    </xf>
    <xf borderId="0" fillId="4" fontId="1" numFmtId="0" xfId="0" applyAlignment="1" applyFill="1" applyFont="1">
      <alignment horizontal="center" vertical="bottom"/>
    </xf>
    <xf borderId="0" fillId="5" fontId="1" numFmtId="0" xfId="0" applyAlignment="1" applyFill="1" applyFont="1">
      <alignment horizontal="center" vertical="bottom"/>
    </xf>
    <xf borderId="0" fillId="6" fontId="2" numFmtId="0" xfId="0" applyFill="1" applyFont="1"/>
    <xf borderId="0" fillId="6" fontId="2" numFmtId="4" xfId="0" applyAlignment="1" applyFont="1" applyNumberFormat="1">
      <alignment horizontal="right"/>
    </xf>
    <xf borderId="0" fillId="6" fontId="3" numFmtId="167" xfId="0" applyAlignment="1" applyFont="1" applyNumberFormat="1">
      <alignment horizontal="right"/>
    </xf>
    <xf borderId="0" fillId="6" fontId="3" numFmtId="168" xfId="0" applyAlignment="1" applyFont="1" applyNumberFormat="1">
      <alignment horizontal="right"/>
    </xf>
    <xf borderId="0" fillId="6" fontId="2" numFmtId="169" xfId="0" applyAlignment="1" applyFont="1" applyNumberFormat="1">
      <alignment horizontal="right"/>
    </xf>
    <xf borderId="0" fillId="6" fontId="2" numFmtId="170" xfId="0" applyAlignment="1" applyFont="1" applyNumberFormat="1">
      <alignment horizontal="right"/>
    </xf>
    <xf borderId="0" fillId="6" fontId="2" numFmtId="171" xfId="0" applyAlignment="1" applyFont="1" applyNumberFormat="1">
      <alignment horizontal="right"/>
    </xf>
    <xf borderId="0" fillId="0" fontId="4" numFmtId="0" xfId="0" applyAlignment="1" applyFont="1">
      <alignment readingOrder="0"/>
    </xf>
    <xf borderId="0" fillId="5" fontId="5" numFmtId="0" xfId="0" applyAlignment="1" applyFont="1">
      <alignment horizontal="center" readingOrder="0"/>
    </xf>
    <xf borderId="0" fillId="0" fontId="4" numFmtId="0" xfId="0" applyAlignment="1" applyFont="1">
      <alignment horizontal="center"/>
    </xf>
    <xf borderId="0" fillId="7" fontId="4" numFmtId="0" xfId="0" applyAlignment="1" applyFill="1" applyFont="1">
      <alignment horizontal="center" readingOrder="0"/>
    </xf>
    <xf borderId="0" fillId="0" fontId="4" numFmtId="0" xfId="0" applyAlignment="1" applyFont="1">
      <alignment horizontal="center" readingOrder="0"/>
    </xf>
    <xf borderId="0" fillId="4" fontId="4" numFmtId="0" xfId="0" applyAlignment="1" applyFont="1">
      <alignment horizontal="center" readingOrder="0"/>
    </xf>
    <xf borderId="0" fillId="0" fontId="4" numFmtId="172" xfId="0" applyAlignment="1" applyFont="1" applyNumberFormat="1">
      <alignment horizontal="center" readingOrder="0"/>
    </xf>
    <xf borderId="0" fillId="8" fontId="6" numFmtId="0" xfId="0" applyAlignment="1" applyFill="1" applyFont="1">
      <alignment horizontal="center"/>
    </xf>
    <xf borderId="0" fillId="0" fontId="4" numFmtId="173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1.38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2" t="s">
        <v>0</v>
      </c>
      <c r="N1" s="3" t="s">
        <v>1</v>
      </c>
      <c r="P1" s="1"/>
      <c r="Q1" s="1"/>
      <c r="R1" s="1"/>
      <c r="S1" s="1"/>
    </row>
    <row r="2">
      <c r="A2" s="4" t="s">
        <v>2</v>
      </c>
      <c r="B2" s="4" t="s">
        <v>3</v>
      </c>
      <c r="C2" s="5">
        <v>250.0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6">
        <v>5.0</v>
      </c>
      <c r="M2" s="6">
        <v>10.0</v>
      </c>
      <c r="N2" s="7">
        <v>5.0</v>
      </c>
      <c r="O2" s="7">
        <v>10.0</v>
      </c>
      <c r="P2" s="4" t="s">
        <v>12</v>
      </c>
      <c r="Q2" s="4" t="s">
        <v>13</v>
      </c>
      <c r="R2" s="8" t="s">
        <v>14</v>
      </c>
      <c r="S2" s="9" t="s">
        <v>15</v>
      </c>
    </row>
    <row r="3">
      <c r="A3" s="10" t="s">
        <v>16</v>
      </c>
      <c r="B3" s="10" t="str">
        <f>IFERROR(__xludf.DUMMYFUNCTION("GOOGLEFINANCE($A3,""name"")"),"State Bank of India")</f>
        <v>State Bank of India</v>
      </c>
      <c r="C3" s="10" t="str">
        <f>IFERROR(__xludf.DUMMYFUNCTION("sparkline(index(GOOGLEFINANCE($A3,""price"",workday(today(),-C$2),today()),,2),{""charttype"",""column"";""color"",""green""})"),"")</f>
        <v/>
      </c>
      <c r="D3" s="11">
        <f>IFERROR(__xludf.DUMMYFUNCTION("GOOGLEFINANCE(""NSE:"" &amp;$A3,""price"")"),499.5)</f>
        <v>499.5</v>
      </c>
      <c r="E3" s="11">
        <f>IFERROR(__xludf.DUMMYFUNCTION("GOOGLEFINANCE(""NSE:"" &amp;$A3,""priceopen"")"),512.9)</f>
        <v>512.9</v>
      </c>
      <c r="F3" s="11">
        <f>IFERROR(__xludf.DUMMYFUNCTION("GOOGLEFINANCE(""NSE:"" &amp;$A3,""high"")"),513.5)</f>
        <v>513.5</v>
      </c>
      <c r="G3" s="11">
        <f>IFERROR(__xludf.DUMMYFUNCTION("GOOGLEFINANCE(""NSE:"" &amp;$A3,""low"")"),499.0)</f>
        <v>499</v>
      </c>
      <c r="H3" s="11">
        <f>IFERROR(__xludf.DUMMYFUNCTION("GOOGLEFINANCE(""NSE:"" &amp;$A3,""closeyest"")"),516.3)</f>
        <v>516.3</v>
      </c>
      <c r="I3" s="12">
        <f>IFERROR(__xludf.DUMMYFUNCTION("GOOGLEFINANCE(""NSE:"" &amp;$A3,""change"")"),-16.8)</f>
        <v>-16.8</v>
      </c>
      <c r="J3" s="13">
        <f>IFERROR(__xludf.DUMMYFUNCTION("GOOGLEFINANCE(""NSE:"" &amp;$A3,""changepct"")/100"),-0.0325)</f>
        <v>-0.0325</v>
      </c>
      <c r="K3" s="14">
        <f>IFERROR(__xludf.DUMMYFUNCTION("GOOGLEFINANCE(""NSE:"" &amp;$A3,""volume"")"),1.6760456E7)</f>
        <v>16760456</v>
      </c>
      <c r="L3" s="13">
        <f>IFERROR(__xludf.DUMMYFUNCTION("$D3/INDEX(GOOGLEFINANCE($A3,""PRICE"",WORKDAY(TODAY(),-L$2)),2,2)-1"),-0.01962708537782143)</f>
        <v>-0.01962708538</v>
      </c>
      <c r="M3" s="13" t="str">
        <f>IFERROR(__xludf.DUMMYFUNCTION("$D3/INDEX(GOOGLEFINANCE($A3,""PRICE"",WORKDAY(TODAY(),-M$2)),2,2)-1"),"#N/A")</f>
        <v>#N/A</v>
      </c>
      <c r="N3" s="11">
        <f>IFERROR(__xludf.DUMMYFUNCTION("average(INDEX(GOOGLEFINANCE($A3,""PRICE"",WORKDAY(TODAY(),-N$2),today()),,2))"),511.72499999999997)</f>
        <v>511.725</v>
      </c>
      <c r="O3" s="11">
        <f>IFERROR(__xludf.DUMMYFUNCTION("average(INDEX(GOOGLEFINANCE($A3,""PRICE"",WORKDAY(TODAY(),-O$2),today()),,2))"),513.1928571428572)</f>
        <v>513.1928571</v>
      </c>
      <c r="P3" s="15">
        <f>IFERROR(__xludf.DUMMYFUNCTION("GOOGLEFINANCE($A3,""marketcap"")"),4.487356460866E12)</f>
        <v>4487356460866</v>
      </c>
      <c r="Q3" s="16">
        <f>IFERROR(__xludf.DUMMYFUNCTION("IFERROR(GOOGLEFINANCE($A3,""pe""),""-"")"),13.95)</f>
        <v>13.95</v>
      </c>
      <c r="R3" s="16" t="b">
        <f t="shared" ref="R3:R183" si="1">$E3=$G3</f>
        <v>0</v>
      </c>
      <c r="S3" s="16" t="b">
        <f t="shared" ref="S3:S183" si="2">$E3=$F3</f>
        <v>0</v>
      </c>
      <c r="T3" s="17" t="s">
        <v>17</v>
      </c>
    </row>
    <row r="4">
      <c r="A4" s="17" t="s">
        <v>18</v>
      </c>
      <c r="B4" s="10" t="str">
        <f>IFERROR(__xludf.DUMMYFUNCTION("GOOGLEFINANCE($A4,""name"")"),"Aarti Industries Ltd")</f>
        <v>Aarti Industries Ltd</v>
      </c>
      <c r="C4" s="10" t="str">
        <f>IFERROR(__xludf.DUMMYFUNCTION("sparkline(index(GOOGLEFINANCE($A4,""price"",workday(today(),-C$2),today()),,2),{""charttype"",""column"";""color"",""green""})"),"")</f>
        <v/>
      </c>
      <c r="D4" s="11">
        <f>IFERROR(__xludf.DUMMYFUNCTION("GOOGLEFINANCE(""NSE:"" &amp;$A4,""price"")"),920.0)</f>
        <v>920</v>
      </c>
      <c r="E4" s="11">
        <f>IFERROR(__xludf.DUMMYFUNCTION("GOOGLEFINANCE(""NSE:"" &amp;$A4,""priceopen"")"),939.15)</f>
        <v>939.15</v>
      </c>
      <c r="F4" s="11">
        <f>IFERROR(__xludf.DUMMYFUNCTION("GOOGLEFINANCE(""NSE:"" &amp;$A4,""high"")"),944.6)</f>
        <v>944.6</v>
      </c>
      <c r="G4" s="11">
        <f>IFERROR(__xludf.DUMMYFUNCTION("GOOGLEFINANCE(""NSE:"" &amp;$A4,""low"")"),919.2)</f>
        <v>919.2</v>
      </c>
      <c r="H4" s="11">
        <f>IFERROR(__xludf.DUMMYFUNCTION("GOOGLEFINANCE(""NSE:"" &amp;$A4,""closeyest"")"),940.8)</f>
        <v>940.8</v>
      </c>
      <c r="I4" s="12">
        <f>IFERROR(__xludf.DUMMYFUNCTION("GOOGLEFINANCE(""NSE:"" &amp;$A4,""change"")"),-20.8)</f>
        <v>-20.8</v>
      </c>
      <c r="J4" s="13">
        <f>IFERROR(__xludf.DUMMYFUNCTION("GOOGLEFINANCE(""NSE:"" &amp;$A4,""changepct"")/100"),-0.022099999999999998)</f>
        <v>-0.0221</v>
      </c>
      <c r="K4" s="14">
        <f>IFERROR(__xludf.DUMMYFUNCTION("GOOGLEFINANCE(""NSE:"" &amp;$A4,""volume"")"),579185.0)</f>
        <v>579185</v>
      </c>
      <c r="L4" s="13">
        <f>IFERROR(__xludf.DUMMYFUNCTION("$D4/INDEX(GOOGLEFINANCE($A4,""PRICE"",WORKDAY(TODAY(),-L$2)),2,2)-1"),-0.020703603172068763)</f>
        <v>-0.02070360317</v>
      </c>
      <c r="M4" s="13" t="str">
        <f>IFERROR(__xludf.DUMMYFUNCTION("$D4/INDEX(GOOGLEFINANCE($A4,""PRICE"",WORKDAY(TODAY(),-M$2)),2,2)-1"),"#N/A")</f>
        <v>#N/A</v>
      </c>
      <c r="N4" s="11">
        <f>IFERROR(__xludf.DUMMYFUNCTION("average(INDEX(GOOGLEFINANCE($A4,""PRICE"",WORKDAY(TODAY(),-N$2),today()),,2))"),940.0250000000001)</f>
        <v>940.025</v>
      </c>
      <c r="O4" s="11">
        <f>IFERROR(__xludf.DUMMYFUNCTION("average(INDEX(GOOGLEFINANCE($A4,""PRICE"",WORKDAY(TODAY(),-O$2),today()),,2))"),946.9714285714284)</f>
        <v>946.9714286</v>
      </c>
      <c r="P4" s="15">
        <f>IFERROR(__xludf.DUMMYFUNCTION("GOOGLEFINANCE($A4,""marketcap"")"),3.32989584E11)</f>
        <v>332989584000</v>
      </c>
      <c r="Q4" s="16">
        <f>IFERROR(__xludf.DUMMYFUNCTION("IFERROR(GOOGLEFINANCE($A4,""pe""),""-"")"),26.58)</f>
        <v>26.58</v>
      </c>
      <c r="R4" s="16" t="b">
        <f t="shared" si="1"/>
        <v>0</v>
      </c>
      <c r="S4" s="16" t="b">
        <f t="shared" si="2"/>
        <v>0</v>
      </c>
      <c r="T4" s="17" t="s">
        <v>19</v>
      </c>
    </row>
    <row r="5">
      <c r="A5" s="17" t="s">
        <v>20</v>
      </c>
      <c r="B5" s="10" t="str">
        <f>IFERROR(__xludf.DUMMYFUNCTION("GOOGLEFINANCE($A5,""name"")"),"Abbott India Limited")</f>
        <v>Abbott India Limited</v>
      </c>
      <c r="C5" s="10" t="str">
        <f>IFERROR(__xludf.DUMMYFUNCTION("sparkline(index(GOOGLEFINANCE($A5,""price"",workday(today(),-C$2),today()),,2),{""charttype"",""column"";""color"",""green""})"),"")</f>
        <v/>
      </c>
      <c r="D5" s="11">
        <f>IFERROR(__xludf.DUMMYFUNCTION("GOOGLEFINANCE(""NSE:"" &amp;$A5,""price"")"),17530.0)</f>
        <v>17530</v>
      </c>
      <c r="E5" s="11">
        <f>IFERROR(__xludf.DUMMYFUNCTION("GOOGLEFINANCE(""NSE:"" &amp;$A5,""priceopen"")"),17450.0)</f>
        <v>17450</v>
      </c>
      <c r="F5" s="11">
        <f>IFERROR(__xludf.DUMMYFUNCTION("GOOGLEFINANCE(""NSE:"" &amp;$A5,""high"")"),17698.0)</f>
        <v>17698</v>
      </c>
      <c r="G5" s="11">
        <f>IFERROR(__xludf.DUMMYFUNCTION("GOOGLEFINANCE(""NSE:"" &amp;$A5,""low"")"),17250.0)</f>
        <v>17250</v>
      </c>
      <c r="H5" s="11">
        <f>IFERROR(__xludf.DUMMYFUNCTION("GOOGLEFINANCE(""NSE:"" &amp;$A5,""closeyest"")"),17428.85)</f>
        <v>17428.85</v>
      </c>
      <c r="I5" s="12">
        <f>IFERROR(__xludf.DUMMYFUNCTION("GOOGLEFINANCE(""NSE:"" &amp;$A5,""change"")"),101.15)</f>
        <v>101.15</v>
      </c>
      <c r="J5" s="13">
        <f>IFERROR(__xludf.DUMMYFUNCTION("GOOGLEFINANCE(""NSE:"" &amp;$A5,""changepct"")/100"),0.0058)</f>
        <v>0.0058</v>
      </c>
      <c r="K5" s="14">
        <f>IFERROR(__xludf.DUMMYFUNCTION("GOOGLEFINANCE(""NSE:"" &amp;$A5,""volume"")"),12426.0)</f>
        <v>12426</v>
      </c>
      <c r="L5" s="13">
        <f>IFERROR(__xludf.DUMMYFUNCTION("$D5/INDEX(GOOGLEFINANCE($A5,""PRICE"",WORKDAY(TODAY(),-L$2)),2,2)-1"),0.010890281209723573)</f>
        <v>0.01089028121</v>
      </c>
      <c r="M5" s="13">
        <f>IFERROR(__xludf.DUMMYFUNCTION("$D5/INDEX(GOOGLEFINANCE($A5,""PRICE"",WORKDAY(TODAY(),-M$2)),2,2)-1"),-0.02976566045672413)</f>
        <v>-0.02976566046</v>
      </c>
      <c r="N5" s="11">
        <f>IFERROR(__xludf.DUMMYFUNCTION("average(INDEX(GOOGLEFINANCE($A5,""PRICE"",WORKDAY(TODAY(),-N$2),today()),,2))"),17139.5)</f>
        <v>17139.5</v>
      </c>
      <c r="O5" s="11">
        <f>IFERROR(__xludf.DUMMYFUNCTION("average(INDEX(GOOGLEFINANCE($A5,""PRICE"",WORKDAY(TODAY(),-O$2),today()),,2))"),17464.285714285714)</f>
        <v>17464.28571</v>
      </c>
      <c r="P5" s="15">
        <f>IFERROR(__xludf.DUMMYFUNCTION("GOOGLEFINANCE($A5,""marketcap"")"),3.728201225E11)</f>
        <v>372820122500</v>
      </c>
      <c r="Q5" s="16">
        <f>IFERROR(__xludf.DUMMYFUNCTION("IFERROR(GOOGLEFINANCE($A5,""pe""),""-"")"),50.35)</f>
        <v>50.35</v>
      </c>
      <c r="R5" s="16" t="b">
        <f t="shared" si="1"/>
        <v>0</v>
      </c>
      <c r="S5" s="16" t="b">
        <f t="shared" si="2"/>
        <v>0</v>
      </c>
      <c r="T5" s="17" t="s">
        <v>21</v>
      </c>
    </row>
    <row r="6">
      <c r="A6" s="17" t="s">
        <v>22</v>
      </c>
      <c r="B6" s="10" t="str">
        <f>IFERROR(__xludf.DUMMYFUNCTION("GOOGLEFINANCE($A6,""name"")"),"Aditya Birla Fashion and Retail Ltd")</f>
        <v>Aditya Birla Fashion and Retail Ltd</v>
      </c>
      <c r="C6" s="10" t="str">
        <f>IFERROR(__xludf.DUMMYFUNCTION("sparkline(index(GOOGLEFINANCE($A6,""price"",workday(today(),-C$2),today()),,2),{""charttype"",""column"";""color"",""green""})"),"")</f>
        <v/>
      </c>
      <c r="D6" s="11">
        <f>IFERROR(__xludf.DUMMYFUNCTION("GOOGLEFINANCE(""NSE:"" &amp;$A6,""price"")"),285.0)</f>
        <v>285</v>
      </c>
      <c r="E6" s="11">
        <f>IFERROR(__xludf.DUMMYFUNCTION("GOOGLEFINANCE(""NSE:"" &amp;$A6,""priceopen"")"),292.4)</f>
        <v>292.4</v>
      </c>
      <c r="F6" s="11">
        <f>IFERROR(__xludf.DUMMYFUNCTION("GOOGLEFINANCE(""NSE:"" &amp;$A6,""high"")"),293.7)</f>
        <v>293.7</v>
      </c>
      <c r="G6" s="11">
        <f>IFERROR(__xludf.DUMMYFUNCTION("GOOGLEFINANCE(""NSE:"" &amp;$A6,""low"")"),283.1)</f>
        <v>283.1</v>
      </c>
      <c r="H6" s="11">
        <f>IFERROR(__xludf.DUMMYFUNCTION("GOOGLEFINANCE(""NSE:"" &amp;$A6,""closeyest"")"),292.8)</f>
        <v>292.8</v>
      </c>
      <c r="I6" s="12">
        <f>IFERROR(__xludf.DUMMYFUNCTION("GOOGLEFINANCE(""NSE:"" &amp;$A6,""change"")"),-7.8)</f>
        <v>-7.8</v>
      </c>
      <c r="J6" s="13">
        <f>IFERROR(__xludf.DUMMYFUNCTION("GOOGLEFINANCE(""NSE:"" &amp;$A6,""changepct"")/100"),-0.026600000000000002)</f>
        <v>-0.0266</v>
      </c>
      <c r="K6" s="14">
        <f>IFERROR(__xludf.DUMMYFUNCTION("GOOGLEFINANCE(""NSE:"" &amp;$A6,""volume"")"),2288115.0)</f>
        <v>2288115</v>
      </c>
      <c r="L6" s="13">
        <f>IFERROR(__xludf.DUMMYFUNCTION("$D6/INDEX(GOOGLEFINANCE($A6,""PRICE"",WORKDAY(TODAY(),-L$2)),2,2)-1"),-0.027967257844474736)</f>
        <v>-0.02796725784</v>
      </c>
      <c r="M6" s="13">
        <f>IFERROR(__xludf.DUMMYFUNCTION("$D6/INDEX(GOOGLEFINANCE($A6,""PRICE"",WORKDAY(TODAY(),-M$2)),2,2)-1"),-0.06893172165958839)</f>
        <v>-0.06893172166</v>
      </c>
      <c r="N6" s="11" t="str">
        <f>IFERROR(__xludf.DUMMYFUNCTION("average(INDEX(GOOGLEFINANCE($A6,""PRICE"",WORKDAY(TODAY(),-N$2),today()),,2))"),"#N/A")</f>
        <v>#N/A</v>
      </c>
      <c r="O6" s="11">
        <f>IFERROR(__xludf.DUMMYFUNCTION("average(INDEX(GOOGLEFINANCE($A6,""PRICE"",WORKDAY(TODAY(),-O$2),today()),,2))"),294.99285714285713)</f>
        <v>294.9928571</v>
      </c>
      <c r="P6" s="15">
        <f>IFERROR(__xludf.DUMMYFUNCTION("GOOGLEFINANCE($A6,""marketcap"")"),2.691136155E11)</f>
        <v>269113615500</v>
      </c>
      <c r="Q6" s="16" t="str">
        <f>IFERROR(__xludf.DUMMYFUNCTION("IFERROR(GOOGLEFINANCE($A6,""pe""),""-"")"),"-")</f>
        <v>-</v>
      </c>
      <c r="R6" s="16" t="b">
        <f t="shared" si="1"/>
        <v>0</v>
      </c>
      <c r="S6" s="16" t="b">
        <f t="shared" si="2"/>
        <v>0</v>
      </c>
      <c r="T6" s="17" t="s">
        <v>23</v>
      </c>
    </row>
    <row r="7">
      <c r="A7" s="17" t="s">
        <v>24</v>
      </c>
      <c r="B7" s="10" t="str">
        <f>IFERROR(__xludf.DUMMYFUNCTION("GOOGLEFINANCE($A7,""name"")"),"American Campus Communities, Inc.")</f>
        <v>American Campus Communities, Inc.</v>
      </c>
      <c r="C7" s="10" t="str">
        <f>IFERROR(__xludf.DUMMYFUNCTION("sparkline(index(GOOGLEFINANCE($A7,""price"",workday(today(),-C$2),today()),,2),{""charttype"",""column"";""color"",""green""})"),"")</f>
        <v/>
      </c>
      <c r="D7" s="11">
        <f>IFERROR(__xludf.DUMMYFUNCTION("GOOGLEFINANCE(""NSE:"" &amp;$A7,""price"")"),2260.0)</f>
        <v>2260</v>
      </c>
      <c r="E7" s="11">
        <f>IFERROR(__xludf.DUMMYFUNCTION("GOOGLEFINANCE(""NSE:"" &amp;$A7,""priceopen"")"),2250.1)</f>
        <v>2250.1</v>
      </c>
      <c r="F7" s="11">
        <f>IFERROR(__xludf.DUMMYFUNCTION("GOOGLEFINANCE(""NSE:"" &amp;$A7,""high"")"),2283.0)</f>
        <v>2283</v>
      </c>
      <c r="G7" s="11">
        <f>IFERROR(__xludf.DUMMYFUNCTION("GOOGLEFINANCE(""NSE:"" &amp;$A7,""low"")"),2237.2)</f>
        <v>2237.2</v>
      </c>
      <c r="H7" s="11">
        <f>IFERROR(__xludf.DUMMYFUNCTION("GOOGLEFINANCE(""NSE:"" &amp;$A7,""closeyest"")"),2270.1)</f>
        <v>2270.1</v>
      </c>
      <c r="I7" s="12">
        <f>IFERROR(__xludf.DUMMYFUNCTION("GOOGLEFINANCE(""NSE:"" &amp;$A7,""change"")"),-10.1)</f>
        <v>-10.1</v>
      </c>
      <c r="J7" s="13">
        <f>IFERROR(__xludf.DUMMYFUNCTION("GOOGLEFINANCE(""NSE:"" &amp;$A7,""changepct"")/100"),-0.0044)</f>
        <v>-0.0044</v>
      </c>
      <c r="K7" s="14">
        <f>IFERROR(__xludf.DUMMYFUNCTION("GOOGLEFINANCE(""NSE:"" &amp;$A7,""volume"")"),558880.0)</f>
        <v>558880</v>
      </c>
      <c r="L7" s="13">
        <f>IFERROR(__xludf.DUMMYFUNCTION("$D7/INDEX(GOOGLEFINANCE($A7,""PRICE"",WORKDAY(TODAY(),-L$2)),2,2)-1"),38.24973949287947)</f>
        <v>38.24973949</v>
      </c>
      <c r="M7" s="13">
        <f>IFERROR(__xludf.DUMMYFUNCTION("$D7/INDEX(GOOGLEFINANCE($A7,""PRICE"",WORKDAY(TODAY(),-M$2)),2,2)-1"),38.33170901496693)</f>
        <v>38.33170901</v>
      </c>
      <c r="N7" s="11">
        <f>IFERROR(__xludf.DUMMYFUNCTION("average(INDEX(GOOGLEFINANCE($A7,""PRICE"",WORKDAY(TODAY(),-N$2),today()),,2))"),62.97)</f>
        <v>62.97</v>
      </c>
      <c r="O7" s="11">
        <f>IFERROR(__xludf.DUMMYFUNCTION("average(INDEX(GOOGLEFINANCE($A7,""PRICE"",WORKDAY(TODAY(),-O$2),today()),,2))"),59.92222222222222)</f>
        <v>59.92222222</v>
      </c>
      <c r="P7" s="15">
        <f>IFERROR(__xludf.DUMMYFUNCTION("GOOGLEFINANCE($A7,""marketcap"")"),9.014583812E9)</f>
        <v>9014583812</v>
      </c>
      <c r="Q7" s="16">
        <f>IFERROR(__xludf.DUMMYFUNCTION("IFERROR(GOOGLEFINANCE($A7,""pe""),""-"")"),272.58)</f>
        <v>272.58</v>
      </c>
      <c r="R7" s="16" t="b">
        <f t="shared" si="1"/>
        <v>0</v>
      </c>
      <c r="S7" s="16" t="b">
        <f t="shared" si="2"/>
        <v>0</v>
      </c>
      <c r="T7" s="17" t="s">
        <v>25</v>
      </c>
    </row>
    <row r="8">
      <c r="A8" s="17" t="s">
        <v>26</v>
      </c>
      <c r="B8" s="10" t="str">
        <f>IFERROR(__xludf.DUMMYFUNCTION("GOOGLEFINANCE($A8,""name"")"),"Adani Enterprises Ltd")</f>
        <v>Adani Enterprises Ltd</v>
      </c>
      <c r="C8" s="10" t="str">
        <f>IFERROR(__xludf.DUMMYFUNCTION("sparkline(index(GOOGLEFINANCE($A8,""price"",workday(today(),-C$2),today()),,2),{""charttype"",""column"";""color"",""green""})"),"")</f>
        <v/>
      </c>
      <c r="D8" s="11">
        <f>IFERROR(__xludf.DUMMYFUNCTION("GOOGLEFINANCE(""NSE:"" &amp;$A8,""price"")"),2271.15)</f>
        <v>2271.15</v>
      </c>
      <c r="E8" s="11">
        <f>IFERROR(__xludf.DUMMYFUNCTION("GOOGLEFINANCE(""NSE:"" &amp;$A8,""priceopen"")"),2297.0)</f>
        <v>2297</v>
      </c>
      <c r="F8" s="11">
        <f>IFERROR(__xludf.DUMMYFUNCTION("GOOGLEFINANCE(""NSE:"" &amp;$A8,""high"")"),2306.0)</f>
        <v>2306</v>
      </c>
      <c r="G8" s="11">
        <f>IFERROR(__xludf.DUMMYFUNCTION("GOOGLEFINANCE(""NSE:"" &amp;$A8,""low"")"),2265.0)</f>
        <v>2265</v>
      </c>
      <c r="H8" s="11">
        <f>IFERROR(__xludf.DUMMYFUNCTION("GOOGLEFINANCE(""NSE:"" &amp;$A8,""closeyest"")"),2286.35)</f>
        <v>2286.35</v>
      </c>
      <c r="I8" s="12">
        <f>IFERROR(__xludf.DUMMYFUNCTION("GOOGLEFINANCE(""NSE:"" &amp;$A8,""change"")"),-15.2)</f>
        <v>-15.2</v>
      </c>
      <c r="J8" s="13">
        <f>IFERROR(__xludf.DUMMYFUNCTION("GOOGLEFINANCE(""NSE:"" &amp;$A8,""changepct"")/100"),-0.0066)</f>
        <v>-0.0066</v>
      </c>
      <c r="K8" s="14">
        <f>IFERROR(__xludf.DUMMYFUNCTION("GOOGLEFINANCE(""NSE:"" &amp;$A8,""volume"")"),1786042.0)</f>
        <v>1786042</v>
      </c>
      <c r="L8" s="13" t="str">
        <f>IFERROR(__xludf.DUMMYFUNCTION("$D8/INDEX(GOOGLEFINANCE($A8,""PRICE"",WORKDAY(TODAY(),-L$2)),2,2)-1"),"#N/A")</f>
        <v>#N/A</v>
      </c>
      <c r="M8" s="13">
        <f>IFERROR(__xludf.DUMMYFUNCTION("$D8/INDEX(GOOGLEFINANCE($A8,""PRICE"",WORKDAY(TODAY(),-M$2)),2,2)-1"),0.04171635629758752)</f>
        <v>0.0417163563</v>
      </c>
      <c r="N8" s="11">
        <f>IFERROR(__xludf.DUMMYFUNCTION("average(INDEX(GOOGLEFINANCE($A8,""PRICE"",WORKDAY(TODAY(),-N$2),today()),,2))"),2218.1124999999997)</f>
        <v>2218.1125</v>
      </c>
      <c r="O8" s="11" t="str">
        <f>IFERROR(__xludf.DUMMYFUNCTION("average(INDEX(GOOGLEFINANCE($A8,""PRICE"",WORKDAY(TODAY(),-O$2),today()),,2))"),"#N/A")</f>
        <v>#N/A</v>
      </c>
      <c r="P8" s="15">
        <f>IFERROR(__xludf.DUMMYFUNCTION("GOOGLEFINANCE($A8,""marketcap"")"),2.483153571433E12)</f>
        <v>2483153571433</v>
      </c>
      <c r="Q8" s="16">
        <f>IFERROR(__xludf.DUMMYFUNCTION("IFERROR(GOOGLEFINANCE($A8,""pe""),""-"")"),353.73)</f>
        <v>353.73</v>
      </c>
      <c r="R8" s="16" t="b">
        <f t="shared" si="1"/>
        <v>0</v>
      </c>
      <c r="S8" s="16" t="b">
        <f t="shared" si="2"/>
        <v>0</v>
      </c>
      <c r="T8" s="17" t="s">
        <v>27</v>
      </c>
    </row>
    <row r="9">
      <c r="A9" s="17" t="s">
        <v>28</v>
      </c>
      <c r="B9" s="10" t="str">
        <f>IFERROR(__xludf.DUMMYFUNCTION("GOOGLEFINANCE($A9,""name"")"),"Adani Ports and Special Economic Zone Ld")</f>
        <v>Adani Ports and Special Economic Zone Ld</v>
      </c>
      <c r="C9" s="10" t="str">
        <f>IFERROR(__xludf.DUMMYFUNCTION("sparkline(index(GOOGLEFINANCE($A9,""price"",workday(today(),-C$2),today()),,2),{""charttype"",""column"";""color"",""green""})"),"")</f>
        <v/>
      </c>
      <c r="D9" s="11">
        <f>IFERROR(__xludf.DUMMYFUNCTION("GOOGLEFINANCE(""NSE:"" &amp;$A9,""price"")"),874.0)</f>
        <v>874</v>
      </c>
      <c r="E9" s="11">
        <f>IFERROR(__xludf.DUMMYFUNCTION("GOOGLEFINANCE(""NSE:"" &amp;$A9,""priceopen"")"),847.45)</f>
        <v>847.45</v>
      </c>
      <c r="F9" s="11">
        <f>IFERROR(__xludf.DUMMYFUNCTION("GOOGLEFINANCE(""NSE:"" &amp;$A9,""high"")"),886.0)</f>
        <v>886</v>
      </c>
      <c r="G9" s="11">
        <f>IFERROR(__xludf.DUMMYFUNCTION("GOOGLEFINANCE(""NSE:"" &amp;$A9,""low"")"),840.7)</f>
        <v>840.7</v>
      </c>
      <c r="H9" s="11">
        <f>IFERROR(__xludf.DUMMYFUNCTION("GOOGLEFINANCE(""NSE:"" &amp;$A9,""closeyest"")"),850.5)</f>
        <v>850.5</v>
      </c>
      <c r="I9" s="12">
        <f>IFERROR(__xludf.DUMMYFUNCTION("GOOGLEFINANCE(""NSE:"" &amp;$A9,""change"")"),23.5)</f>
        <v>23.5</v>
      </c>
      <c r="J9" s="13">
        <f>IFERROR(__xludf.DUMMYFUNCTION("GOOGLEFINANCE(""NSE:"" &amp;$A9,""changepct"")/100"),0.0276)</f>
        <v>0.0276</v>
      </c>
      <c r="K9" s="14">
        <f>IFERROR(__xludf.DUMMYFUNCTION("GOOGLEFINANCE(""NSE:"" &amp;$A9,""volume"")"),1.7864E7)</f>
        <v>17864000</v>
      </c>
      <c r="L9" s="13" t="str">
        <f>IFERROR(__xludf.DUMMYFUNCTION("$D9/INDEX(GOOGLEFINANCE($A9,""PRICE"",WORKDAY(TODAY(),-L$2)),2,2)-1"),"#N/A")</f>
        <v>#N/A</v>
      </c>
      <c r="M9" s="13">
        <f>IFERROR(__xludf.DUMMYFUNCTION("$D9/INDEX(GOOGLEFINANCE($A9,""PRICE"",WORKDAY(TODAY(),-M$2)),2,2)-1"),0.022760517231291466)</f>
        <v>0.02276051723</v>
      </c>
      <c r="N9" s="11">
        <f>IFERROR(__xludf.DUMMYFUNCTION("average(INDEX(GOOGLEFINANCE($A9,""PRICE"",WORKDAY(TODAY(),-N$2),today()),,2))"),835.0375)</f>
        <v>835.0375</v>
      </c>
      <c r="O9" s="11">
        <f>IFERROR(__xludf.DUMMYFUNCTION("average(INDEX(GOOGLEFINANCE($A9,""PRICE"",WORKDAY(TODAY(),-O$2),today()),,2))"),840.0142857142856)</f>
        <v>840.0142857</v>
      </c>
      <c r="P9" s="15">
        <f>IFERROR(__xludf.DUMMYFUNCTION("GOOGLEFINANCE($A9,""marketcap"")"),1.82687284E12)</f>
        <v>1826872840000</v>
      </c>
      <c r="Q9" s="16">
        <f>IFERROR(__xludf.DUMMYFUNCTION("IFERROR(GOOGLEFINANCE($A9,""pe""),""-"")"),36.05)</f>
        <v>36.05</v>
      </c>
      <c r="R9" s="16" t="b">
        <f t="shared" si="1"/>
        <v>0</v>
      </c>
      <c r="S9" s="16" t="b">
        <f t="shared" si="2"/>
        <v>0</v>
      </c>
      <c r="T9" s="17" t="s">
        <v>29</v>
      </c>
    </row>
    <row r="10">
      <c r="A10" s="17" t="s">
        <v>30</v>
      </c>
      <c r="B10" s="10" t="str">
        <f>IFERROR(__xludf.DUMMYFUNCTION("GOOGLEFINANCE($A10,""name"")"),"Groupe Berkem SA")</f>
        <v>Groupe Berkem SA</v>
      </c>
      <c r="C10" s="10" t="str">
        <f>IFERROR(__xludf.DUMMYFUNCTION("sparkline(index(GOOGLEFINANCE($A10,""price"",workday(today(),-C$2),today()),,2),{""charttype"",""column"";""color"",""green""})"),"")</f>
        <v/>
      </c>
      <c r="D10" s="11">
        <f>IFERROR(__xludf.DUMMYFUNCTION("GOOGLEFINANCE(""NSE:"" &amp;$A10,""price"")"),3360.35)</f>
        <v>3360.35</v>
      </c>
      <c r="E10" s="11">
        <f>IFERROR(__xludf.DUMMYFUNCTION("GOOGLEFINANCE(""NSE:"" &amp;$A10,""priceopen"")"),3406.05)</f>
        <v>3406.05</v>
      </c>
      <c r="F10" s="11">
        <f>IFERROR(__xludf.DUMMYFUNCTION("GOOGLEFINANCE(""NSE:"" &amp;$A10,""high"")"),3435.6)</f>
        <v>3435.6</v>
      </c>
      <c r="G10" s="11">
        <f>IFERROR(__xludf.DUMMYFUNCTION("GOOGLEFINANCE(""NSE:"" &amp;$A10,""low"")"),3352.6)</f>
        <v>3352.6</v>
      </c>
      <c r="H10" s="11">
        <f>IFERROR(__xludf.DUMMYFUNCTION("GOOGLEFINANCE(""NSE:"" &amp;$A10,""closeyest"")"),3404.15)</f>
        <v>3404.15</v>
      </c>
      <c r="I10" s="12">
        <f>IFERROR(__xludf.DUMMYFUNCTION("GOOGLEFINANCE(""NSE:"" &amp;$A10,""change"")"),-43.8)</f>
        <v>-43.8</v>
      </c>
      <c r="J10" s="13">
        <f>IFERROR(__xludf.DUMMYFUNCTION("GOOGLEFINANCE(""NSE:"" &amp;$A10,""changepct"")/100"),-0.0129)</f>
        <v>-0.0129</v>
      </c>
      <c r="K10" s="14">
        <f>IFERROR(__xludf.DUMMYFUNCTION("GOOGLEFINANCE(""NSE:"" &amp;$A10,""volume"")"),79646.0)</f>
        <v>79646</v>
      </c>
      <c r="L10" s="13">
        <f>IFERROR(__xludf.DUMMYFUNCTION("$D10/INDEX(GOOGLEFINANCE($A10,""PRICE"",WORKDAY(TODAY(),-L$2)),2,2)-1"),350.1337513061651)</f>
        <v>350.1337513</v>
      </c>
      <c r="M10" s="13">
        <f>IFERROR(__xludf.DUMMYFUNCTION("$D10/INDEX(GOOGLEFINANCE($A10,""PRICE"",WORKDAY(TODAY(),-M$2)),2,2)-1"),352.7210526315789)</f>
        <v>352.7210526</v>
      </c>
      <c r="N10" s="11">
        <f>IFERROR(__xludf.DUMMYFUNCTION("average(INDEX(GOOGLEFINANCE($A10,""PRICE"",WORKDAY(TODAY(),-N$2),today()),,2))"),9.596666666666666)</f>
        <v>9.596666667</v>
      </c>
      <c r="O10" s="11">
        <f>IFERROR(__xludf.DUMMYFUNCTION("average(INDEX(GOOGLEFINANCE($A10,""PRICE"",WORKDAY(TODAY(),-O$2),today()),,2))"),9.5075)</f>
        <v>9.5075</v>
      </c>
      <c r="P10" s="15">
        <f>IFERROR(__xludf.DUMMYFUNCTION("GOOGLEFINANCE($A10,""marketcap"")"),1.6800769E8)</f>
        <v>168007690</v>
      </c>
      <c r="Q10" s="16" t="str">
        <f>IFERROR(__xludf.DUMMYFUNCTION("IFERROR(GOOGLEFINANCE($A10,""pe""),""-"")"),"-")</f>
        <v>-</v>
      </c>
      <c r="R10" s="16" t="b">
        <f t="shared" si="1"/>
        <v>0</v>
      </c>
      <c r="S10" s="16" t="b">
        <f t="shared" si="2"/>
        <v>0</v>
      </c>
      <c r="T10" s="17" t="s">
        <v>31</v>
      </c>
    </row>
    <row r="11">
      <c r="A11" s="17" t="s">
        <v>32</v>
      </c>
      <c r="B11" s="10" t="str">
        <f>IFERROR(__xludf.DUMMYFUNCTION("GOOGLEFINANCE($A11,""name"")"),"Amara Raja Batteries Ltd")</f>
        <v>Amara Raja Batteries Ltd</v>
      </c>
      <c r="C11" s="10" t="str">
        <f>IFERROR(__xludf.DUMMYFUNCTION("sparkline(index(GOOGLEFINANCE($A11,""price"",workday(today(),-C$2),today()),,2),{""charttype"",""column"";""color"",""green""})"),"")</f>
        <v/>
      </c>
      <c r="D11" s="11">
        <f>IFERROR(__xludf.DUMMYFUNCTION("GOOGLEFINANCE(""NSE:"" &amp;$A11,""price"")"),568.3)</f>
        <v>568.3</v>
      </c>
      <c r="E11" s="11">
        <f>IFERROR(__xludf.DUMMYFUNCTION("GOOGLEFINANCE(""NSE:"" &amp;$A11,""priceopen"")"),571.5)</f>
        <v>571.5</v>
      </c>
      <c r="F11" s="11">
        <f>IFERROR(__xludf.DUMMYFUNCTION("GOOGLEFINANCE(""NSE:"" &amp;$A11,""high"")"),575.25)</f>
        <v>575.25</v>
      </c>
      <c r="G11" s="11">
        <f>IFERROR(__xludf.DUMMYFUNCTION("GOOGLEFINANCE(""NSE:"" &amp;$A11,""low"")"),563.75)</f>
        <v>563.75</v>
      </c>
      <c r="H11" s="11">
        <f>IFERROR(__xludf.DUMMYFUNCTION("GOOGLEFINANCE(""NSE:"" &amp;$A11,""closeyest"")"),570.8)</f>
        <v>570.8</v>
      </c>
      <c r="I11" s="12">
        <f>IFERROR(__xludf.DUMMYFUNCTION("GOOGLEFINANCE(""NSE:"" &amp;$A11,""change"")"),-2.5)</f>
        <v>-2.5</v>
      </c>
      <c r="J11" s="13">
        <f>IFERROR(__xludf.DUMMYFUNCTION("GOOGLEFINANCE(""NSE:"" &amp;$A11,""changepct"")/100"),-0.0044)</f>
        <v>-0.0044</v>
      </c>
      <c r="K11" s="14">
        <f>IFERROR(__xludf.DUMMYFUNCTION("GOOGLEFINANCE(""NSE:"" &amp;$A11,""volume"")"),482030.0)</f>
        <v>482030</v>
      </c>
      <c r="L11" s="13">
        <f>IFERROR(__xludf.DUMMYFUNCTION("$D11/INDEX(GOOGLEFINANCE($A11,""PRICE"",WORKDAY(TODAY(),-L$2)),2,2)-1"),-2.638754507874319E-4)</f>
        <v>-0.0002638754508</v>
      </c>
      <c r="M11" s="13">
        <f>IFERROR(__xludf.DUMMYFUNCTION("$D11/INDEX(GOOGLEFINANCE($A11,""PRICE"",WORKDAY(TODAY(),-M$2)),2,2)-1"),-0.012510860121633494)</f>
        <v>-0.01251086012</v>
      </c>
      <c r="N11" s="11">
        <f>IFERROR(__xludf.DUMMYFUNCTION("average(INDEX(GOOGLEFINANCE($A11,""PRICE"",WORKDAY(TODAY(),-N$2),today()),,2))"),565.0375)</f>
        <v>565.0375</v>
      </c>
      <c r="O11" s="11">
        <f>IFERROR(__xludf.DUMMYFUNCTION("average(INDEX(GOOGLEFINANCE($A11,""PRICE"",WORKDAY(TODAY(),-O$2),today()),,2))"),567.6928571428572)</f>
        <v>567.6928571</v>
      </c>
      <c r="P11" s="15">
        <f>IFERROR(__xludf.DUMMYFUNCTION("GOOGLEFINANCE($A11,""marketcap"")"),9.6981521328E10)</f>
        <v>96981521328</v>
      </c>
      <c r="Q11" s="16">
        <f>IFERROR(__xludf.DUMMYFUNCTION("IFERROR(GOOGLEFINANCE($A11,""pe""),""-"")"),16.1)</f>
        <v>16.1</v>
      </c>
      <c r="R11" s="16" t="b">
        <f t="shared" si="1"/>
        <v>0</v>
      </c>
      <c r="S11" s="16" t="b">
        <f t="shared" si="2"/>
        <v>0</v>
      </c>
      <c r="T11" s="17" t="s">
        <v>33</v>
      </c>
    </row>
    <row r="12">
      <c r="A12" s="17" t="s">
        <v>34</v>
      </c>
      <c r="B12" s="10" t="str">
        <f>IFERROR(__xludf.DUMMYFUNCTION("GOOGLEFINANCE($A12,""name"")"),"Ambuja Cements Ltd")</f>
        <v>Ambuja Cements Ltd</v>
      </c>
      <c r="C12" s="10" t="str">
        <f>IFERROR(__xludf.DUMMYFUNCTION("sparkline(index(GOOGLEFINANCE($A12,""price"",workday(today(),-C$2),today()),,2),{""charttype"",""column"";""color"",""green""})"),"")</f>
        <v/>
      </c>
      <c r="D12" s="11">
        <f>IFERROR(__xludf.DUMMYFUNCTION("GOOGLEFINANCE(""NSE:"" &amp;$A12,""price"")"),375.0)</f>
        <v>375</v>
      </c>
      <c r="E12" s="11">
        <f>IFERROR(__xludf.DUMMYFUNCTION("GOOGLEFINANCE(""NSE:"" &amp;$A12,""priceopen"")"),378.0)</f>
        <v>378</v>
      </c>
      <c r="F12" s="11">
        <f>IFERROR(__xludf.DUMMYFUNCTION("GOOGLEFINANCE(""NSE:"" &amp;$A12,""high"")"),381.0)</f>
        <v>381</v>
      </c>
      <c r="G12" s="11">
        <f>IFERROR(__xludf.DUMMYFUNCTION("GOOGLEFINANCE(""NSE:"" &amp;$A12,""low"")"),371.05)</f>
        <v>371.05</v>
      </c>
      <c r="H12" s="11">
        <f>IFERROR(__xludf.DUMMYFUNCTION("GOOGLEFINANCE(""NSE:"" &amp;$A12,""closeyest"")"),377.35)</f>
        <v>377.35</v>
      </c>
      <c r="I12" s="12">
        <f>IFERROR(__xludf.DUMMYFUNCTION("GOOGLEFINANCE(""NSE:"" &amp;$A12,""change"")"),-2.35)</f>
        <v>-2.35</v>
      </c>
      <c r="J12" s="13">
        <f>IFERROR(__xludf.DUMMYFUNCTION("GOOGLEFINANCE(""NSE:"" &amp;$A12,""changepct"")/100"),-0.0062)</f>
        <v>-0.0062</v>
      </c>
      <c r="K12" s="14">
        <f>IFERROR(__xludf.DUMMYFUNCTION("GOOGLEFINANCE(""NSE:"" &amp;$A12,""volume"")"),5946333.0)</f>
        <v>5946333</v>
      </c>
      <c r="L12" s="13">
        <f>IFERROR(__xludf.DUMMYFUNCTION("$D12/INDEX(GOOGLEFINANCE($A12,""PRICE"",WORKDAY(TODAY(),-L$2)),2,2)-1"),0.03192074848651627)</f>
        <v>0.03192074849</v>
      </c>
      <c r="M12" s="13">
        <f>IFERROR(__xludf.DUMMYFUNCTION("$D12/INDEX(GOOGLEFINANCE($A12,""PRICE"",WORKDAY(TODAY(),-M$2)),2,2)-1"),0.04108828428650746)</f>
        <v>0.04108828429</v>
      </c>
      <c r="N12" s="11">
        <f>IFERROR(__xludf.DUMMYFUNCTION("average(INDEX(GOOGLEFINANCE($A12,""PRICE"",WORKDAY(TODAY(),-N$2),today()),,2))"),366.57500000000005)</f>
        <v>366.575</v>
      </c>
      <c r="O12" s="11">
        <f>IFERROR(__xludf.DUMMYFUNCTION("average(INDEX(GOOGLEFINANCE($A12,""PRICE"",WORKDAY(TODAY(),-O$2),today()),,2))"),365.05)</f>
        <v>365.05</v>
      </c>
      <c r="P12" s="15">
        <f>IFERROR(__xludf.DUMMYFUNCTION("GOOGLEFINANCE($A12,""marketcap"")"),7.10424E11)</f>
        <v>710424000000</v>
      </c>
      <c r="Q12" s="16">
        <f>IFERROR(__xludf.DUMMYFUNCTION("IFERROR(GOOGLEFINANCE($A12,""pe""),""-"")"),26.79)</f>
        <v>26.79</v>
      </c>
      <c r="R12" s="16" t="b">
        <f t="shared" si="1"/>
        <v>0</v>
      </c>
      <c r="S12" s="16" t="b">
        <f t="shared" si="2"/>
        <v>0</v>
      </c>
    </row>
    <row r="13">
      <c r="A13" s="17" t="s">
        <v>35</v>
      </c>
      <c r="B13" s="10" t="str">
        <f>IFERROR(__xludf.DUMMYFUNCTION("GOOGLEFINANCE($A13,""name"")"),"Alembic Pharmaceuticals Ltd")</f>
        <v>Alembic Pharmaceuticals Ltd</v>
      </c>
      <c r="C13" s="10" t="str">
        <f>IFERROR(__xludf.DUMMYFUNCTION("sparkline(index(GOOGLEFINANCE($A13,""price"",workday(today(),-C$2),today()),,2),{""charttype"",""column"";""color"",""green""})"),"")</f>
        <v/>
      </c>
      <c r="D13" s="11">
        <f>IFERROR(__xludf.DUMMYFUNCTION("GOOGLEFINANCE(""NSE:"" &amp;$A13,""price"")"),769.2)</f>
        <v>769.2</v>
      </c>
      <c r="E13" s="11">
        <f>IFERROR(__xludf.DUMMYFUNCTION("GOOGLEFINANCE(""NSE:"" &amp;$A13,""priceopen"")"),765.0)</f>
        <v>765</v>
      </c>
      <c r="F13" s="11">
        <f>IFERROR(__xludf.DUMMYFUNCTION("GOOGLEFINANCE(""NSE:"" &amp;$A13,""high"")"),771.0)</f>
        <v>771</v>
      </c>
      <c r="G13" s="11">
        <f>IFERROR(__xludf.DUMMYFUNCTION("GOOGLEFINANCE(""NSE:"" &amp;$A13,""low"")"),758.7)</f>
        <v>758.7</v>
      </c>
      <c r="H13" s="11">
        <f>IFERROR(__xludf.DUMMYFUNCTION("GOOGLEFINANCE(""NSE:"" &amp;$A13,""closeyest"")"),771.1)</f>
        <v>771.1</v>
      </c>
      <c r="I13" s="12">
        <f>IFERROR(__xludf.DUMMYFUNCTION("GOOGLEFINANCE(""NSE:"" &amp;$A13,""change"")"),-1.9)</f>
        <v>-1.9</v>
      </c>
      <c r="J13" s="13">
        <f>IFERROR(__xludf.DUMMYFUNCTION("GOOGLEFINANCE(""NSE:"" &amp;$A13,""changepct"")/100"),-0.0025)</f>
        <v>-0.0025</v>
      </c>
      <c r="K13" s="14">
        <f>IFERROR(__xludf.DUMMYFUNCTION("GOOGLEFINANCE(""NSE:"" &amp;$A13,""volume"")"),72172.0)</f>
        <v>72172</v>
      </c>
      <c r="L13" s="13">
        <f>IFERROR(__xludf.DUMMYFUNCTION("$D13/INDEX(GOOGLEFINANCE($A13,""PRICE"",WORKDAY(TODAY(),-L$2)),2,2)-1"),-0.007675933690253434)</f>
        <v>-0.00767593369</v>
      </c>
      <c r="M13" s="13">
        <f>IFERROR(__xludf.DUMMYFUNCTION("$D13/INDEX(GOOGLEFINANCE($A13,""PRICE"",WORKDAY(TODAY(),-M$2)),2,2)-1"),-0.008379528168106276)</f>
        <v>-0.008379528168</v>
      </c>
      <c r="N13" s="11">
        <f>IFERROR(__xludf.DUMMYFUNCTION("average(INDEX(GOOGLEFINANCE($A13,""PRICE"",WORKDAY(TODAY(),-N$2),today()),,2))"),763.5124999999999)</f>
        <v>763.5125</v>
      </c>
      <c r="O13" s="11">
        <f>IFERROR(__xludf.DUMMYFUNCTION("average(INDEX(GOOGLEFINANCE($A13,""PRICE"",WORKDAY(TODAY(),-O$2),today()),,2))"),766.8857142857144)</f>
        <v>766.8857143</v>
      </c>
      <c r="P13" s="15">
        <f>IFERROR(__xludf.DUMMYFUNCTION("GOOGLEFINANCE($A13,""marketcap"")"),1.49521021292E11)</f>
        <v>149521021292</v>
      </c>
      <c r="Q13" s="16">
        <f>IFERROR(__xludf.DUMMYFUNCTION("IFERROR(GOOGLEFINANCE($A13,""pe""),""-"")"),19.87)</f>
        <v>19.87</v>
      </c>
      <c r="R13" s="16" t="b">
        <f t="shared" si="1"/>
        <v>0</v>
      </c>
      <c r="S13" s="16" t="b">
        <f t="shared" si="2"/>
        <v>0</v>
      </c>
    </row>
    <row r="14">
      <c r="A14" s="17" t="s">
        <v>36</v>
      </c>
      <c r="B14" s="10" t="str">
        <f>IFERROR(__xludf.DUMMYFUNCTION("GOOGLEFINANCE($A14,""name"")"),"Apollo Hospitals Enterprise Limited")</f>
        <v>Apollo Hospitals Enterprise Limited</v>
      </c>
      <c r="C14" s="10" t="str">
        <f>IFERROR(__xludf.DUMMYFUNCTION("sparkline(index(GOOGLEFINANCE($A14,""price"",workday(today(),-C$2),today()),,2),{""charttype"",""column"";""color"",""green""})"),"")</f>
        <v/>
      </c>
      <c r="D14" s="11">
        <f>IFERROR(__xludf.DUMMYFUNCTION("GOOGLEFINANCE(""NSE:"" &amp;$A14,""price"")"),4812.35)</f>
        <v>4812.35</v>
      </c>
      <c r="E14" s="11">
        <f>IFERROR(__xludf.DUMMYFUNCTION("GOOGLEFINANCE(""NSE:"" &amp;$A14,""priceopen"")"),4849.95)</f>
        <v>4849.95</v>
      </c>
      <c r="F14" s="11">
        <f>IFERROR(__xludf.DUMMYFUNCTION("GOOGLEFINANCE(""NSE:"" &amp;$A14,""high"")"),4860.0)</f>
        <v>4860</v>
      </c>
      <c r="G14" s="11">
        <f>IFERROR(__xludf.DUMMYFUNCTION("GOOGLEFINANCE(""NSE:"" &amp;$A14,""low"")"),4788.0)</f>
        <v>4788</v>
      </c>
      <c r="H14" s="11">
        <f>IFERROR(__xludf.DUMMYFUNCTION("GOOGLEFINANCE(""NSE:"" &amp;$A14,""closeyest"")"),4885.25)</f>
        <v>4885.25</v>
      </c>
      <c r="I14" s="12">
        <f>IFERROR(__xludf.DUMMYFUNCTION("GOOGLEFINANCE(""NSE:"" &amp;$A14,""change"")"),-72.9)</f>
        <v>-72.9</v>
      </c>
      <c r="J14" s="13">
        <f>IFERROR(__xludf.DUMMYFUNCTION("GOOGLEFINANCE(""NSE:"" &amp;$A14,""changepct"")/100"),-0.0149)</f>
        <v>-0.0149</v>
      </c>
      <c r="K14" s="14">
        <f>IFERROR(__xludf.DUMMYFUNCTION("GOOGLEFINANCE(""NSE:"" &amp;$A14,""volume"")"),381911.0)</f>
        <v>381911</v>
      </c>
      <c r="L14" s="13" t="str">
        <f>IFERROR(__xludf.DUMMYFUNCTION("$D14/INDEX(GOOGLEFINANCE($A14,""PRICE"",WORKDAY(TODAY(),-L$2)),2,2)-1"),"#N/A")</f>
        <v>#N/A</v>
      </c>
      <c r="M14" s="13">
        <f>IFERROR(__xludf.DUMMYFUNCTION("$D14/INDEX(GOOGLEFINANCE($A14,""PRICE"",WORKDAY(TODAY(),-M$2)),2,2)-1"),0.032216895638278675)</f>
        <v>0.03221689564</v>
      </c>
      <c r="N14" s="11" t="str">
        <f>IFERROR(__xludf.DUMMYFUNCTION("average(INDEX(GOOGLEFINANCE($A14,""PRICE"",WORKDAY(TODAY(),-N$2),today()),,2))"),"#N/A")</f>
        <v>#N/A</v>
      </c>
      <c r="O14" s="11">
        <f>IFERROR(__xludf.DUMMYFUNCTION("average(INDEX(GOOGLEFINANCE($A14,""PRICE"",WORKDAY(TODAY(),-O$2),today()),,2))"),4724.278571428571)</f>
        <v>4724.278571</v>
      </c>
      <c r="P14" s="15">
        <f>IFERROR(__xludf.DUMMYFUNCTION("GOOGLEFINANCE($A14,""marketcap"")"),6.97065543E11)</f>
        <v>697065543000</v>
      </c>
      <c r="Q14" s="16">
        <f>IFERROR(__xludf.DUMMYFUNCTION("IFERROR(GOOGLEFINANCE($A14,""pe""),""-"")"),61.03)</f>
        <v>61.03</v>
      </c>
      <c r="R14" s="16" t="b">
        <f t="shared" si="1"/>
        <v>0</v>
      </c>
      <c r="S14" s="16" t="b">
        <f t="shared" si="2"/>
        <v>0</v>
      </c>
    </row>
    <row r="15">
      <c r="A15" s="17" t="s">
        <v>37</v>
      </c>
      <c r="B15" s="10" t="str">
        <f>IFERROR(__xludf.DUMMYFUNCTION("GOOGLEFINANCE($A15,""name"")"),"Apollo Tyres Limited")</f>
        <v>Apollo Tyres Limited</v>
      </c>
      <c r="C15" s="10" t="str">
        <f>IFERROR(__xludf.DUMMYFUNCTION("sparkline(index(GOOGLEFINANCE($A15,""price"",workday(today(),-C$2),today()),,2),{""charttype"",""column"";""color"",""green""})"),"")</f>
        <v/>
      </c>
      <c r="D15" s="11">
        <f>IFERROR(__xludf.DUMMYFUNCTION("GOOGLEFINANCE(""NSE:"" &amp;$A15,""price"")"),200.55)</f>
        <v>200.55</v>
      </c>
      <c r="E15" s="11">
        <f>IFERROR(__xludf.DUMMYFUNCTION("GOOGLEFINANCE(""NSE:"" &amp;$A15,""priceopen"")"),202.35)</f>
        <v>202.35</v>
      </c>
      <c r="F15" s="11">
        <f>IFERROR(__xludf.DUMMYFUNCTION("GOOGLEFINANCE(""NSE:"" &amp;$A15,""high"")"),203.7)</f>
        <v>203.7</v>
      </c>
      <c r="G15" s="11">
        <f>IFERROR(__xludf.DUMMYFUNCTION("GOOGLEFINANCE(""NSE:"" &amp;$A15,""low"")"),199.05)</f>
        <v>199.05</v>
      </c>
      <c r="H15" s="11">
        <f>IFERROR(__xludf.DUMMYFUNCTION("GOOGLEFINANCE(""NSE:"" &amp;$A15,""closeyest"")"),204.15)</f>
        <v>204.15</v>
      </c>
      <c r="I15" s="12">
        <f>IFERROR(__xludf.DUMMYFUNCTION("GOOGLEFINANCE(""NSE:"" &amp;$A15,""change"")"),-3.6)</f>
        <v>-3.6</v>
      </c>
      <c r="J15" s="13">
        <f>IFERROR(__xludf.DUMMYFUNCTION("GOOGLEFINANCE(""NSE:"" &amp;$A15,""changepct"")/100"),-0.0176)</f>
        <v>-0.0176</v>
      </c>
      <c r="K15" s="14">
        <f>IFERROR(__xludf.DUMMYFUNCTION("GOOGLEFINANCE(""NSE:"" &amp;$A15,""volume"")"),2907621.0)</f>
        <v>2907621</v>
      </c>
      <c r="L15" s="13" t="str">
        <f>IFERROR(__xludf.DUMMYFUNCTION("$D15/INDEX(GOOGLEFINANCE($A15,""PRICE"",WORKDAY(TODAY(),-L$2)),2,2)-1"),"#N/A")</f>
        <v>#N/A</v>
      </c>
      <c r="M15" s="13">
        <f>IFERROR(__xludf.DUMMYFUNCTION("$D15/INDEX(GOOGLEFINANCE($A15,""PRICE"",WORKDAY(TODAY(),-M$2)),2,2)-1"),-0.004714640198511089)</f>
        <v>-0.004714640199</v>
      </c>
      <c r="N15" s="11" t="str">
        <f>IFERROR(__xludf.DUMMYFUNCTION("average(INDEX(GOOGLEFINANCE($A15,""PRICE"",WORKDAY(TODAY(),-N$2),today()),,2))"),"#N/A")</f>
        <v>#N/A</v>
      </c>
      <c r="O15" s="11">
        <f>IFERROR(__xludf.DUMMYFUNCTION("average(INDEX(GOOGLEFINANCE($A15,""PRICE"",WORKDAY(TODAY(),-O$2),today()),,2))"),195.7357142857143)</f>
        <v>195.7357143</v>
      </c>
      <c r="P15" s="15">
        <f>IFERROR(__xludf.DUMMYFUNCTION("GOOGLEFINANCE($A15,""marketcap"")"),1.23962483816E11)</f>
        <v>123962483816</v>
      </c>
      <c r="Q15" s="16">
        <f>IFERROR(__xludf.DUMMYFUNCTION("IFERROR(GOOGLEFINANCE($A15,""pe""),""-"")"),15.67)</f>
        <v>15.67</v>
      </c>
      <c r="R15" s="16" t="b">
        <f t="shared" si="1"/>
        <v>0</v>
      </c>
      <c r="S15" s="16" t="b">
        <f t="shared" si="2"/>
        <v>0</v>
      </c>
    </row>
    <row r="16">
      <c r="A16" s="17" t="s">
        <v>38</v>
      </c>
      <c r="B16" s="10" t="str">
        <f>IFERROR(__xludf.DUMMYFUNCTION("GOOGLEFINANCE($A16,""name"")"),"Ashok Leyland Ltd")</f>
        <v>Ashok Leyland Ltd</v>
      </c>
      <c r="C16" s="10" t="str">
        <f>IFERROR(__xludf.DUMMYFUNCTION("sparkline(index(GOOGLEFINANCE($A16,""price"",workday(today(),-C$2),today()),,2),{""charttype"",""column"";""color"",""green""})"),"")</f>
        <v/>
      </c>
      <c r="D16" s="11">
        <f>IFERROR(__xludf.DUMMYFUNCTION("GOOGLEFINANCE(""NSE:"" &amp;$A16,""price"")"),129.0)</f>
        <v>129</v>
      </c>
      <c r="E16" s="11">
        <f>IFERROR(__xludf.DUMMYFUNCTION("GOOGLEFINANCE(""NSE:"" &amp;$A16,""priceopen"")"),127.9)</f>
        <v>127.9</v>
      </c>
      <c r="F16" s="11">
        <f>IFERROR(__xludf.DUMMYFUNCTION("GOOGLEFINANCE(""NSE:"" &amp;$A16,""high"")"),130.4)</f>
        <v>130.4</v>
      </c>
      <c r="G16" s="11">
        <f>IFERROR(__xludf.DUMMYFUNCTION("GOOGLEFINANCE(""NSE:"" &amp;$A16,""low"")"),126.4)</f>
        <v>126.4</v>
      </c>
      <c r="H16" s="11">
        <f>IFERROR(__xludf.DUMMYFUNCTION("GOOGLEFINANCE(""NSE:"" &amp;$A16,""closeyest"")"),128.5)</f>
        <v>128.5</v>
      </c>
      <c r="I16" s="12">
        <f>IFERROR(__xludf.DUMMYFUNCTION("GOOGLEFINANCE(""NSE:"" &amp;$A16,""change"")"),0.5)</f>
        <v>0.5</v>
      </c>
      <c r="J16" s="13">
        <f>IFERROR(__xludf.DUMMYFUNCTION("GOOGLEFINANCE(""NSE:"" &amp;$A16,""changepct"")/100"),0.0039000000000000003)</f>
        <v>0.0039</v>
      </c>
      <c r="K16" s="14">
        <f>IFERROR(__xludf.DUMMYFUNCTION("GOOGLEFINANCE(""NSE:"" &amp;$A16,""volume"")"),1.0131794E7)</f>
        <v>10131794</v>
      </c>
      <c r="L16" s="13">
        <f>IFERROR(__xludf.DUMMYFUNCTION("$D16/INDEX(GOOGLEFINANCE($A16,""PRICE"",WORKDAY(TODAY(),-L$2)),2,2)-1"),0.010971786833855912)</f>
        <v>0.01097178683</v>
      </c>
      <c r="M16" s="13">
        <f>IFERROR(__xludf.DUMMYFUNCTION("$D16/INDEX(GOOGLEFINANCE($A16,""PRICE"",WORKDAY(TODAY(),-M$2)),2,2)-1"),-0.011872845653006614)</f>
        <v>-0.01187284565</v>
      </c>
      <c r="N16" s="11">
        <f>IFERROR(__xludf.DUMMYFUNCTION("average(INDEX(GOOGLEFINANCE($A16,""PRICE"",WORKDAY(TODAY(),-N$2),today()),,2))"),127.1125)</f>
        <v>127.1125</v>
      </c>
      <c r="O16" s="11">
        <f>IFERROR(__xludf.DUMMYFUNCTION("average(INDEX(GOOGLEFINANCE($A16,""PRICE"",WORKDAY(TODAY(),-O$2),today()),,2))"),128.00714285714287)</f>
        <v>128.0071429</v>
      </c>
      <c r="P16" s="15">
        <f>IFERROR(__xludf.DUMMYFUNCTION("GOOGLEFINANCE($A16,""marketcap"")"),3.69193743E11)</f>
        <v>369193743000</v>
      </c>
      <c r="Q16" s="16" t="str">
        <f>IFERROR(__xludf.DUMMYFUNCTION("IFERROR(GOOGLEFINANCE($A16,""pe""),""-"")"),"-")</f>
        <v>-</v>
      </c>
      <c r="R16" s="16" t="b">
        <f t="shared" si="1"/>
        <v>0</v>
      </c>
      <c r="S16" s="16" t="b">
        <f t="shared" si="2"/>
        <v>0</v>
      </c>
    </row>
    <row r="17">
      <c r="A17" s="17" t="s">
        <v>39</v>
      </c>
      <c r="B17" s="10" t="str">
        <f>IFERROR(__xludf.DUMMYFUNCTION("GOOGLEFINANCE($A17,""name"")"),"Asian Paints Ltd")</f>
        <v>Asian Paints Ltd</v>
      </c>
      <c r="C17" s="10" t="str">
        <f>IFERROR(__xludf.DUMMYFUNCTION("sparkline(index(GOOGLEFINANCE($A17,""price"",workday(today(),-C$2),today()),,2),{""charttype"",""column"";""color"",""green""})"),"")</f>
        <v/>
      </c>
      <c r="D17" s="11">
        <f>IFERROR(__xludf.DUMMYFUNCTION("GOOGLEFINANCE(""NSE:"" &amp;$A17,""price"")"),3161.0)</f>
        <v>3161</v>
      </c>
      <c r="E17" s="11">
        <f>IFERROR(__xludf.DUMMYFUNCTION("GOOGLEFINANCE(""NSE:"" &amp;$A17,""priceopen"")"),3121.5)</f>
        <v>3121.5</v>
      </c>
      <c r="F17" s="11">
        <f>IFERROR(__xludf.DUMMYFUNCTION("GOOGLEFINANCE(""NSE:"" &amp;$A17,""high"")"),3173.3)</f>
        <v>3173.3</v>
      </c>
      <c r="G17" s="11">
        <f>IFERROR(__xludf.DUMMYFUNCTION("GOOGLEFINANCE(""NSE:"" &amp;$A17,""low"")"),3113.25)</f>
        <v>3113.25</v>
      </c>
      <c r="H17" s="11">
        <f>IFERROR(__xludf.DUMMYFUNCTION("GOOGLEFINANCE(""NSE:"" &amp;$A17,""closeyest"")"),3158.25)</f>
        <v>3158.25</v>
      </c>
      <c r="I17" s="12">
        <f>IFERROR(__xludf.DUMMYFUNCTION("GOOGLEFINANCE(""NSE:"" &amp;$A17,""change"")"),2.75)</f>
        <v>2.75</v>
      </c>
      <c r="J17" s="13">
        <f>IFERROR(__xludf.DUMMYFUNCTION("GOOGLEFINANCE(""NSE:"" &amp;$A17,""changepct"")/100"),9.0E-4)</f>
        <v>0.0009</v>
      </c>
      <c r="K17" s="14">
        <f>IFERROR(__xludf.DUMMYFUNCTION("GOOGLEFINANCE(""NSE:"" &amp;$A17,""volume"")"),681191.0)</f>
        <v>681191</v>
      </c>
      <c r="L17" s="13">
        <f>IFERROR(__xludf.DUMMYFUNCTION("$D17/INDEX(GOOGLEFINANCE($A17,""PRICE"",WORKDAY(TODAY(),-L$2)),2,2)-1"),0.04615180950174569)</f>
        <v>0.0461518095</v>
      </c>
      <c r="M17" s="13">
        <f>IFERROR(__xludf.DUMMYFUNCTION("$D17/INDEX(GOOGLEFINANCE($A17,""PRICE"",WORKDAY(TODAY(),-M$2)),2,2)-1"),0.0011243250091055312)</f>
        <v>0.001124325009</v>
      </c>
      <c r="N17" s="11">
        <f>IFERROR(__xludf.DUMMYFUNCTION("average(INDEX(GOOGLEFINANCE($A17,""PRICE"",WORKDAY(TODAY(),-N$2),today()),,2))"),3063.5)</f>
        <v>3063.5</v>
      </c>
      <c r="O17" s="11">
        <f>IFERROR(__xludf.DUMMYFUNCTION("average(INDEX(GOOGLEFINANCE($A17,""PRICE"",WORKDAY(TODAY(),-O$2),today()),,2))"),3088.6785714285716)</f>
        <v>3088.678571</v>
      </c>
      <c r="P17" s="15">
        <f>IFERROR(__xludf.DUMMYFUNCTION("GOOGLEFINANCE($A17,""marketcap"")"),2.9443555441E12)</f>
        <v>2944355544100</v>
      </c>
      <c r="Q17" s="16">
        <f>IFERROR(__xludf.DUMMYFUNCTION("IFERROR(GOOGLEFINANCE($A17,""pe""),""-"")"),99.97)</f>
        <v>99.97</v>
      </c>
      <c r="R17" s="16" t="b">
        <f t="shared" si="1"/>
        <v>0</v>
      </c>
      <c r="S17" s="16" t="b">
        <f t="shared" si="2"/>
        <v>0</v>
      </c>
    </row>
    <row r="18">
      <c r="A18" s="17" t="s">
        <v>40</v>
      </c>
      <c r="B18" s="10" t="str">
        <f>IFERROR(__xludf.DUMMYFUNCTION("GOOGLEFINANCE($A18,""name"")"),"Astral Ltd")</f>
        <v>Astral Ltd</v>
      </c>
      <c r="C18" s="10" t="str">
        <f>IFERROR(__xludf.DUMMYFUNCTION("sparkline(index(GOOGLEFINANCE($A18,""price"",workday(today(),-C$2),today()),,2),{""charttype"",""column"";""color"",""green""})"),"")</f>
        <v/>
      </c>
      <c r="D18" s="11">
        <f>IFERROR(__xludf.DUMMYFUNCTION("GOOGLEFINANCE(""NSE:"" &amp;$A18,""price"")"),2166.0)</f>
        <v>2166</v>
      </c>
      <c r="E18" s="11">
        <f>IFERROR(__xludf.DUMMYFUNCTION("GOOGLEFINANCE(""NSE:"" &amp;$A18,""priceopen"")"),2111.6)</f>
        <v>2111.6</v>
      </c>
      <c r="F18" s="11">
        <f>IFERROR(__xludf.DUMMYFUNCTION("GOOGLEFINANCE(""NSE:"" &amp;$A18,""high"")"),2201.0)</f>
        <v>2201</v>
      </c>
      <c r="G18" s="11">
        <f>IFERROR(__xludf.DUMMYFUNCTION("GOOGLEFINANCE(""NSE:"" &amp;$A18,""low"")"),2105.7)</f>
        <v>2105.7</v>
      </c>
      <c r="H18" s="11">
        <f>IFERROR(__xludf.DUMMYFUNCTION("GOOGLEFINANCE(""NSE:"" &amp;$A18,""closeyest"")"),2119.95)</f>
        <v>2119.95</v>
      </c>
      <c r="I18" s="12">
        <f>IFERROR(__xludf.DUMMYFUNCTION("GOOGLEFINANCE(""NSE:"" &amp;$A18,""change"")"),46.05)</f>
        <v>46.05</v>
      </c>
      <c r="J18" s="13">
        <f>IFERROR(__xludf.DUMMYFUNCTION("GOOGLEFINANCE(""NSE:"" &amp;$A18,""changepct"")/100"),0.0217)</f>
        <v>0.0217</v>
      </c>
      <c r="K18" s="14">
        <f>IFERROR(__xludf.DUMMYFUNCTION("GOOGLEFINANCE(""NSE:"" &amp;$A18,""volume"")"),436361.0)</f>
        <v>436361</v>
      </c>
      <c r="L18" s="13" t="str">
        <f>IFERROR(__xludf.DUMMYFUNCTION("$D18/INDEX(GOOGLEFINANCE($A18,""PRICE"",WORKDAY(TODAY(),-L$2)),2,2)-1"),"#N/A")</f>
        <v>#N/A</v>
      </c>
      <c r="M18" s="13">
        <f>IFERROR(__xludf.DUMMYFUNCTION("$D18/INDEX(GOOGLEFINANCE($A18,""PRICE"",WORKDAY(TODAY(),-M$2)),2,2)-1"),0.038077208789628614)</f>
        <v>0.03807720879</v>
      </c>
      <c r="N18" s="11" t="str">
        <f>IFERROR(__xludf.DUMMYFUNCTION("average(INDEX(GOOGLEFINANCE($A18,""PRICE"",WORKDAY(TODAY(),-N$2),today()),,2))"),"#N/A")</f>
        <v>#N/A</v>
      </c>
      <c r="O18" s="11">
        <f>IFERROR(__xludf.DUMMYFUNCTION("average(INDEX(GOOGLEFINANCE($A18,""PRICE"",WORKDAY(TODAY(),-O$2),today()),,2))"),2116.25)</f>
        <v>2116.25</v>
      </c>
      <c r="P18" s="15">
        <f>IFERROR(__xludf.DUMMYFUNCTION("GOOGLEFINANCE($A18,""marketcap"")"),4.20774241346E11)</f>
        <v>420774241346</v>
      </c>
      <c r="Q18" s="16">
        <f>IFERROR(__xludf.DUMMYFUNCTION("IFERROR(GOOGLEFINANCE($A18,""pe""),""-"")"),84.14)</f>
        <v>84.14</v>
      </c>
      <c r="R18" s="16" t="b">
        <f t="shared" si="1"/>
        <v>0</v>
      </c>
      <c r="S18" s="16" t="b">
        <f t="shared" si="2"/>
        <v>0</v>
      </c>
    </row>
    <row r="19">
      <c r="A19" s="17" t="s">
        <v>41</v>
      </c>
      <c r="B19" s="10" t="str">
        <f>IFERROR(__xludf.DUMMYFUNCTION("GOOGLEFINANCE($A19,""name"")"),"AU Small Finance Bank Ltd")</f>
        <v>AU Small Finance Bank Ltd</v>
      </c>
      <c r="C19" s="10" t="str">
        <f>IFERROR(__xludf.DUMMYFUNCTION("sparkline(index(GOOGLEFINANCE($A19,""price"",workday(today(),-C$2),today()),,2),{""charttype"",""column"";""color"",""green""})"),"")</f>
        <v/>
      </c>
      <c r="D19" s="11">
        <f>IFERROR(__xludf.DUMMYFUNCTION("GOOGLEFINANCE(""NSE:"" &amp;$A19,""price"")"),1373.15)</f>
        <v>1373.15</v>
      </c>
      <c r="E19" s="11">
        <f>IFERROR(__xludf.DUMMYFUNCTION("GOOGLEFINANCE(""NSE:"" &amp;$A19,""priceopen"")"),1431.8)</f>
        <v>1431.8</v>
      </c>
      <c r="F19" s="11">
        <f>IFERROR(__xludf.DUMMYFUNCTION("GOOGLEFINANCE(""NSE:"" &amp;$A19,""high"")"),1431.8)</f>
        <v>1431.8</v>
      </c>
      <c r="G19" s="11">
        <f>IFERROR(__xludf.DUMMYFUNCTION("GOOGLEFINANCE(""NSE:"" &amp;$A19,""low"")"),1363.15)</f>
        <v>1363.15</v>
      </c>
      <c r="H19" s="11">
        <f>IFERROR(__xludf.DUMMYFUNCTION("GOOGLEFINANCE(""NSE:"" &amp;$A19,""closeyest"")"),1435.05)</f>
        <v>1435.05</v>
      </c>
      <c r="I19" s="12">
        <f>IFERROR(__xludf.DUMMYFUNCTION("GOOGLEFINANCE(""NSE:"" &amp;$A19,""change"")"),-61.9)</f>
        <v>-61.9</v>
      </c>
      <c r="J19" s="13">
        <f>IFERROR(__xludf.DUMMYFUNCTION("GOOGLEFINANCE(""NSE:"" &amp;$A19,""changepct"")/100"),-0.0431)</f>
        <v>-0.0431</v>
      </c>
      <c r="K19" s="14">
        <f>IFERROR(__xludf.DUMMYFUNCTION("GOOGLEFINANCE(""NSE:"" &amp;$A19,""volume"")"),1711893.0)</f>
        <v>1711893</v>
      </c>
      <c r="L19" s="13">
        <f>IFERROR(__xludf.DUMMYFUNCTION("$D19/INDEX(GOOGLEFINANCE($A19,""PRICE"",WORKDAY(TODAY(),-L$2)),2,2)-1"),-0.005107955368787054)</f>
        <v>-0.005107955369</v>
      </c>
      <c r="M19" s="13">
        <f>IFERROR(__xludf.DUMMYFUNCTION("$D19/INDEX(GOOGLEFINANCE($A19,""PRICE"",WORKDAY(TODAY(),-M$2)),2,2)-1"),-0.017212997423418197)</f>
        <v>-0.01721299742</v>
      </c>
      <c r="N19" s="11">
        <f>IFERROR(__xludf.DUMMYFUNCTION("average(INDEX(GOOGLEFINANCE($A19,""PRICE"",WORKDAY(TODAY(),-N$2),today()),,2))"),1414.0)</f>
        <v>1414</v>
      </c>
      <c r="O19" s="11">
        <f>IFERROR(__xludf.DUMMYFUNCTION("average(INDEX(GOOGLEFINANCE($A19,""PRICE"",WORKDAY(TODAY(),-O$2),today()),,2))"),1408.1357142857141)</f>
        <v>1408.135714</v>
      </c>
      <c r="P19" s="15">
        <f>IFERROR(__xludf.DUMMYFUNCTION("GOOGLEFINANCE($A19,""marketcap"")"),4.32208022986E11)</f>
        <v>432208022986</v>
      </c>
      <c r="Q19" s="16">
        <f>IFERROR(__xludf.DUMMYFUNCTION("IFERROR(GOOGLEFINANCE($A19,""pe""),""-"")"),45.49)</f>
        <v>45.49</v>
      </c>
      <c r="R19" s="16" t="b">
        <f t="shared" si="1"/>
        <v>0</v>
      </c>
      <c r="S19" s="16" t="b">
        <f t="shared" si="2"/>
        <v>1</v>
      </c>
    </row>
    <row r="20">
      <c r="A20" s="17" t="s">
        <v>42</v>
      </c>
      <c r="B20" s="10" t="str">
        <f>IFERROR(__xludf.DUMMYFUNCTION("GOOGLEFINANCE($A20,""name"")"),"Aurobindo Pharma Ltd")</f>
        <v>Aurobindo Pharma Ltd</v>
      </c>
      <c r="C20" s="10" t="str">
        <f>IFERROR(__xludf.DUMMYFUNCTION("sparkline(index(GOOGLEFINANCE($A20,""price"",workday(today(),-C$2),today()),,2),{""charttype"",""column"";""color"",""green""})"),"")</f>
        <v/>
      </c>
      <c r="D20" s="11">
        <f>IFERROR(__xludf.DUMMYFUNCTION("GOOGLEFINANCE(""NSE:"" &amp;$A20,""price"")"),667.0)</f>
        <v>667</v>
      </c>
      <c r="E20" s="11">
        <f>IFERROR(__xludf.DUMMYFUNCTION("GOOGLEFINANCE(""NSE:"" &amp;$A20,""priceopen"")"),670.0)</f>
        <v>670</v>
      </c>
      <c r="F20" s="11">
        <f>IFERROR(__xludf.DUMMYFUNCTION("GOOGLEFINANCE(""NSE:"" &amp;$A20,""high"")"),685.7)</f>
        <v>685.7</v>
      </c>
      <c r="G20" s="11">
        <f>IFERROR(__xludf.DUMMYFUNCTION("GOOGLEFINANCE(""NSE:"" &amp;$A20,""low"")"),665.0)</f>
        <v>665</v>
      </c>
      <c r="H20" s="11">
        <f>IFERROR(__xludf.DUMMYFUNCTION("GOOGLEFINANCE(""NSE:"" &amp;$A20,""closeyest"")"),674.0)</f>
        <v>674</v>
      </c>
      <c r="I20" s="12">
        <f>IFERROR(__xludf.DUMMYFUNCTION("GOOGLEFINANCE(""NSE:"" &amp;$A20,""change"")"),-7.0)</f>
        <v>-7</v>
      </c>
      <c r="J20" s="13">
        <f>IFERROR(__xludf.DUMMYFUNCTION("GOOGLEFINANCE(""NSE:"" &amp;$A20,""changepct"")/100"),-0.0104)</f>
        <v>-0.0104</v>
      </c>
      <c r="K20" s="14">
        <f>IFERROR(__xludf.DUMMYFUNCTION("GOOGLEFINANCE(""NSE:"" &amp;$A20,""volume"")"),1529118.0)</f>
        <v>1529118</v>
      </c>
      <c r="L20" s="13">
        <f>IFERROR(__xludf.DUMMYFUNCTION("$D20/INDEX(GOOGLEFINANCE($A20,""PRICE"",WORKDAY(TODAY(),-L$2)),2,2)-1"),-0.009945079412201352)</f>
        <v>-0.009945079412</v>
      </c>
      <c r="M20" s="13">
        <f>IFERROR(__xludf.DUMMYFUNCTION("$D20/INDEX(GOOGLEFINANCE($A20,""PRICE"",WORKDAY(TODAY(),-M$2)),2,2)-1"),-0.04454949147686582)</f>
        <v>-0.04454949148</v>
      </c>
      <c r="N20" s="11">
        <f>IFERROR(__xludf.DUMMYFUNCTION("average(INDEX(GOOGLEFINANCE($A20,""PRICE"",WORKDAY(TODAY(),-N$2),today()),,2))"),670.125)</f>
        <v>670.125</v>
      </c>
      <c r="O20" s="11">
        <f>IFERROR(__xludf.DUMMYFUNCTION("average(INDEX(GOOGLEFINANCE($A20,""PRICE"",WORKDAY(TODAY(),-O$2),today()),,2))"),677.6428571428571)</f>
        <v>677.6428571</v>
      </c>
      <c r="P20" s="15">
        <f>IFERROR(__xludf.DUMMYFUNCTION("GOOGLEFINANCE($A20,""marketcap"")"),3.85607707021E11)</f>
        <v>385607707021</v>
      </c>
      <c r="Q20" s="16">
        <f>IFERROR(__xludf.DUMMYFUNCTION("IFERROR(GOOGLEFINANCE($A20,""pe""),""-"")"),13.6)</f>
        <v>13.6</v>
      </c>
      <c r="R20" s="16" t="b">
        <f t="shared" si="1"/>
        <v>0</v>
      </c>
      <c r="S20" s="16" t="b">
        <f t="shared" si="2"/>
        <v>0</v>
      </c>
    </row>
    <row r="21">
      <c r="A21" s="17" t="s">
        <v>43</v>
      </c>
      <c r="B21" s="10" t="str">
        <f>IFERROR(__xludf.DUMMYFUNCTION("GOOGLEFINANCE($A21,""name"")"),"Axis Bank Ltd")</f>
        <v>Axis Bank Ltd</v>
      </c>
      <c r="C21" s="10" t="str">
        <f>IFERROR(__xludf.DUMMYFUNCTION("sparkline(index(GOOGLEFINANCE($A21,""price"",workday(today(),-C$2),today()),,2),{""charttype"",""column"";""color"",""green""})"),"")</f>
        <v/>
      </c>
      <c r="D21" s="11">
        <f>IFERROR(__xludf.DUMMYFUNCTION("GOOGLEFINANCE(""NSE:"" &amp;$A21,""price"")"),779.5)</f>
        <v>779.5</v>
      </c>
      <c r="E21" s="11">
        <f>IFERROR(__xludf.DUMMYFUNCTION("GOOGLEFINANCE(""NSE:"" &amp;$A21,""priceopen"")"),796.0)</f>
        <v>796</v>
      </c>
      <c r="F21" s="11">
        <f>IFERROR(__xludf.DUMMYFUNCTION("GOOGLEFINANCE(""NSE:"" &amp;$A21,""high"")"),798.0)</f>
        <v>798</v>
      </c>
      <c r="G21" s="11">
        <f>IFERROR(__xludf.DUMMYFUNCTION("GOOGLEFINANCE(""NSE:"" &amp;$A21,""low"")"),778.2)</f>
        <v>778.2</v>
      </c>
      <c r="H21" s="11">
        <f>IFERROR(__xludf.DUMMYFUNCTION("GOOGLEFINANCE(""NSE:"" &amp;$A21,""closeyest"")"),801.8)</f>
        <v>801.8</v>
      </c>
      <c r="I21" s="12">
        <f>IFERROR(__xludf.DUMMYFUNCTION("GOOGLEFINANCE(""NSE:"" &amp;$A21,""change"")"),-22.3)</f>
        <v>-22.3</v>
      </c>
      <c r="J21" s="13">
        <f>IFERROR(__xludf.DUMMYFUNCTION("GOOGLEFINANCE(""NSE:"" &amp;$A21,""changepct"")/100"),-0.0278)</f>
        <v>-0.0278</v>
      </c>
      <c r="K21" s="14">
        <f>IFERROR(__xludf.DUMMYFUNCTION("GOOGLEFINANCE(""NSE:"" &amp;$A21,""volume"")"),6255027.0)</f>
        <v>6255027</v>
      </c>
      <c r="L21" s="13">
        <f>IFERROR(__xludf.DUMMYFUNCTION("$D21/INDEX(GOOGLEFINANCE($A21,""PRICE"",WORKDAY(TODAY(),-L$2)),2,2)-1"),-0.024222319584402574)</f>
        <v>-0.02422231958</v>
      </c>
      <c r="M21" s="13">
        <f>IFERROR(__xludf.DUMMYFUNCTION("$D21/INDEX(GOOGLEFINANCE($A21,""PRICE"",WORKDAY(TODAY(),-M$2)),2,2)-1"),-0.0083328032567902)</f>
        <v>-0.008332803257</v>
      </c>
      <c r="N21" s="11">
        <f>IFERROR(__xludf.DUMMYFUNCTION("average(INDEX(GOOGLEFINANCE($A21,""PRICE"",WORKDAY(TODAY(),-N$2),today()),,2))"),798.2875000000001)</f>
        <v>798.2875</v>
      </c>
      <c r="O21" s="11">
        <f>IFERROR(__xludf.DUMMYFUNCTION("average(INDEX(GOOGLEFINANCE($A21,""PRICE"",WORKDAY(TODAY(),-O$2),today()),,2))"),795.8142857142857)</f>
        <v>795.8142857</v>
      </c>
      <c r="P21" s="15">
        <f>IFERROR(__xludf.DUMMYFUNCTION("GOOGLEFINANCE($A21,""marketcap"")"),2.404976196757E12)</f>
        <v>2404976196757</v>
      </c>
      <c r="Q21" s="16">
        <f>IFERROR(__xludf.DUMMYFUNCTION("IFERROR(GOOGLEFINANCE($A21,""pe""),""-"")"),18.94)</f>
        <v>18.94</v>
      </c>
      <c r="R21" s="16" t="b">
        <f t="shared" si="1"/>
        <v>0</v>
      </c>
      <c r="S21" s="16" t="b">
        <f t="shared" si="2"/>
        <v>0</v>
      </c>
    </row>
    <row r="22">
      <c r="A22" s="17" t="s">
        <v>44</v>
      </c>
      <c r="B22" s="10" t="str">
        <f>IFERROR(__xludf.DUMMYFUNCTION("GOOGLEFINANCE($A22,""name"")"),"Bajaj Auto Ltd")</f>
        <v>Bajaj Auto Ltd</v>
      </c>
      <c r="C22" s="10" t="str">
        <f>IFERROR(__xludf.DUMMYFUNCTION("sparkline(index(GOOGLEFINANCE($A22,""price"",workday(today(),-C$2),today()),,2),{""charttype"",""column"";""color"",""green""})"),"")</f>
        <v/>
      </c>
      <c r="D22" s="11">
        <f>IFERROR(__xludf.DUMMYFUNCTION("GOOGLEFINANCE(""NSE:"" &amp;$A22,""price"")"),3639.45)</f>
        <v>3639.45</v>
      </c>
      <c r="E22" s="11">
        <f>IFERROR(__xludf.DUMMYFUNCTION("GOOGLEFINANCE(""NSE:"" &amp;$A22,""priceopen"")"),3670.0)</f>
        <v>3670</v>
      </c>
      <c r="F22" s="11">
        <f>IFERROR(__xludf.DUMMYFUNCTION("GOOGLEFINANCE(""NSE:"" &amp;$A22,""high"")"),3694.75)</f>
        <v>3694.75</v>
      </c>
      <c r="G22" s="11">
        <f>IFERROR(__xludf.DUMMYFUNCTION("GOOGLEFINANCE(""NSE:"" &amp;$A22,""low"")"),3622.85)</f>
        <v>3622.85</v>
      </c>
      <c r="H22" s="11">
        <f>IFERROR(__xludf.DUMMYFUNCTION("GOOGLEFINANCE(""NSE:"" &amp;$A22,""closeyest"")"),3702.35)</f>
        <v>3702.35</v>
      </c>
      <c r="I22" s="12">
        <f>IFERROR(__xludf.DUMMYFUNCTION("GOOGLEFINANCE(""NSE:"" &amp;$A22,""change"")"),-62.9)</f>
        <v>-62.9</v>
      </c>
      <c r="J22" s="13">
        <f>IFERROR(__xludf.DUMMYFUNCTION("GOOGLEFINANCE(""NSE:"" &amp;$A22,""changepct"")/100"),-0.017)</f>
        <v>-0.017</v>
      </c>
      <c r="K22" s="14">
        <f>IFERROR(__xludf.DUMMYFUNCTION("GOOGLEFINANCE(""NSE:"" &amp;$A22,""volume"")"),228316.0)</f>
        <v>228316</v>
      </c>
      <c r="L22" s="13">
        <f>IFERROR(__xludf.DUMMYFUNCTION("$D22/INDEX(GOOGLEFINANCE($A22,""PRICE"",WORKDAY(TODAY(),-L$2)),2,2)-1"),-0.02023098045549998)</f>
        <v>-0.02023098046</v>
      </c>
      <c r="M22" s="13">
        <f>IFERROR(__xludf.DUMMYFUNCTION("$D22/INDEX(GOOGLEFINANCE($A22,""PRICE"",WORKDAY(TODAY(),-M$2)),2,2)-1"),-0.039000303658423996)</f>
        <v>-0.03900030366</v>
      </c>
      <c r="N22" s="11" t="str">
        <f>IFERROR(__xludf.DUMMYFUNCTION("average(INDEX(GOOGLEFINANCE($A22,""PRICE"",WORKDAY(TODAY(),-N$2),today()),,2))"),"#N/A")</f>
        <v>#N/A</v>
      </c>
      <c r="O22" s="11">
        <f>IFERROR(__xludf.DUMMYFUNCTION("average(INDEX(GOOGLEFINANCE($A22,""PRICE"",WORKDAY(TODAY(),-O$2),today()),,2))"),3713.0499999999997)</f>
        <v>3713.05</v>
      </c>
      <c r="P22" s="15">
        <f>IFERROR(__xludf.DUMMYFUNCTION("GOOGLEFINANCE($A22,""marketcap"")"),1.035135266672E12)</f>
        <v>1035135266672</v>
      </c>
      <c r="Q22" s="16">
        <f>IFERROR(__xludf.DUMMYFUNCTION("IFERROR(GOOGLEFINANCE($A22,""pe""),""-"")"),17.01)</f>
        <v>17.01</v>
      </c>
      <c r="R22" s="16" t="b">
        <f t="shared" si="1"/>
        <v>0</v>
      </c>
      <c r="S22" s="16" t="b">
        <f t="shared" si="2"/>
        <v>0</v>
      </c>
    </row>
    <row r="23">
      <c r="A23" s="17" t="s">
        <v>45</v>
      </c>
      <c r="B23" s="10" t="str">
        <f>IFERROR(__xludf.DUMMYFUNCTION("GOOGLEFINANCE($A23,""name"")"),"Bajaj Finserv Ltd")</f>
        <v>Bajaj Finserv Ltd</v>
      </c>
      <c r="C23" s="10" t="str">
        <f>IFERROR(__xludf.DUMMYFUNCTION("sparkline(index(GOOGLEFINANCE($A23,""price"",workday(today(),-C$2),today()),,2),{""charttype"",""column"";""color"",""green""})"),"")</f>
        <v/>
      </c>
      <c r="D23" s="11">
        <f>IFERROR(__xludf.DUMMYFUNCTION("GOOGLEFINANCE(""NSE:"" &amp;$A23,""price"")"),15450.8)</f>
        <v>15450.8</v>
      </c>
      <c r="E23" s="11">
        <f>IFERROR(__xludf.DUMMYFUNCTION("GOOGLEFINANCE(""NSE:"" &amp;$A23,""priceopen"")"),15700.05)</f>
        <v>15700.05</v>
      </c>
      <c r="F23" s="11">
        <f>IFERROR(__xludf.DUMMYFUNCTION("GOOGLEFINANCE(""NSE:"" &amp;$A23,""high"")"),15748.5)</f>
        <v>15748.5</v>
      </c>
      <c r="G23" s="11">
        <f>IFERROR(__xludf.DUMMYFUNCTION("GOOGLEFINANCE(""NSE:"" &amp;$A23,""low"")"),15430.0)</f>
        <v>15430</v>
      </c>
      <c r="H23" s="11">
        <f>IFERROR(__xludf.DUMMYFUNCTION("GOOGLEFINANCE(""NSE:"" &amp;$A23,""closeyest"")"),15835.75)</f>
        <v>15835.75</v>
      </c>
      <c r="I23" s="12">
        <f>IFERROR(__xludf.DUMMYFUNCTION("GOOGLEFINANCE(""NSE:"" &amp;$A23,""change"")"),-384.95)</f>
        <v>-384.95</v>
      </c>
      <c r="J23" s="13">
        <f>IFERROR(__xludf.DUMMYFUNCTION("GOOGLEFINANCE(""NSE:"" &amp;$A23,""changepct"")/100"),-0.024300000000000002)</f>
        <v>-0.0243</v>
      </c>
      <c r="K23" s="14">
        <f>IFERROR(__xludf.DUMMYFUNCTION("GOOGLEFINANCE(""NSE:"" &amp;$A23,""volume"")"),214876.0)</f>
        <v>214876</v>
      </c>
      <c r="L23" s="13">
        <f>IFERROR(__xludf.DUMMYFUNCTION("$D23/INDEX(GOOGLEFINANCE($A23,""PRICE"",WORKDAY(TODAY(),-L$2)),2,2)-1"),-0.023784927893348518)</f>
        <v>-0.02378492789</v>
      </c>
      <c r="M23" s="13" t="str">
        <f>IFERROR(__xludf.DUMMYFUNCTION("$D23/INDEX(GOOGLEFINANCE($A23,""PRICE"",WORKDAY(TODAY(),-M$2)),2,2)-1"),"#N/A")</f>
        <v>#N/A</v>
      </c>
      <c r="N23" s="11">
        <f>IFERROR(__xludf.DUMMYFUNCTION("average(INDEX(GOOGLEFINANCE($A23,""PRICE"",WORKDAY(TODAY(),-N$2),today()),,2))"),15723.2125)</f>
        <v>15723.2125</v>
      </c>
      <c r="O23" s="11">
        <f>IFERROR(__xludf.DUMMYFUNCTION("average(INDEX(GOOGLEFINANCE($A23,""PRICE"",WORKDAY(TODAY(),-O$2),today()),,2))"),15982.685714285715)</f>
        <v>15982.68571</v>
      </c>
      <c r="P23" s="15">
        <f>IFERROR(__xludf.DUMMYFUNCTION("GOOGLEFINANCE($A23,""marketcap"")"),2.489253635253E12)</f>
        <v>2489253635253</v>
      </c>
      <c r="Q23" s="16">
        <f>IFERROR(__xludf.DUMMYFUNCTION("IFERROR(GOOGLEFINANCE($A23,""pe""),""-"")"),58.77)</f>
        <v>58.77</v>
      </c>
      <c r="R23" s="16" t="b">
        <f t="shared" si="1"/>
        <v>0</v>
      </c>
      <c r="S23" s="16" t="b">
        <f t="shared" si="2"/>
        <v>0</v>
      </c>
    </row>
    <row r="24">
      <c r="A24" s="17" t="s">
        <v>46</v>
      </c>
      <c r="B24" s="10" t="str">
        <f>IFERROR(__xludf.DUMMYFUNCTION("GOOGLEFINANCE($A24,""name"")"),"Bajaj Finance Ltd")</f>
        <v>Bajaj Finance Ltd</v>
      </c>
      <c r="C24" s="10" t="str">
        <f>IFERROR(__xludf.DUMMYFUNCTION("sparkline(index(GOOGLEFINANCE($A24,""price"",workday(today(),-C$2),today()),,2),{""charttype"",""column"";""color"",""green""})"),"")</f>
        <v/>
      </c>
      <c r="D24" s="11">
        <f>IFERROR(__xludf.DUMMYFUNCTION("GOOGLEFINANCE(""NSE:"" &amp;$A24,""price"")"),7120.0)</f>
        <v>7120</v>
      </c>
      <c r="E24" s="11">
        <f>IFERROR(__xludf.DUMMYFUNCTION("GOOGLEFINANCE(""NSE:"" &amp;$A24,""priceopen"")"),7080.0)</f>
        <v>7080</v>
      </c>
      <c r="F24" s="11">
        <f>IFERROR(__xludf.DUMMYFUNCTION("GOOGLEFINANCE(""NSE:"" &amp;$A24,""high"")"),7207.0)</f>
        <v>7207</v>
      </c>
      <c r="G24" s="11">
        <f>IFERROR(__xludf.DUMMYFUNCTION("GOOGLEFINANCE(""NSE:"" &amp;$A24,""low"")"),7071.4)</f>
        <v>7071.4</v>
      </c>
      <c r="H24" s="11">
        <f>IFERROR(__xludf.DUMMYFUNCTION("GOOGLEFINANCE(""NSE:"" &amp;$A24,""closeyest"")"),7138.1)</f>
        <v>7138.1</v>
      </c>
      <c r="I24" s="12">
        <f>IFERROR(__xludf.DUMMYFUNCTION("GOOGLEFINANCE(""NSE:"" &amp;$A24,""change"")"),-18.1)</f>
        <v>-18.1</v>
      </c>
      <c r="J24" s="13">
        <f>IFERROR(__xludf.DUMMYFUNCTION("GOOGLEFINANCE(""NSE:"" &amp;$A24,""changepct"")/100"),-0.0025)</f>
        <v>-0.0025</v>
      </c>
      <c r="K24" s="14">
        <f>IFERROR(__xludf.DUMMYFUNCTION("GOOGLEFINANCE(""NSE:"" &amp;$A24,""volume"")"),807987.0)</f>
        <v>807987</v>
      </c>
      <c r="L24" s="13">
        <f>IFERROR(__xludf.DUMMYFUNCTION("$D24/INDEX(GOOGLEFINANCE($A24,""PRICE"",WORKDAY(TODAY(),-L$2)),2,2)-1"),-0.0194795805245509)</f>
        <v>-0.01947958052</v>
      </c>
      <c r="M24" s="13">
        <f>IFERROR(__xludf.DUMMYFUNCTION("$D24/INDEX(GOOGLEFINANCE($A24,""PRICE"",WORKDAY(TODAY(),-M$2)),2,2)-1"),-0.029529826283112848)</f>
        <v>-0.02952982628</v>
      </c>
      <c r="N24" s="11">
        <f>IFERROR(__xludf.DUMMYFUNCTION("average(INDEX(GOOGLEFINANCE($A24,""PRICE"",WORKDAY(TODAY(),-N$2),today()),,2))"),7172.9)</f>
        <v>7172.9</v>
      </c>
      <c r="O24" s="11">
        <f>IFERROR(__xludf.DUMMYFUNCTION("average(INDEX(GOOGLEFINANCE($A24,""PRICE"",WORKDAY(TODAY(),-O$2),today()),,2))"),7233.028571428571)</f>
        <v>7233.028571</v>
      </c>
      <c r="P24" s="15">
        <f>IFERROR(__xludf.DUMMYFUNCTION("GOOGLEFINANCE($A24,""marketcap"")"),4.452355623218E12)</f>
        <v>4452355623218</v>
      </c>
      <c r="Q24" s="16">
        <f>IFERROR(__xludf.DUMMYFUNCTION("IFERROR(GOOGLEFINANCE($A24,""pe""),""-"")"),72.38)</f>
        <v>72.38</v>
      </c>
      <c r="R24" s="16" t="b">
        <f t="shared" si="1"/>
        <v>0</v>
      </c>
      <c r="S24" s="16" t="b">
        <f t="shared" si="2"/>
        <v>0</v>
      </c>
    </row>
    <row r="25">
      <c r="A25" s="17" t="s">
        <v>47</v>
      </c>
      <c r="B25" s="10" t="str">
        <f>IFERROR(__xludf.DUMMYFUNCTION("GOOGLEFINANCE($A25,""name"")"),"Balkrishna Industries Limited")</f>
        <v>Balkrishna Industries Limited</v>
      </c>
      <c r="C25" s="10" t="str">
        <f>IFERROR(__xludf.DUMMYFUNCTION("sparkline(index(GOOGLEFINANCE($A25,""price"",workday(today(),-C$2),today()),,2),{""charttype"",""column"";""color"",""green""})"),"")</f>
        <v/>
      </c>
      <c r="D25" s="11">
        <f>IFERROR(__xludf.DUMMYFUNCTION("GOOGLEFINANCE(""NSE:"" &amp;$A25,""price"")"),2118.55)</f>
        <v>2118.55</v>
      </c>
      <c r="E25" s="11">
        <f>IFERROR(__xludf.DUMMYFUNCTION("GOOGLEFINANCE(""NSE:"" &amp;$A25,""priceopen"")"),2138.3)</f>
        <v>2138.3</v>
      </c>
      <c r="F25" s="11">
        <f>IFERROR(__xludf.DUMMYFUNCTION("GOOGLEFINANCE(""NSE:"" &amp;$A25,""high"")"),2154.15)</f>
        <v>2154.15</v>
      </c>
      <c r="G25" s="11">
        <f>IFERROR(__xludf.DUMMYFUNCTION("GOOGLEFINANCE(""NSE:"" &amp;$A25,""low"")"),2110.0)</f>
        <v>2110</v>
      </c>
      <c r="H25" s="11">
        <f>IFERROR(__xludf.DUMMYFUNCTION("GOOGLEFINANCE(""NSE:"" &amp;$A25,""closeyest"")"),2161.3)</f>
        <v>2161.3</v>
      </c>
      <c r="I25" s="12">
        <f>IFERROR(__xludf.DUMMYFUNCTION("GOOGLEFINANCE(""NSE:"" &amp;$A25,""change"")"),-42.75)</f>
        <v>-42.75</v>
      </c>
      <c r="J25" s="13">
        <f>IFERROR(__xludf.DUMMYFUNCTION("GOOGLEFINANCE(""NSE:"" &amp;$A25,""changepct"")/100"),-0.019799999999999998)</f>
        <v>-0.0198</v>
      </c>
      <c r="K25" s="14">
        <f>IFERROR(__xludf.DUMMYFUNCTION("GOOGLEFINANCE(""NSE:"" &amp;$A25,""volume"")"),184013.0)</f>
        <v>184013</v>
      </c>
      <c r="L25" s="13">
        <f>IFERROR(__xludf.DUMMYFUNCTION("$D25/INDEX(GOOGLEFINANCE($A25,""PRICE"",WORKDAY(TODAY(),-L$2)),2,2)-1"),0.016456759026028722)</f>
        <v>0.01645675903</v>
      </c>
      <c r="M25" s="13">
        <f>IFERROR(__xludf.DUMMYFUNCTION("$D25/INDEX(GOOGLEFINANCE($A25,""PRICE"",WORKDAY(TODAY(),-M$2)),2,2)-1"),0.0165055298323058)</f>
        <v>0.01650552983</v>
      </c>
      <c r="N25" s="11">
        <f>IFERROR(__xludf.DUMMYFUNCTION("average(INDEX(GOOGLEFINANCE($A25,""PRICE"",WORKDAY(TODAY(),-N$2),today()),,2))"),2109.95)</f>
        <v>2109.95</v>
      </c>
      <c r="O25" s="11">
        <f>IFERROR(__xludf.DUMMYFUNCTION("average(INDEX(GOOGLEFINANCE($A25,""PRICE"",WORKDAY(TODAY(),-O$2),today()),,2))"),2100.6857142857143)</f>
        <v>2100.685714</v>
      </c>
      <c r="P25" s="15">
        <f>IFERROR(__xludf.DUMMYFUNCTION("GOOGLEFINANCE($A25,""marketcap"")"),4.10605743974E11)</f>
        <v>410605743974</v>
      </c>
      <c r="Q25" s="16">
        <f>IFERROR(__xludf.DUMMYFUNCTION("IFERROR(GOOGLEFINANCE($A25,""pe""),""-"")"),28.43)</f>
        <v>28.43</v>
      </c>
      <c r="R25" s="16" t="b">
        <f t="shared" si="1"/>
        <v>0</v>
      </c>
      <c r="S25" s="16" t="b">
        <f t="shared" si="2"/>
        <v>0</v>
      </c>
    </row>
    <row r="26">
      <c r="A26" s="17" t="s">
        <v>48</v>
      </c>
      <c r="B26" s="10" t="str">
        <f>IFERROR(__xludf.DUMMYFUNCTION("GOOGLEFINANCE($A26,""name"")"),"Bandhan Bank Ltd")</f>
        <v>Bandhan Bank Ltd</v>
      </c>
      <c r="C26" s="10" t="str">
        <f>IFERROR(__xludf.DUMMYFUNCTION("sparkline(index(GOOGLEFINANCE($A26,""price"",workday(today(),-C$2),today()),,2),{""charttype"",""column"";""color"",""green""})"),"")</f>
        <v/>
      </c>
      <c r="D26" s="11">
        <f>IFERROR(__xludf.DUMMYFUNCTION("GOOGLEFINANCE(""NSE:"" &amp;$A26,""price"")"),329.0)</f>
        <v>329</v>
      </c>
      <c r="E26" s="11">
        <f>IFERROR(__xludf.DUMMYFUNCTION("GOOGLEFINANCE(""NSE:"" &amp;$A26,""priceopen"")"),336.0)</f>
        <v>336</v>
      </c>
      <c r="F26" s="11">
        <f>IFERROR(__xludf.DUMMYFUNCTION("GOOGLEFINANCE(""NSE:"" &amp;$A26,""high"")"),339.0)</f>
        <v>339</v>
      </c>
      <c r="G26" s="11">
        <f>IFERROR(__xludf.DUMMYFUNCTION("GOOGLEFINANCE(""NSE:"" &amp;$A26,""low"")"),328.65)</f>
        <v>328.65</v>
      </c>
      <c r="H26" s="11">
        <f>IFERROR(__xludf.DUMMYFUNCTION("GOOGLEFINANCE(""NSE:"" &amp;$A26,""closeyest"")"),336.4)</f>
        <v>336.4</v>
      </c>
      <c r="I26" s="12">
        <f>IFERROR(__xludf.DUMMYFUNCTION("GOOGLEFINANCE(""NSE:"" &amp;$A26,""change"")"),-7.4)</f>
        <v>-7.4</v>
      </c>
      <c r="J26" s="13">
        <f>IFERROR(__xludf.DUMMYFUNCTION("GOOGLEFINANCE(""NSE:"" &amp;$A26,""changepct"")/100"),-0.022000000000000002)</f>
        <v>-0.022</v>
      </c>
      <c r="K26" s="14">
        <f>IFERROR(__xludf.DUMMYFUNCTION("GOOGLEFINANCE(""NSE:"" &amp;$A26,""volume"")"),9077903.0)</f>
        <v>9077903</v>
      </c>
      <c r="L26" s="13">
        <f>IFERROR(__xludf.DUMMYFUNCTION("$D26/INDEX(GOOGLEFINANCE($A26,""PRICE"",WORKDAY(TODAY(),-L$2)),2,2)-1"),0.020155038759689825)</f>
        <v>0.02015503876</v>
      </c>
      <c r="M26" s="13">
        <f>IFERROR(__xludf.DUMMYFUNCTION("$D26/INDEX(GOOGLEFINANCE($A26,""PRICE"",WORKDAY(TODAY(),-M$2)),2,2)-1"),0.019049094006504452)</f>
        <v>0.01904909401</v>
      </c>
      <c r="N26" s="11">
        <f>IFERROR(__xludf.DUMMYFUNCTION("average(INDEX(GOOGLEFINANCE($A26,""PRICE"",WORKDAY(TODAY(),-N$2),today()),,2))"),326.38750000000005)</f>
        <v>326.3875</v>
      </c>
      <c r="O26" s="11" t="str">
        <f>IFERROR(__xludf.DUMMYFUNCTION("average(INDEX(GOOGLEFINANCE($A26,""PRICE"",WORKDAY(TODAY(),-O$2),today()),,2))"),"#N/A")</f>
        <v>#N/A</v>
      </c>
      <c r="P26" s="15">
        <f>IFERROR(__xludf.DUMMYFUNCTION("GOOGLEFINANCE($A26,""marketcap"")"),5.33838674055E11)</f>
        <v>533838674055</v>
      </c>
      <c r="Q26" s="16" t="str">
        <f>IFERROR(__xludf.DUMMYFUNCTION("IFERROR(GOOGLEFINANCE($A26,""pe""),""-"")"),"-")</f>
        <v>-</v>
      </c>
      <c r="R26" s="16" t="b">
        <f t="shared" si="1"/>
        <v>0</v>
      </c>
      <c r="S26" s="16" t="b">
        <f t="shared" si="2"/>
        <v>0</v>
      </c>
    </row>
    <row r="27">
      <c r="A27" s="17" t="s">
        <v>49</v>
      </c>
      <c r="B27" s="10" t="str">
        <f>IFERROR(__xludf.DUMMYFUNCTION("GOOGLEFINANCE($A27,""name"")"),"Bank of Baroda Ltd")</f>
        <v>Bank of Baroda Ltd</v>
      </c>
      <c r="C27" s="10" t="str">
        <f>IFERROR(__xludf.DUMMYFUNCTION("sparkline(index(GOOGLEFINANCE($A27,""price"",workday(today(),-C$2),today()),,2),{""charttype"",""column"";""color"",""green""})"),"")</f>
        <v/>
      </c>
      <c r="D27" s="11">
        <f>IFERROR(__xludf.DUMMYFUNCTION("GOOGLEFINANCE(""NSE:"" &amp;$A27,""price"")"),111.55)</f>
        <v>111.55</v>
      </c>
      <c r="E27" s="11">
        <f>IFERROR(__xludf.DUMMYFUNCTION("GOOGLEFINANCE(""NSE:"" &amp;$A27,""priceopen"")"),112.95)</f>
        <v>112.95</v>
      </c>
      <c r="F27" s="11">
        <f>IFERROR(__xludf.DUMMYFUNCTION("GOOGLEFINANCE(""NSE:"" &amp;$A27,""high"")"),113.95)</f>
        <v>113.95</v>
      </c>
      <c r="G27" s="11">
        <f>IFERROR(__xludf.DUMMYFUNCTION("GOOGLEFINANCE(""NSE:"" &amp;$A27,""low"")"),111.2)</f>
        <v>111.2</v>
      </c>
      <c r="H27" s="11">
        <f>IFERROR(__xludf.DUMMYFUNCTION("GOOGLEFINANCE(""NSE:"" &amp;$A27,""closeyest"")"),113.9)</f>
        <v>113.9</v>
      </c>
      <c r="I27" s="12">
        <f>IFERROR(__xludf.DUMMYFUNCTION("GOOGLEFINANCE(""NSE:"" &amp;$A27,""change"")"),-2.35)</f>
        <v>-2.35</v>
      </c>
      <c r="J27" s="13">
        <f>IFERROR(__xludf.DUMMYFUNCTION("GOOGLEFINANCE(""NSE:"" &amp;$A27,""changepct"")/100"),-0.0206)</f>
        <v>-0.0206</v>
      </c>
      <c r="K27" s="14">
        <f>IFERROR(__xludf.DUMMYFUNCTION("GOOGLEFINANCE(""NSE:"" &amp;$A27,""volume"")"),1.738724E7)</f>
        <v>17387240</v>
      </c>
      <c r="L27" s="13">
        <f>IFERROR(__xludf.DUMMYFUNCTION("$D27/INDEX(GOOGLEFINANCE($A27,""PRICE"",WORKDAY(TODAY(),-L$2)),2,2)-1"),-0.020632133450395163)</f>
        <v>-0.02063213345</v>
      </c>
      <c r="M27" s="13">
        <f>IFERROR(__xludf.DUMMYFUNCTION("$D27/INDEX(GOOGLEFINANCE($A27,""PRICE"",WORKDAY(TODAY(),-M$2)),2,2)-1"),-0.07273482959268496)</f>
        <v>-0.07273482959</v>
      </c>
      <c r="N27" s="11">
        <f>IFERROR(__xludf.DUMMYFUNCTION("average(INDEX(GOOGLEFINANCE($A27,""PRICE"",WORKDAY(TODAY(),-N$2),today()),,2))"),113.36249999999998)</f>
        <v>113.3625</v>
      </c>
      <c r="O27" s="11" t="str">
        <f>IFERROR(__xludf.DUMMYFUNCTION("average(INDEX(GOOGLEFINANCE($A27,""PRICE"",WORKDAY(TODAY(),-O$2),today()),,2))"),"#N/A")</f>
        <v>#N/A</v>
      </c>
      <c r="P27" s="15">
        <f>IFERROR(__xludf.DUMMYFUNCTION("GOOGLEFINANCE($A27,""marketcap"")"),5.78908619898E11)</f>
        <v>578908619898</v>
      </c>
      <c r="Q27" s="16">
        <f>IFERROR(__xludf.DUMMYFUNCTION("IFERROR(GOOGLEFINANCE($A27,""pe""),""-"")"),11.51)</f>
        <v>11.51</v>
      </c>
      <c r="R27" s="16" t="b">
        <f t="shared" si="1"/>
        <v>0</v>
      </c>
      <c r="S27" s="16" t="b">
        <f t="shared" si="2"/>
        <v>0</v>
      </c>
    </row>
    <row r="28">
      <c r="A28" s="17" t="s">
        <v>50</v>
      </c>
      <c r="B28" s="10" t="str">
        <f>IFERROR(__xludf.DUMMYFUNCTION("GOOGLEFINANCE($A28,""name"")"),"Bata India Ltd")</f>
        <v>Bata India Ltd</v>
      </c>
      <c r="C28" s="10" t="str">
        <f>IFERROR(__xludf.DUMMYFUNCTION("sparkline(index(GOOGLEFINANCE($A28,""price"",workday(today(),-C$2),today()),,2),{""charttype"",""column"";""color"",""green""})"),"")</f>
        <v/>
      </c>
      <c r="D28" s="11">
        <f>IFERROR(__xludf.DUMMYFUNCTION("GOOGLEFINANCE(""NSE:"" &amp;$A28,""price"")"),1917.0)</f>
        <v>1917</v>
      </c>
      <c r="E28" s="11">
        <f>IFERROR(__xludf.DUMMYFUNCTION("GOOGLEFINANCE(""NSE:"" &amp;$A28,""priceopen"")"),1937.0)</f>
        <v>1937</v>
      </c>
      <c r="F28" s="11">
        <f>IFERROR(__xludf.DUMMYFUNCTION("GOOGLEFINANCE(""NSE:"" &amp;$A28,""high"")"),1944.0)</f>
        <v>1944</v>
      </c>
      <c r="G28" s="11">
        <f>IFERROR(__xludf.DUMMYFUNCTION("GOOGLEFINANCE(""NSE:"" &amp;$A28,""low"")"),1908.65)</f>
        <v>1908.65</v>
      </c>
      <c r="H28" s="11">
        <f>IFERROR(__xludf.DUMMYFUNCTION("GOOGLEFINANCE(""NSE:"" &amp;$A28,""closeyest"")"),1948.4)</f>
        <v>1948.4</v>
      </c>
      <c r="I28" s="12">
        <f>IFERROR(__xludf.DUMMYFUNCTION("GOOGLEFINANCE(""NSE:"" &amp;$A28,""change"")"),-31.4)</f>
        <v>-31.4</v>
      </c>
      <c r="J28" s="13">
        <f>IFERROR(__xludf.DUMMYFUNCTION("GOOGLEFINANCE(""NSE:"" &amp;$A28,""changepct"")/100"),-0.0161)</f>
        <v>-0.0161</v>
      </c>
      <c r="K28" s="14">
        <f>IFERROR(__xludf.DUMMYFUNCTION("GOOGLEFINANCE(""NSE:"" &amp;$A28,""volume"")"),189031.0)</f>
        <v>189031</v>
      </c>
      <c r="L28" s="13">
        <f>IFERROR(__xludf.DUMMYFUNCTION("$D28/INDEX(GOOGLEFINANCE($A28,""PRICE"",WORKDAY(TODAY(),-L$2)),2,2)-1"),-0.026854155033250504)</f>
        <v>-0.02685415503</v>
      </c>
      <c r="M28" s="13">
        <f>IFERROR(__xludf.DUMMYFUNCTION("$D28/INDEX(GOOGLEFINANCE($A28,""PRICE"",WORKDAY(TODAY(),-M$2)),2,2)-1"),-0.05087263275157816)</f>
        <v>-0.05087263275</v>
      </c>
      <c r="N28" s="11">
        <f>IFERROR(__xludf.DUMMYFUNCTION("average(INDEX(GOOGLEFINANCE($A28,""PRICE"",WORKDAY(TODAY(),-N$2),today()),,2))"),1941.9499999999998)</f>
        <v>1941.95</v>
      </c>
      <c r="O28" s="11">
        <f>IFERROR(__xludf.DUMMYFUNCTION("average(INDEX(GOOGLEFINANCE($A28,""PRICE"",WORKDAY(TODAY(),-O$2),today()),,2))"),1961.1785714285713)</f>
        <v>1961.178571</v>
      </c>
      <c r="P28" s="15">
        <f>IFERROR(__xludf.DUMMYFUNCTION("GOOGLEFINANCE($A28,""marketcap"")"),2.46604797E11)</f>
        <v>246604797000</v>
      </c>
      <c r="Q28" s="16">
        <f>IFERROR(__xludf.DUMMYFUNCTION("IFERROR(GOOGLEFINANCE($A28,""pe""),""-"")"),354.7)</f>
        <v>354.7</v>
      </c>
      <c r="R28" s="16" t="b">
        <f t="shared" si="1"/>
        <v>0</v>
      </c>
      <c r="S28" s="16" t="b">
        <f t="shared" si="2"/>
        <v>0</v>
      </c>
    </row>
    <row r="29">
      <c r="A29" s="17" t="s">
        <v>51</v>
      </c>
      <c r="B29" s="10" t="str">
        <f>IFERROR(__xludf.DUMMYFUNCTION("GOOGLEFINANCE($A29,""name"")"),"Bentley Capital Limited")</f>
        <v>Bentley Capital Limited</v>
      </c>
      <c r="C29" s="10" t="str">
        <f>IFERROR(__xludf.DUMMYFUNCTION("sparkline(index(GOOGLEFINANCE($A29,""price"",workday(today(),-C$2),today()),,2),{""charttype"",""column"";""color"",""green""})"),"")</f>
        <v/>
      </c>
      <c r="D29" s="11">
        <f>IFERROR(__xludf.DUMMYFUNCTION("GOOGLEFINANCE(""NSE:"" &amp;$A29,""price"")"),252.05)</f>
        <v>252.05</v>
      </c>
      <c r="E29" s="11">
        <f>IFERROR(__xludf.DUMMYFUNCTION("GOOGLEFINANCE(""NSE:"" &amp;$A29,""priceopen"")"),252.45)</f>
        <v>252.45</v>
      </c>
      <c r="F29" s="11">
        <f>IFERROR(__xludf.DUMMYFUNCTION("GOOGLEFINANCE(""NSE:"" &amp;$A29,""high"")"),256.65)</f>
        <v>256.65</v>
      </c>
      <c r="G29" s="11">
        <f>IFERROR(__xludf.DUMMYFUNCTION("GOOGLEFINANCE(""NSE:"" &amp;$A29,""low"")"),250.85)</f>
        <v>250.85</v>
      </c>
      <c r="H29" s="11">
        <f>IFERROR(__xludf.DUMMYFUNCTION("GOOGLEFINANCE(""NSE:"" &amp;$A29,""closeyest"")"),252.9)</f>
        <v>252.9</v>
      </c>
      <c r="I29" s="12">
        <f>IFERROR(__xludf.DUMMYFUNCTION("GOOGLEFINANCE(""NSE:"" &amp;$A29,""change"")"),-0.85)</f>
        <v>-0.85</v>
      </c>
      <c r="J29" s="13">
        <f>IFERROR(__xludf.DUMMYFUNCTION("GOOGLEFINANCE(""NSE:"" &amp;$A29,""changepct"")/100"),-0.0034000000000000002)</f>
        <v>-0.0034</v>
      </c>
      <c r="K29" s="14">
        <f>IFERROR(__xludf.DUMMYFUNCTION("GOOGLEFINANCE(""NSE:"" &amp;$A29,""volume"")"),4675141.0)</f>
        <v>4675141</v>
      </c>
      <c r="L29" s="13">
        <f>IFERROR(__xludf.DUMMYFUNCTION("$D29/INDEX(GOOGLEFINANCE($A29,""PRICE"",WORKDAY(TODAY(),-L$2)),2,2)-1"),3149.625)</f>
        <v>3149.625</v>
      </c>
      <c r="M29" s="13" t="str">
        <f>IFERROR(__xludf.DUMMYFUNCTION("$D29/INDEX(GOOGLEFINANCE($A29,""PRICE"",WORKDAY(TODAY(),-M$2)),2,2)-1"),"#N/A")</f>
        <v>#N/A</v>
      </c>
      <c r="N29" s="11">
        <f>IFERROR(__xludf.DUMMYFUNCTION("average(INDEX(GOOGLEFINANCE($A29,""PRICE"",WORKDAY(TODAY(),-N$2),today()),,2))"),0.08333333333333333)</f>
        <v>0.08333333333</v>
      </c>
      <c r="O29" s="11">
        <f>IFERROR(__xludf.DUMMYFUNCTION("average(INDEX(GOOGLEFINANCE($A29,""PRICE"",WORKDAY(TODAY(),-O$2),today()),,2))"),0.08166666666666668)</f>
        <v>0.08166666667</v>
      </c>
      <c r="P29" s="15">
        <f>IFERROR(__xludf.DUMMYFUNCTION("GOOGLEFINANCE($A29,""marketcap"")"),6394750.0)</f>
        <v>6394750</v>
      </c>
      <c r="Q29" s="16" t="str">
        <f>IFERROR(__xludf.DUMMYFUNCTION("IFERROR(GOOGLEFINANCE($A29,""pe""),""-"")"),"-")</f>
        <v>-</v>
      </c>
      <c r="R29" s="16" t="b">
        <f t="shared" si="1"/>
        <v>0</v>
      </c>
      <c r="S29" s="16" t="b">
        <f t="shared" si="2"/>
        <v>0</v>
      </c>
    </row>
    <row r="30">
      <c r="A30" s="17" t="s">
        <v>52</v>
      </c>
      <c r="B30" s="10" t="str">
        <f>IFERROR(__xludf.DUMMYFUNCTION("GOOGLEFINANCE($A30,""name"")"),"Berger Paints India Ltd")</f>
        <v>Berger Paints India Ltd</v>
      </c>
      <c r="C30" s="10" t="str">
        <f>IFERROR(__xludf.DUMMYFUNCTION("sparkline(index(GOOGLEFINANCE($A30,""price"",workday(today(),-C$2),today()),,2),{""charttype"",""column"";""color"",""green""})"),"#N/A")</f>
        <v>#N/A</v>
      </c>
      <c r="D30" s="11">
        <f>IFERROR(__xludf.DUMMYFUNCTION("GOOGLEFINANCE(""NSE:"" &amp;$A30,""price"")"),714.15)</f>
        <v>714.15</v>
      </c>
      <c r="E30" s="11">
        <f>IFERROR(__xludf.DUMMYFUNCTION("GOOGLEFINANCE(""NSE:"" &amp;$A30,""priceopen"")"),711.0)</f>
        <v>711</v>
      </c>
      <c r="F30" s="11">
        <f>IFERROR(__xludf.DUMMYFUNCTION("GOOGLEFINANCE(""NSE:"" &amp;$A30,""high"")"),721.0)</f>
        <v>721</v>
      </c>
      <c r="G30" s="11">
        <f>IFERROR(__xludf.DUMMYFUNCTION("GOOGLEFINANCE(""NSE:"" &amp;$A30,""low"")"),711.0)</f>
        <v>711</v>
      </c>
      <c r="H30" s="11">
        <f>IFERROR(__xludf.DUMMYFUNCTION("GOOGLEFINANCE(""NSE:"" &amp;$A30,""closeyest"")"),715.05)</f>
        <v>715.05</v>
      </c>
      <c r="I30" s="12">
        <f>IFERROR(__xludf.DUMMYFUNCTION("GOOGLEFINANCE(""NSE:"" &amp;$A30,""change"")"),-0.9)</f>
        <v>-0.9</v>
      </c>
      <c r="J30" s="13">
        <f>IFERROR(__xludf.DUMMYFUNCTION("GOOGLEFINANCE(""NSE:"" &amp;$A30,""changepct"")/100"),-0.0013)</f>
        <v>-0.0013</v>
      </c>
      <c r="K30" s="14">
        <f>IFERROR(__xludf.DUMMYFUNCTION("GOOGLEFINANCE(""NSE:"" &amp;$A30,""volume"")"),420755.0)</f>
        <v>420755</v>
      </c>
      <c r="L30" s="13" t="str">
        <f>IFERROR(__xludf.DUMMYFUNCTION("$D30/INDEX(GOOGLEFINANCE($A30,""PRICE"",WORKDAY(TODAY(),-L$2)),2,2)-1"),"#N/A")</f>
        <v>#N/A</v>
      </c>
      <c r="M30" s="13">
        <f>IFERROR(__xludf.DUMMYFUNCTION("$D30/INDEX(GOOGLEFINANCE($A30,""PRICE"",WORKDAY(TODAY(),-M$2)),2,2)-1"),-0.024518508400491745)</f>
        <v>-0.0245185084</v>
      </c>
      <c r="N30" s="11">
        <f>IFERROR(__xludf.DUMMYFUNCTION("average(INDEX(GOOGLEFINANCE($A30,""PRICE"",WORKDAY(TODAY(),-N$2),today()),,2))"),712.3875)</f>
        <v>712.3875</v>
      </c>
      <c r="O30" s="11">
        <f>IFERROR(__xludf.DUMMYFUNCTION("average(INDEX(GOOGLEFINANCE($A30,""PRICE"",WORKDAY(TODAY(),-O$2),today()),,2))"),718.3000000000001)</f>
        <v>718.3</v>
      </c>
      <c r="P30" s="15">
        <f>IFERROR(__xludf.DUMMYFUNCTION("GOOGLEFINANCE($A30,""marketcap"")"),6.83793720741E11)</f>
        <v>683793720741</v>
      </c>
      <c r="Q30" s="16">
        <f>IFERROR(__xludf.DUMMYFUNCTION("IFERROR(GOOGLEFINANCE($A30,""pe""),""-"")"),84.51)</f>
        <v>84.51</v>
      </c>
      <c r="R30" s="16" t="b">
        <f t="shared" si="1"/>
        <v>1</v>
      </c>
      <c r="S30" s="16" t="b">
        <f t="shared" si="2"/>
        <v>0</v>
      </c>
    </row>
    <row r="31">
      <c r="A31" s="17" t="s">
        <v>53</v>
      </c>
      <c r="B31" s="10" t="str">
        <f>IFERROR(__xludf.DUMMYFUNCTION("GOOGLEFINANCE($A31,""name"")"),"Bharat Forge Ltd")</f>
        <v>Bharat Forge Ltd</v>
      </c>
      <c r="C31" s="10" t="str">
        <f>IFERROR(__xludf.DUMMYFUNCTION("sparkline(index(GOOGLEFINANCE($A31,""price"",workday(today(),-C$2),today()),,2),{""charttype"",""column"";""color"",""green""})"),"")</f>
        <v/>
      </c>
      <c r="D31" s="11">
        <f>IFERROR(__xludf.DUMMYFUNCTION("GOOGLEFINANCE(""NSE:"" &amp;$A31,""price"")"),722.0)</f>
        <v>722</v>
      </c>
      <c r="E31" s="11">
        <f>IFERROR(__xludf.DUMMYFUNCTION("GOOGLEFINANCE(""NSE:"" &amp;$A31,""priceopen"")"),737.0)</f>
        <v>737</v>
      </c>
      <c r="F31" s="11">
        <f>IFERROR(__xludf.DUMMYFUNCTION("GOOGLEFINANCE(""NSE:"" &amp;$A31,""high"")"),738.4)</f>
        <v>738.4</v>
      </c>
      <c r="G31" s="11">
        <f>IFERROR(__xludf.DUMMYFUNCTION("GOOGLEFINANCE(""NSE:"" &amp;$A31,""low"")"),721.85)</f>
        <v>721.85</v>
      </c>
      <c r="H31" s="11">
        <f>IFERROR(__xludf.DUMMYFUNCTION("GOOGLEFINANCE(""NSE:"" &amp;$A31,""closeyest"")"),738.8)</f>
        <v>738.8</v>
      </c>
      <c r="I31" s="12">
        <f>IFERROR(__xludf.DUMMYFUNCTION("GOOGLEFINANCE(""NSE:"" &amp;$A31,""change"")"),-16.8)</f>
        <v>-16.8</v>
      </c>
      <c r="J31" s="13">
        <f>IFERROR(__xludf.DUMMYFUNCTION("GOOGLEFINANCE(""NSE:"" &amp;$A31,""changepct"")/100"),-0.0227)</f>
        <v>-0.0227</v>
      </c>
      <c r="K31" s="14">
        <f>IFERROR(__xludf.DUMMYFUNCTION("GOOGLEFINANCE(""NSE:"" &amp;$A31,""volume"")"),1088115.0)</f>
        <v>1088115</v>
      </c>
      <c r="L31" s="13">
        <f>IFERROR(__xludf.DUMMYFUNCTION("$D31/INDEX(GOOGLEFINANCE($A31,""PRICE"",WORKDAY(TODAY(),-L$2)),2,2)-1"),-0.008854416912622787)</f>
        <v>-0.008854416913</v>
      </c>
      <c r="M31" s="13">
        <f>IFERROR(__xludf.DUMMYFUNCTION("$D31/INDEX(GOOGLEFINANCE($A31,""PRICE"",WORKDAY(TODAY(),-M$2)),2,2)-1"),-0.024456154573706312)</f>
        <v>-0.02445615457</v>
      </c>
      <c r="N31" s="11">
        <f>IFERROR(__xludf.DUMMYFUNCTION("average(INDEX(GOOGLEFINANCE($A31,""PRICE"",WORKDAY(TODAY(),-N$2),today()),,2))"),731.1125)</f>
        <v>731.1125</v>
      </c>
      <c r="O31" s="11">
        <f>IFERROR(__xludf.DUMMYFUNCTION("average(INDEX(GOOGLEFINANCE($A31,""PRICE"",WORKDAY(TODAY(),-O$2),today()),,2))"),732.4214285714286)</f>
        <v>732.4214286</v>
      </c>
      <c r="P31" s="15">
        <f>IFERROR(__xludf.DUMMYFUNCTION("GOOGLEFINANCE($A31,""marketcap"")"),3.337185802E11)</f>
        <v>333718580200</v>
      </c>
      <c r="Q31" s="16">
        <f>IFERROR(__xludf.DUMMYFUNCTION("IFERROR(GOOGLEFINANCE($A31,""pe""),""-"")"),31.88)</f>
        <v>31.88</v>
      </c>
      <c r="R31" s="16" t="b">
        <f t="shared" si="1"/>
        <v>0</v>
      </c>
      <c r="S31" s="16" t="b">
        <f t="shared" si="2"/>
        <v>0</v>
      </c>
    </row>
    <row r="32">
      <c r="A32" s="17" t="s">
        <v>54</v>
      </c>
      <c r="B32" s="10" t="str">
        <f>IFERROR(__xludf.DUMMYFUNCTION("GOOGLEFINANCE($A32,""name"")"),"Bharti Airtel Limited")</f>
        <v>Bharti Airtel Limited</v>
      </c>
      <c r="C32" s="10" t="str">
        <f>IFERROR(__xludf.DUMMYFUNCTION("sparkline(index(GOOGLEFINANCE($A32,""price"",workday(today(),-C$2),today()),,2),{""charttype"",""column"";""color"",""green""})"),"")</f>
        <v/>
      </c>
      <c r="D32" s="11">
        <f>IFERROR(__xludf.DUMMYFUNCTION("GOOGLEFINANCE(""NSE:"" &amp;$A32,""price"")"),736.9)</f>
        <v>736.9</v>
      </c>
      <c r="E32" s="11">
        <f>IFERROR(__xludf.DUMMYFUNCTION("GOOGLEFINANCE(""NSE:"" &amp;$A32,""priceopen"")"),731.0)</f>
        <v>731</v>
      </c>
      <c r="F32" s="11">
        <f>IFERROR(__xludf.DUMMYFUNCTION("GOOGLEFINANCE(""NSE:"" &amp;$A32,""high"")"),740.9)</f>
        <v>740.9</v>
      </c>
      <c r="G32" s="11">
        <f>IFERROR(__xludf.DUMMYFUNCTION("GOOGLEFINANCE(""NSE:"" &amp;$A32,""low"")"),729.0)</f>
        <v>729</v>
      </c>
      <c r="H32" s="11">
        <f>IFERROR(__xludf.DUMMYFUNCTION("GOOGLEFINANCE(""NSE:"" &amp;$A32,""closeyest"")"),735.75)</f>
        <v>735.75</v>
      </c>
      <c r="I32" s="12">
        <f>IFERROR(__xludf.DUMMYFUNCTION("GOOGLEFINANCE(""NSE:"" &amp;$A32,""change"")"),1.15)</f>
        <v>1.15</v>
      </c>
      <c r="J32" s="13">
        <f>IFERROR(__xludf.DUMMYFUNCTION("GOOGLEFINANCE(""NSE:"" &amp;$A32,""changepct"")/100"),0.0016)</f>
        <v>0.0016</v>
      </c>
      <c r="K32" s="14">
        <f>IFERROR(__xludf.DUMMYFUNCTION("GOOGLEFINANCE(""NSE:"" &amp;$A32,""volume"")"),5182247.0)</f>
        <v>5182247</v>
      </c>
      <c r="L32" s="13">
        <f>IFERROR(__xludf.DUMMYFUNCTION("$D32/INDEX(GOOGLEFINANCE($A32,""PRICE"",WORKDAY(TODAY(),-L$2)),2,2)-1"),0.010143934201507943)</f>
        <v>0.0101439342</v>
      </c>
      <c r="M32" s="13">
        <f>IFERROR(__xludf.DUMMYFUNCTION("$D32/INDEX(GOOGLEFINANCE($A32,""PRICE"",WORKDAY(TODAY(),-M$2)),2,2)-1"),-0.027900534265549726)</f>
        <v>-0.02790053427</v>
      </c>
      <c r="N32" s="11">
        <f>IFERROR(__xludf.DUMMYFUNCTION("average(INDEX(GOOGLEFINANCE($A32,""PRICE"",WORKDAY(TODAY(),-N$2),today()),,2))"),732.025)</f>
        <v>732.025</v>
      </c>
      <c r="O32" s="11">
        <f>IFERROR(__xludf.DUMMYFUNCTION("average(INDEX(GOOGLEFINANCE($A32,""PRICE"",WORKDAY(TODAY(),-O$2),today()),,2))"),738.35)</f>
        <v>738.35</v>
      </c>
      <c r="P32" s="15">
        <f>IFERROR(__xludf.DUMMYFUNCTION("GOOGLEFINANCE($A32,""marketcap"")"),4.149699166997E12)</f>
        <v>4149699166997</v>
      </c>
      <c r="Q32" s="16">
        <f>IFERROR(__xludf.DUMMYFUNCTION("IFERROR(GOOGLEFINANCE($A32,""pe""),""-"")"),137.02)</f>
        <v>137.02</v>
      </c>
      <c r="R32" s="16" t="b">
        <f t="shared" si="1"/>
        <v>0</v>
      </c>
      <c r="S32" s="16" t="b">
        <f t="shared" si="2"/>
        <v>0</v>
      </c>
    </row>
    <row r="33">
      <c r="A33" s="17" t="s">
        <v>55</v>
      </c>
      <c r="B33" s="10" t="str">
        <f>IFERROR(__xludf.DUMMYFUNCTION("GOOGLEFINANCE($A33,""name"")"),"Bharat Heavy Electricals Limited")</f>
        <v>Bharat Heavy Electricals Limited</v>
      </c>
      <c r="C33" s="10" t="str">
        <f>IFERROR(__xludf.DUMMYFUNCTION("sparkline(index(GOOGLEFINANCE($A33,""price"",workday(today(),-C$2),today()),,2),{""charttype"",""column"";""color"",""green""})"),"")</f>
        <v/>
      </c>
      <c r="D33" s="11">
        <f>IFERROR(__xludf.DUMMYFUNCTION("GOOGLEFINANCE(""NSE:"" &amp;$A33,""price"")"),53.9)</f>
        <v>53.9</v>
      </c>
      <c r="E33" s="11">
        <f>IFERROR(__xludf.DUMMYFUNCTION("GOOGLEFINANCE(""NSE:"" &amp;$A33,""priceopen"")"),54.45)</f>
        <v>54.45</v>
      </c>
      <c r="F33" s="11">
        <f>IFERROR(__xludf.DUMMYFUNCTION("GOOGLEFINANCE(""NSE:"" &amp;$A33,""high"")"),55.65)</f>
        <v>55.65</v>
      </c>
      <c r="G33" s="11">
        <f>IFERROR(__xludf.DUMMYFUNCTION("GOOGLEFINANCE(""NSE:"" &amp;$A33,""low"")"),53.8)</f>
        <v>53.8</v>
      </c>
      <c r="H33" s="11">
        <f>IFERROR(__xludf.DUMMYFUNCTION("GOOGLEFINANCE(""NSE:"" &amp;$A33,""closeyest"")"),54.7)</f>
        <v>54.7</v>
      </c>
      <c r="I33" s="12">
        <f>IFERROR(__xludf.DUMMYFUNCTION("GOOGLEFINANCE(""NSE:"" &amp;$A33,""change"")"),-0.8)</f>
        <v>-0.8</v>
      </c>
      <c r="J33" s="13">
        <f>IFERROR(__xludf.DUMMYFUNCTION("GOOGLEFINANCE(""NSE:"" &amp;$A33,""changepct"")/100"),-0.0146)</f>
        <v>-0.0146</v>
      </c>
      <c r="K33" s="14">
        <f>IFERROR(__xludf.DUMMYFUNCTION("GOOGLEFINANCE(""NSE:"" &amp;$A33,""volume"")"),2.180303E7)</f>
        <v>21803030</v>
      </c>
      <c r="L33" s="13">
        <f>IFERROR(__xludf.DUMMYFUNCTION("$D33/INDEX(GOOGLEFINANCE($A33,""PRICE"",WORKDAY(TODAY(),-L$2)),2,2)-1"),-0.009191176470588203)</f>
        <v>-0.009191176471</v>
      </c>
      <c r="M33" s="13" t="str">
        <f>IFERROR(__xludf.DUMMYFUNCTION("$D33/INDEX(GOOGLEFINANCE($A33,""PRICE"",WORKDAY(TODAY(),-M$2)),2,2)-1"),"#N/A")</f>
        <v>#N/A</v>
      </c>
      <c r="N33" s="11">
        <f>IFERROR(__xludf.DUMMYFUNCTION("average(INDEX(GOOGLEFINANCE($A33,""PRICE"",WORKDAY(TODAY(),-N$2),today()),,2))"),54.125)</f>
        <v>54.125</v>
      </c>
      <c r="O33" s="11">
        <f>IFERROR(__xludf.DUMMYFUNCTION("average(INDEX(GOOGLEFINANCE($A33,""PRICE"",WORKDAY(TODAY(),-O$2),today()),,2))"),54.721428571428575)</f>
        <v>54.72142857</v>
      </c>
      <c r="P33" s="15">
        <f>IFERROR(__xludf.DUMMYFUNCTION("GOOGLEFINANCE($A33,""marketcap"")"),1.86810725441E11)</f>
        <v>186810725441</v>
      </c>
      <c r="Q33" s="16" t="str">
        <f>IFERROR(__xludf.DUMMYFUNCTION("IFERROR(GOOGLEFINANCE($A33,""pe""),""-"")"),"-")</f>
        <v>-</v>
      </c>
      <c r="R33" s="16" t="b">
        <f t="shared" si="1"/>
        <v>0</v>
      </c>
      <c r="S33" s="16" t="b">
        <f t="shared" si="2"/>
        <v>0</v>
      </c>
    </row>
    <row r="34">
      <c r="A34" s="17" t="s">
        <v>56</v>
      </c>
      <c r="B34" s="10" t="str">
        <f>IFERROR(__xludf.DUMMYFUNCTION("GOOGLEFINANCE($A34,""name"")"),"Biocon Ltd")</f>
        <v>Biocon Ltd</v>
      </c>
      <c r="C34" s="10" t="str">
        <f>IFERROR(__xludf.DUMMYFUNCTION("sparkline(index(GOOGLEFINANCE($A34,""price"",workday(today(),-C$2),today()),,2),{""charttype"",""column"";""color"",""green""})"),"")</f>
        <v/>
      </c>
      <c r="D34" s="11">
        <f>IFERROR(__xludf.DUMMYFUNCTION("GOOGLEFINANCE(""NSE:"" &amp;$A34,""price"")"),374.95)</f>
        <v>374.95</v>
      </c>
      <c r="E34" s="11">
        <f>IFERROR(__xludf.DUMMYFUNCTION("GOOGLEFINANCE(""NSE:"" &amp;$A34,""priceopen"")"),373.9)</f>
        <v>373.9</v>
      </c>
      <c r="F34" s="11">
        <f>IFERROR(__xludf.DUMMYFUNCTION("GOOGLEFINANCE(""NSE:"" &amp;$A34,""high"")"),384.85)</f>
        <v>384.85</v>
      </c>
      <c r="G34" s="11">
        <f>IFERROR(__xludf.DUMMYFUNCTION("GOOGLEFINANCE(""NSE:"" &amp;$A34,""low"")"),368.15)</f>
        <v>368.15</v>
      </c>
      <c r="H34" s="11">
        <f>IFERROR(__xludf.DUMMYFUNCTION("GOOGLEFINANCE(""NSE:"" &amp;$A34,""closeyest"")"),373.95)</f>
        <v>373.95</v>
      </c>
      <c r="I34" s="12">
        <f>IFERROR(__xludf.DUMMYFUNCTION("GOOGLEFINANCE(""NSE:"" &amp;$A34,""change"")"),1.0)</f>
        <v>1</v>
      </c>
      <c r="J34" s="13">
        <f>IFERROR(__xludf.DUMMYFUNCTION("GOOGLEFINANCE(""NSE:"" &amp;$A34,""changepct"")/100"),0.0027)</f>
        <v>0.0027</v>
      </c>
      <c r="K34" s="14">
        <f>IFERROR(__xludf.DUMMYFUNCTION("GOOGLEFINANCE(""NSE:"" &amp;$A34,""volume"")"),7481010.0)</f>
        <v>7481010</v>
      </c>
      <c r="L34" s="13">
        <f>IFERROR(__xludf.DUMMYFUNCTION("$D34/INDEX(GOOGLEFINANCE($A34,""PRICE"",WORKDAY(TODAY(),-L$2)),2,2)-1"),0.09251165501165493)</f>
        <v>0.09251165501</v>
      </c>
      <c r="M34" s="13">
        <f>IFERROR(__xludf.DUMMYFUNCTION("$D34/INDEX(GOOGLEFINANCE($A34,""PRICE"",WORKDAY(TODAY(),-M$2)),2,2)-1"),0.06716948911341958)</f>
        <v>0.06716948911</v>
      </c>
      <c r="N34" s="11">
        <f>IFERROR(__xludf.DUMMYFUNCTION("average(INDEX(GOOGLEFINANCE($A34,""PRICE"",WORKDAY(TODAY(),-N$2),today()),,2))"),351.9125)</f>
        <v>351.9125</v>
      </c>
      <c r="O34" s="11">
        <f>IFERROR(__xludf.DUMMYFUNCTION("average(INDEX(GOOGLEFINANCE($A34,""PRICE"",WORKDAY(TODAY(),-O$2),today()),,2))"),351.2642857142857)</f>
        <v>351.2642857</v>
      </c>
      <c r="P34" s="15">
        <f>IFERROR(__xludf.DUMMYFUNCTION("GOOGLEFINANCE($A34,""marketcap"")"),4.2881945541E11)</f>
        <v>428819455410</v>
      </c>
      <c r="Q34" s="16">
        <f>IFERROR(__xludf.DUMMYFUNCTION("IFERROR(GOOGLEFINANCE($A34,""pe""),""-"")"),67.56)</f>
        <v>67.56</v>
      </c>
      <c r="R34" s="16" t="b">
        <f t="shared" si="1"/>
        <v>0</v>
      </c>
      <c r="S34" s="16" t="b">
        <f t="shared" si="2"/>
        <v>0</v>
      </c>
    </row>
    <row r="35">
      <c r="A35" s="17" t="s">
        <v>57</v>
      </c>
      <c r="B35" s="10" t="str">
        <f>IFERROR(__xludf.DUMMYFUNCTION("GOOGLEFINANCE($A35,""name"")"),"Bosch Ltd")</f>
        <v>Bosch Ltd</v>
      </c>
      <c r="C35" s="10" t="str">
        <f>IFERROR(__xludf.DUMMYFUNCTION("sparkline(index(GOOGLEFINANCE($A35,""price"",workday(today(),-C$2),today()),,2),{""charttype"",""column"";""color"",""green""})"),"")</f>
        <v/>
      </c>
      <c r="D35" s="11">
        <f>IFERROR(__xludf.DUMMYFUNCTION("GOOGLEFINANCE(""NSE:"" &amp;$A35,""price"")"),14480.0)</f>
        <v>14480</v>
      </c>
      <c r="E35" s="11">
        <f>IFERROR(__xludf.DUMMYFUNCTION("GOOGLEFINANCE(""NSE:"" &amp;$A35,""priceopen"")"),14590.0)</f>
        <v>14590</v>
      </c>
      <c r="F35" s="11">
        <f>IFERROR(__xludf.DUMMYFUNCTION("GOOGLEFINANCE(""NSE:"" &amp;$A35,""high"")"),14629.95)</f>
        <v>14629.95</v>
      </c>
      <c r="G35" s="11">
        <f>IFERROR(__xludf.DUMMYFUNCTION("GOOGLEFINANCE(""NSE:"" &amp;$A35,""low"")"),14452.5)</f>
        <v>14452.5</v>
      </c>
      <c r="H35" s="11">
        <f>IFERROR(__xludf.DUMMYFUNCTION("GOOGLEFINANCE(""NSE:"" &amp;$A35,""closeyest"")"),14637.45)</f>
        <v>14637.45</v>
      </c>
      <c r="I35" s="12">
        <f>IFERROR(__xludf.DUMMYFUNCTION("GOOGLEFINANCE(""NSE:"" &amp;$A35,""change"")"),-157.45)</f>
        <v>-157.45</v>
      </c>
      <c r="J35" s="13">
        <f>IFERROR(__xludf.DUMMYFUNCTION("GOOGLEFINANCE(""NSE:"" &amp;$A35,""changepct"")/100"),-0.0108)</f>
        <v>-0.0108</v>
      </c>
      <c r="K35" s="14">
        <f>IFERROR(__xludf.DUMMYFUNCTION("GOOGLEFINANCE(""NSE:"" &amp;$A35,""volume"")"),8985.0)</f>
        <v>8985</v>
      </c>
      <c r="L35" s="13">
        <f>IFERROR(__xludf.DUMMYFUNCTION("$D35/INDEX(GOOGLEFINANCE($A35,""PRICE"",WORKDAY(TODAY(),-L$2)),2,2)-1"),-0.0063953009634123426)</f>
        <v>-0.006395300963</v>
      </c>
      <c r="M35" s="13">
        <f>IFERROR(__xludf.DUMMYFUNCTION("$D35/INDEX(GOOGLEFINANCE($A35,""PRICE"",WORKDAY(TODAY(),-M$2)),2,2)-1"),-0.031839638410826376)</f>
        <v>-0.03183963841</v>
      </c>
      <c r="N35" s="11">
        <f>IFERROR(__xludf.DUMMYFUNCTION("average(INDEX(GOOGLEFINANCE($A35,""PRICE"",WORKDAY(TODAY(),-N$2),today()),,2))"),14427.375)</f>
        <v>14427.375</v>
      </c>
      <c r="O35" s="11" t="str">
        <f>IFERROR(__xludf.DUMMYFUNCTION("average(INDEX(GOOGLEFINANCE($A35,""PRICE"",WORKDAY(TODAY(),-O$2),today()),,2))"),"#N/A")</f>
        <v>#N/A</v>
      </c>
      <c r="P35" s="15">
        <f>IFERROR(__xludf.DUMMYFUNCTION("GOOGLEFINANCE($A35,""marketcap"")"),4.20057587302E11)</f>
        <v>420057587302</v>
      </c>
      <c r="Q35" s="16">
        <f>IFERROR(__xludf.DUMMYFUNCTION("IFERROR(GOOGLEFINANCE($A35,""pe""),""-"")"),31.61)</f>
        <v>31.61</v>
      </c>
      <c r="R35" s="16" t="b">
        <f t="shared" si="1"/>
        <v>0</v>
      </c>
      <c r="S35" s="16" t="b">
        <f t="shared" si="2"/>
        <v>0</v>
      </c>
    </row>
    <row r="36">
      <c r="A36" s="17" t="s">
        <v>58</v>
      </c>
      <c r="B36" s="10" t="str">
        <f>IFERROR(__xludf.DUMMYFUNCTION("GOOGLEFINANCE($A36,""name"")"),"Bharat Petroleum Corp Ltd")</f>
        <v>Bharat Petroleum Corp Ltd</v>
      </c>
      <c r="C36" s="10" t="str">
        <f>IFERROR(__xludf.DUMMYFUNCTION("sparkline(index(GOOGLEFINANCE($A36,""price"",workday(today(),-C$2),today()),,2),{""charttype"",""column"";""color"",""green""})"),"")</f>
        <v/>
      </c>
      <c r="D36" s="11">
        <f>IFERROR(__xludf.DUMMYFUNCTION("GOOGLEFINANCE(""NSE:"" &amp;$A36,""price"")"),393.85)</f>
        <v>393.85</v>
      </c>
      <c r="E36" s="11">
        <f>IFERROR(__xludf.DUMMYFUNCTION("GOOGLEFINANCE(""NSE:"" &amp;$A36,""priceopen"")"),395.0)</f>
        <v>395</v>
      </c>
      <c r="F36" s="11">
        <f>IFERROR(__xludf.DUMMYFUNCTION("GOOGLEFINANCE(""NSE:"" &amp;$A36,""high"")"),397.25)</f>
        <v>397.25</v>
      </c>
      <c r="G36" s="11">
        <f>IFERROR(__xludf.DUMMYFUNCTION("GOOGLEFINANCE(""NSE:"" &amp;$A36,""low"")"),391.5)</f>
        <v>391.5</v>
      </c>
      <c r="H36" s="11">
        <f>IFERROR(__xludf.DUMMYFUNCTION("GOOGLEFINANCE(""NSE:"" &amp;$A36,""closeyest"")"),397.7)</f>
        <v>397.7</v>
      </c>
      <c r="I36" s="12">
        <f>IFERROR(__xludf.DUMMYFUNCTION("GOOGLEFINANCE(""NSE:"" &amp;$A36,""change"")"),-3.85)</f>
        <v>-3.85</v>
      </c>
      <c r="J36" s="13">
        <f>IFERROR(__xludf.DUMMYFUNCTION("GOOGLEFINANCE(""NSE:"" &amp;$A36,""changepct"")/100"),-0.0097)</f>
        <v>-0.0097</v>
      </c>
      <c r="K36" s="14">
        <f>IFERROR(__xludf.DUMMYFUNCTION("GOOGLEFINANCE(""NSE:"" &amp;$A36,""volume"")"),4410739.0)</f>
        <v>4410739</v>
      </c>
      <c r="L36" s="13" t="str">
        <f>IFERROR(__xludf.DUMMYFUNCTION("$D36/INDEX(GOOGLEFINANCE($A36,""PRICE"",WORKDAY(TODAY(),-L$2)),2,2)-1"),"#N/A")</f>
        <v>#N/A</v>
      </c>
      <c r="M36" s="13">
        <f>IFERROR(__xludf.DUMMYFUNCTION("$D36/INDEX(GOOGLEFINANCE($A36,""PRICE"",WORKDAY(TODAY(),-M$2)),2,2)-1"),0.014162482296897094)</f>
        <v>0.0141624823</v>
      </c>
      <c r="N36" s="11">
        <f>IFERROR(__xludf.DUMMYFUNCTION("average(INDEX(GOOGLEFINANCE($A36,""PRICE"",WORKDAY(TODAY(),-N$2),today()),,2))"),383.8125)</f>
        <v>383.8125</v>
      </c>
      <c r="O36" s="11">
        <f>IFERROR(__xludf.DUMMYFUNCTION("average(INDEX(GOOGLEFINANCE($A36,""PRICE"",WORKDAY(TODAY(),-O$2),today()),,2))"),383.3142857142857)</f>
        <v>383.3142857</v>
      </c>
      <c r="P36" s="15">
        <f>IFERROR(__xludf.DUMMYFUNCTION("GOOGLEFINANCE($A36,""marketcap"")"),8.20872422821E11)</f>
        <v>820872422821</v>
      </c>
      <c r="Q36" s="16">
        <f>IFERROR(__xludf.DUMMYFUNCTION("IFERROR(GOOGLEFINANCE($A36,""pe""),""-"")"),4.24)</f>
        <v>4.24</v>
      </c>
      <c r="R36" s="16" t="b">
        <f t="shared" si="1"/>
        <v>0</v>
      </c>
      <c r="S36" s="16" t="b">
        <f t="shared" si="2"/>
        <v>0</v>
      </c>
    </row>
    <row r="37">
      <c r="A37" s="17" t="s">
        <v>59</v>
      </c>
      <c r="B37" s="10" t="str">
        <f>IFERROR(__xludf.DUMMYFUNCTION("GOOGLEFINANCE($A37,""name"")"),"Britannia Industries Ltd")</f>
        <v>Britannia Industries Ltd</v>
      </c>
      <c r="C37" s="10" t="str">
        <f>IFERROR(__xludf.DUMMYFUNCTION("sparkline(index(GOOGLEFINANCE($A37,""price"",workday(today(),-C$2),today()),,2),{""charttype"",""column"";""color"",""green""})"),"")</f>
        <v/>
      </c>
      <c r="D37" s="11">
        <f>IFERROR(__xludf.DUMMYFUNCTION("GOOGLEFINANCE(""NSE:"" &amp;$A37,""price"")"),3363.0)</f>
        <v>3363</v>
      </c>
      <c r="E37" s="11">
        <f>IFERROR(__xludf.DUMMYFUNCTION("GOOGLEFINANCE(""NSE:"" &amp;$A37,""priceopen"")"),3341.3)</f>
        <v>3341.3</v>
      </c>
      <c r="F37" s="11">
        <f>IFERROR(__xludf.DUMMYFUNCTION("GOOGLEFINANCE(""NSE:"" &amp;$A37,""high"")"),3377.5)</f>
        <v>3377.5</v>
      </c>
      <c r="G37" s="11">
        <f>IFERROR(__xludf.DUMMYFUNCTION("GOOGLEFINANCE(""NSE:"" &amp;$A37,""low"")"),3325.0)</f>
        <v>3325</v>
      </c>
      <c r="H37" s="11">
        <f>IFERROR(__xludf.DUMMYFUNCTION("GOOGLEFINANCE(""NSE:"" &amp;$A37,""closeyest"")"),3359.9)</f>
        <v>3359.9</v>
      </c>
      <c r="I37" s="12">
        <f>IFERROR(__xludf.DUMMYFUNCTION("GOOGLEFINANCE(""NSE:"" &amp;$A37,""change"")"),3.1)</f>
        <v>3.1</v>
      </c>
      <c r="J37" s="13">
        <f>IFERROR(__xludf.DUMMYFUNCTION("GOOGLEFINANCE(""NSE:"" &amp;$A37,""changepct"")/100"),9.0E-4)</f>
        <v>0.0009</v>
      </c>
      <c r="K37" s="14">
        <f>IFERROR(__xludf.DUMMYFUNCTION("GOOGLEFINANCE(""NSE:"" &amp;$A37,""volume"")"),148494.0)</f>
        <v>148494</v>
      </c>
      <c r="L37" s="13">
        <f>IFERROR(__xludf.DUMMYFUNCTION("$D37/INDEX(GOOGLEFINANCE($A37,""PRICE"",WORKDAY(TODAY(),-L$2)),2,2)-1"),0.005711893298244508)</f>
        <v>0.005711893298</v>
      </c>
      <c r="M37" s="13">
        <f>IFERROR(__xludf.DUMMYFUNCTION("$D37/INDEX(GOOGLEFINANCE($A37,""PRICE"",WORKDAY(TODAY(),-M$2)),2,2)-1"),0.003685851998865841)</f>
        <v>0.003685851999</v>
      </c>
      <c r="N37" s="11">
        <f>IFERROR(__xludf.DUMMYFUNCTION("average(INDEX(GOOGLEFINANCE($A37,""PRICE"",WORKDAY(TODAY(),-N$2),today()),,2))"),3318.975)</f>
        <v>3318.975</v>
      </c>
      <c r="O37" s="11" t="str">
        <f>IFERROR(__xludf.DUMMYFUNCTION("average(INDEX(GOOGLEFINANCE($A37,""PRICE"",WORKDAY(TODAY(),-O$2),today()),,2))"),"#N/A")</f>
        <v>#N/A</v>
      </c>
      <c r="P37" s="15">
        <f>IFERROR(__xludf.DUMMYFUNCTION("GOOGLEFINANCE($A37,""marketcap"")"),8.011409223E11)</f>
        <v>801140922300</v>
      </c>
      <c r="Q37" s="16">
        <f>IFERROR(__xludf.DUMMYFUNCTION("IFERROR(GOOGLEFINANCE($A37,""pe""),""-"")"),53.68)</f>
        <v>53.68</v>
      </c>
      <c r="R37" s="16" t="b">
        <f t="shared" si="1"/>
        <v>0</v>
      </c>
      <c r="S37" s="16" t="b">
        <f t="shared" si="2"/>
        <v>0</v>
      </c>
    </row>
    <row r="38">
      <c r="A38" s="17" t="s">
        <v>60</v>
      </c>
      <c r="B38" s="10" t="str">
        <f>IFERROR(__xludf.DUMMYFUNCTION("GOOGLEFINANCE($A38,""name"")"),"#N/A")</f>
        <v>#N/A</v>
      </c>
      <c r="C38" s="10" t="str">
        <f>IFERROR(__xludf.DUMMYFUNCTION("sparkline(index(GOOGLEFINANCE($A38,""price"",workday(today(),-C$2),today()),,2),{""charttype"",""column"";""color"",""green""})"),"#N/A")</f>
        <v>#N/A</v>
      </c>
      <c r="D38" s="11" t="str">
        <f>IFERROR(__xludf.DUMMYFUNCTION("GOOGLEFINANCE(""NSE:"" &amp;$A38,""price"")"),"#N/A")</f>
        <v>#N/A</v>
      </c>
      <c r="E38" s="11" t="str">
        <f>IFERROR(__xludf.DUMMYFUNCTION("GOOGLEFINANCE(""NSE:"" &amp;$A38,""priceopen"")"),"#N/A")</f>
        <v>#N/A</v>
      </c>
      <c r="F38" s="11" t="str">
        <f>IFERROR(__xludf.DUMMYFUNCTION("GOOGLEFINANCE(""NSE:"" &amp;$A38,""high"")"),"#N/A")</f>
        <v>#N/A</v>
      </c>
      <c r="G38" s="11" t="str">
        <f>IFERROR(__xludf.DUMMYFUNCTION("GOOGLEFINANCE(""NSE:"" &amp;$A38,""low"")"),"#N/A")</f>
        <v>#N/A</v>
      </c>
      <c r="H38" s="11" t="str">
        <f>IFERROR(__xludf.DUMMYFUNCTION("GOOGLEFINANCE(""NSE:"" &amp;$A38,""closeyest"")"),"#N/A")</f>
        <v>#N/A</v>
      </c>
      <c r="I38" s="12" t="str">
        <f>IFERROR(__xludf.DUMMYFUNCTION("GOOGLEFINANCE(""NSE:"" &amp;$A38,""change"")"),"#N/A")</f>
        <v>#N/A</v>
      </c>
      <c r="J38" s="13" t="str">
        <f>IFERROR(__xludf.DUMMYFUNCTION("GOOGLEFINANCE(""NSE:"" &amp;$A38,""changepct"")/100"),"#N/A")</f>
        <v>#N/A</v>
      </c>
      <c r="K38" s="14" t="str">
        <f>IFERROR(__xludf.DUMMYFUNCTION("GOOGLEFINANCE(""NSE:"" &amp;$A38,""volume"")"),"#N/A")</f>
        <v>#N/A</v>
      </c>
      <c r="L38" s="13" t="str">
        <f>IFERROR(__xludf.DUMMYFUNCTION("$D38/INDEX(GOOGLEFINANCE($A38,""PRICE"",WORKDAY(TODAY(),-L$2)),2,2)-1"),"#N/A")</f>
        <v>#N/A</v>
      </c>
      <c r="M38" s="13" t="str">
        <f>IFERROR(__xludf.DUMMYFUNCTION("$D38/INDEX(GOOGLEFINANCE($A38,""PRICE"",WORKDAY(TODAY(),-M$2)),2,2)-1"),"#N/A")</f>
        <v>#N/A</v>
      </c>
      <c r="N38" s="11" t="str">
        <f>IFERROR(__xludf.DUMMYFUNCTION("average(INDEX(GOOGLEFINANCE($A38,""PRICE"",WORKDAY(TODAY(),-N$2),today()),,2))"),"#N/A")</f>
        <v>#N/A</v>
      </c>
      <c r="O38" s="11" t="str">
        <f>IFERROR(__xludf.DUMMYFUNCTION("average(INDEX(GOOGLEFINANCE($A38,""PRICE"",WORKDAY(TODAY(),-O$2),today()),,2))"),"#N/A")</f>
        <v>#N/A</v>
      </c>
      <c r="P38" s="15" t="str">
        <f>IFERROR(__xludf.DUMMYFUNCTION("GOOGLEFINANCE($A38,""marketcap"")"),"#N/A")</f>
        <v>#N/A</v>
      </c>
      <c r="Q38" s="16" t="str">
        <f>IFERROR(__xludf.DUMMYFUNCTION("IFERROR(GOOGLEFINANCE($A38,""pe""),""-"")"),"-")</f>
        <v>-</v>
      </c>
      <c r="R38" s="16" t="str">
        <f t="shared" si="1"/>
        <v>#N/A</v>
      </c>
      <c r="S38" s="16" t="str">
        <f t="shared" si="2"/>
        <v>#N/A</v>
      </c>
    </row>
    <row r="39">
      <c r="A39" s="17" t="s">
        <v>61</v>
      </c>
      <c r="B39" s="10" t="str">
        <f>IFERROR(__xludf.DUMMYFUNCTION("GOOGLEFINANCE($A39,""name"")"),"Canara Bank Ltd")</f>
        <v>Canara Bank Ltd</v>
      </c>
      <c r="C39" s="10" t="str">
        <f>IFERROR(__xludf.DUMMYFUNCTION("sparkline(index(GOOGLEFINANCE($A39,""price"",workday(today(),-C$2),today()),,2),{""charttype"",""column"";""color"",""green""})"),"")</f>
        <v/>
      </c>
      <c r="D39" s="11">
        <f>IFERROR(__xludf.DUMMYFUNCTION("GOOGLEFINANCE(""NSE:"" &amp;$A39,""price"")"),233.45)</f>
        <v>233.45</v>
      </c>
      <c r="E39" s="11">
        <f>IFERROR(__xludf.DUMMYFUNCTION("GOOGLEFINANCE(""NSE:"" &amp;$A39,""priceopen"")"),235.0)</f>
        <v>235</v>
      </c>
      <c r="F39" s="11">
        <f>IFERROR(__xludf.DUMMYFUNCTION("GOOGLEFINANCE(""NSE:"" &amp;$A39,""high"")"),237.7)</f>
        <v>237.7</v>
      </c>
      <c r="G39" s="11">
        <f>IFERROR(__xludf.DUMMYFUNCTION("GOOGLEFINANCE(""NSE:"" &amp;$A39,""low"")"),232.8)</f>
        <v>232.8</v>
      </c>
      <c r="H39" s="11">
        <f>IFERROR(__xludf.DUMMYFUNCTION("GOOGLEFINANCE(""NSE:"" &amp;$A39,""closeyest"")"),238.0)</f>
        <v>238</v>
      </c>
      <c r="I39" s="12">
        <f>IFERROR(__xludf.DUMMYFUNCTION("GOOGLEFINANCE(""NSE:"" &amp;$A39,""change"")"),-4.55)</f>
        <v>-4.55</v>
      </c>
      <c r="J39" s="13">
        <f>IFERROR(__xludf.DUMMYFUNCTION("GOOGLEFINANCE(""NSE:"" &amp;$A39,""changepct"")/100"),-0.0191)</f>
        <v>-0.0191</v>
      </c>
      <c r="K39" s="14">
        <f>IFERROR(__xludf.DUMMYFUNCTION("GOOGLEFINANCE(""NSE:"" &amp;$A39,""volume"")"),4214287.0)</f>
        <v>4214287</v>
      </c>
      <c r="L39" s="13">
        <f>IFERROR(__xludf.DUMMYFUNCTION("$D39/INDEX(GOOGLEFINANCE($A39,""PRICE"",WORKDAY(TODAY(),-L$2)),2,2)-1"),-0.0036278275714896058)</f>
        <v>-0.003627827571</v>
      </c>
      <c r="M39" s="13" t="str">
        <f>IFERROR(__xludf.DUMMYFUNCTION("$D39/INDEX(GOOGLEFINANCE($A39,""PRICE"",WORKDAY(TODAY(),-M$2)),2,2)-1"),"#N/A")</f>
        <v>#N/A</v>
      </c>
      <c r="N39" s="11">
        <f>IFERROR(__xludf.DUMMYFUNCTION("average(INDEX(GOOGLEFINANCE($A39,""PRICE"",WORKDAY(TODAY(),-N$2),today()),,2))"),235.01250000000002)</f>
        <v>235.0125</v>
      </c>
      <c r="O39" s="11">
        <f>IFERROR(__xludf.DUMMYFUNCTION("average(INDEX(GOOGLEFINANCE($A39,""PRICE"",WORKDAY(TODAY(),-O$2),today()),,2))"),238.60714285714286)</f>
        <v>238.6071429</v>
      </c>
      <c r="P39" s="15">
        <f>IFERROR(__xludf.DUMMYFUNCTION("GOOGLEFINANCE($A39,""marketcap"")"),4.265083545E11)</f>
        <v>426508354500</v>
      </c>
      <c r="Q39" s="16">
        <f>IFERROR(__xludf.DUMMYFUNCTION("IFERROR(GOOGLEFINANCE($A39,""pe""),""-"")"),7.4)</f>
        <v>7.4</v>
      </c>
      <c r="R39" s="16" t="b">
        <f t="shared" si="1"/>
        <v>0</v>
      </c>
      <c r="S39" s="16" t="b">
        <f t="shared" si="2"/>
        <v>0</v>
      </c>
    </row>
    <row r="40">
      <c r="A40" s="17" t="s">
        <v>62</v>
      </c>
      <c r="B40" s="10" t="str">
        <f>IFERROR(__xludf.DUMMYFUNCTION("GOOGLEFINANCE($A40,""name"")"),"Can Fin Homes Ltd")</f>
        <v>Can Fin Homes Ltd</v>
      </c>
      <c r="C40" s="10" t="str">
        <f>IFERROR(__xludf.DUMMYFUNCTION("sparkline(index(GOOGLEFINANCE($A40,""price"",workday(today(),-C$2),today()),,2),{""charttype"",""column"";""color"",""green""})"),"")</f>
        <v/>
      </c>
      <c r="D40" s="11">
        <f>IFERROR(__xludf.DUMMYFUNCTION("GOOGLEFINANCE(""NSE:"" &amp;$A40,""price"")"),634.9)</f>
        <v>634.9</v>
      </c>
      <c r="E40" s="11">
        <f>IFERROR(__xludf.DUMMYFUNCTION("GOOGLEFINANCE(""NSE:"" &amp;$A40,""priceopen"")"),635.0)</f>
        <v>635</v>
      </c>
      <c r="F40" s="11">
        <f>IFERROR(__xludf.DUMMYFUNCTION("GOOGLEFINANCE(""NSE:"" &amp;$A40,""high"")"),644.45)</f>
        <v>644.45</v>
      </c>
      <c r="G40" s="11">
        <f>IFERROR(__xludf.DUMMYFUNCTION("GOOGLEFINANCE(""NSE:"" &amp;$A40,""low"")"),627.0)</f>
        <v>627</v>
      </c>
      <c r="H40" s="11">
        <f>IFERROR(__xludf.DUMMYFUNCTION("GOOGLEFINANCE(""NSE:"" &amp;$A40,""closeyest"")"),638.0)</f>
        <v>638</v>
      </c>
      <c r="I40" s="12">
        <f>IFERROR(__xludf.DUMMYFUNCTION("GOOGLEFINANCE(""NSE:"" &amp;$A40,""change"")"),-3.1)</f>
        <v>-3.1</v>
      </c>
      <c r="J40" s="13">
        <f>IFERROR(__xludf.DUMMYFUNCTION("GOOGLEFINANCE(""NSE:"" &amp;$A40,""changepct"")/100"),-0.0049)</f>
        <v>-0.0049</v>
      </c>
      <c r="K40" s="14">
        <f>IFERROR(__xludf.DUMMYFUNCTION("GOOGLEFINANCE(""NSE:"" &amp;$A40,""volume"")"),248365.0)</f>
        <v>248365</v>
      </c>
      <c r="L40" s="13">
        <f>IFERROR(__xludf.DUMMYFUNCTION("$D40/INDEX(GOOGLEFINANCE($A40,""PRICE"",WORKDAY(TODAY(),-L$2)),2,2)-1"),0.013812375249500963)</f>
        <v>0.01381237525</v>
      </c>
      <c r="M40" s="13">
        <f>IFERROR(__xludf.DUMMYFUNCTION("$D40/INDEX(GOOGLEFINANCE($A40,""PRICE"",WORKDAY(TODAY(),-M$2)),2,2)-1"),-0.042671893848009734)</f>
        <v>-0.04267189385</v>
      </c>
      <c r="N40" s="11">
        <f>IFERROR(__xludf.DUMMYFUNCTION("average(INDEX(GOOGLEFINANCE($A40,""PRICE"",WORKDAY(TODAY(),-N$2),today()),,2))"),630.5875)</f>
        <v>630.5875</v>
      </c>
      <c r="O40" s="11">
        <f>IFERROR(__xludf.DUMMYFUNCTION("average(INDEX(GOOGLEFINANCE($A40,""PRICE"",WORKDAY(TODAY(),-O$2),today()),,2))"),639.1357142857142)</f>
        <v>639.1357143</v>
      </c>
      <c r="P40" s="15">
        <f>IFERROR(__xludf.DUMMYFUNCTION("GOOGLEFINANCE($A40,""marketcap"")"),8.2206855161E10)</f>
        <v>82206855161</v>
      </c>
      <c r="Q40" s="16">
        <f>IFERROR(__xludf.DUMMYFUNCTION("IFERROR(GOOGLEFINANCE($A40,""pe""),""-"")"),18.76)</f>
        <v>18.76</v>
      </c>
      <c r="R40" s="16" t="b">
        <f t="shared" si="1"/>
        <v>0</v>
      </c>
      <c r="S40" s="16" t="b">
        <f t="shared" si="2"/>
        <v>0</v>
      </c>
    </row>
    <row r="41">
      <c r="A41" s="17" t="s">
        <v>63</v>
      </c>
      <c r="B41" s="10" t="str">
        <f>IFERROR(__xludf.DUMMYFUNCTION("GOOGLEFINANCE($A41,""name"")"),"Cholamandalam Investment and Fin Co Ltd")</f>
        <v>Cholamandalam Investment and Fin Co Ltd</v>
      </c>
      <c r="C41" s="10" t="str">
        <f>IFERROR(__xludf.DUMMYFUNCTION("sparkline(index(GOOGLEFINANCE($A41,""price"",workday(today(),-C$2),today()),,2),{""charttype"",""column"";""color"",""green""})"),"")</f>
        <v/>
      </c>
      <c r="D41" s="11">
        <f>IFERROR(__xludf.DUMMYFUNCTION("GOOGLEFINANCE(""NSE:"" &amp;$A41,""price"")"),716.0)</f>
        <v>716</v>
      </c>
      <c r="E41" s="11">
        <f>IFERROR(__xludf.DUMMYFUNCTION("GOOGLEFINANCE(""NSE:"" &amp;$A41,""priceopen"")"),719.8)</f>
        <v>719.8</v>
      </c>
      <c r="F41" s="11">
        <f>IFERROR(__xludf.DUMMYFUNCTION("GOOGLEFINANCE(""NSE:"" &amp;$A41,""high"")"),720.4)</f>
        <v>720.4</v>
      </c>
      <c r="G41" s="11">
        <f>IFERROR(__xludf.DUMMYFUNCTION("GOOGLEFINANCE(""NSE:"" &amp;$A41,""low"")"),705.75)</f>
        <v>705.75</v>
      </c>
      <c r="H41" s="11">
        <f>IFERROR(__xludf.DUMMYFUNCTION("GOOGLEFINANCE(""NSE:"" &amp;$A41,""closeyest"")"),720.55)</f>
        <v>720.55</v>
      </c>
      <c r="I41" s="12">
        <f>IFERROR(__xludf.DUMMYFUNCTION("GOOGLEFINANCE(""NSE:"" &amp;$A41,""change"")"),-4.55)</f>
        <v>-4.55</v>
      </c>
      <c r="J41" s="13">
        <f>IFERROR(__xludf.DUMMYFUNCTION("GOOGLEFINANCE(""NSE:"" &amp;$A41,""changepct"")/100"),-0.0063)</f>
        <v>-0.0063</v>
      </c>
      <c r="K41" s="14">
        <f>IFERROR(__xludf.DUMMYFUNCTION("GOOGLEFINANCE(""NSE:"" &amp;$A41,""volume"")"),1439751.0)</f>
        <v>1439751</v>
      </c>
      <c r="L41" s="13">
        <f>IFERROR(__xludf.DUMMYFUNCTION("$D41/INDEX(GOOGLEFINANCE($A41,""PRICE"",WORKDAY(TODAY(),-L$2)),2,2)-1"),-0.0122094226391668)</f>
        <v>-0.01220942264</v>
      </c>
      <c r="M41" s="13" t="str">
        <f>IFERROR(__xludf.DUMMYFUNCTION("$D41/INDEX(GOOGLEFINANCE($A41,""PRICE"",WORKDAY(TODAY(),-M$2)),2,2)-1"),"#N/A")</f>
        <v>#N/A</v>
      </c>
      <c r="N41" s="11" t="str">
        <f>IFERROR(__xludf.DUMMYFUNCTION("average(INDEX(GOOGLEFINANCE($A41,""PRICE"",WORKDAY(TODAY(),-N$2),today()),,2))"),"#N/A")</f>
        <v>#N/A</v>
      </c>
      <c r="O41" s="11">
        <f>IFERROR(__xludf.DUMMYFUNCTION("average(INDEX(GOOGLEFINANCE($A41,""PRICE"",WORKDAY(TODAY(),-O$2),today()),,2))"),729.6000000000001)</f>
        <v>729.6</v>
      </c>
      <c r="P41" s="15">
        <f>IFERROR(__xludf.DUMMYFUNCTION("GOOGLEFINANCE($A41,""marketcap"")"),6.080793138E11)</f>
        <v>608079313800</v>
      </c>
      <c r="Q41" s="16">
        <f>IFERROR(__xludf.DUMMYFUNCTION("IFERROR(GOOGLEFINANCE($A41,""pe""),""-"")"),34.38)</f>
        <v>34.38</v>
      </c>
      <c r="R41" s="16" t="b">
        <f t="shared" si="1"/>
        <v>0</v>
      </c>
      <c r="S41" s="16" t="b">
        <f t="shared" si="2"/>
        <v>0</v>
      </c>
    </row>
    <row r="42">
      <c r="A42" s="17" t="s">
        <v>64</v>
      </c>
      <c r="B42" s="10" t="str">
        <f>IFERROR(__xludf.DUMMYFUNCTION("GOOGLEFINANCE($A42,""name"")"),"Cipla Ltd")</f>
        <v>Cipla Ltd</v>
      </c>
      <c r="C42" s="10" t="str">
        <f>IFERROR(__xludf.DUMMYFUNCTION("sparkline(index(GOOGLEFINANCE($A42,""price"",workday(today(),-C$2),today()),,2),{""charttype"",""column"";""color"",""green""})"),"")</f>
        <v/>
      </c>
      <c r="D42" s="11">
        <f>IFERROR(__xludf.DUMMYFUNCTION("GOOGLEFINANCE(""NSE:"" &amp;$A42,""price"")"),969.0)</f>
        <v>969</v>
      </c>
      <c r="E42" s="11">
        <f>IFERROR(__xludf.DUMMYFUNCTION("GOOGLEFINANCE(""NSE:"" &amp;$A42,""priceopen"")"),998.0)</f>
        <v>998</v>
      </c>
      <c r="F42" s="11">
        <f>IFERROR(__xludf.DUMMYFUNCTION("GOOGLEFINANCE(""NSE:"" &amp;$A42,""high"")"),998.55)</f>
        <v>998.55</v>
      </c>
      <c r="G42" s="11">
        <f>IFERROR(__xludf.DUMMYFUNCTION("GOOGLEFINANCE(""NSE:"" &amp;$A42,""low"")"),959.0)</f>
        <v>959</v>
      </c>
      <c r="H42" s="11">
        <f>IFERROR(__xludf.DUMMYFUNCTION("GOOGLEFINANCE(""NSE:"" &amp;$A42,""closeyest"")"),998.55)</f>
        <v>998.55</v>
      </c>
      <c r="I42" s="12">
        <f>IFERROR(__xludf.DUMMYFUNCTION("GOOGLEFINANCE(""NSE:"" &amp;$A42,""change"")"),-29.55)</f>
        <v>-29.55</v>
      </c>
      <c r="J42" s="13">
        <f>IFERROR(__xludf.DUMMYFUNCTION("GOOGLEFINANCE(""NSE:"" &amp;$A42,""changepct"")/100"),-0.0296)</f>
        <v>-0.0296</v>
      </c>
      <c r="K42" s="14">
        <f>IFERROR(__xludf.DUMMYFUNCTION("GOOGLEFINANCE(""NSE:"" &amp;$A42,""volume"")"),2455188.0)</f>
        <v>2455188</v>
      </c>
      <c r="L42" s="13">
        <f>IFERROR(__xludf.DUMMYFUNCTION("$D42/INDEX(GOOGLEFINANCE($A42,""PRICE"",WORKDAY(TODAY(),-L$2)),2,2)-1"),-0.05725543610448991)</f>
        <v>-0.0572554361</v>
      </c>
      <c r="M42" s="13">
        <f>IFERROR(__xludf.DUMMYFUNCTION("$D42/INDEX(GOOGLEFINANCE($A42,""PRICE"",WORKDAY(TODAY(),-M$2)),2,2)-1"),-0.05509507557289128)</f>
        <v>-0.05509507557</v>
      </c>
      <c r="N42" s="11">
        <f>IFERROR(__xludf.DUMMYFUNCTION("average(INDEX(GOOGLEFINANCE($A42,""PRICE"",WORKDAY(TODAY(),-N$2),today()),,2))"),1009.6875)</f>
        <v>1009.6875</v>
      </c>
      <c r="O42" s="11">
        <f>IFERROR(__xludf.DUMMYFUNCTION("average(INDEX(GOOGLEFINANCE($A42,""PRICE"",WORKDAY(TODAY(),-O$2),today()),,2))"),1015.4428571428572)</f>
        <v>1015.442857</v>
      </c>
      <c r="P42" s="15">
        <f>IFERROR(__xludf.DUMMYFUNCTION("GOOGLEFINANCE($A42,""marketcap"")"),7.712834548E11)</f>
        <v>771283454800</v>
      </c>
      <c r="Q42" s="16">
        <f>IFERROR(__xludf.DUMMYFUNCTION("IFERROR(GOOGLEFINANCE($A42,""pe""),""-"")"),30.48)</f>
        <v>30.48</v>
      </c>
      <c r="R42" s="16" t="b">
        <f t="shared" si="1"/>
        <v>0</v>
      </c>
      <c r="S42" s="16" t="b">
        <f t="shared" si="2"/>
        <v>0</v>
      </c>
    </row>
    <row r="43">
      <c r="A43" s="17" t="s">
        <v>65</v>
      </c>
      <c r="B43" s="10" t="str">
        <f>IFERROR(__xludf.DUMMYFUNCTION("GOOGLEFINANCE($A43,""name"")"),"Coal India Ltd")</f>
        <v>Coal India Ltd</v>
      </c>
      <c r="C43" s="10" t="str">
        <f>IFERROR(__xludf.DUMMYFUNCTION("sparkline(index(GOOGLEFINANCE($A43,""price"",workday(today(),-C$2),today()),,2),{""charttype"",""column"";""color"",""green""})"),"")</f>
        <v/>
      </c>
      <c r="D43" s="11">
        <f>IFERROR(__xludf.DUMMYFUNCTION("GOOGLEFINANCE(""NSE:"" &amp;$A43,""price"")"),202.8)</f>
        <v>202.8</v>
      </c>
      <c r="E43" s="11">
        <f>IFERROR(__xludf.DUMMYFUNCTION("GOOGLEFINANCE(""NSE:"" &amp;$A43,""priceopen"")"),206.05)</f>
        <v>206.05</v>
      </c>
      <c r="F43" s="11">
        <f>IFERROR(__xludf.DUMMYFUNCTION("GOOGLEFINANCE(""NSE:"" &amp;$A43,""high"")"),209.0)</f>
        <v>209</v>
      </c>
      <c r="G43" s="11">
        <f>IFERROR(__xludf.DUMMYFUNCTION("GOOGLEFINANCE(""NSE:"" &amp;$A43,""low"")"),201.25)</f>
        <v>201.25</v>
      </c>
      <c r="H43" s="11">
        <f>IFERROR(__xludf.DUMMYFUNCTION("GOOGLEFINANCE(""NSE:"" &amp;$A43,""closeyest"")"),206.9)</f>
        <v>206.9</v>
      </c>
      <c r="I43" s="12">
        <f>IFERROR(__xludf.DUMMYFUNCTION("GOOGLEFINANCE(""NSE:"" &amp;$A43,""change"")"),-4.1)</f>
        <v>-4.1</v>
      </c>
      <c r="J43" s="13">
        <f>IFERROR(__xludf.DUMMYFUNCTION("GOOGLEFINANCE(""NSE:"" &amp;$A43,""changepct"")/100"),-0.019799999999999998)</f>
        <v>-0.0198</v>
      </c>
      <c r="K43" s="14">
        <f>IFERROR(__xludf.DUMMYFUNCTION("GOOGLEFINANCE(""NSE:"" &amp;$A43,""volume"")"),2.400767E7)</f>
        <v>24007670</v>
      </c>
      <c r="L43" s="13">
        <f>IFERROR(__xludf.DUMMYFUNCTION("$D43/INDEX(GOOGLEFINANCE($A43,""PRICE"",WORKDAY(TODAY(),-L$2)),2,2)-1"),0.07046714172604918)</f>
        <v>0.07046714173</v>
      </c>
      <c r="M43" s="13">
        <f>IFERROR(__xludf.DUMMYFUNCTION("$D43/INDEX(GOOGLEFINANCE($A43,""PRICE"",WORKDAY(TODAY(),-M$2)),2,2)-1"),0.03258655804480659)</f>
        <v>0.03258655804</v>
      </c>
      <c r="N43" s="11">
        <f>IFERROR(__xludf.DUMMYFUNCTION("average(INDEX(GOOGLEFINANCE($A43,""PRICE"",WORKDAY(TODAY(),-N$2),today()),,2))"),198.29999999999998)</f>
        <v>198.3</v>
      </c>
      <c r="O43" s="11">
        <f>IFERROR(__xludf.DUMMYFUNCTION("average(INDEX(GOOGLEFINANCE($A43,""PRICE"",WORKDAY(TODAY(),-O$2),today()),,2))"),194.6)</f>
        <v>194.6</v>
      </c>
      <c r="P43" s="15">
        <f>IFERROR(__xludf.DUMMYFUNCTION("GOOGLEFINANCE($A43,""marketcap"")"),1.239195484378E12)</f>
        <v>1239195484378</v>
      </c>
      <c r="Q43" s="16">
        <f>IFERROR(__xludf.DUMMYFUNCTION("IFERROR(GOOGLEFINANCE($A43,""pe""),""-"")"),15.15)</f>
        <v>15.15</v>
      </c>
      <c r="R43" s="16" t="b">
        <f t="shared" si="1"/>
        <v>0</v>
      </c>
      <c r="S43" s="16" t="b">
        <f t="shared" si="2"/>
        <v>0</v>
      </c>
    </row>
    <row r="44">
      <c r="A44" s="17" t="s">
        <v>66</v>
      </c>
      <c r="B44" s="10" t="str">
        <f>IFERROR(__xludf.DUMMYFUNCTION("GOOGLEFINANCE($A44,""name"")"),"Coforge Ltd")</f>
        <v>Coforge Ltd</v>
      </c>
      <c r="C44" s="10" t="str">
        <f>IFERROR(__xludf.DUMMYFUNCTION("sparkline(index(GOOGLEFINANCE($A44,""price"",workday(today(),-C$2),today()),,2),{""charttype"",""column"";""color"",""green""})"),"")</f>
        <v/>
      </c>
      <c r="D44" s="11">
        <f>IFERROR(__xludf.DUMMYFUNCTION("GOOGLEFINANCE(""NSE:"" &amp;$A44,""price"")"),4130.0)</f>
        <v>4130</v>
      </c>
      <c r="E44" s="11">
        <f>IFERROR(__xludf.DUMMYFUNCTION("GOOGLEFINANCE(""NSE:"" &amp;$A44,""priceopen"")"),4080.0)</f>
        <v>4080</v>
      </c>
      <c r="F44" s="11">
        <f>IFERROR(__xludf.DUMMYFUNCTION("GOOGLEFINANCE(""NSE:"" &amp;$A44,""high"")"),4150.05)</f>
        <v>4150.05</v>
      </c>
      <c r="G44" s="11">
        <f>IFERROR(__xludf.DUMMYFUNCTION("GOOGLEFINANCE(""NSE:"" &amp;$A44,""low"")"),4002.0)</f>
        <v>4002</v>
      </c>
      <c r="H44" s="11">
        <f>IFERROR(__xludf.DUMMYFUNCTION("GOOGLEFINANCE(""NSE:"" &amp;$A44,""closeyest"")"),4093.05)</f>
        <v>4093.05</v>
      </c>
      <c r="I44" s="12">
        <f>IFERROR(__xludf.DUMMYFUNCTION("GOOGLEFINANCE(""NSE:"" &amp;$A44,""change"")"),36.95)</f>
        <v>36.95</v>
      </c>
      <c r="J44" s="13">
        <f>IFERROR(__xludf.DUMMYFUNCTION("GOOGLEFINANCE(""NSE:"" &amp;$A44,""changepct"")/100"),0.009000000000000001)</f>
        <v>0.009</v>
      </c>
      <c r="K44" s="14">
        <f>IFERROR(__xludf.DUMMYFUNCTION("GOOGLEFINANCE(""NSE:"" &amp;$A44,""volume"")"),278857.0)</f>
        <v>278857</v>
      </c>
      <c r="L44" s="13">
        <f>IFERROR(__xludf.DUMMYFUNCTION("$D44/INDEX(GOOGLEFINANCE($A44,""PRICE"",WORKDAY(TODAY(),-L$2)),2,2)-1"),0.014305888131638689)</f>
        <v>0.01430588813</v>
      </c>
      <c r="M44" s="13" t="str">
        <f>IFERROR(__xludf.DUMMYFUNCTION("$D44/INDEX(GOOGLEFINANCE($A44,""PRICE"",WORKDAY(TODAY(),-M$2)),2,2)-1"),"#N/A")</f>
        <v>#N/A</v>
      </c>
      <c r="N44" s="11">
        <f>IFERROR(__xludf.DUMMYFUNCTION("average(INDEX(GOOGLEFINANCE($A44,""PRICE"",WORKDAY(TODAY(),-N$2),today()),,2))"),4043.45)</f>
        <v>4043.45</v>
      </c>
      <c r="O44" s="11" t="str">
        <f>IFERROR(__xludf.DUMMYFUNCTION("average(INDEX(GOOGLEFINANCE($A44,""PRICE"",WORKDAY(TODAY(),-O$2),today()),,2))"),"#N/A")</f>
        <v>#N/A</v>
      </c>
      <c r="P44" s="15">
        <f>IFERROR(__xludf.DUMMYFUNCTION("GOOGLEFINANCE($A44,""marketcap"")"),2.54463386567E11)</f>
        <v>254463386567</v>
      </c>
      <c r="Q44" s="16">
        <f>IFERROR(__xludf.DUMMYFUNCTION("IFERROR(GOOGLEFINANCE($A44,""pe""),""-"")"),43.66)</f>
        <v>43.66</v>
      </c>
      <c r="R44" s="16" t="b">
        <f t="shared" si="1"/>
        <v>0</v>
      </c>
      <c r="S44" s="16" t="b">
        <f t="shared" si="2"/>
        <v>0</v>
      </c>
    </row>
    <row r="45">
      <c r="A45" s="17" t="s">
        <v>67</v>
      </c>
      <c r="B45" s="10" t="str">
        <f>IFERROR(__xludf.DUMMYFUNCTION("GOOGLEFINANCE($A45,""name"")"),"Colgate-Palmolive (India) Limited")</f>
        <v>Colgate-Palmolive (India) Limited</v>
      </c>
      <c r="C45" s="10" t="str">
        <f>IFERROR(__xludf.DUMMYFUNCTION("sparkline(index(GOOGLEFINANCE($A45,""price"",workday(today(),-C$2),today()),,2),{""charttype"",""column"";""color"",""green""})"),"")</f>
        <v/>
      </c>
      <c r="D45" s="11">
        <f>IFERROR(__xludf.DUMMYFUNCTION("GOOGLEFINANCE(""NSE:"" &amp;$A45,""price"")"),1601.0)</f>
        <v>1601</v>
      </c>
      <c r="E45" s="11">
        <f>IFERROR(__xludf.DUMMYFUNCTION("GOOGLEFINANCE(""NSE:"" &amp;$A45,""priceopen"")"),1549.65)</f>
        <v>1549.65</v>
      </c>
      <c r="F45" s="11">
        <f>IFERROR(__xludf.DUMMYFUNCTION("GOOGLEFINANCE(""NSE:"" &amp;$A45,""high"")"),1616.0)</f>
        <v>1616</v>
      </c>
      <c r="G45" s="11">
        <f>IFERROR(__xludf.DUMMYFUNCTION("GOOGLEFINANCE(""NSE:"" &amp;$A45,""low"")"),1549.0)</f>
        <v>1549</v>
      </c>
      <c r="H45" s="11">
        <f>IFERROR(__xludf.DUMMYFUNCTION("GOOGLEFINANCE(""NSE:"" &amp;$A45,""closeyest"")"),1556.95)</f>
        <v>1556.95</v>
      </c>
      <c r="I45" s="12">
        <f>IFERROR(__xludf.DUMMYFUNCTION("GOOGLEFINANCE(""NSE:"" &amp;$A45,""change"")"),44.05)</f>
        <v>44.05</v>
      </c>
      <c r="J45" s="13">
        <f>IFERROR(__xludf.DUMMYFUNCTION("GOOGLEFINANCE(""NSE:"" &amp;$A45,""changepct"")/100"),0.028300000000000002)</f>
        <v>0.0283</v>
      </c>
      <c r="K45" s="14">
        <f>IFERROR(__xludf.DUMMYFUNCTION("GOOGLEFINANCE(""NSE:"" &amp;$A45,""volume"")"),1107083.0)</f>
        <v>1107083</v>
      </c>
      <c r="L45" s="13">
        <f>IFERROR(__xludf.DUMMYFUNCTION("$D45/INDEX(GOOGLEFINANCE($A45,""PRICE"",WORKDAY(TODAY(),-L$2)),2,2)-1"),0.03664853664853651)</f>
        <v>0.03664853665</v>
      </c>
      <c r="M45" s="13">
        <f>IFERROR(__xludf.DUMMYFUNCTION("$D45/INDEX(GOOGLEFINANCE($A45,""PRICE"",WORKDAY(TODAY(),-M$2)),2,2)-1"),0.025788883549575425)</f>
        <v>0.02578888355</v>
      </c>
      <c r="N45" s="11">
        <f>IFERROR(__xludf.DUMMYFUNCTION("average(INDEX(GOOGLEFINANCE($A45,""PRICE"",WORKDAY(TODAY(),-N$2),today()),,2))"),1532.55)</f>
        <v>1532.55</v>
      </c>
      <c r="O45" s="11">
        <f>IFERROR(__xludf.DUMMYFUNCTION("average(INDEX(GOOGLEFINANCE($A45,""PRICE"",WORKDAY(TODAY(),-O$2),today()),,2))"),1537.65)</f>
        <v>1537.65</v>
      </c>
      <c r="P45" s="15">
        <f>IFERROR(__xludf.DUMMYFUNCTION("GOOGLEFINANCE($A45,""marketcap"")"),4.283872593E11)</f>
        <v>428387259300</v>
      </c>
      <c r="Q45" s="16">
        <f>IFERROR(__xludf.DUMMYFUNCTION("IFERROR(GOOGLEFINANCE($A45,""pe""),""-"")"),40.71)</f>
        <v>40.71</v>
      </c>
      <c r="R45" s="16" t="b">
        <f t="shared" si="1"/>
        <v>0</v>
      </c>
      <c r="S45" s="16" t="b">
        <f t="shared" si="2"/>
        <v>0</v>
      </c>
    </row>
    <row r="46">
      <c r="A46" s="17" t="s">
        <v>68</v>
      </c>
      <c r="B46" s="10" t="str">
        <f>IFERROR(__xludf.DUMMYFUNCTION("GOOGLEFINANCE($A46,""name"")"),"Container Corporation of India Ltd")</f>
        <v>Container Corporation of India Ltd</v>
      </c>
      <c r="C46" s="10" t="str">
        <f>IFERROR(__xludf.DUMMYFUNCTION("sparkline(index(GOOGLEFINANCE($A46,""price"",workday(today(),-C$2),today()),,2),{""charttype"",""column"";""color"",""green""})"),"")</f>
        <v/>
      </c>
      <c r="D46" s="11">
        <f>IFERROR(__xludf.DUMMYFUNCTION("GOOGLEFINANCE(""NSE:"" &amp;$A46,""price"")"),658.0)</f>
        <v>658</v>
      </c>
      <c r="E46" s="11">
        <f>IFERROR(__xludf.DUMMYFUNCTION("GOOGLEFINANCE(""NSE:"" &amp;$A46,""priceopen"")"),657.2)</f>
        <v>657.2</v>
      </c>
      <c r="F46" s="11">
        <f>IFERROR(__xludf.DUMMYFUNCTION("GOOGLEFINANCE(""NSE:"" &amp;$A46,""high"")"),676.65)</f>
        <v>676.65</v>
      </c>
      <c r="G46" s="11">
        <f>IFERROR(__xludf.DUMMYFUNCTION("GOOGLEFINANCE(""NSE:"" &amp;$A46,""low"")"),645.0)</f>
        <v>645</v>
      </c>
      <c r="H46" s="11">
        <f>IFERROR(__xludf.DUMMYFUNCTION("GOOGLEFINANCE(""NSE:"" &amp;$A46,""closeyest"")"),656.8)</f>
        <v>656.8</v>
      </c>
      <c r="I46" s="12">
        <f>IFERROR(__xludf.DUMMYFUNCTION("GOOGLEFINANCE(""NSE:"" &amp;$A46,""change"")"),1.2)</f>
        <v>1.2</v>
      </c>
      <c r="J46" s="13">
        <f>IFERROR(__xludf.DUMMYFUNCTION("GOOGLEFINANCE(""NSE:"" &amp;$A46,""changepct"")/100"),0.0018)</f>
        <v>0.0018</v>
      </c>
      <c r="K46" s="14">
        <f>IFERROR(__xludf.DUMMYFUNCTION("GOOGLEFINANCE(""NSE:"" &amp;$A46,""volume"")"),1620979.0)</f>
        <v>1620979</v>
      </c>
      <c r="L46" s="13">
        <f>IFERROR(__xludf.DUMMYFUNCTION("$D46/INDEX(GOOGLEFINANCE($A46,""PRICE"",WORKDAY(TODAY(),-L$2)),2,2)-1"),-0.022796465434023916)</f>
        <v>-0.02279646543</v>
      </c>
      <c r="M46" s="13">
        <f>IFERROR(__xludf.DUMMYFUNCTION("$D46/INDEX(GOOGLEFINANCE($A46,""PRICE"",WORKDAY(TODAY(),-M$2)),2,2)-1"),-0.06020138541741049)</f>
        <v>-0.06020138542</v>
      </c>
      <c r="N46" s="11">
        <f>IFERROR(__xludf.DUMMYFUNCTION("average(INDEX(GOOGLEFINANCE($A46,""PRICE"",WORKDAY(TODAY(),-N$2),today()),,2))"),658.4000000000001)</f>
        <v>658.4</v>
      </c>
      <c r="O46" s="11">
        <f>IFERROR(__xludf.DUMMYFUNCTION("average(INDEX(GOOGLEFINANCE($A46,""PRICE"",WORKDAY(TODAY(),-O$2),today()),,2))"),670.5)</f>
        <v>670.5</v>
      </c>
      <c r="P46" s="15">
        <f>IFERROR(__xludf.DUMMYFUNCTION("GOOGLEFINANCE($A46,""marketcap"")"),4.046519376E11)</f>
        <v>404651937600</v>
      </c>
      <c r="Q46" s="16">
        <f>IFERROR(__xludf.DUMMYFUNCTION("IFERROR(GOOGLEFINANCE($A46,""pe""),""-"")"),48.87)</f>
        <v>48.87</v>
      </c>
      <c r="R46" s="16" t="b">
        <f t="shared" si="1"/>
        <v>0</v>
      </c>
      <c r="S46" s="16" t="b">
        <f t="shared" si="2"/>
        <v>0</v>
      </c>
    </row>
    <row r="47">
      <c r="A47" s="17" t="s">
        <v>69</v>
      </c>
      <c r="B47" s="10" t="str">
        <f>IFERROR(__xludf.DUMMYFUNCTION("GOOGLEFINANCE($A47,""name"")"),"Coromandel International Ltd")</f>
        <v>Coromandel International Ltd</v>
      </c>
      <c r="C47" s="10" t="str">
        <f>IFERROR(__xludf.DUMMYFUNCTION("sparkline(index(GOOGLEFINANCE($A47,""price"",workday(today(),-C$2),today()),,2),{""charttype"",""column"";""color"",""green""})"),"")</f>
        <v/>
      </c>
      <c r="D47" s="11">
        <f>IFERROR(__xludf.DUMMYFUNCTION("GOOGLEFINANCE(""NSE:"" &amp;$A47,""price"")"),832.6)</f>
        <v>832.6</v>
      </c>
      <c r="E47" s="11">
        <f>IFERROR(__xludf.DUMMYFUNCTION("GOOGLEFINANCE(""NSE:"" &amp;$A47,""priceopen"")"),837.0)</f>
        <v>837</v>
      </c>
      <c r="F47" s="11">
        <f>IFERROR(__xludf.DUMMYFUNCTION("GOOGLEFINANCE(""NSE:"" &amp;$A47,""high"")"),850.45)</f>
        <v>850.45</v>
      </c>
      <c r="G47" s="11">
        <f>IFERROR(__xludf.DUMMYFUNCTION("GOOGLEFINANCE(""NSE:"" &amp;$A47,""low"")"),827.0)</f>
        <v>827</v>
      </c>
      <c r="H47" s="11">
        <f>IFERROR(__xludf.DUMMYFUNCTION("GOOGLEFINANCE(""NSE:"" &amp;$A47,""closeyest"")"),838.95)</f>
        <v>838.95</v>
      </c>
      <c r="I47" s="12">
        <f>IFERROR(__xludf.DUMMYFUNCTION("GOOGLEFINANCE(""NSE:"" &amp;$A47,""change"")"),-6.35)</f>
        <v>-6.35</v>
      </c>
      <c r="J47" s="13">
        <f>IFERROR(__xludf.DUMMYFUNCTION("GOOGLEFINANCE(""NSE:"" &amp;$A47,""changepct"")/100"),-0.0076)</f>
        <v>-0.0076</v>
      </c>
      <c r="K47" s="14">
        <f>IFERROR(__xludf.DUMMYFUNCTION("GOOGLEFINANCE(""NSE:"" &amp;$A47,""volume"")"),274186.0)</f>
        <v>274186</v>
      </c>
      <c r="L47" s="13">
        <f>IFERROR(__xludf.DUMMYFUNCTION("$D47/INDEX(GOOGLEFINANCE($A47,""PRICE"",WORKDAY(TODAY(),-L$2)),2,2)-1"),-0.02733644859813078)</f>
        <v>-0.0273364486</v>
      </c>
      <c r="M47" s="13" t="str">
        <f>IFERROR(__xludf.DUMMYFUNCTION("$D47/INDEX(GOOGLEFINANCE($A47,""PRICE"",WORKDAY(TODAY(),-M$2)),2,2)-1"),"#N/A")</f>
        <v>#N/A</v>
      </c>
      <c r="N47" s="11">
        <f>IFERROR(__xludf.DUMMYFUNCTION("average(INDEX(GOOGLEFINANCE($A47,""PRICE"",WORKDAY(TODAY(),-N$2),today()),,2))"),841.2125000000001)</f>
        <v>841.2125</v>
      </c>
      <c r="O47" s="11">
        <f>IFERROR(__xludf.DUMMYFUNCTION("average(INDEX(GOOGLEFINANCE($A47,""PRICE"",WORKDAY(TODAY(),-O$2),today()),,2))"),839.0214285714285)</f>
        <v>839.0214286</v>
      </c>
      <c r="P47" s="15">
        <f>IFERROR(__xludf.DUMMYFUNCTION("GOOGLEFINANCE($A47,""marketcap"")"),2.42876989538E11)</f>
        <v>242876989538</v>
      </c>
      <c r="Q47" s="16">
        <f>IFERROR(__xludf.DUMMYFUNCTION("IFERROR(GOOGLEFINANCE($A47,""pe""),""-"")"),17.55)</f>
        <v>17.55</v>
      </c>
      <c r="R47" s="16" t="b">
        <f t="shared" si="1"/>
        <v>0</v>
      </c>
      <c r="S47" s="16" t="b">
        <f t="shared" si="2"/>
        <v>0</v>
      </c>
    </row>
    <row r="48">
      <c r="A48" s="17" t="s">
        <v>70</v>
      </c>
      <c r="B48" s="10" t="str">
        <f>IFERROR(__xludf.DUMMYFUNCTION("GOOGLEFINANCE($A48,""name"")"),"Crompton Greaves Consumer Electricls Ltd")</f>
        <v>Crompton Greaves Consumer Electricls Ltd</v>
      </c>
      <c r="C48" s="10" t="str">
        <f>IFERROR(__xludf.DUMMYFUNCTION("sparkline(index(GOOGLEFINANCE($A48,""price"",workday(today(),-C$2),today()),,2),{""charttype"",""column"";""color"",""green""})"),"")</f>
        <v/>
      </c>
      <c r="D48" s="11">
        <f>IFERROR(__xludf.DUMMYFUNCTION("GOOGLEFINANCE(""NSE:"" &amp;$A48,""price"")"),379.0)</f>
        <v>379</v>
      </c>
      <c r="E48" s="11">
        <f>IFERROR(__xludf.DUMMYFUNCTION("GOOGLEFINANCE(""NSE:"" &amp;$A48,""priceopen"")"),381.0)</f>
        <v>381</v>
      </c>
      <c r="F48" s="11">
        <f>IFERROR(__xludf.DUMMYFUNCTION("GOOGLEFINANCE(""NSE:"" &amp;$A48,""high"")"),384.25)</f>
        <v>384.25</v>
      </c>
      <c r="G48" s="11">
        <f>IFERROR(__xludf.DUMMYFUNCTION("GOOGLEFINANCE(""NSE:"" &amp;$A48,""low"")"),375.45)</f>
        <v>375.45</v>
      </c>
      <c r="H48" s="11">
        <f>IFERROR(__xludf.DUMMYFUNCTION("GOOGLEFINANCE(""NSE:"" &amp;$A48,""closeyest"")"),380.8)</f>
        <v>380.8</v>
      </c>
      <c r="I48" s="12">
        <f>IFERROR(__xludf.DUMMYFUNCTION("GOOGLEFINANCE(""NSE:"" &amp;$A48,""change"")"),-1.8)</f>
        <v>-1.8</v>
      </c>
      <c r="J48" s="13">
        <f>IFERROR(__xludf.DUMMYFUNCTION("GOOGLEFINANCE(""NSE:"" &amp;$A48,""changepct"")/100"),-0.004699999999999999)</f>
        <v>-0.0047</v>
      </c>
      <c r="K48" s="14">
        <f>IFERROR(__xludf.DUMMYFUNCTION("GOOGLEFINANCE(""NSE:"" &amp;$A48,""volume"")"),1320813.0)</f>
        <v>1320813</v>
      </c>
      <c r="L48" s="13">
        <f>IFERROR(__xludf.DUMMYFUNCTION("$D48/INDEX(GOOGLEFINANCE($A48,""PRICE"",WORKDAY(TODAY(),-L$2)),2,2)-1"),0.004905210128596016)</f>
        <v>0.004905210129</v>
      </c>
      <c r="M48" s="13">
        <f>IFERROR(__xludf.DUMMYFUNCTION("$D48/INDEX(GOOGLEFINANCE($A48,""PRICE"",WORKDAY(TODAY(),-M$2)),2,2)-1"),-0.009926854754440995)</f>
        <v>-0.009926854754</v>
      </c>
      <c r="N48" s="11">
        <f>IFERROR(__xludf.DUMMYFUNCTION("average(INDEX(GOOGLEFINANCE($A48,""PRICE"",WORKDAY(TODAY(),-N$2),today()),,2))"),377.36249999999995)</f>
        <v>377.3625</v>
      </c>
      <c r="O48" s="11">
        <f>IFERROR(__xludf.DUMMYFUNCTION("average(INDEX(GOOGLEFINANCE($A48,""PRICE"",WORKDAY(TODAY(),-O$2),today()),,2))"),378.33571428571435)</f>
        <v>378.3357143</v>
      </c>
      <c r="P48" s="15">
        <f>IFERROR(__xludf.DUMMYFUNCTION("GOOGLEFINANCE($A48,""marketcap"")"),2.380884064E11)</f>
        <v>238088406400</v>
      </c>
      <c r="Q48" s="16">
        <f>IFERROR(__xludf.DUMMYFUNCTION("IFERROR(GOOGLEFINANCE($A48,""pe""),""-"")"),36.85)</f>
        <v>36.85</v>
      </c>
      <c r="R48" s="16" t="b">
        <f t="shared" si="1"/>
        <v>0</v>
      </c>
      <c r="S48" s="16" t="b">
        <f t="shared" si="2"/>
        <v>0</v>
      </c>
    </row>
    <row r="49">
      <c r="A49" s="17" t="s">
        <v>71</v>
      </c>
      <c r="B49" s="10" t="str">
        <f>IFERROR(__xludf.DUMMYFUNCTION("GOOGLEFINANCE($A49,""name"")"),"CubicFarm Systems Corp")</f>
        <v>CubicFarm Systems Corp</v>
      </c>
      <c r="C49" s="10" t="str">
        <f>IFERROR(__xludf.DUMMYFUNCTION("sparkline(index(GOOGLEFINANCE($A49,""price"",workday(today(),-C$2),today()),,2),{""charttype"",""column"";""color"",""green""})"),"")</f>
        <v/>
      </c>
      <c r="D49" s="11">
        <f>IFERROR(__xludf.DUMMYFUNCTION("GOOGLEFINANCE(""NSE:"" &amp;$A49,""price"")"),135.5)</f>
        <v>135.5</v>
      </c>
      <c r="E49" s="11">
        <f>IFERROR(__xludf.DUMMYFUNCTION("GOOGLEFINANCE(""NSE:"" &amp;$A49,""priceopen"")"),137.0)</f>
        <v>137</v>
      </c>
      <c r="F49" s="11">
        <f>IFERROR(__xludf.DUMMYFUNCTION("GOOGLEFINANCE(""NSE:"" &amp;$A49,""high"")"),137.0)</f>
        <v>137</v>
      </c>
      <c r="G49" s="11">
        <f>IFERROR(__xludf.DUMMYFUNCTION("GOOGLEFINANCE(""NSE:"" &amp;$A49,""low"")"),134.15)</f>
        <v>134.15</v>
      </c>
      <c r="H49" s="11">
        <f>IFERROR(__xludf.DUMMYFUNCTION("GOOGLEFINANCE(""NSE:"" &amp;$A49,""closeyest"")"),137.45)</f>
        <v>137.45</v>
      </c>
      <c r="I49" s="12">
        <f>IFERROR(__xludf.DUMMYFUNCTION("GOOGLEFINANCE(""NSE:"" &amp;$A49,""change"")"),-1.95)</f>
        <v>-1.95</v>
      </c>
      <c r="J49" s="13">
        <f>IFERROR(__xludf.DUMMYFUNCTION("GOOGLEFINANCE(""NSE:"" &amp;$A49,""changepct"")/100"),-0.014199999999999999)</f>
        <v>-0.0142</v>
      </c>
      <c r="K49" s="14">
        <f>IFERROR(__xludf.DUMMYFUNCTION("GOOGLEFINANCE(""NSE:"" &amp;$A49,""volume"")"),829651.0)</f>
        <v>829651</v>
      </c>
      <c r="L49" s="13">
        <f>IFERROR(__xludf.DUMMYFUNCTION("$D49/INDEX(GOOGLEFINANCE($A49,""PRICE"",WORKDAY(TODAY(),-L$2)),2,2)-1"),129.28846153846155)</f>
        <v>129.2884615</v>
      </c>
      <c r="M49" s="13" t="str">
        <f>IFERROR(__xludf.DUMMYFUNCTION("$D49/INDEX(GOOGLEFINANCE($A49,""PRICE"",WORKDAY(TODAY(),-M$2)),2,2)-1"),"#N/A")</f>
        <v>#N/A</v>
      </c>
      <c r="N49" s="11">
        <f>IFERROR(__xludf.DUMMYFUNCTION("average(INDEX(GOOGLEFINANCE($A49,""PRICE"",WORKDAY(TODAY(),-N$2),today()),,2))"),1.0275)</f>
        <v>1.0275</v>
      </c>
      <c r="O49" s="11">
        <f>IFERROR(__xludf.DUMMYFUNCTION("average(INDEX(GOOGLEFINANCE($A49,""PRICE"",WORKDAY(TODAY(),-O$2),today()),,2))"),1.0777777777777777)</f>
        <v>1.077777778</v>
      </c>
      <c r="P49" s="15">
        <f>IFERROR(__xludf.DUMMYFUNCTION("GOOGLEFINANCE($A49,""marketcap"")"),1.81655162E8)</f>
        <v>181655162</v>
      </c>
      <c r="Q49" s="16" t="str">
        <f>IFERROR(__xludf.DUMMYFUNCTION("IFERROR(GOOGLEFINANCE($A49,""pe""),""-"")"),"-")</f>
        <v>-</v>
      </c>
      <c r="R49" s="16" t="b">
        <f t="shared" si="1"/>
        <v>0</v>
      </c>
      <c r="S49" s="16" t="b">
        <f t="shared" si="2"/>
        <v>1</v>
      </c>
    </row>
    <row r="50">
      <c r="A50" s="17" t="s">
        <v>72</v>
      </c>
      <c r="B50" s="10" t="str">
        <f>IFERROR(__xludf.DUMMYFUNCTION("GOOGLEFINANCE($A50,""name"")"),"Cummins India Ltd")</f>
        <v>Cummins India Ltd</v>
      </c>
      <c r="C50" s="10" t="str">
        <f>IFERROR(__xludf.DUMMYFUNCTION("sparkline(index(GOOGLEFINANCE($A50,""price"",workday(today(),-C$2),today()),,2),{""charttype"",""column"";""color"",""green""})"),"")</f>
        <v/>
      </c>
      <c r="D50" s="11">
        <f>IFERROR(__xludf.DUMMYFUNCTION("GOOGLEFINANCE(""NSE:"" &amp;$A50,""price"")"),1065.0)</f>
        <v>1065</v>
      </c>
      <c r="E50" s="11">
        <f>IFERROR(__xludf.DUMMYFUNCTION("GOOGLEFINANCE(""NSE:"" &amp;$A50,""priceopen"")"),1086.0)</f>
        <v>1086</v>
      </c>
      <c r="F50" s="11">
        <f>IFERROR(__xludf.DUMMYFUNCTION("GOOGLEFINANCE(""NSE:"" &amp;$A50,""high"")"),1086.0)</f>
        <v>1086</v>
      </c>
      <c r="G50" s="11">
        <f>IFERROR(__xludf.DUMMYFUNCTION("GOOGLEFINANCE(""NSE:"" &amp;$A50,""low"")"),1054.8)</f>
        <v>1054.8</v>
      </c>
      <c r="H50" s="11">
        <f>IFERROR(__xludf.DUMMYFUNCTION("GOOGLEFINANCE(""NSE:"" &amp;$A50,""closeyest"")"),1090.75)</f>
        <v>1090.75</v>
      </c>
      <c r="I50" s="12">
        <f>IFERROR(__xludf.DUMMYFUNCTION("GOOGLEFINANCE(""NSE:"" &amp;$A50,""change"")"),-25.75)</f>
        <v>-25.75</v>
      </c>
      <c r="J50" s="13">
        <f>IFERROR(__xludf.DUMMYFUNCTION("GOOGLEFINANCE(""NSE:"" &amp;$A50,""changepct"")/100"),-0.0236)</f>
        <v>-0.0236</v>
      </c>
      <c r="K50" s="14">
        <f>IFERROR(__xludf.DUMMYFUNCTION("GOOGLEFINANCE(""NSE:"" &amp;$A50,""volume"")"),615091.0)</f>
        <v>615091</v>
      </c>
      <c r="L50" s="13">
        <f>IFERROR(__xludf.DUMMYFUNCTION("$D50/INDEX(GOOGLEFINANCE($A50,""PRICE"",WORKDAY(TODAY(),-L$2)),2,2)-1"),-0.014618800888230865)</f>
        <v>-0.01461880089</v>
      </c>
      <c r="M50" s="13">
        <f>IFERROR(__xludf.DUMMYFUNCTION("$D50/INDEX(GOOGLEFINANCE($A50,""PRICE"",WORKDAY(TODAY(),-M$2)),2,2)-1"),-0.050675223960422455)</f>
        <v>-0.05067522396</v>
      </c>
      <c r="N50" s="11">
        <f>IFERROR(__xludf.DUMMYFUNCTION("average(INDEX(GOOGLEFINANCE($A50,""PRICE"",WORKDAY(TODAY(),-N$2),today()),,2))"),1085.375)</f>
        <v>1085.375</v>
      </c>
      <c r="O50" s="11">
        <f>IFERROR(__xludf.DUMMYFUNCTION("average(INDEX(GOOGLEFINANCE($A50,""PRICE"",WORKDAY(TODAY(),-O$2),today()),,2))"),1091.9357142857143)</f>
        <v>1091.935714</v>
      </c>
      <c r="P50" s="15">
        <f>IFERROR(__xludf.DUMMYFUNCTION("GOOGLEFINANCE($A50,""marketcap"")"),2.859643215E11)</f>
        <v>285964321500</v>
      </c>
      <c r="Q50" s="16">
        <f>IFERROR(__xludf.DUMMYFUNCTION("IFERROR(GOOGLEFINANCE($A50,""pe""),""-"")"),33.32)</f>
        <v>33.32</v>
      </c>
      <c r="R50" s="16" t="b">
        <f t="shared" si="1"/>
        <v>0</v>
      </c>
      <c r="S50" s="16" t="b">
        <f t="shared" si="2"/>
        <v>1</v>
      </c>
    </row>
    <row r="51">
      <c r="A51" s="17" t="s">
        <v>73</v>
      </c>
      <c r="B51" s="10" t="str">
        <f>IFERROR(__xludf.DUMMYFUNCTION("GOOGLEFINANCE($A51,""name"")"),"Dabur India Ltd")</f>
        <v>Dabur India Ltd</v>
      </c>
      <c r="C51" s="10" t="str">
        <f>IFERROR(__xludf.DUMMYFUNCTION("sparkline(index(GOOGLEFINANCE($A51,""price"",workday(today(),-C$2),today()),,2),{""charttype"",""column"";""color"",""green""})"),"#N/A")</f>
        <v>#N/A</v>
      </c>
      <c r="D51" s="11">
        <f>IFERROR(__xludf.DUMMYFUNCTION("GOOGLEFINANCE(""NSE:"" &amp;$A51,""price"")"),556.3)</f>
        <v>556.3</v>
      </c>
      <c r="E51" s="11">
        <f>IFERROR(__xludf.DUMMYFUNCTION("GOOGLEFINANCE(""NSE:"" &amp;$A51,""priceopen"")"),557.95)</f>
        <v>557.95</v>
      </c>
      <c r="F51" s="11">
        <f>IFERROR(__xludf.DUMMYFUNCTION("GOOGLEFINANCE(""NSE:"" &amp;$A51,""high"")"),564.7)</f>
        <v>564.7</v>
      </c>
      <c r="G51" s="11">
        <f>IFERROR(__xludf.DUMMYFUNCTION("GOOGLEFINANCE(""NSE:"" &amp;$A51,""low"")"),554.05)</f>
        <v>554.05</v>
      </c>
      <c r="H51" s="11">
        <f>IFERROR(__xludf.DUMMYFUNCTION("GOOGLEFINANCE(""NSE:"" &amp;$A51,""closeyest"")"),561.85)</f>
        <v>561.85</v>
      </c>
      <c r="I51" s="12">
        <f>IFERROR(__xludf.DUMMYFUNCTION("GOOGLEFINANCE(""NSE:"" &amp;$A51,""change"")"),-5.55)</f>
        <v>-5.55</v>
      </c>
      <c r="J51" s="13">
        <f>IFERROR(__xludf.DUMMYFUNCTION("GOOGLEFINANCE(""NSE:"" &amp;$A51,""changepct"")/100"),-0.009899999999999999)</f>
        <v>-0.0099</v>
      </c>
      <c r="K51" s="14">
        <f>IFERROR(__xludf.DUMMYFUNCTION("GOOGLEFINANCE(""NSE:"" &amp;$A51,""volume"")"),1804787.0)</f>
        <v>1804787</v>
      </c>
      <c r="L51" s="13">
        <f>IFERROR(__xludf.DUMMYFUNCTION("$D51/INDEX(GOOGLEFINANCE($A51,""PRICE"",WORKDAY(TODAY(),-L$2)),2,2)-1"),-0.011373733783543782)</f>
        <v>-0.01137373378</v>
      </c>
      <c r="M51" s="13">
        <f>IFERROR(__xludf.DUMMYFUNCTION("$D51/INDEX(GOOGLEFINANCE($A51,""PRICE"",WORKDAY(TODAY(),-M$2)),2,2)-1"),0.007060101375814476)</f>
        <v>0.007060101376</v>
      </c>
      <c r="N51" s="11">
        <f>IFERROR(__xludf.DUMMYFUNCTION("average(INDEX(GOOGLEFINANCE($A51,""PRICE"",WORKDAY(TODAY(),-N$2),today()),,2))"),555.9625)</f>
        <v>555.9625</v>
      </c>
      <c r="O51" s="11">
        <f>IFERROR(__xludf.DUMMYFUNCTION("average(INDEX(GOOGLEFINANCE($A51,""PRICE"",WORKDAY(TODAY(),-O$2),today()),,2))"),555.1285714285715)</f>
        <v>555.1285714</v>
      </c>
      <c r="P51" s="15">
        <f>IFERROR(__xludf.DUMMYFUNCTION("GOOGLEFINANCE($A51,""marketcap"")"),9.87044820937E11)</f>
        <v>987044820937</v>
      </c>
      <c r="Q51" s="16">
        <f>IFERROR(__xludf.DUMMYFUNCTION("IFERROR(GOOGLEFINANCE($A51,""pe""),""-"")"),54.04)</f>
        <v>54.04</v>
      </c>
      <c r="R51" s="16" t="b">
        <f t="shared" si="1"/>
        <v>0</v>
      </c>
      <c r="S51" s="16" t="b">
        <f t="shared" si="2"/>
        <v>0</v>
      </c>
    </row>
    <row r="52">
      <c r="A52" s="17" t="s">
        <v>74</v>
      </c>
      <c r="B52" s="10" t="str">
        <f>IFERROR(__xludf.DUMMYFUNCTION("GOOGLEFINANCE($A52,""name"")"),"Dalmia Bharat Ltd")</f>
        <v>Dalmia Bharat Ltd</v>
      </c>
      <c r="C52" s="10" t="str">
        <f>IFERROR(__xludf.DUMMYFUNCTION("sparkline(index(GOOGLEFINANCE($A52,""price"",workday(today(),-C$2),today()),,2),{""charttype"",""column"";""color"",""green""})"),"")</f>
        <v/>
      </c>
      <c r="D52" s="11">
        <f>IFERROR(__xludf.DUMMYFUNCTION("GOOGLEFINANCE(""NSE:"" &amp;$A52,""price"")"),1625.0)</f>
        <v>1625</v>
      </c>
      <c r="E52" s="11">
        <f>IFERROR(__xludf.DUMMYFUNCTION("GOOGLEFINANCE(""NSE:"" &amp;$A52,""priceopen"")"),1617.0)</f>
        <v>1617</v>
      </c>
      <c r="F52" s="11">
        <f>IFERROR(__xludf.DUMMYFUNCTION("GOOGLEFINANCE(""NSE:"" &amp;$A52,""high"")"),1635.0)</f>
        <v>1635</v>
      </c>
      <c r="G52" s="11">
        <f>IFERROR(__xludf.DUMMYFUNCTION("GOOGLEFINANCE(""NSE:"" &amp;$A52,""low"")"),1592.05)</f>
        <v>1592.05</v>
      </c>
      <c r="H52" s="11">
        <f>IFERROR(__xludf.DUMMYFUNCTION("GOOGLEFINANCE(""NSE:"" &amp;$A52,""closeyest"")"),1613.25)</f>
        <v>1613.25</v>
      </c>
      <c r="I52" s="12">
        <f>IFERROR(__xludf.DUMMYFUNCTION("GOOGLEFINANCE(""NSE:"" &amp;$A52,""change"")"),11.75)</f>
        <v>11.75</v>
      </c>
      <c r="J52" s="13">
        <f>IFERROR(__xludf.DUMMYFUNCTION("GOOGLEFINANCE(""NSE:"" &amp;$A52,""changepct"")/100"),0.0073)</f>
        <v>0.0073</v>
      </c>
      <c r="K52" s="14">
        <f>IFERROR(__xludf.DUMMYFUNCTION("GOOGLEFINANCE(""NSE:"" &amp;$A52,""volume"")"),139864.0)</f>
        <v>139864</v>
      </c>
      <c r="L52" s="13" t="str">
        <f>IFERROR(__xludf.DUMMYFUNCTION("$D52/INDEX(GOOGLEFINANCE($A52,""PRICE"",WORKDAY(TODAY(),-L$2)),2,2)-1"),"#N/A")</f>
        <v>#N/A</v>
      </c>
      <c r="M52" s="13">
        <f>IFERROR(__xludf.DUMMYFUNCTION("$D52/INDEX(GOOGLEFINANCE($A52,""PRICE"",WORKDAY(TODAY(),-M$2)),2,2)-1"),0.0027459813026442514)</f>
        <v>0.002745981303</v>
      </c>
      <c r="N52" s="11">
        <f>IFERROR(__xludf.DUMMYFUNCTION("average(INDEX(GOOGLEFINANCE($A52,""PRICE"",WORKDAY(TODAY(),-N$2),today()),,2))"),1594.2625)</f>
        <v>1594.2625</v>
      </c>
      <c r="O52" s="11">
        <f>IFERROR(__xludf.DUMMYFUNCTION("average(INDEX(GOOGLEFINANCE($A52,""PRICE"",WORKDAY(TODAY(),-O$2),today()),,2))"),1604.3)</f>
        <v>1604.3</v>
      </c>
      <c r="P52" s="15">
        <f>IFERROR(__xludf.DUMMYFUNCTION("GOOGLEFINANCE($A52,""marketcap"")"),3.00551739151E11)</f>
        <v>300551739151</v>
      </c>
      <c r="Q52" s="16">
        <f>IFERROR(__xludf.DUMMYFUNCTION("IFERROR(GOOGLEFINANCE($A52,""pe""),""-"")"),26.45)</f>
        <v>26.45</v>
      </c>
      <c r="R52" s="16" t="b">
        <f t="shared" si="1"/>
        <v>0</v>
      </c>
      <c r="S52" s="16" t="b">
        <f t="shared" si="2"/>
        <v>0</v>
      </c>
    </row>
    <row r="53">
      <c r="A53" s="17" t="s">
        <v>75</v>
      </c>
      <c r="B53" s="10" t="str">
        <f>IFERROR(__xludf.DUMMYFUNCTION("GOOGLEFINANCE($A53,""name"")"),"Deepak Nitrite Ltd.")</f>
        <v>Deepak Nitrite Ltd.</v>
      </c>
      <c r="C53" s="10" t="str">
        <f>IFERROR(__xludf.DUMMYFUNCTION("sparkline(index(GOOGLEFINANCE($A53,""price"",workday(today(),-C$2),today()),,2),{""charttype"",""column"";""color"",""green""})"),"")</f>
        <v/>
      </c>
      <c r="D53" s="11">
        <f>IFERROR(__xludf.DUMMYFUNCTION("GOOGLEFINANCE(""NSE:"" &amp;$A53,""price"")"),2276.0)</f>
        <v>2276</v>
      </c>
      <c r="E53" s="11">
        <f>IFERROR(__xludf.DUMMYFUNCTION("GOOGLEFINANCE(""NSE:"" &amp;$A53,""priceopen"")"),2269.0)</f>
        <v>2269</v>
      </c>
      <c r="F53" s="11">
        <f>IFERROR(__xludf.DUMMYFUNCTION("GOOGLEFINANCE(""NSE:"" &amp;$A53,""high"")"),2289.0)</f>
        <v>2289</v>
      </c>
      <c r="G53" s="11">
        <f>IFERROR(__xludf.DUMMYFUNCTION("GOOGLEFINANCE(""NSE:"" &amp;$A53,""low"")"),2245.05)</f>
        <v>2245.05</v>
      </c>
      <c r="H53" s="11">
        <f>IFERROR(__xludf.DUMMYFUNCTION("GOOGLEFINANCE(""NSE:"" &amp;$A53,""closeyest"")"),2290.85)</f>
        <v>2290.85</v>
      </c>
      <c r="I53" s="12">
        <f>IFERROR(__xludf.DUMMYFUNCTION("GOOGLEFINANCE(""NSE:"" &amp;$A53,""change"")"),-14.85)</f>
        <v>-14.85</v>
      </c>
      <c r="J53" s="13">
        <f>IFERROR(__xludf.DUMMYFUNCTION("GOOGLEFINANCE(""NSE:"" &amp;$A53,""changepct"")/100"),-0.006500000000000001)</f>
        <v>-0.0065</v>
      </c>
      <c r="K53" s="14">
        <f>IFERROR(__xludf.DUMMYFUNCTION("GOOGLEFINANCE(""NSE:"" &amp;$A53,""volume"")"),401951.0)</f>
        <v>401951</v>
      </c>
      <c r="L53" s="13" t="str">
        <f>IFERROR(__xludf.DUMMYFUNCTION("$D53/INDEX(GOOGLEFINANCE($A53,""PRICE"",WORKDAY(TODAY(),-L$2)),2,2)-1"),"#N/A")</f>
        <v>#N/A</v>
      </c>
      <c r="M53" s="13">
        <f>IFERROR(__xludf.DUMMYFUNCTION("$D53/INDEX(GOOGLEFINANCE($A53,""PRICE"",WORKDAY(TODAY(),-M$2)),2,2)-1"),-0.005070816576324466)</f>
        <v>-0.005070816576</v>
      </c>
      <c r="N53" s="11">
        <f>IFERROR(__xludf.DUMMYFUNCTION("average(INDEX(GOOGLEFINANCE($A53,""PRICE"",WORKDAY(TODAY(),-N$2),today()),,2))"),2247.775)</f>
        <v>2247.775</v>
      </c>
      <c r="O53" s="11">
        <f>IFERROR(__xludf.DUMMYFUNCTION("average(INDEX(GOOGLEFINANCE($A53,""PRICE"",WORKDAY(TODAY(),-O$2),today()),,2))"),2262.057142857143)</f>
        <v>2262.057143</v>
      </c>
      <c r="P53" s="15">
        <f>IFERROR(__xludf.DUMMYFUNCTION("GOOGLEFINANCE($A53,""marketcap"")"),3.092626524E11)</f>
        <v>309262652400</v>
      </c>
      <c r="Q53" s="16">
        <f>IFERROR(__xludf.DUMMYFUNCTION("IFERROR(GOOGLEFINANCE($A53,""pe""),""-"")"),28.49)</f>
        <v>28.49</v>
      </c>
      <c r="R53" s="16" t="b">
        <f t="shared" si="1"/>
        <v>0</v>
      </c>
      <c r="S53" s="16" t="b">
        <f t="shared" si="2"/>
        <v>0</v>
      </c>
    </row>
    <row r="54">
      <c r="A54" s="17" t="s">
        <v>76</v>
      </c>
      <c r="B54" s="10" t="str">
        <f>IFERROR(__xludf.DUMMYFUNCTION("GOOGLEFINANCE($A54,""name"")"),"Delta Corp Ltd")</f>
        <v>Delta Corp Ltd</v>
      </c>
      <c r="C54" s="10" t="str">
        <f>IFERROR(__xludf.DUMMYFUNCTION("sparkline(index(GOOGLEFINANCE($A54,""price"",workday(today(),-C$2),today()),,2),{""charttype"",""column"";""color"",""green""})"),"")</f>
        <v/>
      </c>
      <c r="D54" s="11">
        <f>IFERROR(__xludf.DUMMYFUNCTION("GOOGLEFINANCE(""NSE:"" &amp;$A54,""price"")"),285.25)</f>
        <v>285.25</v>
      </c>
      <c r="E54" s="11">
        <f>IFERROR(__xludf.DUMMYFUNCTION("GOOGLEFINANCE(""NSE:"" &amp;$A54,""priceopen"")"),290.85)</f>
        <v>290.85</v>
      </c>
      <c r="F54" s="11">
        <f>IFERROR(__xludf.DUMMYFUNCTION("GOOGLEFINANCE(""NSE:"" &amp;$A54,""high"")"),296.55)</f>
        <v>296.55</v>
      </c>
      <c r="G54" s="11">
        <f>IFERROR(__xludf.DUMMYFUNCTION("GOOGLEFINANCE(""NSE:"" &amp;$A54,""low"")"),284.4)</f>
        <v>284.4</v>
      </c>
      <c r="H54" s="11">
        <f>IFERROR(__xludf.DUMMYFUNCTION("GOOGLEFINANCE(""NSE:"" &amp;$A54,""closeyest"")"),292.35)</f>
        <v>292.35</v>
      </c>
      <c r="I54" s="12">
        <f>IFERROR(__xludf.DUMMYFUNCTION("GOOGLEFINANCE(""NSE:"" &amp;$A54,""change"")"),-7.1)</f>
        <v>-7.1</v>
      </c>
      <c r="J54" s="13">
        <f>IFERROR(__xludf.DUMMYFUNCTION("GOOGLEFINANCE(""NSE:"" &amp;$A54,""changepct"")/100"),-0.024300000000000002)</f>
        <v>-0.0243</v>
      </c>
      <c r="K54" s="14">
        <f>IFERROR(__xludf.DUMMYFUNCTION("GOOGLEFINANCE(""NSE:"" &amp;$A54,""volume"")"),2943418.0)</f>
        <v>2943418</v>
      </c>
      <c r="L54" s="13">
        <f>IFERROR(__xludf.DUMMYFUNCTION("$D54/INDEX(GOOGLEFINANCE($A54,""PRICE"",WORKDAY(TODAY(),-L$2)),2,2)-1"),-0.06136887133925628)</f>
        <v>-0.06136887134</v>
      </c>
      <c r="M54" s="13">
        <f>IFERROR(__xludf.DUMMYFUNCTION("$D54/INDEX(GOOGLEFINANCE($A54,""PRICE"",WORKDAY(TODAY(),-M$2)),2,2)-1"),-0.11536672352302679)</f>
        <v>-0.1153667235</v>
      </c>
      <c r="N54" s="11">
        <f>IFERROR(__xludf.DUMMYFUNCTION("average(INDEX(GOOGLEFINANCE($A54,""PRICE"",WORKDAY(TODAY(),-N$2),today()),,2))"),295.0125)</f>
        <v>295.0125</v>
      </c>
      <c r="O54" s="11">
        <f>IFERROR(__xludf.DUMMYFUNCTION("average(INDEX(GOOGLEFINANCE($A54,""PRICE"",WORKDAY(TODAY(),-O$2),today()),,2))"),303.9642857142857)</f>
        <v>303.9642857</v>
      </c>
      <c r="P54" s="15">
        <f>IFERROR(__xludf.DUMMYFUNCTION("GOOGLEFINANCE($A54,""marketcap"")"),7.8167938518E10)</f>
        <v>78167938518</v>
      </c>
      <c r="Q54" s="16">
        <f>IFERROR(__xludf.DUMMYFUNCTION("IFERROR(GOOGLEFINANCE($A54,""pe""),""-"")"),114.56)</f>
        <v>114.56</v>
      </c>
      <c r="R54" s="16" t="b">
        <f t="shared" si="1"/>
        <v>0</v>
      </c>
      <c r="S54" s="16" t="b">
        <f t="shared" si="2"/>
        <v>0</v>
      </c>
    </row>
    <row r="55">
      <c r="A55" s="17" t="s">
        <v>77</v>
      </c>
      <c r="B55" s="10" t="str">
        <f>IFERROR(__xludf.DUMMYFUNCTION("GOOGLEFINANCE($A55,""name"")"),"Divi's Laboratories Ltd")</f>
        <v>Divi's Laboratories Ltd</v>
      </c>
      <c r="C55" s="10" t="str">
        <f>IFERROR(__xludf.DUMMYFUNCTION("sparkline(index(GOOGLEFINANCE($A55,""price"",workday(today(),-C$2),today()),,2),{""charttype"",""column"";""color"",""green""})"),"")</f>
        <v/>
      </c>
      <c r="D55" s="11">
        <f>IFERROR(__xludf.DUMMYFUNCTION("GOOGLEFINANCE(""NSE:"" &amp;$A55,""price"")"),4490.0)</f>
        <v>4490</v>
      </c>
      <c r="E55" s="11">
        <f>IFERROR(__xludf.DUMMYFUNCTION("GOOGLEFINANCE(""NSE:"" &amp;$A55,""priceopen"")"),4529.0)</f>
        <v>4529</v>
      </c>
      <c r="F55" s="11">
        <f>IFERROR(__xludf.DUMMYFUNCTION("GOOGLEFINANCE(""NSE:"" &amp;$A55,""high"")"),4529.0)</f>
        <v>4529</v>
      </c>
      <c r="G55" s="11">
        <f>IFERROR(__xludf.DUMMYFUNCTION("GOOGLEFINANCE(""NSE:"" &amp;$A55,""low"")"),4444.05)</f>
        <v>4444.05</v>
      </c>
      <c r="H55" s="11">
        <f>IFERROR(__xludf.DUMMYFUNCTION("GOOGLEFINANCE(""NSE:"" &amp;$A55,""closeyest"")"),4529.05)</f>
        <v>4529.05</v>
      </c>
      <c r="I55" s="12">
        <f>IFERROR(__xludf.DUMMYFUNCTION("GOOGLEFINANCE(""NSE:"" &amp;$A55,""change"")"),-39.05)</f>
        <v>-39.05</v>
      </c>
      <c r="J55" s="13">
        <f>IFERROR(__xludf.DUMMYFUNCTION("GOOGLEFINANCE(""NSE:"" &amp;$A55,""changepct"")/100"),-0.0086)</f>
        <v>-0.0086</v>
      </c>
      <c r="K55" s="14">
        <f>IFERROR(__xludf.DUMMYFUNCTION("GOOGLEFINANCE(""NSE:"" &amp;$A55,""volume"")"),395984.0)</f>
        <v>395984</v>
      </c>
      <c r="L55" s="13">
        <f>IFERROR(__xludf.DUMMYFUNCTION("$D55/INDEX(GOOGLEFINANCE($A55,""PRICE"",WORKDAY(TODAY(),-L$2)),2,2)-1"),-0.007712877632654824)</f>
        <v>-0.007712877633</v>
      </c>
      <c r="M55" s="13">
        <f>IFERROR(__xludf.DUMMYFUNCTION("$D55/INDEX(GOOGLEFINANCE($A55,""PRICE"",WORKDAY(TODAY(),-M$2)),2,2)-1"),-0.003064079221990368)</f>
        <v>-0.003064079222</v>
      </c>
      <c r="N55" s="11">
        <f>IFERROR(__xludf.DUMMYFUNCTION("average(INDEX(GOOGLEFINANCE($A55,""PRICE"",WORKDAY(TODAY(),-N$2),today()),,2))"),4480.25)</f>
        <v>4480.25</v>
      </c>
      <c r="O55" s="11">
        <f>IFERROR(__xludf.DUMMYFUNCTION("average(INDEX(GOOGLEFINANCE($A55,""PRICE"",WORKDAY(TODAY(),-O$2),today()),,2))"),4485.35)</f>
        <v>4485.35</v>
      </c>
      <c r="P55" s="15">
        <f>IFERROR(__xludf.DUMMYFUNCTION("GOOGLEFINANCE($A55,""marketcap"")"),1.180972920596E12)</f>
        <v>1180972920596</v>
      </c>
      <c r="Q55" s="16">
        <f>IFERROR(__xludf.DUMMYFUNCTION("IFERROR(GOOGLEFINANCE($A55,""pe""),""-"")"),46.41)</f>
        <v>46.41</v>
      </c>
      <c r="R55" s="16" t="b">
        <f t="shared" si="1"/>
        <v>0</v>
      </c>
      <c r="S55" s="16" t="b">
        <f t="shared" si="2"/>
        <v>1</v>
      </c>
    </row>
    <row r="56">
      <c r="A56" s="17" t="s">
        <v>78</v>
      </c>
      <c r="B56" s="10" t="str">
        <f>IFERROR(__xludf.DUMMYFUNCTION("GOOGLEFINANCE($A56,""name"")"),"Dixon Technologies (India) Ltd")</f>
        <v>Dixon Technologies (India) Ltd</v>
      </c>
      <c r="C56" s="10" t="str">
        <f>IFERROR(__xludf.DUMMYFUNCTION("sparkline(index(GOOGLEFINANCE($A56,""price"",workday(today(),-C$2),today()),,2),{""charttype"",""column"";""color"",""green""})"),"")</f>
        <v/>
      </c>
      <c r="D56" s="11">
        <f>IFERROR(__xludf.DUMMYFUNCTION("GOOGLEFINANCE(""NSE:"" &amp;$A56,""price"")"),4300.0)</f>
        <v>4300</v>
      </c>
      <c r="E56" s="11">
        <f>IFERROR(__xludf.DUMMYFUNCTION("GOOGLEFINANCE(""NSE:"" &amp;$A56,""priceopen"")"),4250.0)</f>
        <v>4250</v>
      </c>
      <c r="F56" s="11">
        <f>IFERROR(__xludf.DUMMYFUNCTION("GOOGLEFINANCE(""NSE:"" &amp;$A56,""high"")"),4325.8)</f>
        <v>4325.8</v>
      </c>
      <c r="G56" s="11">
        <f>IFERROR(__xludf.DUMMYFUNCTION("GOOGLEFINANCE(""NSE:"" &amp;$A56,""low"")"),4250.0)</f>
        <v>4250</v>
      </c>
      <c r="H56" s="11">
        <f>IFERROR(__xludf.DUMMYFUNCTION("GOOGLEFINANCE(""NSE:"" &amp;$A56,""closeyest"")"),4294.65)</f>
        <v>4294.65</v>
      </c>
      <c r="I56" s="12">
        <f>IFERROR(__xludf.DUMMYFUNCTION("GOOGLEFINANCE(""NSE:"" &amp;$A56,""change"")"),5.35)</f>
        <v>5.35</v>
      </c>
      <c r="J56" s="13">
        <f>IFERROR(__xludf.DUMMYFUNCTION("GOOGLEFINANCE(""NSE:"" &amp;$A56,""changepct"")/100"),0.0012)</f>
        <v>0.0012</v>
      </c>
      <c r="K56" s="14">
        <f>IFERROR(__xludf.DUMMYFUNCTION("GOOGLEFINANCE(""NSE:"" &amp;$A56,""volume"")"),184339.0)</f>
        <v>184339</v>
      </c>
      <c r="L56" s="13">
        <f>IFERROR(__xludf.DUMMYFUNCTION("$D56/INDEX(GOOGLEFINANCE($A56,""PRICE"",WORKDAY(TODAY(),-L$2)),2,2)-1"),-0.0020654923530366576)</f>
        <v>-0.002065492353</v>
      </c>
      <c r="M56" s="13">
        <f>IFERROR(__xludf.DUMMYFUNCTION("$D56/INDEX(GOOGLEFINANCE($A56,""PRICE"",WORKDAY(TODAY(),-M$2)),2,2)-1"),-0.026345285133651197)</f>
        <v>-0.02634528513</v>
      </c>
      <c r="N56" s="11">
        <f>IFERROR(__xludf.DUMMYFUNCTION("average(INDEX(GOOGLEFINANCE($A56,""PRICE"",WORKDAY(TODAY(),-N$2),today()),,2))"),4255.4125)</f>
        <v>4255.4125</v>
      </c>
      <c r="O56" s="11">
        <f>IFERROR(__xludf.DUMMYFUNCTION("average(INDEX(GOOGLEFINANCE($A56,""PRICE"",WORKDAY(TODAY(),-O$2),today()),,2))"),4316.692857142857)</f>
        <v>4316.692857</v>
      </c>
      <c r="P56" s="15">
        <f>IFERROR(__xludf.DUMMYFUNCTION("GOOGLEFINANCE($A56,""marketcap"")"),2.53713416E11)</f>
        <v>253713416000</v>
      </c>
      <c r="Q56" s="16">
        <f>IFERROR(__xludf.DUMMYFUNCTION("IFERROR(GOOGLEFINANCE($A56,""pe""),""-"")"),151.76)</f>
        <v>151.76</v>
      </c>
      <c r="R56" s="16" t="b">
        <f t="shared" si="1"/>
        <v>1</v>
      </c>
      <c r="S56" s="16" t="b">
        <f t="shared" si="2"/>
        <v>0</v>
      </c>
    </row>
    <row r="57">
      <c r="A57" s="17" t="s">
        <v>79</v>
      </c>
      <c r="B57" s="10" t="str">
        <f>IFERROR(__xludf.DUMMYFUNCTION("GOOGLEFINANCE($A57,""name"")"),"DLF Ltd")</f>
        <v>DLF Ltd</v>
      </c>
      <c r="C57" s="10" t="str">
        <f>IFERROR(__xludf.DUMMYFUNCTION("sparkline(index(GOOGLEFINANCE($A57,""price"",workday(today(),-C$2),today()),,2),{""charttype"",""column"";""color"",""green""})"),"")</f>
        <v/>
      </c>
      <c r="D57" s="11">
        <f>IFERROR(__xludf.DUMMYFUNCTION("GOOGLEFINANCE(""NSE:"" &amp;$A57,""price"")"),380.5)</f>
        <v>380.5</v>
      </c>
      <c r="E57" s="11">
        <f>IFERROR(__xludf.DUMMYFUNCTION("GOOGLEFINANCE(""NSE:"" &amp;$A57,""priceopen"")"),387.4)</f>
        <v>387.4</v>
      </c>
      <c r="F57" s="11">
        <f>IFERROR(__xludf.DUMMYFUNCTION("GOOGLEFINANCE(""NSE:"" &amp;$A57,""high"")"),389.0)</f>
        <v>389</v>
      </c>
      <c r="G57" s="11">
        <f>IFERROR(__xludf.DUMMYFUNCTION("GOOGLEFINANCE(""NSE:"" &amp;$A57,""low"")"),378.45)</f>
        <v>378.45</v>
      </c>
      <c r="H57" s="11">
        <f>IFERROR(__xludf.DUMMYFUNCTION("GOOGLEFINANCE(""NSE:"" &amp;$A57,""closeyest"")"),389.85)</f>
        <v>389.85</v>
      </c>
      <c r="I57" s="12">
        <f>IFERROR(__xludf.DUMMYFUNCTION("GOOGLEFINANCE(""NSE:"" &amp;$A57,""change"")"),-9.35)</f>
        <v>-9.35</v>
      </c>
      <c r="J57" s="13">
        <f>IFERROR(__xludf.DUMMYFUNCTION("GOOGLEFINANCE(""NSE:"" &amp;$A57,""changepct"")/100"),-0.024)</f>
        <v>-0.024</v>
      </c>
      <c r="K57" s="14">
        <f>IFERROR(__xludf.DUMMYFUNCTION("GOOGLEFINANCE(""NSE:"" &amp;$A57,""volume"")"),2971828.0)</f>
        <v>2971828</v>
      </c>
      <c r="L57" s="13">
        <f>IFERROR(__xludf.DUMMYFUNCTION("$D57/INDEX(GOOGLEFINANCE($A57,""PRICE"",WORKDAY(TODAY(),-L$2)),2,2)-1"),-0.02147357592902155)</f>
        <v>-0.02147357593</v>
      </c>
      <c r="M57" s="13">
        <f>IFERROR(__xludf.DUMMYFUNCTION("$D57/INDEX(GOOGLEFINANCE($A57,""PRICE"",WORKDAY(TODAY(),-M$2)),2,2)-1"),-0.05629960317460314)</f>
        <v>-0.05629960317</v>
      </c>
      <c r="N57" s="11">
        <f>IFERROR(__xludf.DUMMYFUNCTION("average(INDEX(GOOGLEFINANCE($A57,""PRICE"",WORKDAY(TODAY(),-N$2),today()),,2))"),383.55000000000007)</f>
        <v>383.55</v>
      </c>
      <c r="O57" s="11">
        <f>IFERROR(__xludf.DUMMYFUNCTION("average(INDEX(GOOGLEFINANCE($A57,""PRICE"",WORKDAY(TODAY(),-O$2),today()),,2))"),388.89285714285717)</f>
        <v>388.8928571</v>
      </c>
      <c r="P57" s="15">
        <f>IFERROR(__xludf.DUMMYFUNCTION("GOOGLEFINANCE($A57,""marketcap"")"),9.406217625E11)</f>
        <v>940621762500</v>
      </c>
      <c r="Q57" s="16">
        <f>IFERROR(__xludf.DUMMYFUNCTION("IFERROR(GOOGLEFINANCE($A57,""pe""),""-"")"),59.88)</f>
        <v>59.88</v>
      </c>
      <c r="R57" s="16" t="b">
        <f t="shared" si="1"/>
        <v>0</v>
      </c>
      <c r="S57" s="16" t="b">
        <f t="shared" si="2"/>
        <v>0</v>
      </c>
    </row>
    <row r="58">
      <c r="A58" s="17" t="s">
        <v>80</v>
      </c>
      <c r="B58" s="10" t="str">
        <f>IFERROR(__xludf.DUMMYFUNCTION("GOOGLEFINANCE($A58,""name"")"),"Dr Reddy's Laboratories Ltd")</f>
        <v>Dr Reddy's Laboratories Ltd</v>
      </c>
      <c r="C58" s="10" t="str">
        <f>IFERROR(__xludf.DUMMYFUNCTION("sparkline(index(GOOGLEFINANCE($A58,""price"",workday(today(),-C$2),today()),,2),{""charttype"",""column"";""color"",""green""})"),"")</f>
        <v/>
      </c>
      <c r="D58" s="11">
        <f>IFERROR(__xludf.DUMMYFUNCTION("GOOGLEFINANCE(""NSE:"" &amp;$A58,""price"")"),4194.0)</f>
        <v>4194</v>
      </c>
      <c r="E58" s="11">
        <f>IFERROR(__xludf.DUMMYFUNCTION("GOOGLEFINANCE(""NSE:"" &amp;$A58,""priceopen"")"),4296.95)</f>
        <v>4296.95</v>
      </c>
      <c r="F58" s="11">
        <f>IFERROR(__xludf.DUMMYFUNCTION("GOOGLEFINANCE(""NSE:"" &amp;$A58,""high"")"),4299.0)</f>
        <v>4299</v>
      </c>
      <c r="G58" s="11">
        <f>IFERROR(__xludf.DUMMYFUNCTION("GOOGLEFINANCE(""NSE:"" &amp;$A58,""low"")"),4167.0)</f>
        <v>4167</v>
      </c>
      <c r="H58" s="11">
        <f>IFERROR(__xludf.DUMMYFUNCTION("GOOGLEFINANCE(""NSE:"" &amp;$A58,""closeyest"")"),4320.3)</f>
        <v>4320.3</v>
      </c>
      <c r="I58" s="12">
        <f>IFERROR(__xludf.DUMMYFUNCTION("GOOGLEFINANCE(""NSE:"" &amp;$A58,""change"")"),-126.3)</f>
        <v>-126.3</v>
      </c>
      <c r="J58" s="13">
        <f>IFERROR(__xludf.DUMMYFUNCTION("GOOGLEFINANCE(""NSE:"" &amp;$A58,""changepct"")/100"),-0.0292)</f>
        <v>-0.0292</v>
      </c>
      <c r="K58" s="14">
        <f>IFERROR(__xludf.DUMMYFUNCTION("GOOGLEFINANCE(""NSE:"" &amp;$A58,""volume"")"),390743.0)</f>
        <v>390743</v>
      </c>
      <c r="L58" s="13" t="str">
        <f>IFERROR(__xludf.DUMMYFUNCTION("$D58/INDEX(GOOGLEFINANCE($A58,""PRICE"",WORKDAY(TODAY(),-L$2)),2,2)-1"),"#N/A")</f>
        <v>#N/A</v>
      </c>
      <c r="M58" s="13">
        <f>IFERROR(__xludf.DUMMYFUNCTION("$D58/INDEX(GOOGLEFINANCE($A58,""PRICE"",WORKDAY(TODAY(),-M$2)),2,2)-1"),-0.042575048510444025)</f>
        <v>-0.04257504851</v>
      </c>
      <c r="N58" s="11">
        <f>IFERROR(__xludf.DUMMYFUNCTION("average(INDEX(GOOGLEFINANCE($A58,""PRICE"",WORKDAY(TODAY(),-N$2),today()),,2))"),4277.0875)</f>
        <v>4277.0875</v>
      </c>
      <c r="O58" s="11">
        <f>IFERROR(__xludf.DUMMYFUNCTION("average(INDEX(GOOGLEFINANCE($A58,""PRICE"",WORKDAY(TODAY(),-O$2),today()),,2))"),4308.628571428571)</f>
        <v>4308.628571</v>
      </c>
      <c r="P58" s="15">
        <f>IFERROR(__xludf.DUMMYFUNCTION("GOOGLEFINANCE($A58,""marketcap"")"),9.077173992E9)</f>
        <v>9077173992</v>
      </c>
      <c r="Q58" s="16">
        <f>IFERROR(__xludf.DUMMYFUNCTION("IFERROR(GOOGLEFINANCE($A58,""pe""),""-"")"),26.39)</f>
        <v>26.39</v>
      </c>
      <c r="R58" s="16" t="b">
        <f t="shared" si="1"/>
        <v>0</v>
      </c>
      <c r="S58" s="16" t="b">
        <f t="shared" si="2"/>
        <v>0</v>
      </c>
    </row>
    <row r="59">
      <c r="A59" s="17" t="s">
        <v>81</v>
      </c>
      <c r="B59" s="10" t="str">
        <f>IFERROR(__xludf.DUMMYFUNCTION("GOOGLEFINANCE($A59,""name"")"),"Eicher Motors Ltd")</f>
        <v>Eicher Motors Ltd</v>
      </c>
      <c r="C59" s="10" t="str">
        <f>IFERROR(__xludf.DUMMYFUNCTION("sparkline(index(GOOGLEFINANCE($A59,""price"",workday(today(),-C$2),today()),,2),{""charttype"",""column"";""color"",""green""})"),"")</f>
        <v/>
      </c>
      <c r="D59" s="11">
        <f>IFERROR(__xludf.DUMMYFUNCTION("GOOGLEFINANCE(""NSE:"" &amp;$A59,""price"")"),2635.0)</f>
        <v>2635</v>
      </c>
      <c r="E59" s="11">
        <f>IFERROR(__xludf.DUMMYFUNCTION("GOOGLEFINANCE(""NSE:"" &amp;$A59,""priceopen"")"),2630.95)</f>
        <v>2630.95</v>
      </c>
      <c r="F59" s="11">
        <f>IFERROR(__xludf.DUMMYFUNCTION("GOOGLEFINANCE(""NSE:"" &amp;$A59,""high"")"),2637.0)</f>
        <v>2637</v>
      </c>
      <c r="G59" s="11">
        <f>IFERROR(__xludf.DUMMYFUNCTION("GOOGLEFINANCE(""NSE:"" &amp;$A59,""low"")"),2582.0)</f>
        <v>2582</v>
      </c>
      <c r="H59" s="11">
        <f>IFERROR(__xludf.DUMMYFUNCTION("GOOGLEFINANCE(""NSE:"" &amp;$A59,""closeyest"")"),2651.5)</f>
        <v>2651.5</v>
      </c>
      <c r="I59" s="12">
        <f>IFERROR(__xludf.DUMMYFUNCTION("GOOGLEFINANCE(""NSE:"" &amp;$A59,""change"")"),-16.5)</f>
        <v>-16.5</v>
      </c>
      <c r="J59" s="13">
        <f>IFERROR(__xludf.DUMMYFUNCTION("GOOGLEFINANCE(""NSE:"" &amp;$A59,""changepct"")/100"),-0.0062)</f>
        <v>-0.0062</v>
      </c>
      <c r="K59" s="14">
        <f>IFERROR(__xludf.DUMMYFUNCTION("GOOGLEFINANCE(""NSE:"" &amp;$A59,""volume"")"),829575.0)</f>
        <v>829575</v>
      </c>
      <c r="L59" s="13">
        <f>IFERROR(__xludf.DUMMYFUNCTION("$D59/INDEX(GOOGLEFINANCE($A59,""PRICE"",WORKDAY(TODAY(),-L$2)),2,2)-1"),0.04938271604938271)</f>
        <v>0.04938271605</v>
      </c>
      <c r="M59" s="13">
        <f>IFERROR(__xludf.DUMMYFUNCTION("$D59/INDEX(GOOGLEFINANCE($A59,""PRICE"",WORKDAY(TODAY(),-M$2)),2,2)-1"),0.03511942174732874)</f>
        <v>0.03511942175</v>
      </c>
      <c r="N59" s="11">
        <f>IFERROR(__xludf.DUMMYFUNCTION("average(INDEX(GOOGLEFINANCE($A59,""PRICE"",WORKDAY(TODAY(),-N$2),today()),,2))"),2538.5375000000004)</f>
        <v>2538.5375</v>
      </c>
      <c r="O59" s="11">
        <f>IFERROR(__xludf.DUMMYFUNCTION("average(INDEX(GOOGLEFINANCE($A59,""PRICE"",WORKDAY(TODAY(),-O$2),today()),,2))"),2530.4285714285716)</f>
        <v>2530.428571</v>
      </c>
      <c r="P59" s="15">
        <f>IFERROR(__xludf.DUMMYFUNCTION("GOOGLEFINANCE($A59,""marketcap"")"),6.95357645089E11)</f>
        <v>695357645089</v>
      </c>
      <c r="Q59" s="16">
        <f>IFERROR(__xludf.DUMMYFUNCTION("IFERROR(GOOGLEFINANCE($A59,""pe""),""-"")"),45.31)</f>
        <v>45.31</v>
      </c>
      <c r="R59" s="16" t="b">
        <f t="shared" si="1"/>
        <v>0</v>
      </c>
      <c r="S59" s="16" t="b">
        <f t="shared" si="2"/>
        <v>0</v>
      </c>
    </row>
    <row r="60">
      <c r="A60" s="17" t="s">
        <v>82</v>
      </c>
      <c r="B60" s="10" t="str">
        <f>IFERROR(__xludf.DUMMYFUNCTION("GOOGLEFINANCE($A60,""name"")"),"Escorts Limited")</f>
        <v>Escorts Limited</v>
      </c>
      <c r="C60" s="10" t="str">
        <f>IFERROR(__xludf.DUMMYFUNCTION("sparkline(index(GOOGLEFINANCE($A60,""price"",workday(today(),-C$2),today()),,2),{""charttype"",""column"";""color"",""green""})"),"")</f>
        <v/>
      </c>
      <c r="D60" s="11">
        <f>IFERROR(__xludf.DUMMYFUNCTION("GOOGLEFINANCE(""NSE:"" &amp;$A60,""price"")"),1582.25)</f>
        <v>1582.25</v>
      </c>
      <c r="E60" s="11">
        <f>IFERROR(__xludf.DUMMYFUNCTION("GOOGLEFINANCE(""NSE:"" &amp;$A60,""priceopen"")"),1576.0)</f>
        <v>1576</v>
      </c>
      <c r="F60" s="11">
        <f>IFERROR(__xludf.DUMMYFUNCTION("GOOGLEFINANCE(""NSE:"" &amp;$A60,""high"")"),1596.45)</f>
        <v>1596.45</v>
      </c>
      <c r="G60" s="11">
        <f>IFERROR(__xludf.DUMMYFUNCTION("GOOGLEFINANCE(""NSE:"" &amp;$A60,""low"")"),1571.8)</f>
        <v>1571.8</v>
      </c>
      <c r="H60" s="11">
        <f>IFERROR(__xludf.DUMMYFUNCTION("GOOGLEFINANCE(""NSE:"" &amp;$A60,""closeyest"")"),1587.05)</f>
        <v>1587.05</v>
      </c>
      <c r="I60" s="12">
        <f>IFERROR(__xludf.DUMMYFUNCTION("GOOGLEFINANCE(""NSE:"" &amp;$A60,""change"")"),-4.8)</f>
        <v>-4.8</v>
      </c>
      <c r="J60" s="13">
        <f>IFERROR(__xludf.DUMMYFUNCTION("GOOGLEFINANCE(""NSE:"" &amp;$A60,""changepct"")/100"),-0.003)</f>
        <v>-0.003</v>
      </c>
      <c r="K60" s="14">
        <f>IFERROR(__xludf.DUMMYFUNCTION("GOOGLEFINANCE(""NSE:"" &amp;$A60,""volume"")"),564103.0)</f>
        <v>564103</v>
      </c>
      <c r="L60" s="13">
        <f>IFERROR(__xludf.DUMMYFUNCTION("$D60/INDEX(GOOGLEFINANCE($A60,""PRICE"",WORKDAY(TODAY(),-L$2)),2,2)-1"),0.022786037491919764)</f>
        <v>0.02278603749</v>
      </c>
      <c r="M60" s="13">
        <f>IFERROR(__xludf.DUMMYFUNCTION("$D60/INDEX(GOOGLEFINANCE($A60,""PRICE"",WORKDAY(TODAY(),-M$2)),2,2)-1"),-0.013467593602892958)</f>
        <v>-0.0134675936</v>
      </c>
      <c r="N60" s="11">
        <f>IFERROR(__xludf.DUMMYFUNCTION("average(INDEX(GOOGLEFINANCE($A60,""PRICE"",WORKDAY(TODAY(),-N$2),today()),,2))"),1550.9125000000001)</f>
        <v>1550.9125</v>
      </c>
      <c r="O60" s="11">
        <f>IFERROR(__xludf.DUMMYFUNCTION("average(INDEX(GOOGLEFINANCE($A60,""PRICE"",WORKDAY(TODAY(),-O$2),today()),,2))"),1555.7071428571428)</f>
        <v>1555.707143</v>
      </c>
      <c r="P60" s="15">
        <f>IFERROR(__xludf.DUMMYFUNCTION("GOOGLEFINANCE($A60,""marketcap"")"),2.08238366309E11)</f>
        <v>208238366309</v>
      </c>
      <c r="Q60" s="16">
        <f>IFERROR(__xludf.DUMMYFUNCTION("IFERROR(GOOGLEFINANCE($A60,""pe""),""-"")"),19.22)</f>
        <v>19.22</v>
      </c>
      <c r="R60" s="16" t="b">
        <f t="shared" si="1"/>
        <v>0</v>
      </c>
      <c r="S60" s="16" t="b">
        <f t="shared" si="2"/>
        <v>0</v>
      </c>
    </row>
    <row r="61">
      <c r="A61" s="17" t="s">
        <v>83</v>
      </c>
      <c r="B61" s="10" t="str">
        <f>IFERROR(__xludf.DUMMYFUNCTION("GOOGLEFINANCE($A61,""name"")"),"Exide Industries Ltd")</f>
        <v>Exide Industries Ltd</v>
      </c>
      <c r="C61" s="10" t="str">
        <f>IFERROR(__xludf.DUMMYFUNCTION("sparkline(index(GOOGLEFINANCE($A61,""price"",workday(today(),-C$2),today()),,2),{""charttype"",""column"";""color"",""green""})"),"")</f>
        <v/>
      </c>
      <c r="D61" s="11">
        <f>IFERROR(__xludf.DUMMYFUNCTION("GOOGLEFINANCE(""NSE:"" &amp;$A61,""price"")"),156.4)</f>
        <v>156.4</v>
      </c>
      <c r="E61" s="11">
        <f>IFERROR(__xludf.DUMMYFUNCTION("GOOGLEFINANCE(""NSE:"" &amp;$A61,""priceopen"")"),155.6)</f>
        <v>155.6</v>
      </c>
      <c r="F61" s="11">
        <f>IFERROR(__xludf.DUMMYFUNCTION("GOOGLEFINANCE(""NSE:"" &amp;$A61,""high"")"),157.75)</f>
        <v>157.75</v>
      </c>
      <c r="G61" s="11">
        <f>IFERROR(__xludf.DUMMYFUNCTION("GOOGLEFINANCE(""NSE:"" &amp;$A61,""low"")"),155.2)</f>
        <v>155.2</v>
      </c>
      <c r="H61" s="11">
        <f>IFERROR(__xludf.DUMMYFUNCTION("GOOGLEFINANCE(""NSE:"" &amp;$A61,""closeyest"")"),156.45)</f>
        <v>156.45</v>
      </c>
      <c r="I61" s="12">
        <f>IFERROR(__xludf.DUMMYFUNCTION("GOOGLEFINANCE(""NSE:"" &amp;$A61,""change"")"),-0.05)</f>
        <v>-0.05</v>
      </c>
      <c r="J61" s="13">
        <f>IFERROR(__xludf.DUMMYFUNCTION("GOOGLEFINANCE(""NSE:"" &amp;$A61,""changepct"")/100"),-3.0E-4)</f>
        <v>-0.0003</v>
      </c>
      <c r="K61" s="14">
        <f>IFERROR(__xludf.DUMMYFUNCTION("GOOGLEFINANCE(""NSE:"" &amp;$A61,""volume"")"),1362397.0)</f>
        <v>1362397</v>
      </c>
      <c r="L61" s="13">
        <f>IFERROR(__xludf.DUMMYFUNCTION("$D61/INDEX(GOOGLEFINANCE($A61,""PRICE"",WORKDAY(TODAY(),-L$2)),2,2)-1"),0.009357857373346379)</f>
        <v>0.009357857373</v>
      </c>
      <c r="M61" s="13">
        <f>IFERROR(__xludf.DUMMYFUNCTION("$D61/INDEX(GOOGLEFINANCE($A61,""PRICE"",WORKDAY(TODAY(),-M$2)),2,2)-1"),-0.02766552688840529)</f>
        <v>-0.02766552689</v>
      </c>
      <c r="N61" s="11">
        <f>IFERROR(__xludf.DUMMYFUNCTION("average(INDEX(GOOGLEFINANCE($A61,""PRICE"",WORKDAY(TODAY(),-N$2),today()),,2))"),154.64999999999998)</f>
        <v>154.65</v>
      </c>
      <c r="O61" s="11">
        <f>IFERROR(__xludf.DUMMYFUNCTION("average(INDEX(GOOGLEFINANCE($A61,""PRICE"",WORKDAY(TODAY(),-O$2),today()),,2))"),156.1142857142857)</f>
        <v>156.1142857</v>
      </c>
      <c r="P61" s="15">
        <f>IFERROR(__xludf.DUMMYFUNCTION("GOOGLEFINANCE($A61,""marketcap"")"),1.31391165672E11)</f>
        <v>131391165672</v>
      </c>
      <c r="Q61" s="16">
        <f>IFERROR(__xludf.DUMMYFUNCTION("IFERROR(GOOGLEFINANCE($A61,""pe""),""-"")"),17.15)</f>
        <v>17.15</v>
      </c>
      <c r="R61" s="16" t="b">
        <f t="shared" si="1"/>
        <v>0</v>
      </c>
      <c r="S61" s="16" t="b">
        <f t="shared" si="2"/>
        <v>0</v>
      </c>
    </row>
    <row r="62">
      <c r="A62" s="17" t="s">
        <v>84</v>
      </c>
      <c r="B62" s="10" t="str">
        <f>IFERROR(__xludf.DUMMYFUNCTION("GOOGLEFINANCE($A62,""name"")"),"Federal Bank Ltd")</f>
        <v>Federal Bank Ltd</v>
      </c>
      <c r="C62" s="10" t="str">
        <f>IFERROR(__xludf.DUMMYFUNCTION("sparkline(index(GOOGLEFINANCE($A62,""price"",workday(today(),-C$2),today()),,2),{""charttype"",""column"";""color"",""green""})"),"")</f>
        <v/>
      </c>
      <c r="D62" s="11">
        <f>IFERROR(__xludf.DUMMYFUNCTION("GOOGLEFINANCE(""NSE:"" &amp;$A62,""price"")"),95.8)</f>
        <v>95.8</v>
      </c>
      <c r="E62" s="11">
        <f>IFERROR(__xludf.DUMMYFUNCTION("GOOGLEFINANCE(""NSE:"" &amp;$A62,""priceopen"")"),96.5)</f>
        <v>96.5</v>
      </c>
      <c r="F62" s="11">
        <f>IFERROR(__xludf.DUMMYFUNCTION("GOOGLEFINANCE(""NSE:"" &amp;$A62,""high"")"),96.7)</f>
        <v>96.7</v>
      </c>
      <c r="G62" s="11">
        <f>IFERROR(__xludf.DUMMYFUNCTION("GOOGLEFINANCE(""NSE:"" &amp;$A62,""low"")"),95.4)</f>
        <v>95.4</v>
      </c>
      <c r="H62" s="11">
        <f>IFERROR(__xludf.DUMMYFUNCTION("GOOGLEFINANCE(""NSE:"" &amp;$A62,""closeyest"")"),96.6)</f>
        <v>96.6</v>
      </c>
      <c r="I62" s="12">
        <f>IFERROR(__xludf.DUMMYFUNCTION("GOOGLEFINANCE(""NSE:"" &amp;$A62,""change"")"),-0.8)</f>
        <v>-0.8</v>
      </c>
      <c r="J62" s="13">
        <f>IFERROR(__xludf.DUMMYFUNCTION("GOOGLEFINANCE(""NSE:"" &amp;$A62,""changepct"")/100"),-0.0083)</f>
        <v>-0.0083</v>
      </c>
      <c r="K62" s="14">
        <f>IFERROR(__xludf.DUMMYFUNCTION("GOOGLEFINANCE(""NSE:"" &amp;$A62,""volume"")"),1.1899685E7)</f>
        <v>11899685</v>
      </c>
      <c r="L62" s="13" t="str">
        <f>IFERROR(__xludf.DUMMYFUNCTION("$D62/INDEX(GOOGLEFINANCE($A62,""PRICE"",WORKDAY(TODAY(),-L$2)),2,2)-1"),"#N/A")</f>
        <v>#N/A</v>
      </c>
      <c r="M62" s="13">
        <f>IFERROR(__xludf.DUMMYFUNCTION("$D62/INDEX(GOOGLEFINANCE($A62,""PRICE"",WORKDAY(TODAY(),-M$2)),2,2)-1"),-0.04247876061969014)</f>
        <v>-0.04247876062</v>
      </c>
      <c r="N62" s="11" t="str">
        <f>IFERROR(__xludf.DUMMYFUNCTION("average(INDEX(GOOGLEFINANCE($A62,""PRICE"",WORKDAY(TODAY(),-N$2),today()),,2))"),"#N/A")</f>
        <v>#N/A</v>
      </c>
      <c r="O62" s="11">
        <f>IFERROR(__xludf.DUMMYFUNCTION("average(INDEX(GOOGLEFINANCE($A62,""PRICE"",WORKDAY(TODAY(),-O$2),today()),,2))"),97.62857142857142)</f>
        <v>97.62857143</v>
      </c>
      <c r="P62" s="15">
        <f>IFERROR(__xludf.DUMMYFUNCTION("GOOGLEFINANCE($A62,""marketcap"")"),2.0186507223E11)</f>
        <v>201865072230</v>
      </c>
      <c r="Q62" s="16">
        <f>IFERROR(__xludf.DUMMYFUNCTION("IFERROR(GOOGLEFINANCE($A62,""pe""),""-"")"),10.43)</f>
        <v>10.43</v>
      </c>
      <c r="R62" s="16" t="b">
        <f t="shared" si="1"/>
        <v>0</v>
      </c>
      <c r="S62" s="16" t="b">
        <f t="shared" si="2"/>
        <v>0</v>
      </c>
    </row>
    <row r="63">
      <c r="A63" s="17" t="s">
        <v>85</v>
      </c>
      <c r="B63" s="10" t="str">
        <f>IFERROR(__xludf.DUMMYFUNCTION("GOOGLEFINANCE($A63,""name"")"),"GAIL (India) Limited")</f>
        <v>GAIL (India) Limited</v>
      </c>
      <c r="C63" s="10" t="str">
        <f>IFERROR(__xludf.DUMMYFUNCTION("sparkline(index(GOOGLEFINANCE($A63,""price"",workday(today(),-C$2),today()),,2),{""charttype"",""column"";""color"",""green""})"),"")</f>
        <v/>
      </c>
      <c r="D63" s="11">
        <f>IFERROR(__xludf.DUMMYFUNCTION("GOOGLEFINANCE(""NSE:"" &amp;$A63,""price"")"),164.4)</f>
        <v>164.4</v>
      </c>
      <c r="E63" s="11">
        <f>IFERROR(__xludf.DUMMYFUNCTION("GOOGLEFINANCE(""NSE:"" &amp;$A63,""priceopen"")"),163.0)</f>
        <v>163</v>
      </c>
      <c r="F63" s="11">
        <f>IFERROR(__xludf.DUMMYFUNCTION("GOOGLEFINANCE(""NSE:"" &amp;$A63,""high"")"),165.7)</f>
        <v>165.7</v>
      </c>
      <c r="G63" s="11">
        <f>IFERROR(__xludf.DUMMYFUNCTION("GOOGLEFINANCE(""NSE:"" &amp;$A63,""low"")"),162.4)</f>
        <v>162.4</v>
      </c>
      <c r="H63" s="11">
        <f>IFERROR(__xludf.DUMMYFUNCTION("GOOGLEFINANCE(""NSE:"" &amp;$A63,""closeyest"")"),164.0)</f>
        <v>164</v>
      </c>
      <c r="I63" s="12">
        <f>IFERROR(__xludf.DUMMYFUNCTION("GOOGLEFINANCE(""NSE:"" &amp;$A63,""change"")"),0.4)</f>
        <v>0.4</v>
      </c>
      <c r="J63" s="13">
        <f>IFERROR(__xludf.DUMMYFUNCTION("GOOGLEFINANCE(""NSE:"" &amp;$A63,""changepct"")/100"),0.0024)</f>
        <v>0.0024</v>
      </c>
      <c r="K63" s="14">
        <f>IFERROR(__xludf.DUMMYFUNCTION("GOOGLEFINANCE(""NSE:"" &amp;$A63,""volume"")"),7227533.0)</f>
        <v>7227533</v>
      </c>
      <c r="L63" s="13">
        <f>IFERROR(__xludf.DUMMYFUNCTION("$D63/INDEX(GOOGLEFINANCE($A63,""PRICE"",WORKDAY(TODAY(),-L$2)),2,2)-1"),-0.021137243227150826)</f>
        <v>-0.02113724323</v>
      </c>
      <c r="M63" s="13">
        <f>IFERROR(__xludf.DUMMYFUNCTION("$D63/INDEX(GOOGLEFINANCE($A63,""PRICE"",WORKDAY(TODAY(),-M$2)),2,2)-1"),-0.0012150668286755595)</f>
        <v>-0.001215066829</v>
      </c>
      <c r="N63" s="11">
        <f>IFERROR(__xludf.DUMMYFUNCTION("average(INDEX(GOOGLEFINANCE($A63,""PRICE"",WORKDAY(TODAY(),-N$2),today()),,2))"),166.8875)</f>
        <v>166.8875</v>
      </c>
      <c r="O63" s="11">
        <f>IFERROR(__xludf.DUMMYFUNCTION("average(INDEX(GOOGLEFINANCE($A63,""PRICE"",WORKDAY(TODAY(),-O$2),today()),,2))"),166.78571428571428)</f>
        <v>166.7857143</v>
      </c>
      <c r="P63" s="15">
        <f>IFERROR(__xludf.DUMMYFUNCTION("GOOGLEFINANCE($A63,""marketcap"")"),7.47574223406E11)</f>
        <v>747574223406</v>
      </c>
      <c r="Q63" s="16">
        <f>IFERROR(__xludf.DUMMYFUNCTION("IFERROR(GOOGLEFINANCE($A63,""pe""),""-"")"),6.49)</f>
        <v>6.49</v>
      </c>
      <c r="R63" s="16" t="b">
        <f t="shared" si="1"/>
        <v>0</v>
      </c>
      <c r="S63" s="16" t="b">
        <f t="shared" si="2"/>
        <v>0</v>
      </c>
    </row>
    <row r="64">
      <c r="A64" s="17" t="s">
        <v>86</v>
      </c>
      <c r="B64" s="10" t="str">
        <f>IFERROR(__xludf.DUMMYFUNCTION("GOOGLEFINANCE($A64,""name"")"),"Glenmark Pharmaceuticals Ltd")</f>
        <v>Glenmark Pharmaceuticals Ltd</v>
      </c>
      <c r="C64" s="10" t="str">
        <f>IFERROR(__xludf.DUMMYFUNCTION("sparkline(index(GOOGLEFINANCE($A64,""price"",workday(today(),-C$2),today()),,2),{""charttype"",""column"";""color"",""green""})"),"")</f>
        <v/>
      </c>
      <c r="D64" s="11">
        <f>IFERROR(__xludf.DUMMYFUNCTION("GOOGLEFINANCE(""NSE:"" &amp;$A64,""price"")"),443.4)</f>
        <v>443.4</v>
      </c>
      <c r="E64" s="11">
        <f>IFERROR(__xludf.DUMMYFUNCTION("GOOGLEFINANCE(""NSE:"" &amp;$A64,""priceopen"")"),453.6)</f>
        <v>453.6</v>
      </c>
      <c r="F64" s="11">
        <f>IFERROR(__xludf.DUMMYFUNCTION("GOOGLEFINANCE(""NSE:"" &amp;$A64,""high"")"),456.1)</f>
        <v>456.1</v>
      </c>
      <c r="G64" s="11">
        <f>IFERROR(__xludf.DUMMYFUNCTION("GOOGLEFINANCE(""NSE:"" &amp;$A64,""low"")"),442.2)</f>
        <v>442.2</v>
      </c>
      <c r="H64" s="11">
        <f>IFERROR(__xludf.DUMMYFUNCTION("GOOGLEFINANCE(""NSE:"" &amp;$A64,""closeyest"")"),453.6)</f>
        <v>453.6</v>
      </c>
      <c r="I64" s="12">
        <f>IFERROR(__xludf.DUMMYFUNCTION("GOOGLEFINANCE(""NSE:"" &amp;$A64,""change"")"),-10.2)</f>
        <v>-10.2</v>
      </c>
      <c r="J64" s="13">
        <f>IFERROR(__xludf.DUMMYFUNCTION("GOOGLEFINANCE(""NSE:"" &amp;$A64,""changepct"")/100"),-0.0225)</f>
        <v>-0.0225</v>
      </c>
      <c r="K64" s="14">
        <f>IFERROR(__xludf.DUMMYFUNCTION("GOOGLEFINANCE(""NSE:"" &amp;$A64,""volume"")"),595459.0)</f>
        <v>595459</v>
      </c>
      <c r="L64" s="13">
        <f>IFERROR(__xludf.DUMMYFUNCTION("$D64/INDEX(GOOGLEFINANCE($A64,""PRICE"",WORKDAY(TODAY(),-L$2)),2,2)-1"),-0.05246286996473981)</f>
        <v>-0.05246286996</v>
      </c>
      <c r="M64" s="13">
        <f>IFERROR(__xludf.DUMMYFUNCTION("$D64/INDEX(GOOGLEFINANCE($A64,""PRICE"",WORKDAY(TODAY(),-M$2)),2,2)-1"),-0.07248195795418899)</f>
        <v>-0.07248195795</v>
      </c>
      <c r="N64" s="11">
        <f>IFERROR(__xludf.DUMMYFUNCTION("average(INDEX(GOOGLEFINANCE($A64,""PRICE"",WORKDAY(TODAY(),-N$2),today()),,2))"),459.5625)</f>
        <v>459.5625</v>
      </c>
      <c r="O64" s="11">
        <f>IFERROR(__xludf.DUMMYFUNCTION("average(INDEX(GOOGLEFINANCE($A64,""PRICE"",WORKDAY(TODAY(),-O$2),today()),,2))"),467.0428571428571)</f>
        <v>467.0428571</v>
      </c>
      <c r="P64" s="15">
        <f>IFERROR(__xludf.DUMMYFUNCTION("GOOGLEFINANCE($A64,""marketcap"")"),1.2570202557E11)</f>
        <v>125702025570</v>
      </c>
      <c r="Q64" s="16">
        <f>IFERROR(__xludf.DUMMYFUNCTION("IFERROR(GOOGLEFINANCE($A64,""pe""),""-"")"),12.27)</f>
        <v>12.27</v>
      </c>
      <c r="R64" s="16" t="b">
        <f t="shared" si="1"/>
        <v>0</v>
      </c>
      <c r="S64" s="16" t="b">
        <f t="shared" si="2"/>
        <v>0</v>
      </c>
    </row>
    <row r="65">
      <c r="A65" s="17" t="s">
        <v>87</v>
      </c>
      <c r="B65" s="10" t="str">
        <f>IFERROR(__xludf.DUMMYFUNCTION("GOOGLEFINANCE($A65,""name"")"),"GMR Infrastructure Ltd")</f>
        <v>GMR Infrastructure Ltd</v>
      </c>
      <c r="C65" s="10" t="str">
        <f>IFERROR(__xludf.DUMMYFUNCTION("sparkline(index(GOOGLEFINANCE($A65,""price"",workday(today(),-C$2),today()),,2),{""charttype"",""column"";""color"",""green""})"),"")</f>
        <v/>
      </c>
      <c r="D65" s="11">
        <f>IFERROR(__xludf.DUMMYFUNCTION("GOOGLEFINANCE(""NSE:"" &amp;$A65,""price"")"),37.6)</f>
        <v>37.6</v>
      </c>
      <c r="E65" s="11">
        <f>IFERROR(__xludf.DUMMYFUNCTION("GOOGLEFINANCE(""NSE:"" &amp;$A65,""priceopen"")"),37.95)</f>
        <v>37.95</v>
      </c>
      <c r="F65" s="11">
        <f>IFERROR(__xludf.DUMMYFUNCTION("GOOGLEFINANCE(""NSE:"" &amp;$A65,""high"")"),38.5)</f>
        <v>38.5</v>
      </c>
      <c r="G65" s="11">
        <f>IFERROR(__xludf.DUMMYFUNCTION("GOOGLEFINANCE(""NSE:"" &amp;$A65,""low"")"),37.45)</f>
        <v>37.45</v>
      </c>
      <c r="H65" s="11">
        <f>IFERROR(__xludf.DUMMYFUNCTION("GOOGLEFINANCE(""NSE:"" &amp;$A65,""closeyest"")"),38.0)</f>
        <v>38</v>
      </c>
      <c r="I65" s="12">
        <f>IFERROR(__xludf.DUMMYFUNCTION("GOOGLEFINANCE(""NSE:"" &amp;$A65,""change"")"),-0.4)</f>
        <v>-0.4</v>
      </c>
      <c r="J65" s="13">
        <f>IFERROR(__xludf.DUMMYFUNCTION("GOOGLEFINANCE(""NSE:"" &amp;$A65,""changepct"")/100"),-0.0105)</f>
        <v>-0.0105</v>
      </c>
      <c r="K65" s="14">
        <f>IFERROR(__xludf.DUMMYFUNCTION("GOOGLEFINANCE(""NSE:"" &amp;$A65,""volume"")"),9196414.0)</f>
        <v>9196414</v>
      </c>
      <c r="L65" s="13">
        <f>IFERROR(__xludf.DUMMYFUNCTION("$D65/INDEX(GOOGLEFINANCE($A65,""PRICE"",WORKDAY(TODAY(),-L$2)),2,2)-1"),-0.025906735751295318)</f>
        <v>-0.02590673575</v>
      </c>
      <c r="M65" s="13">
        <f>IFERROR(__xludf.DUMMYFUNCTION("$D65/INDEX(GOOGLEFINANCE($A65,""PRICE"",WORKDAY(TODAY(),-M$2)),2,2)-1"),-0.05999999999999994)</f>
        <v>-0.06</v>
      </c>
      <c r="N65" s="11">
        <f>IFERROR(__xludf.DUMMYFUNCTION("average(INDEX(GOOGLEFINANCE($A65,""PRICE"",WORKDAY(TODAY(),-N$2),today()),,2))"),37.6375)</f>
        <v>37.6375</v>
      </c>
      <c r="O65" s="11">
        <f>IFERROR(__xludf.DUMMYFUNCTION("average(INDEX(GOOGLEFINANCE($A65,""PRICE"",WORKDAY(TODAY(),-O$2),today()),,2))"),38.41428571428572)</f>
        <v>38.41428571</v>
      </c>
      <c r="P65" s="15">
        <f>IFERROR(__xludf.DUMMYFUNCTION("GOOGLEFINANCE($A65,""marketcap"")"),2.28805400501E11)</f>
        <v>228805400501</v>
      </c>
      <c r="Q65" s="16" t="str">
        <f>IFERROR(__xludf.DUMMYFUNCTION("IFERROR(GOOGLEFINANCE($A65,""pe""),""-"")"),"-")</f>
        <v>-</v>
      </c>
      <c r="R65" s="16" t="b">
        <f t="shared" si="1"/>
        <v>0</v>
      </c>
      <c r="S65" s="16" t="b">
        <f t="shared" si="2"/>
        <v>0</v>
      </c>
    </row>
    <row r="66">
      <c r="A66" s="17" t="s">
        <v>88</v>
      </c>
      <c r="B66" s="10" t="str">
        <f>IFERROR(__xludf.DUMMYFUNCTION("GOOGLEFINANCE($A66,""name"")"),"Godrej Consumer Products Limited")</f>
        <v>Godrej Consumer Products Limited</v>
      </c>
      <c r="C66" s="10" t="str">
        <f>IFERROR(__xludf.DUMMYFUNCTION("sparkline(index(GOOGLEFINANCE($A66,""price"",workday(today(),-C$2),today()),,2),{""charttype"",""column"";""color"",""green""})"),"")</f>
        <v/>
      </c>
      <c r="D66" s="11">
        <f>IFERROR(__xludf.DUMMYFUNCTION("GOOGLEFINANCE(""NSE:"" &amp;$A66,""price"")"),795.15)</f>
        <v>795.15</v>
      </c>
      <c r="E66" s="11">
        <f>IFERROR(__xludf.DUMMYFUNCTION("GOOGLEFINANCE(""NSE:"" &amp;$A66,""priceopen"")"),794.9)</f>
        <v>794.9</v>
      </c>
      <c r="F66" s="11">
        <f>IFERROR(__xludf.DUMMYFUNCTION("GOOGLEFINANCE(""NSE:"" &amp;$A66,""high"")"),805.35)</f>
        <v>805.35</v>
      </c>
      <c r="G66" s="11">
        <f>IFERROR(__xludf.DUMMYFUNCTION("GOOGLEFINANCE(""NSE:"" &amp;$A66,""low"")"),788.15)</f>
        <v>788.15</v>
      </c>
      <c r="H66" s="11">
        <f>IFERROR(__xludf.DUMMYFUNCTION("GOOGLEFINANCE(""NSE:"" &amp;$A66,""closeyest"")"),798.0)</f>
        <v>798</v>
      </c>
      <c r="I66" s="12">
        <f>IFERROR(__xludf.DUMMYFUNCTION("GOOGLEFINANCE(""NSE:"" &amp;$A66,""change"")"),-2.85)</f>
        <v>-2.85</v>
      </c>
      <c r="J66" s="13">
        <f>IFERROR(__xludf.DUMMYFUNCTION("GOOGLEFINANCE(""NSE:"" &amp;$A66,""changepct"")/100"),-0.0036)</f>
        <v>-0.0036</v>
      </c>
      <c r="K66" s="14">
        <f>IFERROR(__xludf.DUMMYFUNCTION("GOOGLEFINANCE(""NSE:"" &amp;$A66,""volume"")"),453216.0)</f>
        <v>453216</v>
      </c>
      <c r="L66" s="13">
        <f>IFERROR(__xludf.DUMMYFUNCTION("$D66/INDEX(GOOGLEFINANCE($A66,""PRICE"",WORKDAY(TODAY(),-L$2)),2,2)-1"),-0.0015068751177246265)</f>
        <v>-0.001506875118</v>
      </c>
      <c r="M66" s="13">
        <f>IFERROR(__xludf.DUMMYFUNCTION("$D66/INDEX(GOOGLEFINANCE($A66,""PRICE"",WORKDAY(TODAY(),-M$2)),2,2)-1"),-0.021052631578947434)</f>
        <v>-0.02105263158</v>
      </c>
      <c r="N66" s="11">
        <f>IFERROR(__xludf.DUMMYFUNCTION("average(INDEX(GOOGLEFINANCE($A66,""PRICE"",WORKDAY(TODAY(),-N$2),today()),,2))"),792.45)</f>
        <v>792.45</v>
      </c>
      <c r="O66" s="11">
        <f>IFERROR(__xludf.DUMMYFUNCTION("average(INDEX(GOOGLEFINANCE($A66,""PRICE"",WORKDAY(TODAY(),-O$2),today()),,2))"),796.3571428571428)</f>
        <v>796.3571429</v>
      </c>
      <c r="P66" s="15">
        <f>IFERROR(__xludf.DUMMYFUNCTION("GOOGLEFINANCE($A66,""marketcap"")"),7.87352862789E11)</f>
        <v>787352862789</v>
      </c>
      <c r="Q66" s="16">
        <f>IFERROR(__xludf.DUMMYFUNCTION("IFERROR(GOOGLEFINANCE($A66,""pe""),""-"")"),45.52)</f>
        <v>45.52</v>
      </c>
      <c r="R66" s="16" t="b">
        <f t="shared" si="1"/>
        <v>0</v>
      </c>
      <c r="S66" s="16" t="b">
        <f t="shared" si="2"/>
        <v>0</v>
      </c>
    </row>
    <row r="67">
      <c r="A67" s="17" t="s">
        <v>89</v>
      </c>
      <c r="B67" s="10" t="str">
        <f>IFERROR(__xludf.DUMMYFUNCTION("GOOGLEFINANCE($A67,""name"")"),"Godrej Properties Ltd")</f>
        <v>Godrej Properties Ltd</v>
      </c>
      <c r="C67" s="10" t="str">
        <f>IFERROR(__xludf.DUMMYFUNCTION("sparkline(index(GOOGLEFINANCE($A67,""price"",workday(today(),-C$2),today()),,2),{""charttype"",""column"";""color"",""green""})"),"")</f>
        <v/>
      </c>
      <c r="D67" s="11">
        <f>IFERROR(__xludf.DUMMYFUNCTION("GOOGLEFINANCE(""NSE:"" &amp;$A67,""price"")"),1574.0)</f>
        <v>1574</v>
      </c>
      <c r="E67" s="11">
        <f>IFERROR(__xludf.DUMMYFUNCTION("GOOGLEFINANCE(""NSE:"" &amp;$A67,""priceopen"")"),1580.0)</f>
        <v>1580</v>
      </c>
      <c r="F67" s="11">
        <f>IFERROR(__xludf.DUMMYFUNCTION("GOOGLEFINANCE(""NSE:"" &amp;$A67,""high"")"),1599.5)</f>
        <v>1599.5</v>
      </c>
      <c r="G67" s="11">
        <f>IFERROR(__xludf.DUMMYFUNCTION("GOOGLEFINANCE(""NSE:"" &amp;$A67,""low"")"),1565.05)</f>
        <v>1565.05</v>
      </c>
      <c r="H67" s="11">
        <f>IFERROR(__xludf.DUMMYFUNCTION("GOOGLEFINANCE(""NSE:"" &amp;$A67,""closeyest"")"),1593.9)</f>
        <v>1593.9</v>
      </c>
      <c r="I67" s="12">
        <f>IFERROR(__xludf.DUMMYFUNCTION("GOOGLEFINANCE(""NSE:"" &amp;$A67,""change"")"),-19.9)</f>
        <v>-19.9</v>
      </c>
      <c r="J67" s="13">
        <f>IFERROR(__xludf.DUMMYFUNCTION("GOOGLEFINANCE(""NSE:"" &amp;$A67,""changepct"")/100"),-0.0125)</f>
        <v>-0.0125</v>
      </c>
      <c r="K67" s="14">
        <f>IFERROR(__xludf.DUMMYFUNCTION("GOOGLEFINANCE(""NSE:"" &amp;$A67,""volume"")"),341043.0)</f>
        <v>341043</v>
      </c>
      <c r="L67" s="13">
        <f>IFERROR(__xludf.DUMMYFUNCTION("$D67/INDEX(GOOGLEFINANCE($A67,""PRICE"",WORKDAY(TODAY(),-L$2)),2,2)-1"),-0.0192229803408418)</f>
        <v>-0.01922298034</v>
      </c>
      <c r="M67" s="13">
        <f>IFERROR(__xludf.DUMMYFUNCTION("$D67/INDEX(GOOGLEFINANCE($A67,""PRICE"",WORKDAY(TODAY(),-M$2)),2,2)-1"),-0.06783927037991178)</f>
        <v>-0.06783927038</v>
      </c>
      <c r="N67" s="11" t="str">
        <f>IFERROR(__xludf.DUMMYFUNCTION("average(INDEX(GOOGLEFINANCE($A67,""PRICE"",WORKDAY(TODAY(),-N$2),today()),,2))"),"#N/A")</f>
        <v>#N/A</v>
      </c>
      <c r="O67" s="11">
        <f>IFERROR(__xludf.DUMMYFUNCTION("average(INDEX(GOOGLEFINANCE($A67,""PRICE"",WORKDAY(TODAY(),-O$2),today()),,2))"),1606.1571428571428)</f>
        <v>1606.157143</v>
      </c>
      <c r="P67" s="15">
        <f>IFERROR(__xludf.DUMMYFUNCTION("GOOGLEFINANCE($A67,""marketcap"")"),4.33591769395E11)</f>
        <v>433591769395</v>
      </c>
      <c r="Q67" s="16" t="str">
        <f>IFERROR(__xludf.DUMMYFUNCTION("IFERROR(GOOGLEFINANCE($A67,""pe""),""-"")"),"-")</f>
        <v>-</v>
      </c>
      <c r="R67" s="16" t="b">
        <f t="shared" si="1"/>
        <v>0</v>
      </c>
      <c r="S67" s="16" t="b">
        <f t="shared" si="2"/>
        <v>0</v>
      </c>
    </row>
    <row r="68">
      <c r="A68" s="17" t="s">
        <v>90</v>
      </c>
      <c r="B68" s="10" t="str">
        <f>IFERROR(__xludf.DUMMYFUNCTION("GOOGLEFINANCE($A68,""name"")"),"Granules India Ltd")</f>
        <v>Granules India Ltd</v>
      </c>
      <c r="C68" s="10" t="str">
        <f>IFERROR(__xludf.DUMMYFUNCTION("sparkline(index(GOOGLEFINANCE($A68,""price"",workday(today(),-C$2),today()),,2),{""charttype"",""column"";""color"",""green""})"),"")</f>
        <v/>
      </c>
      <c r="D68" s="11">
        <f>IFERROR(__xludf.DUMMYFUNCTION("GOOGLEFINANCE(""NSE:"" &amp;$A68,""price"")"),293.1)</f>
        <v>293.1</v>
      </c>
      <c r="E68" s="11">
        <f>IFERROR(__xludf.DUMMYFUNCTION("GOOGLEFINANCE(""NSE:"" &amp;$A68,""priceopen"")"),291.2)</f>
        <v>291.2</v>
      </c>
      <c r="F68" s="11">
        <f>IFERROR(__xludf.DUMMYFUNCTION("GOOGLEFINANCE(""NSE:"" &amp;$A68,""high"")"),297.95)</f>
        <v>297.95</v>
      </c>
      <c r="G68" s="11">
        <f>IFERROR(__xludf.DUMMYFUNCTION("GOOGLEFINANCE(""NSE:"" &amp;$A68,""low"")"),287.6)</f>
        <v>287.6</v>
      </c>
      <c r="H68" s="11">
        <f>IFERROR(__xludf.DUMMYFUNCTION("GOOGLEFINANCE(""NSE:"" &amp;$A68,""closeyest"")"),291.7)</f>
        <v>291.7</v>
      </c>
      <c r="I68" s="12">
        <f>IFERROR(__xludf.DUMMYFUNCTION("GOOGLEFINANCE(""NSE:"" &amp;$A68,""change"")"),1.4)</f>
        <v>1.4</v>
      </c>
      <c r="J68" s="13">
        <f>IFERROR(__xludf.DUMMYFUNCTION("GOOGLEFINANCE(""NSE:"" &amp;$A68,""changepct"")/100"),0.0048)</f>
        <v>0.0048</v>
      </c>
      <c r="K68" s="14">
        <f>IFERROR(__xludf.DUMMYFUNCTION("GOOGLEFINANCE(""NSE:"" &amp;$A68,""volume"")"),1275499.0)</f>
        <v>1275499</v>
      </c>
      <c r="L68" s="13">
        <f>IFERROR(__xludf.DUMMYFUNCTION("$D68/INDEX(GOOGLEFINANCE($A68,""PRICE"",WORKDAY(TODAY(),-L$2)),2,2)-1"),-0.01578240429818667)</f>
        <v>-0.0157824043</v>
      </c>
      <c r="M68" s="13" t="str">
        <f>IFERROR(__xludf.DUMMYFUNCTION("$D68/INDEX(GOOGLEFINANCE($A68,""PRICE"",WORKDAY(TODAY(),-M$2)),2,2)-1"),"#N/A")</f>
        <v>#N/A</v>
      </c>
      <c r="N68" s="11">
        <f>IFERROR(__xludf.DUMMYFUNCTION("average(INDEX(GOOGLEFINANCE($A68,""PRICE"",WORKDAY(TODAY(),-N$2),today()),,2))"),292.175)</f>
        <v>292.175</v>
      </c>
      <c r="O68" s="11">
        <f>IFERROR(__xludf.DUMMYFUNCTION("average(INDEX(GOOGLEFINANCE($A68,""PRICE"",WORKDAY(TODAY(),-O$2),today()),,2))"),297.2)</f>
        <v>297.2</v>
      </c>
      <c r="P68" s="15">
        <f>IFERROR(__xludf.DUMMYFUNCTION("GOOGLEFINANCE($A68,""marketcap"")"),7.3130650724E10)</f>
        <v>73130650724</v>
      </c>
      <c r="Q68" s="16">
        <f>IFERROR(__xludf.DUMMYFUNCTION("IFERROR(GOOGLEFINANCE($A68,""pe""),""-"")"),17.09)</f>
        <v>17.09</v>
      </c>
      <c r="R68" s="16" t="b">
        <f t="shared" si="1"/>
        <v>0</v>
      </c>
      <c r="S68" s="16" t="b">
        <f t="shared" si="2"/>
        <v>0</v>
      </c>
    </row>
    <row r="69">
      <c r="A69" s="17" t="s">
        <v>91</v>
      </c>
      <c r="B69" s="10" t="str">
        <f>IFERROR(__xludf.DUMMYFUNCTION("GOOGLEFINANCE($A69,""name"")"),"Grasim Industries Ltd")</f>
        <v>Grasim Industries Ltd</v>
      </c>
      <c r="C69" s="10" t="str">
        <f>IFERROR(__xludf.DUMMYFUNCTION("sparkline(index(GOOGLEFINANCE($A69,""price"",workday(today(),-C$2),today()),,2),{""charttype"",""column"";""color"",""green""})"),"")</f>
        <v/>
      </c>
      <c r="D69" s="11">
        <f>IFERROR(__xludf.DUMMYFUNCTION("GOOGLEFINANCE(""NSE:"" &amp;$A69,""price"")"),1718.0)</f>
        <v>1718</v>
      </c>
      <c r="E69" s="11">
        <f>IFERROR(__xludf.DUMMYFUNCTION("GOOGLEFINANCE(""NSE:"" &amp;$A69,""priceopen"")"),1748.0)</f>
        <v>1748</v>
      </c>
      <c r="F69" s="11">
        <f>IFERROR(__xludf.DUMMYFUNCTION("GOOGLEFINANCE(""NSE:"" &amp;$A69,""high"")"),1754.0)</f>
        <v>1754</v>
      </c>
      <c r="G69" s="11">
        <f>IFERROR(__xludf.DUMMYFUNCTION("GOOGLEFINANCE(""NSE:"" &amp;$A69,""low"")"),1710.0)</f>
        <v>1710</v>
      </c>
      <c r="H69" s="11">
        <f>IFERROR(__xludf.DUMMYFUNCTION("GOOGLEFINANCE(""NSE:"" &amp;$A69,""closeyest"")"),1764.25)</f>
        <v>1764.25</v>
      </c>
      <c r="I69" s="12">
        <f>IFERROR(__xludf.DUMMYFUNCTION("GOOGLEFINANCE(""NSE:"" &amp;$A69,""change"")"),-46.25)</f>
        <v>-46.25</v>
      </c>
      <c r="J69" s="13">
        <f>IFERROR(__xludf.DUMMYFUNCTION("GOOGLEFINANCE(""NSE:"" &amp;$A69,""changepct"")/100"),-0.0262)</f>
        <v>-0.0262</v>
      </c>
      <c r="K69" s="14">
        <f>IFERROR(__xludf.DUMMYFUNCTION("GOOGLEFINANCE(""NSE:"" &amp;$A69,""volume"")"),896489.0)</f>
        <v>896489</v>
      </c>
      <c r="L69" s="13" t="str">
        <f>IFERROR(__xludf.DUMMYFUNCTION("$D69/INDEX(GOOGLEFINANCE($A69,""PRICE"",WORKDAY(TODAY(),-L$2)),2,2)-1"),"#N/A")</f>
        <v>#N/A</v>
      </c>
      <c r="M69" s="13">
        <f>IFERROR(__xludf.DUMMYFUNCTION("$D69/INDEX(GOOGLEFINANCE($A69,""PRICE"",WORKDAY(TODAY(),-M$2)),2,2)-1"),-0.056121748207565325)</f>
        <v>-0.05612174821</v>
      </c>
      <c r="N69" s="11">
        <f>IFERROR(__xludf.DUMMYFUNCTION("average(INDEX(GOOGLEFINANCE($A69,""PRICE"",WORKDAY(TODAY(),-N$2),today()),,2))"),1740.6374999999998)</f>
        <v>1740.6375</v>
      </c>
      <c r="O69" s="11" t="str">
        <f>IFERROR(__xludf.DUMMYFUNCTION("average(INDEX(GOOGLEFINANCE($A69,""PRICE"",WORKDAY(TODAY(),-O$2),today()),,2))"),"#N/A")</f>
        <v>#N/A</v>
      </c>
      <c r="P69" s="15">
        <f>IFERROR(__xludf.DUMMYFUNCTION("GOOGLEFINANCE($A69,""marketcap"")"),1.116379952785E12)</f>
        <v>1116379952785</v>
      </c>
      <c r="Q69" s="16">
        <f>IFERROR(__xludf.DUMMYFUNCTION("IFERROR(GOOGLEFINANCE($A69,""pe""),""-"")"),17.4)</f>
        <v>17.4</v>
      </c>
      <c r="R69" s="16" t="b">
        <f t="shared" si="1"/>
        <v>0</v>
      </c>
      <c r="S69" s="16" t="b">
        <f t="shared" si="2"/>
        <v>0</v>
      </c>
    </row>
    <row r="70">
      <c r="A70" s="17" t="s">
        <v>92</v>
      </c>
      <c r="B70" s="10" t="str">
        <f>IFERROR(__xludf.DUMMYFUNCTION("GOOGLEFINANCE($A70,""name"")"),"Gujarat Gas Ltd")</f>
        <v>Gujarat Gas Ltd</v>
      </c>
      <c r="C70" s="10" t="str">
        <f>IFERROR(__xludf.DUMMYFUNCTION("sparkline(index(GOOGLEFINANCE($A70,""price"",workday(today(),-C$2),today()),,2),{""charttype"",""column"";""color"",""green""})"),"")</f>
        <v/>
      </c>
      <c r="D70" s="11">
        <f>IFERROR(__xludf.DUMMYFUNCTION("GOOGLEFINANCE(""NSE:"" &amp;$A70,""price"")"),515.25)</f>
        <v>515.25</v>
      </c>
      <c r="E70" s="11">
        <f>IFERROR(__xludf.DUMMYFUNCTION("GOOGLEFINANCE(""NSE:"" &amp;$A70,""priceopen"")"),518.0)</f>
        <v>518</v>
      </c>
      <c r="F70" s="11">
        <f>IFERROR(__xludf.DUMMYFUNCTION("GOOGLEFINANCE(""NSE:"" &amp;$A70,""high"")"),531.7)</f>
        <v>531.7</v>
      </c>
      <c r="G70" s="11">
        <f>IFERROR(__xludf.DUMMYFUNCTION("GOOGLEFINANCE(""NSE:"" &amp;$A70,""low"")"),513.25)</f>
        <v>513.25</v>
      </c>
      <c r="H70" s="11">
        <f>IFERROR(__xludf.DUMMYFUNCTION("GOOGLEFINANCE(""NSE:"" &amp;$A70,""closeyest"")"),521.45)</f>
        <v>521.45</v>
      </c>
      <c r="I70" s="12">
        <f>IFERROR(__xludf.DUMMYFUNCTION("GOOGLEFINANCE(""NSE:"" &amp;$A70,""change"")"),-6.2)</f>
        <v>-6.2</v>
      </c>
      <c r="J70" s="13">
        <f>IFERROR(__xludf.DUMMYFUNCTION("GOOGLEFINANCE(""NSE:"" &amp;$A70,""changepct"")/100"),-0.011899999999999999)</f>
        <v>-0.0119</v>
      </c>
      <c r="K70" s="14">
        <f>IFERROR(__xludf.DUMMYFUNCTION("GOOGLEFINANCE(""NSE:"" &amp;$A70,""volume"")"),843392.0)</f>
        <v>843392</v>
      </c>
      <c r="L70" s="13">
        <f>IFERROR(__xludf.DUMMYFUNCTION("$D70/INDEX(GOOGLEFINANCE($A70,""PRICE"",WORKDAY(TODAY(),-L$2)),2,2)-1"),-0.027371401604530443)</f>
        <v>-0.0273714016</v>
      </c>
      <c r="M70" s="13">
        <f>IFERROR(__xludf.DUMMYFUNCTION("$D70/INDEX(GOOGLEFINANCE($A70,""PRICE"",WORKDAY(TODAY(),-M$2)),2,2)-1"),-0.04317548746518107)</f>
        <v>-0.04317548747</v>
      </c>
      <c r="N70" s="11">
        <f>IFERROR(__xludf.DUMMYFUNCTION("average(INDEX(GOOGLEFINANCE($A70,""PRICE"",WORKDAY(TODAY(),-N$2),today()),,2))"),519.325)</f>
        <v>519.325</v>
      </c>
      <c r="O70" s="11">
        <f>IFERROR(__xludf.DUMMYFUNCTION("average(INDEX(GOOGLEFINANCE($A70,""PRICE"",WORKDAY(TODAY(),-O$2),today()),,2))"),524.9642857142857)</f>
        <v>524.9642857</v>
      </c>
      <c r="P70" s="15">
        <f>IFERROR(__xludf.DUMMYFUNCTION("GOOGLEFINANCE($A70,""marketcap"")"),3.5293382333E11)</f>
        <v>352933823330</v>
      </c>
      <c r="Q70" s="16">
        <f>IFERROR(__xludf.DUMMYFUNCTION("IFERROR(GOOGLEFINANCE($A70,""pe""),""-"")"),26.5)</f>
        <v>26.5</v>
      </c>
      <c r="R70" s="16" t="b">
        <f t="shared" si="1"/>
        <v>0</v>
      </c>
      <c r="S70" s="16" t="b">
        <f t="shared" si="2"/>
        <v>0</v>
      </c>
    </row>
    <row r="71">
      <c r="A71" s="17" t="s">
        <v>93</v>
      </c>
      <c r="B71" s="10" t="str">
        <f>IFERROR(__xludf.DUMMYFUNCTION("GOOGLEFINANCE($A71,""name"")"),"Halliburton Company")</f>
        <v>Halliburton Company</v>
      </c>
      <c r="C71" s="10" t="str">
        <f>IFERROR(__xludf.DUMMYFUNCTION("sparkline(index(GOOGLEFINANCE($A71,""price"",workday(today(),-C$2),today()),,2),{""charttype"",""column"";""color"",""green""})"),"")</f>
        <v/>
      </c>
      <c r="D71" s="11">
        <f>IFERROR(__xludf.DUMMYFUNCTION("GOOGLEFINANCE(""NSE:"" &amp;$A71,""price"")"),1681.95)</f>
        <v>1681.95</v>
      </c>
      <c r="E71" s="11">
        <f>IFERROR(__xludf.DUMMYFUNCTION("GOOGLEFINANCE(""NSE:"" &amp;$A71,""priceopen"")"),1668.0)</f>
        <v>1668</v>
      </c>
      <c r="F71" s="11">
        <f>IFERROR(__xludf.DUMMYFUNCTION("GOOGLEFINANCE(""NSE:"" &amp;$A71,""high"")"),1735.85)</f>
        <v>1735.85</v>
      </c>
      <c r="G71" s="11">
        <f>IFERROR(__xludf.DUMMYFUNCTION("GOOGLEFINANCE(""NSE:"" &amp;$A71,""low"")"),1662.15)</f>
        <v>1662.15</v>
      </c>
      <c r="H71" s="11">
        <f>IFERROR(__xludf.DUMMYFUNCTION("GOOGLEFINANCE(""NSE:"" &amp;$A71,""closeyest"")"),1676.9)</f>
        <v>1676.9</v>
      </c>
      <c r="I71" s="12">
        <f>IFERROR(__xludf.DUMMYFUNCTION("GOOGLEFINANCE(""NSE:"" &amp;$A71,""change"")"),5.05)</f>
        <v>5.05</v>
      </c>
      <c r="J71" s="13">
        <f>IFERROR(__xludf.DUMMYFUNCTION("GOOGLEFINANCE(""NSE:"" &amp;$A71,""changepct"")/100"),0.003)</f>
        <v>0.003</v>
      </c>
      <c r="K71" s="14">
        <f>IFERROR(__xludf.DUMMYFUNCTION("GOOGLEFINANCE(""NSE:"" &amp;$A71,""volume"")"),972515.0)</f>
        <v>972515</v>
      </c>
      <c r="L71" s="13">
        <f>IFERROR(__xludf.DUMMYFUNCTION("$D71/INDEX(GOOGLEFINANCE($A71,""PRICE"",WORKDAY(TODAY(),-L$2)),2,2)-1"),39.392651296829975)</f>
        <v>39.3926513</v>
      </c>
      <c r="M71" s="13">
        <f>IFERROR(__xludf.DUMMYFUNCTION("$D71/INDEX(GOOGLEFINANCE($A71,""PRICE"",WORKDAY(TODAY(),-M$2)),2,2)-1"),41.11191787681523)</f>
        <v>41.11191788</v>
      </c>
      <c r="N71" s="11" t="str">
        <f>IFERROR(__xludf.DUMMYFUNCTION("average(INDEX(GOOGLEFINANCE($A71,""PRICE"",WORKDAY(TODAY(),-N$2),today()),,2))"),"#N/A")</f>
        <v>#N/A</v>
      </c>
      <c r="O71" s="11" t="str">
        <f>IFERROR(__xludf.DUMMYFUNCTION("average(INDEX(GOOGLEFINANCE($A71,""PRICE"",WORKDAY(TODAY(),-O$2),today()),,2))"),"#N/A")</f>
        <v>#N/A</v>
      </c>
      <c r="P71" s="15">
        <f>IFERROR(__xludf.DUMMYFUNCTION("GOOGLEFINANCE($A71,""marketcap"")"),3.4755696865E10)</f>
        <v>34755696865</v>
      </c>
      <c r="Q71" s="16">
        <f>IFERROR(__xludf.DUMMYFUNCTION("IFERROR(GOOGLEFINANCE($A71,""pe""),""-"")"),21.98)</f>
        <v>21.98</v>
      </c>
      <c r="R71" s="16" t="b">
        <f t="shared" si="1"/>
        <v>0</v>
      </c>
      <c r="S71" s="16" t="b">
        <f t="shared" si="2"/>
        <v>0</v>
      </c>
    </row>
    <row r="72">
      <c r="A72" s="17" t="s">
        <v>94</v>
      </c>
      <c r="B72" s="10" t="str">
        <f>IFERROR(__xludf.DUMMYFUNCTION("GOOGLEFINANCE($A72,""name"")"),"Havells India Ltd")</f>
        <v>Havells India Ltd</v>
      </c>
      <c r="C72" s="10" t="str">
        <f>IFERROR(__xludf.DUMMYFUNCTION("sparkline(index(GOOGLEFINANCE($A72,""price"",workday(today(),-C$2),today()),,2),{""charttype"",""column"";""color"",""green""})"),"")</f>
        <v/>
      </c>
      <c r="D72" s="11">
        <f>IFERROR(__xludf.DUMMYFUNCTION("GOOGLEFINANCE(""NSE:"" &amp;$A72,""price"")"),1320.0)</f>
        <v>1320</v>
      </c>
      <c r="E72" s="11">
        <f>IFERROR(__xludf.DUMMYFUNCTION("GOOGLEFINANCE(""NSE:"" &amp;$A72,""priceopen"")"),1319.0)</f>
        <v>1319</v>
      </c>
      <c r="F72" s="11">
        <f>IFERROR(__xludf.DUMMYFUNCTION("GOOGLEFINANCE(""NSE:"" &amp;$A72,""high"")"),1330.0)</f>
        <v>1330</v>
      </c>
      <c r="G72" s="11">
        <f>IFERROR(__xludf.DUMMYFUNCTION("GOOGLEFINANCE(""NSE:"" &amp;$A72,""low"")"),1307.8)</f>
        <v>1307.8</v>
      </c>
      <c r="H72" s="11">
        <f>IFERROR(__xludf.DUMMYFUNCTION("GOOGLEFINANCE(""NSE:"" &amp;$A72,""closeyest"")"),1320.75)</f>
        <v>1320.75</v>
      </c>
      <c r="I72" s="12">
        <f>IFERROR(__xludf.DUMMYFUNCTION("GOOGLEFINANCE(""NSE:"" &amp;$A72,""change"")"),-0.75)</f>
        <v>-0.75</v>
      </c>
      <c r="J72" s="13">
        <f>IFERROR(__xludf.DUMMYFUNCTION("GOOGLEFINANCE(""NSE:"" &amp;$A72,""changepct"")/100"),-6.0E-4)</f>
        <v>-0.0006</v>
      </c>
      <c r="K72" s="14">
        <f>IFERROR(__xludf.DUMMYFUNCTION("GOOGLEFINANCE(""NSE:"" &amp;$A72,""volume"")"),514639.0)</f>
        <v>514639</v>
      </c>
      <c r="L72" s="13">
        <f>IFERROR(__xludf.DUMMYFUNCTION("$D72/INDEX(GOOGLEFINANCE($A72,""PRICE"",WORKDAY(TODAY(),-L$2)),2,2)-1"),0.03141115799343641)</f>
        <v>0.03141115799</v>
      </c>
      <c r="M72" s="13">
        <f>IFERROR(__xludf.DUMMYFUNCTION("$D72/INDEX(GOOGLEFINANCE($A72,""PRICE"",WORKDAY(TODAY(),-M$2)),2,2)-1"),0.035131744040150625)</f>
        <v>0.03513174404</v>
      </c>
      <c r="N72" s="11">
        <f>IFERROR(__xludf.DUMMYFUNCTION("average(INDEX(GOOGLEFINANCE($A72,""PRICE"",WORKDAY(TODAY(),-N$2),today()),,2))"),1296.425)</f>
        <v>1296.425</v>
      </c>
      <c r="O72" s="11" t="str">
        <f>IFERROR(__xludf.DUMMYFUNCTION("average(INDEX(GOOGLEFINANCE($A72,""PRICE"",WORKDAY(TODAY(),-O$2),today()),,2))"),"#N/A")</f>
        <v>#N/A</v>
      </c>
      <c r="P72" s="15">
        <f>IFERROR(__xludf.DUMMYFUNCTION("GOOGLEFINANCE($A72,""marketcap"")"),8.16563643558E11)</f>
        <v>816563643558</v>
      </c>
      <c r="Q72" s="16">
        <f>IFERROR(__xludf.DUMMYFUNCTION("IFERROR(GOOGLEFINANCE($A72,""pe""),""-"")"),72.01)</f>
        <v>72.01</v>
      </c>
      <c r="R72" s="16" t="b">
        <f t="shared" si="1"/>
        <v>0</v>
      </c>
      <c r="S72" s="16" t="b">
        <f t="shared" si="2"/>
        <v>0</v>
      </c>
    </row>
    <row r="73">
      <c r="A73" s="17" t="s">
        <v>95</v>
      </c>
      <c r="B73" s="10" t="str">
        <f>IFERROR(__xludf.DUMMYFUNCTION("GOOGLEFINANCE($A73,""name"")"),"HCL Technologies Ltd")</f>
        <v>HCL Technologies Ltd</v>
      </c>
      <c r="C73" s="10" t="str">
        <f>IFERROR(__xludf.DUMMYFUNCTION("sparkline(index(GOOGLEFINANCE($A73,""price"",workday(today(),-C$2),today()),,2),{""charttype"",""column"";""color"",""green""})"),"")</f>
        <v/>
      </c>
      <c r="D73" s="11">
        <f>IFERROR(__xludf.DUMMYFUNCTION("GOOGLEFINANCE(""NSE:"" &amp;$A73,""price"")"),1102.5)</f>
        <v>1102.5</v>
      </c>
      <c r="E73" s="11">
        <f>IFERROR(__xludf.DUMMYFUNCTION("GOOGLEFINANCE(""NSE:"" &amp;$A73,""priceopen"")"),1086.6)</f>
        <v>1086.6</v>
      </c>
      <c r="F73" s="11">
        <f>IFERROR(__xludf.DUMMYFUNCTION("GOOGLEFINANCE(""NSE:"" &amp;$A73,""high"")"),1134.95)</f>
        <v>1134.95</v>
      </c>
      <c r="G73" s="11">
        <f>IFERROR(__xludf.DUMMYFUNCTION("GOOGLEFINANCE(""NSE:"" &amp;$A73,""low"")"),1081.1)</f>
        <v>1081.1</v>
      </c>
      <c r="H73" s="11">
        <f>IFERROR(__xludf.DUMMYFUNCTION("GOOGLEFINANCE(""NSE:"" &amp;$A73,""closeyest"")"),1099.2)</f>
        <v>1099.2</v>
      </c>
      <c r="I73" s="12">
        <f>IFERROR(__xludf.DUMMYFUNCTION("GOOGLEFINANCE(""NSE:"" &amp;$A73,""change"")"),3.3)</f>
        <v>3.3</v>
      </c>
      <c r="J73" s="13">
        <f>IFERROR(__xludf.DUMMYFUNCTION("GOOGLEFINANCE(""NSE:"" &amp;$A73,""changepct"")/100"),0.003)</f>
        <v>0.003</v>
      </c>
      <c r="K73" s="14">
        <f>IFERROR(__xludf.DUMMYFUNCTION("GOOGLEFINANCE(""NSE:"" &amp;$A73,""volume"")"),9567571.0)</f>
        <v>9567571</v>
      </c>
      <c r="L73" s="13">
        <f>IFERROR(__xludf.DUMMYFUNCTION("$D73/INDEX(GOOGLEFINANCE($A73,""PRICE"",WORKDAY(TODAY(),-L$2)),2,2)-1"),6.80735194009463E-4)</f>
        <v>0.000680735194</v>
      </c>
      <c r="M73" s="13">
        <f>IFERROR(__xludf.DUMMYFUNCTION("$D73/INDEX(GOOGLEFINANCE($A73,""PRICE"",WORKDAY(TODAY(),-M$2)),2,2)-1"),-0.02734891927657701)</f>
        <v>-0.02734891928</v>
      </c>
      <c r="N73" s="11">
        <f>IFERROR(__xludf.DUMMYFUNCTION("average(INDEX(GOOGLEFINANCE($A73,""PRICE"",WORKDAY(TODAY(),-N$2),today()),,2))"),1090.15)</f>
        <v>1090.15</v>
      </c>
      <c r="O73" s="11">
        <f>IFERROR(__xludf.DUMMYFUNCTION("average(INDEX(GOOGLEFINANCE($A73,""PRICE"",WORKDAY(TODAY(),-O$2),today()),,2))"),1107.192857142857)</f>
        <v>1107.192857</v>
      </c>
      <c r="P73" s="15">
        <f>IFERROR(__xludf.DUMMYFUNCTION("GOOGLEFINANCE($A73,""marketcap"")"),2.936952701156E12)</f>
        <v>2936952701156</v>
      </c>
      <c r="Q73" s="16">
        <f>IFERROR(__xludf.DUMMYFUNCTION("IFERROR(GOOGLEFINANCE($A73,""pe""),""-"")"),27.17)</f>
        <v>27.17</v>
      </c>
      <c r="R73" s="16" t="b">
        <f t="shared" si="1"/>
        <v>0</v>
      </c>
      <c r="S73" s="16" t="b">
        <f t="shared" si="2"/>
        <v>0</v>
      </c>
    </row>
    <row r="74">
      <c r="A74" s="17" t="s">
        <v>96</v>
      </c>
      <c r="B74" s="10" t="str">
        <f>IFERROR(__xludf.DUMMYFUNCTION("GOOGLEFINANCE($A74,""name"")"),"Housing Development Finance Corp Ltd")</f>
        <v>Housing Development Finance Corp Ltd</v>
      </c>
      <c r="C74" s="10" t="str">
        <f>IFERROR(__xludf.DUMMYFUNCTION("sparkline(index(GOOGLEFINANCE($A74,""price"",workday(today(),-C$2),today()),,2),{""charttype"",""column"";""color"",""green""})"),"")</f>
        <v/>
      </c>
      <c r="D74" s="11">
        <f>IFERROR(__xludf.DUMMYFUNCTION("GOOGLEFINANCE(""NSE:"" &amp;$A74,""price"")"),2202.7)</f>
        <v>2202.7</v>
      </c>
      <c r="E74" s="11">
        <f>IFERROR(__xludf.DUMMYFUNCTION("GOOGLEFINANCE(""NSE:"" &amp;$A74,""priceopen"")"),2190.05)</f>
        <v>2190.05</v>
      </c>
      <c r="F74" s="11">
        <f>IFERROR(__xludf.DUMMYFUNCTION("GOOGLEFINANCE(""NSE:"" &amp;$A74,""high"")"),2242.3)</f>
        <v>2242.3</v>
      </c>
      <c r="G74" s="11">
        <f>IFERROR(__xludf.DUMMYFUNCTION("GOOGLEFINANCE(""NSE:"" &amp;$A74,""low"")"),2186.0)</f>
        <v>2186</v>
      </c>
      <c r="H74" s="11">
        <f>IFERROR(__xludf.DUMMYFUNCTION("GOOGLEFINANCE(""NSE:"" &amp;$A74,""closeyest"")"),2230.65)</f>
        <v>2230.65</v>
      </c>
      <c r="I74" s="12">
        <f>IFERROR(__xludf.DUMMYFUNCTION("GOOGLEFINANCE(""NSE:"" &amp;$A74,""change"")"),-27.95)</f>
        <v>-27.95</v>
      </c>
      <c r="J74" s="13">
        <f>IFERROR(__xludf.DUMMYFUNCTION("GOOGLEFINANCE(""NSE:"" &amp;$A74,""changepct"")/100"),-0.0125)</f>
        <v>-0.0125</v>
      </c>
      <c r="K74" s="14">
        <f>IFERROR(__xludf.DUMMYFUNCTION("GOOGLEFINANCE(""NSE:"" &amp;$A74,""volume"")"),4840122.0)</f>
        <v>4840122</v>
      </c>
      <c r="L74" s="13">
        <f>IFERROR(__xludf.DUMMYFUNCTION("$D74/INDEX(GOOGLEFINANCE($A74,""PRICE"",WORKDAY(TODAY(),-L$2)),2,2)-1"),-0.02686105588690091)</f>
        <v>-0.02686105589</v>
      </c>
      <c r="M74" s="13" t="str">
        <f>IFERROR(__xludf.DUMMYFUNCTION("$D74/INDEX(GOOGLEFINANCE($A74,""PRICE"",WORKDAY(TODAY(),-M$2)),2,2)-1"),"#N/A")</f>
        <v>#N/A</v>
      </c>
      <c r="N74" s="11">
        <f>IFERROR(__xludf.DUMMYFUNCTION("average(INDEX(GOOGLEFINANCE($A74,""PRICE"",WORKDAY(TODAY(),-N$2),today()),,2))"),2203.6375)</f>
        <v>2203.6375</v>
      </c>
      <c r="O74" s="11">
        <f>IFERROR(__xludf.DUMMYFUNCTION("average(INDEX(GOOGLEFINANCE($A74,""PRICE"",WORKDAY(TODAY(),-O$2),today()),,2))"),2291.9214285714284)</f>
        <v>2291.921429</v>
      </c>
      <c r="P74" s="15">
        <f>IFERROR(__xludf.DUMMYFUNCTION("GOOGLEFINANCE($A74,""marketcap"")"),3.924172688714E12)</f>
        <v>3924172688714</v>
      </c>
      <c r="Q74" s="16">
        <f>IFERROR(__xludf.DUMMYFUNCTION("IFERROR(GOOGLEFINANCE($A74,""pe""),""-"")"),18.6)</f>
        <v>18.6</v>
      </c>
      <c r="R74" s="16" t="b">
        <f t="shared" si="1"/>
        <v>0</v>
      </c>
      <c r="S74" s="16" t="b">
        <f t="shared" si="2"/>
        <v>0</v>
      </c>
    </row>
    <row r="75">
      <c r="A75" s="17" t="s">
        <v>97</v>
      </c>
      <c r="B75" s="10" t="str">
        <f>IFERROR(__xludf.DUMMYFUNCTION("GOOGLEFINANCE($A75,""name"")"),"HDFC Asset Management Company Ltd")</f>
        <v>HDFC Asset Management Company Ltd</v>
      </c>
      <c r="C75" s="10" t="str">
        <f>IFERROR(__xludf.DUMMYFUNCTION("sparkline(index(GOOGLEFINANCE($A75,""price"",workday(today(),-C$2),today()),,2),{""charttype"",""column"";""color"",""green""})"),"#N/A")</f>
        <v>#N/A</v>
      </c>
      <c r="D75" s="11">
        <f>IFERROR(__xludf.DUMMYFUNCTION("GOOGLEFINANCE(""NSE:"" &amp;$A75,""price"")"),2044.0)</f>
        <v>2044</v>
      </c>
      <c r="E75" s="11">
        <f>IFERROR(__xludf.DUMMYFUNCTION("GOOGLEFINANCE(""NSE:"" &amp;$A75,""priceopen"")"),2093.95)</f>
        <v>2093.95</v>
      </c>
      <c r="F75" s="11">
        <f>IFERROR(__xludf.DUMMYFUNCTION("GOOGLEFINANCE(""NSE:"" &amp;$A75,""high"")"),2093.95)</f>
        <v>2093.95</v>
      </c>
      <c r="G75" s="11">
        <f>IFERROR(__xludf.DUMMYFUNCTION("GOOGLEFINANCE(""NSE:"" &amp;$A75,""low"")"),2041.0)</f>
        <v>2041</v>
      </c>
      <c r="H75" s="11">
        <f>IFERROR(__xludf.DUMMYFUNCTION("GOOGLEFINANCE(""NSE:"" &amp;$A75,""closeyest"")"),2092.75)</f>
        <v>2092.75</v>
      </c>
      <c r="I75" s="12">
        <f>IFERROR(__xludf.DUMMYFUNCTION("GOOGLEFINANCE(""NSE:"" &amp;$A75,""change"")"),-48.75)</f>
        <v>-48.75</v>
      </c>
      <c r="J75" s="13">
        <f>IFERROR(__xludf.DUMMYFUNCTION("GOOGLEFINANCE(""NSE:"" &amp;$A75,""changepct"")/100"),-0.0233)</f>
        <v>-0.0233</v>
      </c>
      <c r="K75" s="14">
        <f>IFERROR(__xludf.DUMMYFUNCTION("GOOGLEFINANCE(""NSE:"" &amp;$A75,""volume"")"),316393.0)</f>
        <v>316393</v>
      </c>
      <c r="L75" s="13">
        <f>IFERROR(__xludf.DUMMYFUNCTION("$D75/INDEX(GOOGLEFINANCE($A75,""PRICE"",WORKDAY(TODAY(),-L$2)),2,2)-1"),-0.06397398910106689)</f>
        <v>-0.0639739891</v>
      </c>
      <c r="M75" s="13">
        <f>IFERROR(__xludf.DUMMYFUNCTION("$D75/INDEX(GOOGLEFINANCE($A75,""PRICE"",WORKDAY(TODAY(),-M$2)),2,2)-1"),-0.09437306158617631)</f>
        <v>-0.09437306159</v>
      </c>
      <c r="N75" s="11">
        <f>IFERROR(__xludf.DUMMYFUNCTION("average(INDEX(GOOGLEFINANCE($A75,""PRICE"",WORKDAY(TODAY(),-N$2),today()),,2))"),2120.6625)</f>
        <v>2120.6625</v>
      </c>
      <c r="O75" s="11">
        <f>IFERROR(__xludf.DUMMYFUNCTION("average(INDEX(GOOGLEFINANCE($A75,""PRICE"",WORKDAY(TODAY(),-O$2),today()),,2))"),2165.6142857142854)</f>
        <v>2165.614286</v>
      </c>
      <c r="P75" s="15">
        <f>IFERROR(__xludf.DUMMYFUNCTION("GOOGLEFINANCE($A75,""marketcap"")"),4.39238861162E11)</f>
        <v>439238861162</v>
      </c>
      <c r="Q75" s="16">
        <f>IFERROR(__xludf.DUMMYFUNCTION("IFERROR(GOOGLEFINANCE($A75,""pe""),""-"")"),31.93)</f>
        <v>31.93</v>
      </c>
      <c r="R75" s="16" t="b">
        <f t="shared" si="1"/>
        <v>0</v>
      </c>
      <c r="S75" s="16" t="b">
        <f t="shared" si="2"/>
        <v>1</v>
      </c>
    </row>
    <row r="76">
      <c r="A76" s="17" t="s">
        <v>98</v>
      </c>
      <c r="B76" s="10" t="str">
        <f>IFERROR(__xludf.DUMMYFUNCTION("GOOGLEFINANCE($A76,""name"")"),"HDFC Bank Limited")</f>
        <v>HDFC Bank Limited</v>
      </c>
      <c r="C76" s="10" t="str">
        <f>IFERROR(__xludf.DUMMYFUNCTION("sparkline(index(GOOGLEFINANCE($A76,""price"",workday(today(),-C$2),today()),,2),{""charttype"",""column"";""color"",""green""})"),"")</f>
        <v/>
      </c>
      <c r="D76" s="11">
        <f>IFERROR(__xludf.DUMMYFUNCTION("GOOGLEFINANCE(""NSE:"" &amp;$A76,""price"")"),1353.35)</f>
        <v>1353.35</v>
      </c>
      <c r="E76" s="11">
        <f>IFERROR(__xludf.DUMMYFUNCTION("GOOGLEFINANCE(""NSE:"" &amp;$A76,""priceopen"")"),1360.0)</f>
        <v>1360</v>
      </c>
      <c r="F76" s="11">
        <f>IFERROR(__xludf.DUMMYFUNCTION("GOOGLEFINANCE(""NSE:"" &amp;$A76,""high"")"),1375.35)</f>
        <v>1375.35</v>
      </c>
      <c r="G76" s="11">
        <f>IFERROR(__xludf.DUMMYFUNCTION("GOOGLEFINANCE(""NSE:"" &amp;$A76,""low"")"),1349.15)</f>
        <v>1349.15</v>
      </c>
      <c r="H76" s="11">
        <f>IFERROR(__xludf.DUMMYFUNCTION("GOOGLEFINANCE(""NSE:"" &amp;$A76,""closeyest"")"),1374.35)</f>
        <v>1374.35</v>
      </c>
      <c r="I76" s="12">
        <f>IFERROR(__xludf.DUMMYFUNCTION("GOOGLEFINANCE(""NSE:"" &amp;$A76,""change"")"),-21.0)</f>
        <v>-21</v>
      </c>
      <c r="J76" s="13">
        <f>IFERROR(__xludf.DUMMYFUNCTION("GOOGLEFINANCE(""NSE:"" &amp;$A76,""changepct"")/100"),-0.015300000000000001)</f>
        <v>-0.0153</v>
      </c>
      <c r="K76" s="14">
        <f>IFERROR(__xludf.DUMMYFUNCTION("GOOGLEFINANCE(""NSE:"" &amp;$A76,""volume"")"),1.0329574E7)</f>
        <v>10329574</v>
      </c>
      <c r="L76" s="13">
        <f>IFERROR(__xludf.DUMMYFUNCTION("$D76/INDEX(GOOGLEFINANCE($A76,""PRICE"",WORKDAY(TODAY(),-L$2)),2,2)-1"),-0.030169479379411723)</f>
        <v>-0.03016947938</v>
      </c>
      <c r="M76" s="13" t="str">
        <f>IFERROR(__xludf.DUMMYFUNCTION("$D76/INDEX(GOOGLEFINANCE($A76,""PRICE"",WORKDAY(TODAY(),-M$2)),2,2)-1"),"#N/A")</f>
        <v>#N/A</v>
      </c>
      <c r="N76" s="11">
        <f>IFERROR(__xludf.DUMMYFUNCTION("average(INDEX(GOOGLEFINANCE($A76,""PRICE"",WORKDAY(TODAY(),-N$2),today()),,2))"),1366.5749999999998)</f>
        <v>1366.575</v>
      </c>
      <c r="O76" s="11">
        <f>IFERROR(__xludf.DUMMYFUNCTION("average(INDEX(GOOGLEFINANCE($A76,""PRICE"",WORKDAY(TODAY(),-O$2),today()),,2))"),1417.2714285714285)</f>
        <v>1417.271429</v>
      </c>
      <c r="P76" s="15">
        <f>IFERROR(__xludf.DUMMYFUNCTION("GOOGLEFINANCE($A76,""marketcap"")"),1.00160513244E11)</f>
        <v>100160513244</v>
      </c>
      <c r="Q76" s="16">
        <f>IFERROR(__xludf.DUMMYFUNCTION("IFERROR(GOOGLEFINANCE($A76,""pe""),""-"")"),19.81)</f>
        <v>19.81</v>
      </c>
      <c r="R76" s="16" t="b">
        <f t="shared" si="1"/>
        <v>0</v>
      </c>
      <c r="S76" s="16" t="b">
        <f t="shared" si="2"/>
        <v>0</v>
      </c>
    </row>
    <row r="77">
      <c r="A77" s="17" t="s">
        <v>99</v>
      </c>
      <c r="B77" s="10" t="str">
        <f>IFERROR(__xludf.DUMMYFUNCTION("GOOGLEFINANCE($A77,""name"")"),"HDFC Life Insurance Company Ltd")</f>
        <v>HDFC Life Insurance Company Ltd</v>
      </c>
      <c r="C77" s="10" t="str">
        <f>IFERROR(__xludf.DUMMYFUNCTION("sparkline(index(GOOGLEFINANCE($A77,""price"",workday(today(),-C$2),today()),,2),{""charttype"",""column"";""color"",""green""})"),"")</f>
        <v/>
      </c>
      <c r="D77" s="11">
        <f>IFERROR(__xludf.DUMMYFUNCTION("GOOGLEFINANCE(""NSE:"" &amp;$A77,""price"")"),554.5)</f>
        <v>554.5</v>
      </c>
      <c r="E77" s="11">
        <f>IFERROR(__xludf.DUMMYFUNCTION("GOOGLEFINANCE(""NSE:"" &amp;$A77,""priceopen"")"),568.9)</f>
        <v>568.9</v>
      </c>
      <c r="F77" s="11">
        <f>IFERROR(__xludf.DUMMYFUNCTION("GOOGLEFINANCE(""NSE:"" &amp;$A77,""high"")"),568.9)</f>
        <v>568.9</v>
      </c>
      <c r="G77" s="11">
        <f>IFERROR(__xludf.DUMMYFUNCTION("GOOGLEFINANCE(""NSE:"" &amp;$A77,""low"")"),552.0)</f>
        <v>552</v>
      </c>
      <c r="H77" s="11">
        <f>IFERROR(__xludf.DUMMYFUNCTION("GOOGLEFINANCE(""NSE:"" &amp;$A77,""closeyest"")"),570.95)</f>
        <v>570.95</v>
      </c>
      <c r="I77" s="12">
        <f>IFERROR(__xludf.DUMMYFUNCTION("GOOGLEFINANCE(""NSE:"" &amp;$A77,""change"")"),-16.45)</f>
        <v>-16.45</v>
      </c>
      <c r="J77" s="13">
        <f>IFERROR(__xludf.DUMMYFUNCTION("GOOGLEFINANCE(""NSE:"" &amp;$A77,""changepct"")/100"),-0.0288)</f>
        <v>-0.0288</v>
      </c>
      <c r="K77" s="14">
        <f>IFERROR(__xludf.DUMMYFUNCTION("GOOGLEFINANCE(""NSE:"" &amp;$A77,""volume"")"),2703271.0)</f>
        <v>2703271</v>
      </c>
      <c r="L77" s="13">
        <f>IFERROR(__xludf.DUMMYFUNCTION("$D77/INDEX(GOOGLEFINANCE($A77,""PRICE"",WORKDAY(TODAY(),-L$2)),2,2)-1"),-0.03447675430959418)</f>
        <v>-0.03447675431</v>
      </c>
      <c r="M77" s="13">
        <f>IFERROR(__xludf.DUMMYFUNCTION("$D77/INDEX(GOOGLEFINANCE($A77,""PRICE"",WORKDAY(TODAY(),-M$2)),2,2)-1"),-0.022735283750440538)</f>
        <v>-0.02273528375</v>
      </c>
      <c r="N77" s="11">
        <f>IFERROR(__xludf.DUMMYFUNCTION("average(INDEX(GOOGLEFINANCE($A77,""PRICE"",WORKDAY(TODAY(),-N$2),today()),,2))"),562.8125)</f>
        <v>562.8125</v>
      </c>
      <c r="O77" s="11">
        <f>IFERROR(__xludf.DUMMYFUNCTION("average(INDEX(GOOGLEFINANCE($A77,""PRICE"",WORKDAY(TODAY(),-O$2),today()),,2))"),563.6857142857142)</f>
        <v>563.6857143</v>
      </c>
      <c r="P77" s="15">
        <f>IFERROR(__xludf.DUMMYFUNCTION("GOOGLEFINANCE($A77,""marketcap"")"),1.1450563625E12)</f>
        <v>1145056362500</v>
      </c>
      <c r="Q77" s="16">
        <f>IFERROR(__xludf.DUMMYFUNCTION("IFERROR(GOOGLEFINANCE($A77,""pe""),""-"")"),98.46)</f>
        <v>98.46</v>
      </c>
      <c r="R77" s="16" t="b">
        <f t="shared" si="1"/>
        <v>0</v>
      </c>
      <c r="S77" s="16" t="b">
        <f t="shared" si="2"/>
        <v>1</v>
      </c>
    </row>
    <row r="78">
      <c r="A78" s="17" t="s">
        <v>100</v>
      </c>
      <c r="B78" s="10" t="str">
        <f>IFERROR(__xludf.DUMMYFUNCTION("GOOGLEFINANCE($A78,""name"")"),"Hero Motocorp Ltd")</f>
        <v>Hero Motocorp Ltd</v>
      </c>
      <c r="C78" s="10" t="str">
        <f>IFERROR(__xludf.DUMMYFUNCTION("sparkline(index(GOOGLEFINANCE($A78,""price"",workday(today(),-C$2),today()),,2),{""charttype"",""column"";""color"",""green""})"),"")</f>
        <v/>
      </c>
      <c r="D78" s="11">
        <f>IFERROR(__xludf.DUMMYFUNCTION("GOOGLEFINANCE(""NSE:"" &amp;$A78,""price"")"),2295.0)</f>
        <v>2295</v>
      </c>
      <c r="E78" s="11">
        <f>IFERROR(__xludf.DUMMYFUNCTION("GOOGLEFINANCE(""NSE:"" &amp;$A78,""priceopen"")"),2295.0)</f>
        <v>2295</v>
      </c>
      <c r="F78" s="11">
        <f>IFERROR(__xludf.DUMMYFUNCTION("GOOGLEFINANCE(""NSE:"" &amp;$A78,""high"")"),2305.0)</f>
        <v>2305</v>
      </c>
      <c r="G78" s="11">
        <f>IFERROR(__xludf.DUMMYFUNCTION("GOOGLEFINANCE(""NSE:"" &amp;$A78,""low"")"),2273.65)</f>
        <v>2273.65</v>
      </c>
      <c r="H78" s="11">
        <f>IFERROR(__xludf.DUMMYFUNCTION("GOOGLEFINANCE(""NSE:"" &amp;$A78,""closeyest"")"),2317.65)</f>
        <v>2317.65</v>
      </c>
      <c r="I78" s="12">
        <f>IFERROR(__xludf.DUMMYFUNCTION("GOOGLEFINANCE(""NSE:"" &amp;$A78,""change"")"),-22.65)</f>
        <v>-22.65</v>
      </c>
      <c r="J78" s="13">
        <f>IFERROR(__xludf.DUMMYFUNCTION("GOOGLEFINANCE(""NSE:"" &amp;$A78,""changepct"")/100"),-0.0098)</f>
        <v>-0.0098</v>
      </c>
      <c r="K78" s="14">
        <f>IFERROR(__xludf.DUMMYFUNCTION("GOOGLEFINANCE(""NSE:"" &amp;$A78,""volume"")"),598737.0)</f>
        <v>598737</v>
      </c>
      <c r="L78" s="13">
        <f>IFERROR(__xludf.DUMMYFUNCTION("$D78/INDEX(GOOGLEFINANCE($A78,""PRICE"",WORKDAY(TODAY(),-L$2)),2,2)-1"),0.004200577579417164)</f>
        <v>0.004200577579</v>
      </c>
      <c r="M78" s="13">
        <f>IFERROR(__xludf.DUMMYFUNCTION("$D78/INDEX(GOOGLEFINANCE($A78,""PRICE"",WORKDAY(TODAY(),-M$2)),2,2)-1"),-0.017298963774942222)</f>
        <v>-0.01729896377</v>
      </c>
      <c r="N78" s="11">
        <f>IFERROR(__xludf.DUMMYFUNCTION("average(INDEX(GOOGLEFINANCE($A78,""PRICE"",WORKDAY(TODAY(),-N$2),today()),,2))"),2285.2875)</f>
        <v>2285.2875</v>
      </c>
      <c r="O78" s="11">
        <f>IFERROR(__xludf.DUMMYFUNCTION("average(INDEX(GOOGLEFINANCE($A78,""PRICE"",WORKDAY(TODAY(),-O$2),today()),,2))"),2292.692857142857)</f>
        <v>2292.692857</v>
      </c>
      <c r="P78" s="15">
        <f>IFERROR(__xludf.DUMMYFUNCTION("GOOGLEFINANCE($A78,""marketcap"")"),4.56229935E11)</f>
        <v>456229935000</v>
      </c>
      <c r="Q78" s="16">
        <f>IFERROR(__xludf.DUMMYFUNCTION("IFERROR(GOOGLEFINANCE($A78,""pe""),""-"")"),17.73)</f>
        <v>17.73</v>
      </c>
      <c r="R78" s="16" t="b">
        <f t="shared" si="1"/>
        <v>0</v>
      </c>
      <c r="S78" s="16" t="b">
        <f t="shared" si="2"/>
        <v>0</v>
      </c>
    </row>
    <row r="79">
      <c r="A79" s="17" t="s">
        <v>101</v>
      </c>
      <c r="B79" s="10" t="str">
        <f>IFERROR(__xludf.DUMMYFUNCTION("GOOGLEFINANCE($A79,""name"")"),"Hindalco Industries Ltd")</f>
        <v>Hindalco Industries Ltd</v>
      </c>
      <c r="C79" s="10" t="str">
        <f>IFERROR(__xludf.DUMMYFUNCTION("sparkline(index(GOOGLEFINANCE($A79,""price"",workday(today(),-C$2),today()),,2),{""charttype"",""column"";""color"",""green""})"),"")</f>
        <v/>
      </c>
      <c r="D79" s="11">
        <f>IFERROR(__xludf.DUMMYFUNCTION("GOOGLEFINANCE(""NSE:"" &amp;$A79,""price"")"),514.05)</f>
        <v>514.05</v>
      </c>
      <c r="E79" s="11">
        <f>IFERROR(__xludf.DUMMYFUNCTION("GOOGLEFINANCE(""NSE:"" &amp;$A79,""priceopen"")"),529.0)</f>
        <v>529</v>
      </c>
      <c r="F79" s="11">
        <f>IFERROR(__xludf.DUMMYFUNCTION("GOOGLEFINANCE(""NSE:"" &amp;$A79,""high"")"),529.85)</f>
        <v>529.85</v>
      </c>
      <c r="G79" s="11">
        <f>IFERROR(__xludf.DUMMYFUNCTION("GOOGLEFINANCE(""NSE:"" &amp;$A79,""low"")"),513.3)</f>
        <v>513.3</v>
      </c>
      <c r="H79" s="11">
        <f>IFERROR(__xludf.DUMMYFUNCTION("GOOGLEFINANCE(""NSE:"" &amp;$A79,""closeyest"")"),540.25)</f>
        <v>540.25</v>
      </c>
      <c r="I79" s="12">
        <f>IFERROR(__xludf.DUMMYFUNCTION("GOOGLEFINANCE(""NSE:"" &amp;$A79,""change"")"),-26.2)</f>
        <v>-26.2</v>
      </c>
      <c r="J79" s="13">
        <f>IFERROR(__xludf.DUMMYFUNCTION("GOOGLEFINANCE(""NSE:"" &amp;$A79,""changepct"")/100"),-0.048499999999999995)</f>
        <v>-0.0485</v>
      </c>
      <c r="K79" s="14">
        <f>IFERROR(__xludf.DUMMYFUNCTION("GOOGLEFINANCE(""NSE:"" &amp;$A79,""volume"")"),2.3871439E7)</f>
        <v>23871439</v>
      </c>
      <c r="L79" s="13">
        <f>IFERROR(__xludf.DUMMYFUNCTION("$D79/INDEX(GOOGLEFINANCE($A79,""PRICE"",WORKDAY(TODAY(),-L$2)),2,2)-1"),-0.057394333914000284)</f>
        <v>-0.05739433391</v>
      </c>
      <c r="M79" s="13">
        <f>IFERROR(__xludf.DUMMYFUNCTION("$D79/INDEX(GOOGLEFINANCE($A79,""PRICE"",WORKDAY(TODAY(),-M$2)),2,2)-1"),-0.10809404007981271)</f>
        <v>-0.1080940401</v>
      </c>
      <c r="N79" s="11">
        <f>IFERROR(__xludf.DUMMYFUNCTION("average(INDEX(GOOGLEFINANCE($A79,""PRICE"",WORKDAY(TODAY(),-N$2),today()),,2))"),542.85)</f>
        <v>542.85</v>
      </c>
      <c r="O79" s="11">
        <f>IFERROR(__xludf.DUMMYFUNCTION("average(INDEX(GOOGLEFINANCE($A79,""PRICE"",WORKDAY(TODAY(),-O$2),today()),,2))"),548.1214285714286)</f>
        <v>548.1214286</v>
      </c>
      <c r="P79" s="15">
        <f>IFERROR(__xludf.DUMMYFUNCTION("GOOGLEFINANCE($A79,""marketcap"")"),1.142670665158E12)</f>
        <v>1142670665158</v>
      </c>
      <c r="Q79" s="16">
        <f>IFERROR(__xludf.DUMMYFUNCTION("IFERROR(GOOGLEFINANCE($A79,""pe""),""-"")"),9.7)</f>
        <v>9.7</v>
      </c>
      <c r="R79" s="16" t="b">
        <f t="shared" si="1"/>
        <v>0</v>
      </c>
      <c r="S79" s="16" t="b">
        <f t="shared" si="2"/>
        <v>0</v>
      </c>
    </row>
    <row r="80">
      <c r="A80" s="17" t="s">
        <v>102</v>
      </c>
      <c r="B80" s="10" t="str">
        <f>IFERROR(__xludf.DUMMYFUNCTION("GOOGLEFINANCE($A80,""name"")"),"Hindustan Petroleum Corporation Limited")</f>
        <v>Hindustan Petroleum Corporation Limited</v>
      </c>
      <c r="C80" s="10" t="str">
        <f>IFERROR(__xludf.DUMMYFUNCTION("sparkline(index(GOOGLEFINANCE($A80,""price"",workday(today(),-C$2),today()),,2),{""charttype"",""column"";""color"",""green""})"),"")</f>
        <v/>
      </c>
      <c r="D80" s="11">
        <f>IFERROR(__xludf.DUMMYFUNCTION("GOOGLEFINANCE(""NSE:"" &amp;$A80,""price"")"),298.2)</f>
        <v>298.2</v>
      </c>
      <c r="E80" s="11">
        <f>IFERROR(__xludf.DUMMYFUNCTION("GOOGLEFINANCE(""NSE:"" &amp;$A80,""priceopen"")"),300.95)</f>
        <v>300.95</v>
      </c>
      <c r="F80" s="11">
        <f>IFERROR(__xludf.DUMMYFUNCTION("GOOGLEFINANCE(""NSE:"" &amp;$A80,""high"")"),303.2)</f>
        <v>303.2</v>
      </c>
      <c r="G80" s="11">
        <f>IFERROR(__xludf.DUMMYFUNCTION("GOOGLEFINANCE(""NSE:"" &amp;$A80,""low"")"),297.5)</f>
        <v>297.5</v>
      </c>
      <c r="H80" s="11">
        <f>IFERROR(__xludf.DUMMYFUNCTION("GOOGLEFINANCE(""NSE:"" &amp;$A80,""closeyest"")"),300.95)</f>
        <v>300.95</v>
      </c>
      <c r="I80" s="12">
        <f>IFERROR(__xludf.DUMMYFUNCTION("GOOGLEFINANCE(""NSE:"" &amp;$A80,""change"")"),-2.75)</f>
        <v>-2.75</v>
      </c>
      <c r="J80" s="13">
        <f>IFERROR(__xludf.DUMMYFUNCTION("GOOGLEFINANCE(""NSE:"" &amp;$A80,""changepct"")/100"),-0.0091)</f>
        <v>-0.0091</v>
      </c>
      <c r="K80" s="14">
        <f>IFERROR(__xludf.DUMMYFUNCTION("GOOGLEFINANCE(""NSE:"" &amp;$A80,""volume"")"),2285065.0)</f>
        <v>2285065</v>
      </c>
      <c r="L80" s="13" t="str">
        <f>IFERROR(__xludf.DUMMYFUNCTION("$D80/INDEX(GOOGLEFINANCE($A80,""PRICE"",WORKDAY(TODAY(),-L$2)),2,2)-1"),"#N/A")</f>
        <v>#N/A</v>
      </c>
      <c r="M80" s="13">
        <f>IFERROR(__xludf.DUMMYFUNCTION("$D80/INDEX(GOOGLEFINANCE($A80,""PRICE"",WORKDAY(TODAY(),-M$2)),2,2)-1"),-0.011273209549071739)</f>
        <v>-0.01127320955</v>
      </c>
      <c r="N80" s="11">
        <f>IFERROR(__xludf.DUMMYFUNCTION("average(INDEX(GOOGLEFINANCE($A80,""PRICE"",WORKDAY(TODAY(),-N$2),today()),,2))"),294.25)</f>
        <v>294.25</v>
      </c>
      <c r="O80" s="11">
        <f>IFERROR(__xludf.DUMMYFUNCTION("average(INDEX(GOOGLEFINANCE($A80,""PRICE"",WORKDAY(TODAY(),-O$2),today()),,2))"),294.29285714285714)</f>
        <v>294.2928571</v>
      </c>
      <c r="P80" s="15">
        <f>IFERROR(__xludf.DUMMYFUNCTION("GOOGLEFINANCE($A80,""marketcap"")"),4.140394995E11)</f>
        <v>414039499500</v>
      </c>
      <c r="Q80" s="16">
        <f>IFERROR(__xludf.DUMMYFUNCTION("IFERROR(GOOGLEFINANCE($A80,""pe""),""-"")"),5.2)</f>
        <v>5.2</v>
      </c>
      <c r="R80" s="16" t="b">
        <f t="shared" si="1"/>
        <v>0</v>
      </c>
      <c r="S80" s="16" t="b">
        <f t="shared" si="2"/>
        <v>0</v>
      </c>
    </row>
    <row r="81">
      <c r="A81" s="17" t="s">
        <v>103</v>
      </c>
      <c r="B81" s="10" t="str">
        <f>IFERROR(__xludf.DUMMYFUNCTION("GOOGLEFINANCE($A81,""name"")"),"Hindustan Unilever Ltd")</f>
        <v>Hindustan Unilever Ltd</v>
      </c>
      <c r="C81" s="10" t="str">
        <f>IFERROR(__xludf.DUMMYFUNCTION("sparkline(index(GOOGLEFINANCE($A81,""price"",workday(today(),-C$2),today()),,2),{""charttype"",""column"";""color"",""green""})"),"")</f>
        <v/>
      </c>
      <c r="D81" s="11">
        <f>IFERROR(__xludf.DUMMYFUNCTION("GOOGLEFINANCE(""NSE:"" &amp;$A81,""price"")"),2132.0)</f>
        <v>2132</v>
      </c>
      <c r="E81" s="11">
        <f>IFERROR(__xludf.DUMMYFUNCTION("GOOGLEFINANCE(""NSE:"" &amp;$A81,""priceopen"")"),2182.0)</f>
        <v>2182</v>
      </c>
      <c r="F81" s="11">
        <f>IFERROR(__xludf.DUMMYFUNCTION("GOOGLEFINANCE(""NSE:"" &amp;$A81,""high"")"),2189.0)</f>
        <v>2189</v>
      </c>
      <c r="G81" s="11">
        <f>IFERROR(__xludf.DUMMYFUNCTION("GOOGLEFINANCE(""NSE:"" &amp;$A81,""low"")"),2120.0)</f>
        <v>2120</v>
      </c>
      <c r="H81" s="11">
        <f>IFERROR(__xludf.DUMMYFUNCTION("GOOGLEFINANCE(""NSE:"" &amp;$A81,""closeyest"")"),2197.95)</f>
        <v>2197.95</v>
      </c>
      <c r="I81" s="12">
        <f>IFERROR(__xludf.DUMMYFUNCTION("GOOGLEFINANCE(""NSE:"" &amp;$A81,""change"")"),-65.95)</f>
        <v>-65.95</v>
      </c>
      <c r="J81" s="13">
        <f>IFERROR(__xludf.DUMMYFUNCTION("GOOGLEFINANCE(""NSE:"" &amp;$A81,""changepct"")/100"),-0.03)</f>
        <v>-0.03</v>
      </c>
      <c r="K81" s="14">
        <f>IFERROR(__xludf.DUMMYFUNCTION("GOOGLEFINANCE(""NSE:"" &amp;$A81,""volume"")"),3520828.0)</f>
        <v>3520828</v>
      </c>
      <c r="L81" s="13">
        <f>IFERROR(__xludf.DUMMYFUNCTION("$D81/INDEX(GOOGLEFINANCE($A81,""PRICE"",WORKDAY(TODAY(),-L$2)),2,2)-1"),-0.020962964663743033)</f>
        <v>-0.02096296466</v>
      </c>
      <c r="M81" s="13">
        <f>IFERROR(__xludf.DUMMYFUNCTION("$D81/INDEX(GOOGLEFINANCE($A81,""PRICE"",WORKDAY(TODAY(),-M$2)),2,2)-1"),-0.01435473058875203)</f>
        <v>-0.01435473059</v>
      </c>
      <c r="N81" s="11">
        <f>IFERROR(__xludf.DUMMYFUNCTION("average(INDEX(GOOGLEFINANCE($A81,""PRICE"",WORKDAY(TODAY(),-N$2),today()),,2))"),2163.4)</f>
        <v>2163.4</v>
      </c>
      <c r="O81" s="11">
        <f>IFERROR(__xludf.DUMMYFUNCTION("average(INDEX(GOOGLEFINANCE($A81,""PRICE"",WORKDAY(TODAY(),-O$2),today()),,2))"),2157.2928571428574)</f>
        <v>2157.292857</v>
      </c>
      <c r="P81" s="15">
        <f>IFERROR(__xludf.DUMMYFUNCTION("GOOGLEFINANCE($A81,""marketcap"")"),4.885092969798E12)</f>
        <v>4885092969798</v>
      </c>
      <c r="Q81" s="16">
        <f>IFERROR(__xludf.DUMMYFUNCTION("IFERROR(GOOGLEFINANCE($A81,""pe""),""-"")"),57.18)</f>
        <v>57.18</v>
      </c>
      <c r="R81" s="16" t="b">
        <f t="shared" si="1"/>
        <v>0</v>
      </c>
      <c r="S81" s="16" t="b">
        <f t="shared" si="2"/>
        <v>0</v>
      </c>
    </row>
    <row r="82">
      <c r="A82" s="17" t="s">
        <v>104</v>
      </c>
      <c r="B82" s="10" t="str">
        <f>IFERROR(__xludf.DUMMYFUNCTION("GOOGLEFINANCE($A82,""name"")"),"Indiabulls Housing Finance Ltd")</f>
        <v>Indiabulls Housing Finance Ltd</v>
      </c>
      <c r="C82" s="10" t="str">
        <f>IFERROR(__xludf.DUMMYFUNCTION("sparkline(index(GOOGLEFINANCE($A82,""price"",workday(today(),-C$2),today()),,2),{""charttype"",""column"";""color"",""green""})"),"#N/A")</f>
        <v>#N/A</v>
      </c>
      <c r="D82" s="11">
        <f>IFERROR(__xludf.DUMMYFUNCTION("GOOGLEFINANCE(""NSE:"" &amp;$A82,""price"")"),158.3)</f>
        <v>158.3</v>
      </c>
      <c r="E82" s="11">
        <f>IFERROR(__xludf.DUMMYFUNCTION("GOOGLEFINANCE(""NSE:"" &amp;$A82,""priceopen"")"),160.0)</f>
        <v>160</v>
      </c>
      <c r="F82" s="11">
        <f>IFERROR(__xludf.DUMMYFUNCTION("GOOGLEFINANCE(""NSE:"" &amp;$A82,""high"")"),164.2)</f>
        <v>164.2</v>
      </c>
      <c r="G82" s="11">
        <f>IFERROR(__xludf.DUMMYFUNCTION("GOOGLEFINANCE(""NSE:"" &amp;$A82,""low"")"),158.05)</f>
        <v>158.05</v>
      </c>
      <c r="H82" s="11">
        <f>IFERROR(__xludf.DUMMYFUNCTION("GOOGLEFINANCE(""NSE:"" &amp;$A82,""closeyest"")"),162.2)</f>
        <v>162.2</v>
      </c>
      <c r="I82" s="12">
        <f>IFERROR(__xludf.DUMMYFUNCTION("GOOGLEFINANCE(""NSE:"" &amp;$A82,""change"")"),-3.9)</f>
        <v>-3.9</v>
      </c>
      <c r="J82" s="13">
        <f>IFERROR(__xludf.DUMMYFUNCTION("GOOGLEFINANCE(""NSE:"" &amp;$A82,""changepct"")/100"),-0.024)</f>
        <v>-0.024</v>
      </c>
      <c r="K82" s="14">
        <f>IFERROR(__xludf.DUMMYFUNCTION("GOOGLEFINANCE(""NSE:"" &amp;$A82,""volume"")"),7015708.0)</f>
        <v>7015708</v>
      </c>
      <c r="L82" s="13">
        <f>IFERROR(__xludf.DUMMYFUNCTION("$D82/INDEX(GOOGLEFINANCE($A82,""PRICE"",WORKDAY(TODAY(),-L$2)),2,2)-1"),-0.021933889403768836)</f>
        <v>-0.0219338894</v>
      </c>
      <c r="M82" s="13">
        <f>IFERROR(__xludf.DUMMYFUNCTION("$D82/INDEX(GOOGLEFINANCE($A82,""PRICE"",WORKDAY(TODAY(),-M$2)),2,2)-1"),-0.08470656259034393)</f>
        <v>-0.08470656259</v>
      </c>
      <c r="N82" s="11">
        <f>IFERROR(__xludf.DUMMYFUNCTION("average(INDEX(GOOGLEFINANCE($A82,""PRICE"",WORKDAY(TODAY(),-N$2),today()),,2))"),159.8875)</f>
        <v>159.8875</v>
      </c>
      <c r="O82" s="11" t="str">
        <f>IFERROR(__xludf.DUMMYFUNCTION("average(INDEX(GOOGLEFINANCE($A82,""PRICE"",WORKDAY(TODAY(),-O$2),today()),,2))"),"#N/A")</f>
        <v>#N/A</v>
      </c>
      <c r="P82" s="15">
        <f>IFERROR(__xludf.DUMMYFUNCTION("GOOGLEFINANCE($A82,""marketcap"")"),7.4231403894E10)</f>
        <v>74231403894</v>
      </c>
      <c r="Q82" s="16">
        <f>IFERROR(__xludf.DUMMYFUNCTION("IFERROR(GOOGLEFINANCE($A82,""pe""),""-"")"),6.17)</f>
        <v>6.17</v>
      </c>
      <c r="R82" s="16" t="b">
        <f t="shared" si="1"/>
        <v>0</v>
      </c>
      <c r="S82" s="16" t="b">
        <f t="shared" si="2"/>
        <v>0</v>
      </c>
    </row>
    <row r="83">
      <c r="A83" s="17" t="s">
        <v>105</v>
      </c>
      <c r="B83" s="10" t="str">
        <f>IFERROR(__xludf.DUMMYFUNCTION("GOOGLEFINANCE($A83,""name"")"),"ICICI Bank Ltd")</f>
        <v>ICICI Bank Ltd</v>
      </c>
      <c r="C83" s="10" t="str">
        <f>IFERROR(__xludf.DUMMYFUNCTION("sparkline(index(GOOGLEFINANCE($A83,""price"",workday(today(),-C$2),today()),,2),{""charttype"",""column"";""color"",""green""})"),"")</f>
        <v/>
      </c>
      <c r="D83" s="11">
        <f>IFERROR(__xludf.DUMMYFUNCTION("GOOGLEFINANCE(""NSE:"" &amp;$A83,""price"")"),747.0)</f>
        <v>747</v>
      </c>
      <c r="E83" s="11">
        <f>IFERROR(__xludf.DUMMYFUNCTION("GOOGLEFINANCE(""NSE:"" &amp;$A83,""priceopen"")"),757.0)</f>
        <v>757</v>
      </c>
      <c r="F83" s="11">
        <f>IFERROR(__xludf.DUMMYFUNCTION("GOOGLEFINANCE(""NSE:"" &amp;$A83,""high"")"),758.85)</f>
        <v>758.85</v>
      </c>
      <c r="G83" s="11">
        <f>IFERROR(__xludf.DUMMYFUNCTION("GOOGLEFINANCE(""NSE:"" &amp;$A83,""low"")"),745.9)</f>
        <v>745.9</v>
      </c>
      <c r="H83" s="11">
        <f>IFERROR(__xludf.DUMMYFUNCTION("GOOGLEFINANCE(""NSE:"" &amp;$A83,""closeyest"")"),762.35)</f>
        <v>762.35</v>
      </c>
      <c r="I83" s="12">
        <f>IFERROR(__xludf.DUMMYFUNCTION("GOOGLEFINANCE(""NSE:"" &amp;$A83,""change"")"),-15.35)</f>
        <v>-15.35</v>
      </c>
      <c r="J83" s="13">
        <f>IFERROR(__xludf.DUMMYFUNCTION("GOOGLEFINANCE(""NSE:"" &amp;$A83,""changepct"")/100"),-0.020099999999999996)</f>
        <v>-0.0201</v>
      </c>
      <c r="K83" s="14">
        <f>IFERROR(__xludf.DUMMYFUNCTION("GOOGLEFINANCE(""NSE:"" &amp;$A83,""volume"")"),1.4411607E7)</f>
        <v>14411607</v>
      </c>
      <c r="L83" s="13">
        <f>IFERROR(__xludf.DUMMYFUNCTION("$D83/INDEX(GOOGLEFINANCE($A83,""PRICE"",WORKDAY(TODAY(),-L$2)),2,2)-1"),-0.014251781472684022)</f>
        <v>-0.01425178147</v>
      </c>
      <c r="M83" s="13">
        <f>IFERROR(__xludf.DUMMYFUNCTION("$D83/INDEX(GOOGLEFINANCE($A83,""PRICE"",WORKDAY(TODAY(),-M$2)),2,2)-1"),-0.016587677725118488)</f>
        <v>-0.01658767773</v>
      </c>
      <c r="N83" s="11">
        <f>IFERROR(__xludf.DUMMYFUNCTION("average(INDEX(GOOGLEFINANCE($A83,""PRICE"",WORKDAY(TODAY(),-N$2),today()),,2))"),760.4999999999999)</f>
        <v>760.5</v>
      </c>
      <c r="O83" s="11">
        <f>IFERROR(__xludf.DUMMYFUNCTION("average(INDEX(GOOGLEFINANCE($A83,""PRICE"",WORKDAY(TODAY(),-O$2),today()),,2))"),761.1000000000001)</f>
        <v>761.1</v>
      </c>
      <c r="P83" s="15">
        <f>IFERROR(__xludf.DUMMYFUNCTION("GOOGLEFINANCE($A83,""marketcap"")"),6.6520635902E10)</f>
        <v>66520635902</v>
      </c>
      <c r="Q83" s="16">
        <f>IFERROR(__xludf.DUMMYFUNCTION("IFERROR(GOOGLEFINANCE($A83,""pe""),""-"")"),23.71)</f>
        <v>23.71</v>
      </c>
      <c r="R83" s="16" t="b">
        <f t="shared" si="1"/>
        <v>0</v>
      </c>
      <c r="S83" s="16" t="b">
        <f t="shared" si="2"/>
        <v>0</v>
      </c>
    </row>
    <row r="84">
      <c r="A84" s="17" t="s">
        <v>106</v>
      </c>
      <c r="B84" s="10" t="str">
        <f>IFERROR(__xludf.DUMMYFUNCTION("GOOGLEFINANCE($A84,""name"")"),"ICICI Lombard General Insurance Co Ltd")</f>
        <v>ICICI Lombard General Insurance Co Ltd</v>
      </c>
      <c r="C84" s="10" t="str">
        <f>IFERROR(__xludf.DUMMYFUNCTION("sparkline(index(GOOGLEFINANCE($A84,""price"",workday(today(),-C$2),today()),,2),{""charttype"",""column"";""color"",""green""})"),"")</f>
        <v/>
      </c>
      <c r="D84" s="11">
        <f>IFERROR(__xludf.DUMMYFUNCTION("GOOGLEFINANCE(""NSE:"" &amp;$A84,""price"")"),1320.0)</f>
        <v>1320</v>
      </c>
      <c r="E84" s="11">
        <f>IFERROR(__xludf.DUMMYFUNCTION("GOOGLEFINANCE(""NSE:"" &amp;$A84,""priceopen"")"),1345.0)</f>
        <v>1345</v>
      </c>
      <c r="F84" s="11">
        <f>IFERROR(__xludf.DUMMYFUNCTION("GOOGLEFINANCE(""NSE:"" &amp;$A84,""high"")"),1350.0)</f>
        <v>1350</v>
      </c>
      <c r="G84" s="11">
        <f>IFERROR(__xludf.DUMMYFUNCTION("GOOGLEFINANCE(""NSE:"" &amp;$A84,""low"")"),1313.55)</f>
        <v>1313.55</v>
      </c>
      <c r="H84" s="11">
        <f>IFERROR(__xludf.DUMMYFUNCTION("GOOGLEFINANCE(""NSE:"" &amp;$A84,""closeyest"")"),1401.0)</f>
        <v>1401</v>
      </c>
      <c r="I84" s="12">
        <f>IFERROR(__xludf.DUMMYFUNCTION("GOOGLEFINANCE(""NSE:"" &amp;$A84,""change"")"),-81.0)</f>
        <v>-81</v>
      </c>
      <c r="J84" s="13">
        <f>IFERROR(__xludf.DUMMYFUNCTION("GOOGLEFINANCE(""NSE:"" &amp;$A84,""changepct"")/100"),-0.057800000000000004)</f>
        <v>-0.0578</v>
      </c>
      <c r="K84" s="14">
        <f>IFERROR(__xludf.DUMMYFUNCTION("GOOGLEFINANCE(""NSE:"" &amp;$A84,""volume"")"),2371544.0)</f>
        <v>2371544</v>
      </c>
      <c r="L84" s="13">
        <f>IFERROR(__xludf.DUMMYFUNCTION("$D84/INDEX(GOOGLEFINANCE($A84,""PRICE"",WORKDAY(TODAY(),-L$2)),2,2)-1"),-0.027481028512488015)</f>
        <v>-0.02748102851</v>
      </c>
      <c r="M84" s="13">
        <f>IFERROR(__xludf.DUMMYFUNCTION("$D84/INDEX(GOOGLEFINANCE($A84,""PRICE"",WORKDAY(TODAY(),-M$2)),2,2)-1"),-0.026548672566371723)</f>
        <v>-0.02654867257</v>
      </c>
      <c r="N84" s="11" t="str">
        <f>IFERROR(__xludf.DUMMYFUNCTION("average(INDEX(GOOGLEFINANCE($A84,""PRICE"",WORKDAY(TODAY(),-N$2),today()),,2))"),"#N/A")</f>
        <v>#N/A</v>
      </c>
      <c r="O84" s="11">
        <f>IFERROR(__xludf.DUMMYFUNCTION("average(INDEX(GOOGLEFINANCE($A84,""PRICE"",WORKDAY(TODAY(),-O$2),today()),,2))"),1361.5785714285716)</f>
        <v>1361.578571</v>
      </c>
      <c r="P84" s="15">
        <f>IFERROR(__xludf.DUMMYFUNCTION("GOOGLEFINANCE($A84,""marketcap"")"),6.3625268997E11)</f>
        <v>636252689970</v>
      </c>
      <c r="Q84" s="16">
        <f>IFERROR(__xludf.DUMMYFUNCTION("IFERROR(GOOGLEFINANCE($A84,""pe""),""-"")"),49.05)</f>
        <v>49.05</v>
      </c>
      <c r="R84" s="16" t="b">
        <f t="shared" si="1"/>
        <v>0</v>
      </c>
      <c r="S84" s="16" t="b">
        <f t="shared" si="2"/>
        <v>0</v>
      </c>
    </row>
    <row r="85">
      <c r="A85" s="17" t="s">
        <v>107</v>
      </c>
      <c r="B85" s="10" t="str">
        <f>IFERROR(__xludf.DUMMYFUNCTION("GOOGLEFINANCE($A85,""name"")"),"Icici Prudential Life Insurance Comp Ltd")</f>
        <v>Icici Prudential Life Insurance Comp Ltd</v>
      </c>
      <c r="C85" s="10" t="str">
        <f>IFERROR(__xludf.DUMMYFUNCTION("sparkline(index(GOOGLEFINANCE($A85,""price"",workday(today(),-C$2),today()),,2),{""charttype"",""column"";""color"",""green""})"),"")</f>
        <v/>
      </c>
      <c r="D85" s="11">
        <f>IFERROR(__xludf.DUMMYFUNCTION("GOOGLEFINANCE(""NSE:"" &amp;$A85,""price"")"),524.0)</f>
        <v>524</v>
      </c>
      <c r="E85" s="11">
        <f>IFERROR(__xludf.DUMMYFUNCTION("GOOGLEFINANCE(""NSE:"" &amp;$A85,""priceopen"")"),531.0)</f>
        <v>531</v>
      </c>
      <c r="F85" s="11">
        <f>IFERROR(__xludf.DUMMYFUNCTION("GOOGLEFINANCE(""NSE:"" &amp;$A85,""high"")"),532.75)</f>
        <v>532.75</v>
      </c>
      <c r="G85" s="11">
        <f>IFERROR(__xludf.DUMMYFUNCTION("GOOGLEFINANCE(""NSE:"" &amp;$A85,""low"")"),519.2)</f>
        <v>519.2</v>
      </c>
      <c r="H85" s="11">
        <f>IFERROR(__xludf.DUMMYFUNCTION("GOOGLEFINANCE(""NSE:"" &amp;$A85,""closeyest"")"),532.55)</f>
        <v>532.55</v>
      </c>
      <c r="I85" s="12">
        <f>IFERROR(__xludf.DUMMYFUNCTION("GOOGLEFINANCE(""NSE:"" &amp;$A85,""change"")"),-8.55)</f>
        <v>-8.55</v>
      </c>
      <c r="J85" s="13">
        <f>IFERROR(__xludf.DUMMYFUNCTION("GOOGLEFINANCE(""NSE:"" &amp;$A85,""changepct"")/100"),-0.0161)</f>
        <v>-0.0161</v>
      </c>
      <c r="K85" s="14">
        <f>IFERROR(__xludf.DUMMYFUNCTION("GOOGLEFINANCE(""NSE:"" &amp;$A85,""volume"")"),1047660.0)</f>
        <v>1047660</v>
      </c>
      <c r="L85" s="13">
        <f>IFERROR(__xludf.DUMMYFUNCTION("$D85/INDEX(GOOGLEFINANCE($A85,""PRICE"",WORKDAY(TODAY(),-L$2)),2,2)-1"),-0.03347781979157061)</f>
        <v>-0.03347781979</v>
      </c>
      <c r="M85" s="13" t="str">
        <f>IFERROR(__xludf.DUMMYFUNCTION("$D85/INDEX(GOOGLEFINANCE($A85,""PRICE"",WORKDAY(TODAY(),-M$2)),2,2)-1"),"#N/A")</f>
        <v>#N/A</v>
      </c>
      <c r="N85" s="11">
        <f>IFERROR(__xludf.DUMMYFUNCTION("average(INDEX(GOOGLEFINANCE($A85,""PRICE"",WORKDAY(TODAY(),-N$2),today()),,2))"),529.1875)</f>
        <v>529.1875</v>
      </c>
      <c r="O85" s="11">
        <f>IFERROR(__xludf.DUMMYFUNCTION("average(INDEX(GOOGLEFINANCE($A85,""PRICE"",WORKDAY(TODAY(),-O$2),today()),,2))"),532.8857142857142)</f>
        <v>532.8857143</v>
      </c>
      <c r="P85" s="15">
        <f>IFERROR(__xludf.DUMMYFUNCTION("GOOGLEFINANCE($A85,""marketcap"")"),7.36860106741E11)</f>
        <v>736860106741</v>
      </c>
      <c r="Q85" s="16">
        <f>IFERROR(__xludf.DUMMYFUNCTION("IFERROR(GOOGLEFINANCE($A85,""pe""),""-"")"),99.62)</f>
        <v>99.62</v>
      </c>
      <c r="R85" s="16" t="b">
        <f t="shared" si="1"/>
        <v>0</v>
      </c>
      <c r="S85" s="16" t="b">
        <f t="shared" si="2"/>
        <v>0</v>
      </c>
    </row>
    <row r="86">
      <c r="A86" s="17" t="s">
        <v>108</v>
      </c>
      <c r="B86" s="10" t="str">
        <f>IFERROR(__xludf.DUMMYFUNCTION("GOOGLEFINANCE($A86,""name"")"),"Invent Ventures, Inc. Common Stock")</f>
        <v>Invent Ventures, Inc. Common Stock</v>
      </c>
      <c r="C86" s="10" t="str">
        <f>IFERROR(__xludf.DUMMYFUNCTION("sparkline(index(GOOGLEFINANCE($A86,""price"",workday(today(),-C$2),today()),,2),{""charttype"",""column"";""color"",""green""})"),"")</f>
        <v/>
      </c>
      <c r="D86" s="11">
        <f>IFERROR(__xludf.DUMMYFUNCTION("GOOGLEFINANCE(""NSE:"" &amp;$A86,""price"")"),9.95)</f>
        <v>9.95</v>
      </c>
      <c r="E86" s="11">
        <f>IFERROR(__xludf.DUMMYFUNCTION("GOOGLEFINANCE(""NSE:"" &amp;$A86,""priceopen"")"),9.9)</f>
        <v>9.9</v>
      </c>
      <c r="F86" s="11">
        <f>IFERROR(__xludf.DUMMYFUNCTION("GOOGLEFINANCE(""NSE:"" &amp;$A86,""high"")"),10.15)</f>
        <v>10.15</v>
      </c>
      <c r="G86" s="11">
        <f>IFERROR(__xludf.DUMMYFUNCTION("GOOGLEFINANCE(""NSE:"" &amp;$A86,""low"")"),9.9)</f>
        <v>9.9</v>
      </c>
      <c r="H86" s="11">
        <f>IFERROR(__xludf.DUMMYFUNCTION("GOOGLEFINANCE(""NSE:"" &amp;$A86,""closeyest"")"),10.0)</f>
        <v>10</v>
      </c>
      <c r="I86" s="12">
        <f>IFERROR(__xludf.DUMMYFUNCTION("GOOGLEFINANCE(""NSE:"" &amp;$A86,""change"")"),-0.05)</f>
        <v>-0.05</v>
      </c>
      <c r="J86" s="13">
        <f>IFERROR(__xludf.DUMMYFUNCTION("GOOGLEFINANCE(""NSE:"" &amp;$A86,""changepct"")/100"),-0.005)</f>
        <v>-0.005</v>
      </c>
      <c r="K86" s="14">
        <f>IFERROR(__xludf.DUMMYFUNCTION("GOOGLEFINANCE(""NSE:"" &amp;$A86,""volume"")"),6.5127833E7)</f>
        <v>65127833</v>
      </c>
      <c r="L86" s="13" t="str">
        <f>IFERROR(__xludf.DUMMYFUNCTION("$D86/INDEX(GOOGLEFINANCE($A86,""PRICE"",WORKDAY(TODAY(),-L$2)),2,2)-1"),"#N/A")</f>
        <v>#N/A</v>
      </c>
      <c r="M86" s="13" t="str">
        <f>IFERROR(__xludf.DUMMYFUNCTION("$D86/INDEX(GOOGLEFINANCE($A86,""PRICE"",WORKDAY(TODAY(),-M$2)),2,2)-1"),"#N/A")</f>
        <v>#N/A</v>
      </c>
      <c r="N86" s="11" t="str">
        <f>IFERROR(__xludf.DUMMYFUNCTION("average(INDEX(GOOGLEFINANCE($A86,""PRICE"",WORKDAY(TODAY(),-N$2),today()),,2))"),"#N/A")</f>
        <v>#N/A</v>
      </c>
      <c r="O86" s="11" t="str">
        <f>IFERROR(__xludf.DUMMYFUNCTION("average(INDEX(GOOGLEFINANCE($A86,""PRICE"",WORKDAY(TODAY(),-O$2),today()),,2))"),"#N/A")</f>
        <v>#N/A</v>
      </c>
      <c r="P86" s="15">
        <f>IFERROR(__xludf.DUMMYFUNCTION("GOOGLEFINANCE($A86,""marketcap"")"),198940.0)</f>
        <v>198940</v>
      </c>
      <c r="Q86" s="16" t="str">
        <f>IFERROR(__xludf.DUMMYFUNCTION("IFERROR(GOOGLEFINANCE($A86,""pe""),""-"")"),"-")</f>
        <v>-</v>
      </c>
      <c r="R86" s="16" t="b">
        <f t="shared" si="1"/>
        <v>1</v>
      </c>
      <c r="S86" s="16" t="b">
        <f t="shared" si="2"/>
        <v>0</v>
      </c>
    </row>
    <row r="87">
      <c r="A87" s="17" t="s">
        <v>109</v>
      </c>
      <c r="B87" s="10" t="str">
        <f>IFERROR(__xludf.DUMMYFUNCTION("GOOGLEFINANCE($A87,""name"")"),"IDFC First Bank Ltd")</f>
        <v>IDFC First Bank Ltd</v>
      </c>
      <c r="C87" s="10" t="str">
        <f>IFERROR(__xludf.DUMMYFUNCTION("sparkline(index(GOOGLEFINANCE($A87,""price"",workday(today(),-C$2),today()),,2),{""charttype"",""column"";""color"",""green""})"),"")</f>
        <v/>
      </c>
      <c r="D87" s="11">
        <f>IFERROR(__xludf.DUMMYFUNCTION("GOOGLEFINANCE(""NSE:"" &amp;$A87,""price"")"),40.1)</f>
        <v>40.1</v>
      </c>
      <c r="E87" s="11">
        <f>IFERROR(__xludf.DUMMYFUNCTION("GOOGLEFINANCE(""NSE:"" &amp;$A87,""priceopen"")"),40.6)</f>
        <v>40.6</v>
      </c>
      <c r="F87" s="11">
        <f>IFERROR(__xludf.DUMMYFUNCTION("GOOGLEFINANCE(""NSE:"" &amp;$A87,""high"")"),40.9)</f>
        <v>40.9</v>
      </c>
      <c r="G87" s="11">
        <f>IFERROR(__xludf.DUMMYFUNCTION("GOOGLEFINANCE(""NSE:"" &amp;$A87,""low"")"),39.95)</f>
        <v>39.95</v>
      </c>
      <c r="H87" s="11">
        <f>IFERROR(__xludf.DUMMYFUNCTION("GOOGLEFINANCE(""NSE:"" &amp;$A87,""closeyest"")"),40.85)</f>
        <v>40.85</v>
      </c>
      <c r="I87" s="12">
        <f>IFERROR(__xludf.DUMMYFUNCTION("GOOGLEFINANCE(""NSE:"" &amp;$A87,""change"")"),-0.75)</f>
        <v>-0.75</v>
      </c>
      <c r="J87" s="13">
        <f>IFERROR(__xludf.DUMMYFUNCTION("GOOGLEFINANCE(""NSE:"" &amp;$A87,""changepct"")/100"),-0.0184)</f>
        <v>-0.0184</v>
      </c>
      <c r="K87" s="14">
        <f>IFERROR(__xludf.DUMMYFUNCTION("GOOGLEFINANCE(""NSE:"" &amp;$A87,""volume"")"),1.9026852E7)</f>
        <v>19026852</v>
      </c>
      <c r="L87" s="13">
        <f>IFERROR(__xludf.DUMMYFUNCTION("$D87/INDEX(GOOGLEFINANCE($A87,""PRICE"",WORKDAY(TODAY(),-L$2)),2,2)-1"),-0.017156862745097978)</f>
        <v>-0.01715686275</v>
      </c>
      <c r="M87" s="13">
        <f>IFERROR(__xludf.DUMMYFUNCTION("$D87/INDEX(GOOGLEFINANCE($A87,""PRICE"",WORKDAY(TODAY(),-M$2)),2,2)-1"),-0.054245283018867885)</f>
        <v>-0.05424528302</v>
      </c>
      <c r="N87" s="11">
        <f>IFERROR(__xludf.DUMMYFUNCTION("average(INDEX(GOOGLEFINANCE($A87,""PRICE"",WORKDAY(TODAY(),-N$2),today()),,2))"),40.449999999999996)</f>
        <v>40.45</v>
      </c>
      <c r="O87" s="11">
        <f>IFERROR(__xludf.DUMMYFUNCTION("average(INDEX(GOOGLEFINANCE($A87,""PRICE"",WORKDAY(TODAY(),-O$2),today()),,2))"),41.021428571428565)</f>
        <v>41.02142857</v>
      </c>
      <c r="P87" s="15">
        <f>IFERROR(__xludf.DUMMYFUNCTION("GOOGLEFINANCE($A87,""marketcap"")"),2.49019186024E11)</f>
        <v>249019186024</v>
      </c>
      <c r="Q87" s="16" t="str">
        <f>IFERROR(__xludf.DUMMYFUNCTION("IFERROR(GOOGLEFINANCE($A87,""pe""),""-"")"),"-")</f>
        <v>-</v>
      </c>
      <c r="R87" s="16" t="b">
        <f t="shared" si="1"/>
        <v>0</v>
      </c>
      <c r="S87" s="16" t="b">
        <f t="shared" si="2"/>
        <v>0</v>
      </c>
    </row>
    <row r="88">
      <c r="A88" s="17" t="s">
        <v>110</v>
      </c>
      <c r="B88" s="10" t="str">
        <f>IFERROR(__xludf.DUMMYFUNCTION("GOOGLEFINANCE($A88,""name"")"),"IDEX Corporation")</f>
        <v>IDEX Corporation</v>
      </c>
      <c r="C88" s="10" t="str">
        <f>IFERROR(__xludf.DUMMYFUNCTION("sparkline(index(GOOGLEFINANCE($A88,""price"",workday(today(),-C$2),today()),,2),{""charttype"",""column"";""color"",""green""})"),"")</f>
        <v/>
      </c>
      <c r="D88" s="11">
        <f>IFERROR(__xludf.DUMMYFUNCTION("GOOGLEFINANCE(""NSE:"" &amp;$A88,""price"")"),230.8)</f>
        <v>230.8</v>
      </c>
      <c r="E88" s="11">
        <f>IFERROR(__xludf.DUMMYFUNCTION("GOOGLEFINANCE(""NSE:"" &amp;$A88,""priceopen"")"),232.6)</f>
        <v>232.6</v>
      </c>
      <c r="F88" s="11">
        <f>IFERROR(__xludf.DUMMYFUNCTION("GOOGLEFINANCE(""NSE:"" &amp;$A88,""high"")"),235.15)</f>
        <v>235.15</v>
      </c>
      <c r="G88" s="11">
        <f>IFERROR(__xludf.DUMMYFUNCTION("GOOGLEFINANCE(""NSE:"" &amp;$A88,""low"")"),229.05)</f>
        <v>229.05</v>
      </c>
      <c r="H88" s="11">
        <f>IFERROR(__xludf.DUMMYFUNCTION("GOOGLEFINANCE(""NSE:"" &amp;$A88,""closeyest"")"),234.2)</f>
        <v>234.2</v>
      </c>
      <c r="I88" s="12">
        <f>IFERROR(__xludf.DUMMYFUNCTION("GOOGLEFINANCE(""NSE:"" &amp;$A88,""change"")"),-3.4)</f>
        <v>-3.4</v>
      </c>
      <c r="J88" s="13">
        <f>IFERROR(__xludf.DUMMYFUNCTION("GOOGLEFINANCE(""NSE:"" &amp;$A88,""changepct"")/100"),-0.014499999999999999)</f>
        <v>-0.0145</v>
      </c>
      <c r="K88" s="14">
        <f>IFERROR(__xludf.DUMMYFUNCTION("GOOGLEFINANCE(""NSE:"" &amp;$A88,""volume"")"),4386634.0)</f>
        <v>4386634</v>
      </c>
      <c r="L88" s="13">
        <f>IFERROR(__xludf.DUMMYFUNCTION("$D88/INDEX(GOOGLEFINANCE($A88,""PRICE"",WORKDAY(TODAY(),-L$2)),2,2)-1"),0.22084104734197307)</f>
        <v>0.2208410473</v>
      </c>
      <c r="M88" s="13">
        <f>IFERROR(__xludf.DUMMYFUNCTION("$D88/INDEX(GOOGLEFINANCE($A88,""PRICE"",WORKDAY(TODAY(),-M$2)),2,2)-1"),0.1725259093680147)</f>
        <v>0.1725259094</v>
      </c>
      <c r="N88" s="11">
        <f>IFERROR(__xludf.DUMMYFUNCTION("average(INDEX(GOOGLEFINANCE($A88,""PRICE"",WORKDAY(TODAY(),-N$2),today()),,2))"),193.965)</f>
        <v>193.965</v>
      </c>
      <c r="O88" s="11">
        <f>IFERROR(__xludf.DUMMYFUNCTION("average(INDEX(GOOGLEFINANCE($A88,""PRICE"",WORKDAY(TODAY(),-O$2),today()),,2))"),194.1388888888889)</f>
        <v>194.1388889</v>
      </c>
      <c r="P88" s="15">
        <f>IFERROR(__xludf.DUMMYFUNCTION("GOOGLEFINANCE($A88,""marketcap"")"),1.4789706279E10)</f>
        <v>14789706279</v>
      </c>
      <c r="Q88" s="16">
        <f>IFERROR(__xludf.DUMMYFUNCTION("IFERROR(GOOGLEFINANCE($A88,""pe""),""-"")"),32.85)</f>
        <v>32.85</v>
      </c>
      <c r="R88" s="16" t="b">
        <f t="shared" si="1"/>
        <v>0</v>
      </c>
      <c r="S88" s="16" t="b">
        <f t="shared" si="2"/>
        <v>0</v>
      </c>
    </row>
    <row r="89">
      <c r="A89" s="17" t="s">
        <v>111</v>
      </c>
      <c r="B89" s="10" t="str">
        <f>IFERROR(__xludf.DUMMYFUNCTION("GOOGLEFINANCE($A89,""name"")"),"IVE Group Ltd")</f>
        <v>IVE Group Ltd</v>
      </c>
      <c r="C89" s="10" t="str">
        <f>IFERROR(__xludf.DUMMYFUNCTION("sparkline(index(GOOGLEFINANCE($A89,""price"",workday(today(),-C$2),today()),,2),{""charttype"",""column"";""color"",""green""})"),"")</f>
        <v/>
      </c>
      <c r="D89" s="11">
        <f>IFERROR(__xludf.DUMMYFUNCTION("GOOGLEFINANCE(""NSE:"" &amp;$A89,""price"")"),376.3)</f>
        <v>376.3</v>
      </c>
      <c r="E89" s="11">
        <f>IFERROR(__xludf.DUMMYFUNCTION("GOOGLEFINANCE(""NSE:"" &amp;$A89,""priceopen"")"),379.85)</f>
        <v>379.85</v>
      </c>
      <c r="F89" s="11">
        <f>IFERROR(__xludf.DUMMYFUNCTION("GOOGLEFINANCE(""NSE:"" &amp;$A89,""high"")"),382.75)</f>
        <v>382.75</v>
      </c>
      <c r="G89" s="11">
        <f>IFERROR(__xludf.DUMMYFUNCTION("GOOGLEFINANCE(""NSE:"" &amp;$A89,""low"")"),376.15)</f>
        <v>376.15</v>
      </c>
      <c r="H89" s="11">
        <f>IFERROR(__xludf.DUMMYFUNCTION("GOOGLEFINANCE(""NSE:"" &amp;$A89,""closeyest"")"),380.45)</f>
        <v>380.45</v>
      </c>
      <c r="I89" s="12">
        <f>IFERROR(__xludf.DUMMYFUNCTION("GOOGLEFINANCE(""NSE:"" &amp;$A89,""change"")"),-4.15)</f>
        <v>-4.15</v>
      </c>
      <c r="J89" s="13">
        <f>IFERROR(__xludf.DUMMYFUNCTION("GOOGLEFINANCE(""NSE:"" &amp;$A89,""changepct"")/100"),-0.0109)</f>
        <v>-0.0109</v>
      </c>
      <c r="K89" s="14">
        <f>IFERROR(__xludf.DUMMYFUNCTION("GOOGLEFINANCE(""NSE:"" &amp;$A89,""volume"")"),1930047.0)</f>
        <v>1930047</v>
      </c>
      <c r="L89" s="13">
        <f>IFERROR(__xludf.DUMMYFUNCTION("$D89/INDEX(GOOGLEFINANCE($A89,""PRICE"",WORKDAY(TODAY(),-L$2)),2,2)-1"),181.66990291262135)</f>
        <v>181.6699029</v>
      </c>
      <c r="M89" s="13">
        <f>IFERROR(__xludf.DUMMYFUNCTION("$D89/INDEX(GOOGLEFINANCE($A89,""PRICE"",WORKDAY(TODAY(),-M$2)),2,2)-1"),182.56097560975613)</f>
        <v>182.5609756</v>
      </c>
      <c r="N89" s="11">
        <f>IFERROR(__xludf.DUMMYFUNCTION("average(INDEX(GOOGLEFINANCE($A89,""PRICE"",WORKDAY(TODAY(),-N$2),today()),,2))"),2.0466666666666664)</f>
        <v>2.046666667</v>
      </c>
      <c r="O89" s="11">
        <f>IFERROR(__xludf.DUMMYFUNCTION("average(INDEX(GOOGLEFINANCE($A89,""PRICE"",WORKDAY(TODAY(),-O$2),today()),,2))"),2.051428571428571)</f>
        <v>2.051428571</v>
      </c>
      <c r="P89" s="15">
        <f>IFERROR(__xludf.DUMMYFUNCTION("GOOGLEFINANCE($A89,""marketcap"")"),2.9418615E8)</f>
        <v>294186150</v>
      </c>
      <c r="Q89" s="16">
        <f>IFERROR(__xludf.DUMMYFUNCTION("IFERROR(GOOGLEFINANCE($A89,""pe""),""-"")"),12.38)</f>
        <v>12.38</v>
      </c>
      <c r="R89" s="16" t="b">
        <f t="shared" si="1"/>
        <v>0</v>
      </c>
      <c r="S89" s="16" t="b">
        <f t="shared" si="2"/>
        <v>0</v>
      </c>
    </row>
    <row r="90">
      <c r="A90" s="17" t="s">
        <v>112</v>
      </c>
      <c r="B90" s="10" t="str">
        <f>IFERROR(__xludf.DUMMYFUNCTION("GOOGLEFINANCE($A90,""name"")"),"Indian Hotels Company Ltd")</f>
        <v>Indian Hotels Company Ltd</v>
      </c>
      <c r="C90" s="10" t="str">
        <f>IFERROR(__xludf.DUMMYFUNCTION("sparkline(index(GOOGLEFINANCE($A90,""price"",workday(today(),-C$2),today()),,2),{""charttype"",""column"";""color"",""green""})"),"")</f>
        <v/>
      </c>
      <c r="D90" s="11">
        <f>IFERROR(__xludf.DUMMYFUNCTION("GOOGLEFINANCE(""NSE:"" &amp;$A90,""price"")"),241.5)</f>
        <v>241.5</v>
      </c>
      <c r="E90" s="11">
        <f>IFERROR(__xludf.DUMMYFUNCTION("GOOGLEFINANCE(""NSE:"" &amp;$A90,""priceopen"")"),242.7)</f>
        <v>242.7</v>
      </c>
      <c r="F90" s="11">
        <f>IFERROR(__xludf.DUMMYFUNCTION("GOOGLEFINANCE(""NSE:"" &amp;$A90,""high"")"),249.9)</f>
        <v>249.9</v>
      </c>
      <c r="G90" s="11">
        <f>IFERROR(__xludf.DUMMYFUNCTION("GOOGLEFINANCE(""NSE:"" &amp;$A90,""low"")"),240.0)</f>
        <v>240</v>
      </c>
      <c r="H90" s="11">
        <f>IFERROR(__xludf.DUMMYFUNCTION("GOOGLEFINANCE(""NSE:"" &amp;$A90,""closeyest"")"),244.2)</f>
        <v>244.2</v>
      </c>
      <c r="I90" s="12">
        <f>IFERROR(__xludf.DUMMYFUNCTION("GOOGLEFINANCE(""NSE:"" &amp;$A90,""change"")"),-2.7)</f>
        <v>-2.7</v>
      </c>
      <c r="J90" s="13">
        <f>IFERROR(__xludf.DUMMYFUNCTION("GOOGLEFINANCE(""NSE:"" &amp;$A90,""changepct"")/100"),-0.0111)</f>
        <v>-0.0111</v>
      </c>
      <c r="K90" s="14">
        <f>IFERROR(__xludf.DUMMYFUNCTION("GOOGLEFINANCE(""NSE:"" &amp;$A90,""volume"")"),4911841.0)</f>
        <v>4911841</v>
      </c>
      <c r="L90" s="13">
        <f>IFERROR(__xludf.DUMMYFUNCTION("$D90/INDEX(GOOGLEFINANCE($A90,""PRICE"",WORKDAY(TODAY(),-L$2)),2,2)-1"),-0.020283975659229236)</f>
        <v>-0.02028397566</v>
      </c>
      <c r="M90" s="13">
        <f>IFERROR(__xludf.DUMMYFUNCTION("$D90/INDEX(GOOGLEFINANCE($A90,""PRICE"",WORKDAY(TODAY(),-M$2)),2,2)-1"),-0.03669724770642202)</f>
        <v>-0.03669724771</v>
      </c>
      <c r="N90" s="11">
        <f>IFERROR(__xludf.DUMMYFUNCTION("average(INDEX(GOOGLEFINANCE($A90,""PRICE"",WORKDAY(TODAY(),-N$2),today()),,2))"),242.97500000000002)</f>
        <v>242.975</v>
      </c>
      <c r="O90" s="11" t="str">
        <f>IFERROR(__xludf.DUMMYFUNCTION("average(INDEX(GOOGLEFINANCE($A90,""PRICE"",WORKDAY(TODAY(),-O$2),today()),,2))"),"#N/A")</f>
        <v>#N/A</v>
      </c>
      <c r="P90" s="15">
        <f>IFERROR(__xludf.DUMMYFUNCTION("GOOGLEFINANCE($A90,""marketcap"")"),3.51111379747E11)</f>
        <v>351111379747</v>
      </c>
      <c r="Q90" s="16" t="str">
        <f>IFERROR(__xludf.DUMMYFUNCTION("IFERROR(GOOGLEFINANCE($A90,""pe""),""-"")"),"-")</f>
        <v>-</v>
      </c>
      <c r="R90" s="16" t="b">
        <f t="shared" si="1"/>
        <v>0</v>
      </c>
      <c r="S90" s="16" t="b">
        <f t="shared" si="2"/>
        <v>0</v>
      </c>
    </row>
    <row r="91">
      <c r="A91" s="17" t="s">
        <v>113</v>
      </c>
      <c r="B91" s="10" t="str">
        <f>IFERROR(__xludf.DUMMYFUNCTION("GOOGLEFINANCE($A91,""name"")"),"India Cements Ltd")</f>
        <v>India Cements Ltd</v>
      </c>
      <c r="C91" s="10" t="str">
        <f>IFERROR(__xludf.DUMMYFUNCTION("sparkline(index(GOOGLEFINANCE($A91,""price"",workday(today(),-C$2),today()),,2),{""charttype"",""column"";""color"",""green""})"),"")</f>
        <v/>
      </c>
      <c r="D91" s="11">
        <f>IFERROR(__xludf.DUMMYFUNCTION("GOOGLEFINANCE(""NSE:"" &amp;$A91,""price"")"),209.0)</f>
        <v>209</v>
      </c>
      <c r="E91" s="11">
        <f>IFERROR(__xludf.DUMMYFUNCTION("GOOGLEFINANCE(""NSE:"" &amp;$A91,""priceopen"")"),212.3)</f>
        <v>212.3</v>
      </c>
      <c r="F91" s="11">
        <f>IFERROR(__xludf.DUMMYFUNCTION("GOOGLEFINANCE(""NSE:"" &amp;$A91,""high"")"),214.2)</f>
        <v>214.2</v>
      </c>
      <c r="G91" s="11">
        <f>IFERROR(__xludf.DUMMYFUNCTION("GOOGLEFINANCE(""NSE:"" &amp;$A91,""low"")"),208.6)</f>
        <v>208.6</v>
      </c>
      <c r="H91" s="11">
        <f>IFERROR(__xludf.DUMMYFUNCTION("GOOGLEFINANCE(""NSE:"" &amp;$A91,""closeyest"")"),214.6)</f>
        <v>214.6</v>
      </c>
      <c r="I91" s="12">
        <f>IFERROR(__xludf.DUMMYFUNCTION("GOOGLEFINANCE(""NSE:"" &amp;$A91,""change"")"),-5.6)</f>
        <v>-5.6</v>
      </c>
      <c r="J91" s="13">
        <f>IFERROR(__xludf.DUMMYFUNCTION("GOOGLEFINANCE(""NSE:"" &amp;$A91,""changepct"")/100"),-0.026099999999999998)</f>
        <v>-0.0261</v>
      </c>
      <c r="K91" s="14">
        <f>IFERROR(__xludf.DUMMYFUNCTION("GOOGLEFINANCE(""NSE:"" &amp;$A91,""volume"")"),1267897.0)</f>
        <v>1267897</v>
      </c>
      <c r="L91" s="13">
        <f>IFERROR(__xludf.DUMMYFUNCTION("$D91/INDEX(GOOGLEFINANCE($A91,""PRICE"",WORKDAY(TODAY(),-L$2)),2,2)-1"),-0.03620013834447777)</f>
        <v>-0.03620013834</v>
      </c>
      <c r="M91" s="13">
        <f>IFERROR(__xludf.DUMMYFUNCTION("$D91/INDEX(GOOGLEFINANCE($A91,""PRICE"",WORKDAY(TODAY(),-M$2)),2,2)-1"),-0.09169926119078664)</f>
        <v>-0.09169926119</v>
      </c>
      <c r="N91" s="11">
        <f>IFERROR(__xludf.DUMMYFUNCTION("average(INDEX(GOOGLEFINANCE($A91,""PRICE"",WORKDAY(TODAY(),-N$2),today()),,2))"),212.525)</f>
        <v>212.525</v>
      </c>
      <c r="O91" s="11">
        <f>IFERROR(__xludf.DUMMYFUNCTION("average(INDEX(GOOGLEFINANCE($A91,""PRICE"",WORKDAY(TODAY(),-O$2),today()),,2))"),218.61428571428567)</f>
        <v>218.6142857</v>
      </c>
      <c r="P91" s="15">
        <f>IFERROR(__xludf.DUMMYFUNCTION("GOOGLEFINANCE($A91,""marketcap"")"),6.3938380827E10)</f>
        <v>63938380827</v>
      </c>
      <c r="Q91" s="16">
        <f>IFERROR(__xludf.DUMMYFUNCTION("IFERROR(GOOGLEFINANCE($A91,""pe""),""-"")"),49.07)</f>
        <v>49.07</v>
      </c>
      <c r="R91" s="16" t="b">
        <f t="shared" si="1"/>
        <v>0</v>
      </c>
      <c r="S91" s="16" t="b">
        <f t="shared" si="2"/>
        <v>0</v>
      </c>
    </row>
    <row r="92">
      <c r="A92" s="17" t="s">
        <v>114</v>
      </c>
      <c r="B92" s="10" t="str">
        <f>IFERROR(__xludf.DUMMYFUNCTION("GOOGLEFINANCE($A92,""name"")"),"IndiaMART InterMESH Ltd")</f>
        <v>IndiaMART InterMESH Ltd</v>
      </c>
      <c r="C92" s="10" t="str">
        <f>IFERROR(__xludf.DUMMYFUNCTION("sparkline(index(GOOGLEFINANCE($A92,""price"",workday(today(),-C$2),today()),,2),{""charttype"",""column"";""color"",""green""})"),"")</f>
        <v/>
      </c>
      <c r="D92" s="11">
        <f>IFERROR(__xludf.DUMMYFUNCTION("GOOGLEFINANCE(""NSE:"" &amp;$A92,""price"")"),4811.25)</f>
        <v>4811.25</v>
      </c>
      <c r="E92" s="11">
        <f>IFERROR(__xludf.DUMMYFUNCTION("GOOGLEFINANCE(""NSE:"" &amp;$A92,""priceopen"")"),4779.75)</f>
        <v>4779.75</v>
      </c>
      <c r="F92" s="11">
        <f>IFERROR(__xludf.DUMMYFUNCTION("GOOGLEFINANCE(""NSE:"" &amp;$A92,""high"")"),4865.0)</f>
        <v>4865</v>
      </c>
      <c r="G92" s="11">
        <f>IFERROR(__xludf.DUMMYFUNCTION("GOOGLEFINANCE(""NSE:"" &amp;$A92,""low"")"),4740.05)</f>
        <v>4740.05</v>
      </c>
      <c r="H92" s="11">
        <f>IFERROR(__xludf.DUMMYFUNCTION("GOOGLEFINANCE(""NSE:"" &amp;$A92,""closeyest"")"),4794.45)</f>
        <v>4794.45</v>
      </c>
      <c r="I92" s="12">
        <f>IFERROR(__xludf.DUMMYFUNCTION("GOOGLEFINANCE(""NSE:"" &amp;$A92,""change"")"),16.8)</f>
        <v>16.8</v>
      </c>
      <c r="J92" s="13">
        <f>IFERROR(__xludf.DUMMYFUNCTION("GOOGLEFINANCE(""NSE:"" &amp;$A92,""changepct"")/100"),0.0034999999999999996)</f>
        <v>0.0035</v>
      </c>
      <c r="K92" s="14">
        <f>IFERROR(__xludf.DUMMYFUNCTION("GOOGLEFINANCE(""NSE:"" &amp;$A92,""volume"")"),66419.0)</f>
        <v>66419</v>
      </c>
      <c r="L92" s="13">
        <f>IFERROR(__xludf.DUMMYFUNCTION("$D92/INDEX(GOOGLEFINANCE($A92,""PRICE"",WORKDAY(TODAY(),-L$2)),2,2)-1"),-0.009246007639796883)</f>
        <v>-0.00924600764</v>
      </c>
      <c r="M92" s="13">
        <f>IFERROR(__xludf.DUMMYFUNCTION("$D92/INDEX(GOOGLEFINANCE($A92,""PRICE"",WORKDAY(TODAY(),-M$2)),2,2)-1"),-0.05031434126506318)</f>
        <v>-0.05031434127</v>
      </c>
      <c r="N92" s="11">
        <f>IFERROR(__xludf.DUMMYFUNCTION("average(INDEX(GOOGLEFINANCE($A92,""PRICE"",WORKDAY(TODAY(),-N$2),today()),,2))"),4777.212500000001)</f>
        <v>4777.2125</v>
      </c>
      <c r="O92" s="11">
        <f>IFERROR(__xludf.DUMMYFUNCTION("average(INDEX(GOOGLEFINANCE($A92,""PRICE"",WORKDAY(TODAY(),-O$2),today()),,2))"),4868.678571428571)</f>
        <v>4868.678571</v>
      </c>
      <c r="P92" s="15">
        <f>IFERROR(__xludf.DUMMYFUNCTION("GOOGLEFINANCE($A92,""marketcap"")"),1.48510219E11)</f>
        <v>148510219000</v>
      </c>
      <c r="Q92" s="16">
        <f>IFERROR(__xludf.DUMMYFUNCTION("IFERROR(GOOGLEFINANCE($A92,""pe""),""-"")"),49.62)</f>
        <v>49.62</v>
      </c>
      <c r="R92" s="16" t="b">
        <f t="shared" si="1"/>
        <v>0</v>
      </c>
      <c r="S92" s="16" t="b">
        <f t="shared" si="2"/>
        <v>0</v>
      </c>
    </row>
    <row r="93">
      <c r="A93" s="17" t="s">
        <v>115</v>
      </c>
      <c r="B93" s="10" t="str">
        <f>IFERROR(__xludf.DUMMYFUNCTION("GOOGLEFINANCE($A93,""name"")"),"Interglobe Aviation Ltd")</f>
        <v>Interglobe Aviation Ltd</v>
      </c>
      <c r="C93" s="10" t="str">
        <f>IFERROR(__xludf.DUMMYFUNCTION("sparkline(index(GOOGLEFINANCE($A93,""price"",workday(today(),-C$2),today()),,2),{""charttype"",""column"";""color"",""green""})"),"")</f>
        <v/>
      </c>
      <c r="D93" s="11">
        <f>IFERROR(__xludf.DUMMYFUNCTION("GOOGLEFINANCE(""NSE:"" &amp;$A93,""price"")"),1913.0)</f>
        <v>1913</v>
      </c>
      <c r="E93" s="11">
        <f>IFERROR(__xludf.DUMMYFUNCTION("GOOGLEFINANCE(""NSE:"" &amp;$A93,""priceopen"")"),1925.0)</f>
        <v>1925</v>
      </c>
      <c r="F93" s="11">
        <f>IFERROR(__xludf.DUMMYFUNCTION("GOOGLEFINANCE(""NSE:"" &amp;$A93,""high"")"),1945.0)</f>
        <v>1945</v>
      </c>
      <c r="G93" s="11">
        <f>IFERROR(__xludf.DUMMYFUNCTION("GOOGLEFINANCE(""NSE:"" &amp;$A93,""low"")"),1905.2)</f>
        <v>1905.2</v>
      </c>
      <c r="H93" s="11">
        <f>IFERROR(__xludf.DUMMYFUNCTION("GOOGLEFINANCE(""NSE:"" &amp;$A93,""closeyest"")"),1938.45)</f>
        <v>1938.45</v>
      </c>
      <c r="I93" s="12">
        <f>IFERROR(__xludf.DUMMYFUNCTION("GOOGLEFINANCE(""NSE:"" &amp;$A93,""change"")"),-25.45)</f>
        <v>-25.45</v>
      </c>
      <c r="J93" s="13">
        <f>IFERROR(__xludf.DUMMYFUNCTION("GOOGLEFINANCE(""NSE:"" &amp;$A93,""changepct"")/100"),-0.0131)</f>
        <v>-0.0131</v>
      </c>
      <c r="K93" s="14">
        <f>IFERROR(__xludf.DUMMYFUNCTION("GOOGLEFINANCE(""NSE:"" &amp;$A93,""volume"")"),448347.0)</f>
        <v>448347</v>
      </c>
      <c r="L93" s="13">
        <f>IFERROR(__xludf.DUMMYFUNCTION("$D93/INDEX(GOOGLEFINANCE($A93,""PRICE"",WORKDAY(TODAY(),-L$2)),2,2)-1"),0.014907952676534553)</f>
        <v>0.01490795268</v>
      </c>
      <c r="M93" s="13">
        <f>IFERROR(__xludf.DUMMYFUNCTION("$D93/INDEX(GOOGLEFINANCE($A93,""PRICE"",WORKDAY(TODAY(),-M$2)),2,2)-1"),-0.03944164093294167)</f>
        <v>-0.03944164093</v>
      </c>
      <c r="N93" s="11">
        <f>IFERROR(__xludf.DUMMYFUNCTION("average(INDEX(GOOGLEFINANCE($A93,""PRICE"",WORKDAY(TODAY(),-N$2),today()),,2))"),1897.3124999999998)</f>
        <v>1897.3125</v>
      </c>
      <c r="O93" s="11">
        <f>IFERROR(__xludf.DUMMYFUNCTION("average(INDEX(GOOGLEFINANCE($A93,""PRICE"",WORKDAY(TODAY(),-O$2),today()),,2))"),1916.1214285714286)</f>
        <v>1916.121429</v>
      </c>
      <c r="P93" s="15">
        <f>IFERROR(__xludf.DUMMYFUNCTION("GOOGLEFINANCE($A93,""marketcap"")"),7.264563936E11)</f>
        <v>726456393600</v>
      </c>
      <c r="Q93" s="16" t="str">
        <f>IFERROR(__xludf.DUMMYFUNCTION("IFERROR(GOOGLEFINANCE($A93,""pe""),""-"")"),"-")</f>
        <v>-</v>
      </c>
      <c r="R93" s="16" t="b">
        <f t="shared" si="1"/>
        <v>0</v>
      </c>
      <c r="S93" s="16" t="b">
        <f t="shared" si="2"/>
        <v>0</v>
      </c>
    </row>
    <row r="94">
      <c r="A94" s="17" t="s">
        <v>116</v>
      </c>
      <c r="B94" s="10" t="str">
        <f>IFERROR(__xludf.DUMMYFUNCTION("GOOGLEFINANCE($A94,""name"")"),"Indusind Bank Ltd")</f>
        <v>Indusind Bank Ltd</v>
      </c>
      <c r="C94" s="10" t="str">
        <f>IFERROR(__xludf.DUMMYFUNCTION("sparkline(index(GOOGLEFINANCE($A94,""price"",workday(today(),-C$2),today()),,2),{""charttype"",""column"";""color"",""green""})"),"")</f>
        <v/>
      </c>
      <c r="D94" s="11">
        <f>IFERROR(__xludf.DUMMYFUNCTION("GOOGLEFINANCE(""NSE:"" &amp;$A94,""price"")"),960.5)</f>
        <v>960.5</v>
      </c>
      <c r="E94" s="11">
        <f>IFERROR(__xludf.DUMMYFUNCTION("GOOGLEFINANCE(""NSE:"" &amp;$A94,""priceopen"")"),980.0)</f>
        <v>980</v>
      </c>
      <c r="F94" s="11">
        <f>IFERROR(__xludf.DUMMYFUNCTION("GOOGLEFINANCE(""NSE:"" &amp;$A94,""high"")"),988.0)</f>
        <v>988</v>
      </c>
      <c r="G94" s="11">
        <f>IFERROR(__xludf.DUMMYFUNCTION("GOOGLEFINANCE(""NSE:"" &amp;$A94,""low"")"),957.1)</f>
        <v>957.1</v>
      </c>
      <c r="H94" s="11">
        <f>IFERROR(__xludf.DUMMYFUNCTION("GOOGLEFINANCE(""NSE:"" &amp;$A94,""closeyest"")"),989.25)</f>
        <v>989.25</v>
      </c>
      <c r="I94" s="12">
        <f>IFERROR(__xludf.DUMMYFUNCTION("GOOGLEFINANCE(""NSE:"" &amp;$A94,""change"")"),-28.75)</f>
        <v>-28.75</v>
      </c>
      <c r="J94" s="13">
        <f>IFERROR(__xludf.DUMMYFUNCTION("GOOGLEFINANCE(""NSE:"" &amp;$A94,""changepct"")/100"),-0.0291)</f>
        <v>-0.0291</v>
      </c>
      <c r="K94" s="14">
        <f>IFERROR(__xludf.DUMMYFUNCTION("GOOGLEFINANCE(""NSE:"" &amp;$A94,""volume"")"),1942893.0)</f>
        <v>1942893</v>
      </c>
      <c r="L94" s="13">
        <f>IFERROR(__xludf.DUMMYFUNCTION("$D94/INDEX(GOOGLEFINANCE($A94,""PRICE"",WORKDAY(TODAY(),-L$2)),2,2)-1"),-0.017341040462427793)</f>
        <v>-0.01734104046</v>
      </c>
      <c r="M94" s="13">
        <f>IFERROR(__xludf.DUMMYFUNCTION("$D94/INDEX(GOOGLEFINANCE($A94,""PRICE"",WORKDAY(TODAY(),-M$2)),2,2)-1"),-0.020347799479830786)</f>
        <v>-0.02034779948</v>
      </c>
      <c r="N94" s="11">
        <f>IFERROR(__xludf.DUMMYFUNCTION("average(INDEX(GOOGLEFINANCE($A94,""PRICE"",WORKDAY(TODAY(),-N$2),today()),,2))"),975.7625)</f>
        <v>975.7625</v>
      </c>
      <c r="O94" s="11">
        <f>IFERROR(__xludf.DUMMYFUNCTION("average(INDEX(GOOGLEFINANCE($A94,""PRICE"",WORKDAY(TODAY(),-O$2),today()),,2))"),978.857142857143)</f>
        <v>978.8571429</v>
      </c>
      <c r="P94" s="15">
        <f>IFERROR(__xludf.DUMMYFUNCTION("GOOGLEFINANCE($A94,""marketcap"")"),7.37098493657E11)</f>
        <v>737098493657</v>
      </c>
      <c r="Q94" s="16">
        <f>IFERROR(__xludf.DUMMYFUNCTION("IFERROR(GOOGLEFINANCE($A94,""pe""),""-"")"),17.15)</f>
        <v>17.15</v>
      </c>
      <c r="R94" s="16" t="b">
        <f t="shared" si="1"/>
        <v>0</v>
      </c>
      <c r="S94" s="16" t="b">
        <f t="shared" si="2"/>
        <v>0</v>
      </c>
    </row>
    <row r="95">
      <c r="A95" s="17" t="s">
        <v>117</v>
      </c>
      <c r="B95" s="10" t="str">
        <f>IFERROR(__xludf.DUMMYFUNCTION("GOOGLEFINANCE($A95,""name"")"),"Indus Towers Ltd")</f>
        <v>Indus Towers Ltd</v>
      </c>
      <c r="C95" s="10" t="str">
        <f>IFERROR(__xludf.DUMMYFUNCTION("sparkline(index(GOOGLEFINANCE($A95,""price"",workday(today(),-C$2),today()),,2),{""charttype"",""column"";""color"",""green""})"),"")</f>
        <v/>
      </c>
      <c r="D95" s="11">
        <f>IFERROR(__xludf.DUMMYFUNCTION("GOOGLEFINANCE(""NSE:"" &amp;$A95,""price"")"),215.6)</f>
        <v>215.6</v>
      </c>
      <c r="E95" s="11">
        <f>IFERROR(__xludf.DUMMYFUNCTION("GOOGLEFINANCE(""NSE:"" &amp;$A95,""priceopen"")"),216.45)</f>
        <v>216.45</v>
      </c>
      <c r="F95" s="11">
        <f>IFERROR(__xludf.DUMMYFUNCTION("GOOGLEFINANCE(""NSE:"" &amp;$A95,""high"")"),218.25)</f>
        <v>218.25</v>
      </c>
      <c r="G95" s="11">
        <f>IFERROR(__xludf.DUMMYFUNCTION("GOOGLEFINANCE(""NSE:"" &amp;$A95,""low"")"),214.5)</f>
        <v>214.5</v>
      </c>
      <c r="H95" s="11">
        <f>IFERROR(__xludf.DUMMYFUNCTION("GOOGLEFINANCE(""NSE:"" &amp;$A95,""closeyest"")"),216.45)</f>
        <v>216.45</v>
      </c>
      <c r="I95" s="12">
        <f>IFERROR(__xludf.DUMMYFUNCTION("GOOGLEFINANCE(""NSE:"" &amp;$A95,""change"")"),-0.85)</f>
        <v>-0.85</v>
      </c>
      <c r="J95" s="13">
        <f>IFERROR(__xludf.DUMMYFUNCTION("GOOGLEFINANCE(""NSE:"" &amp;$A95,""changepct"")/100"),-0.0039000000000000003)</f>
        <v>-0.0039</v>
      </c>
      <c r="K95" s="14">
        <f>IFERROR(__xludf.DUMMYFUNCTION("GOOGLEFINANCE(""NSE:"" &amp;$A95,""volume"")"),1780462.0)</f>
        <v>1780462</v>
      </c>
      <c r="L95" s="13">
        <f>IFERROR(__xludf.DUMMYFUNCTION("$D95/INDEX(GOOGLEFINANCE($A95,""PRICE"",WORKDAY(TODAY(),-L$2)),2,2)-1"),-0.005764353239566478)</f>
        <v>-0.00576435324</v>
      </c>
      <c r="M95" s="13">
        <f>IFERROR(__xludf.DUMMYFUNCTION("$D95/INDEX(GOOGLEFINANCE($A95,""PRICE"",WORKDAY(TODAY(),-M$2)),2,2)-1"),-0.013272311212814691)</f>
        <v>-0.01327231121</v>
      </c>
      <c r="N95" s="11">
        <f>IFERROR(__xludf.DUMMYFUNCTION("average(INDEX(GOOGLEFINANCE($A95,""PRICE"",WORKDAY(TODAY(),-N$2),today()),,2))"),215.97500000000002)</f>
        <v>215.975</v>
      </c>
      <c r="O95" s="11">
        <f>IFERROR(__xludf.DUMMYFUNCTION("average(INDEX(GOOGLEFINANCE($A95,""PRICE"",WORKDAY(TODAY(),-O$2),today()),,2))"),216.58571428571432)</f>
        <v>216.5857143</v>
      </c>
      <c r="P95" s="15">
        <f>IFERROR(__xludf.DUMMYFUNCTION("GOOGLEFINANCE($A95,""marketcap"")"),5.70974657502E11)</f>
        <v>570974657502</v>
      </c>
      <c r="Q95" s="16">
        <f>IFERROR(__xludf.DUMMYFUNCTION("IFERROR(GOOGLEFINANCE($A95,""pe""),""-"")"),15.51)</f>
        <v>15.51</v>
      </c>
      <c r="R95" s="16" t="b">
        <f t="shared" si="1"/>
        <v>0</v>
      </c>
      <c r="S95" s="16" t="b">
        <f t="shared" si="2"/>
        <v>0</v>
      </c>
    </row>
    <row r="96">
      <c r="A96" s="17" t="s">
        <v>118</v>
      </c>
      <c r="B96" s="10" t="str">
        <f>IFERROR(__xludf.DUMMYFUNCTION("GOOGLEFINANCE($A96,""name"")"),"Infosys Ltd ADR")</f>
        <v>Infosys Ltd ADR</v>
      </c>
      <c r="C96" s="10" t="str">
        <f>IFERROR(__xludf.DUMMYFUNCTION("sparkline(index(GOOGLEFINANCE($A96,""price"",workday(today(),-C$2),today()),,2),{""charttype"",""column"";""color"",""green""})"),"")</f>
        <v/>
      </c>
      <c r="D96" s="11">
        <f>IFERROR(__xludf.DUMMYFUNCTION("GOOGLEFINANCE(""NSE:"" &amp;$A96,""price"")"),1587.65)</f>
        <v>1587.65</v>
      </c>
      <c r="E96" s="11">
        <f>IFERROR(__xludf.DUMMYFUNCTION("GOOGLEFINANCE(""NSE:"" &amp;$A96,""priceopen"")"),1604.35)</f>
        <v>1604.35</v>
      </c>
      <c r="F96" s="11">
        <f>IFERROR(__xludf.DUMMYFUNCTION("GOOGLEFINANCE(""NSE:"" &amp;$A96,""high"")"),1610.7)</f>
        <v>1610.7</v>
      </c>
      <c r="G96" s="11">
        <f>IFERROR(__xludf.DUMMYFUNCTION("GOOGLEFINANCE(""NSE:"" &amp;$A96,""low"")"),1582.4)</f>
        <v>1582.4</v>
      </c>
      <c r="H96" s="11">
        <f>IFERROR(__xludf.DUMMYFUNCTION("GOOGLEFINANCE(""NSE:"" &amp;$A96,""closeyest"")"),1618.8)</f>
        <v>1618.8</v>
      </c>
      <c r="I96" s="12">
        <f>IFERROR(__xludf.DUMMYFUNCTION("GOOGLEFINANCE(""NSE:"" &amp;$A96,""change"")"),-31.15)</f>
        <v>-31.15</v>
      </c>
      <c r="J96" s="13">
        <f>IFERROR(__xludf.DUMMYFUNCTION("GOOGLEFINANCE(""NSE:"" &amp;$A96,""changepct"")/100"),-0.0192)</f>
        <v>-0.0192</v>
      </c>
      <c r="K96" s="14">
        <f>IFERROR(__xludf.DUMMYFUNCTION("GOOGLEFINANCE(""NSE:"" &amp;$A96,""volume"")"),8134245.0)</f>
        <v>8134245</v>
      </c>
      <c r="L96" s="13">
        <f>IFERROR(__xludf.DUMMYFUNCTION("$D96/INDEX(GOOGLEFINANCE($A96,""PRICE"",WORKDAY(TODAY(),-L$2)),2,2)-1"),76.22033073929963)</f>
        <v>76.22033074</v>
      </c>
      <c r="M96" s="13" t="str">
        <f>IFERROR(__xludf.DUMMYFUNCTION("$D96/INDEX(GOOGLEFINANCE($A96,""PRICE"",WORKDAY(TODAY(),-M$2)),2,2)-1"),"#N/A")</f>
        <v>#N/A</v>
      </c>
      <c r="N96" s="11">
        <f>IFERROR(__xludf.DUMMYFUNCTION("average(INDEX(GOOGLEFINANCE($A96,""PRICE"",WORKDAY(TODAY(),-N$2),today()),,2))"),20.5575)</f>
        <v>20.5575</v>
      </c>
      <c r="O96" s="11">
        <f>IFERROR(__xludf.DUMMYFUNCTION("average(INDEX(GOOGLEFINANCE($A96,""PRICE"",WORKDAY(TODAY(),-O$2),today()),,2))"),21.466666666666665)</f>
        <v>21.46666667</v>
      </c>
      <c r="P96" s="15">
        <f>IFERROR(__xludf.DUMMYFUNCTION("GOOGLEFINANCE($A96,""marketcap"")"),8.5363620341E10)</f>
        <v>85363620341</v>
      </c>
      <c r="Q96" s="16">
        <f>IFERROR(__xludf.DUMMYFUNCTION("IFERROR(GOOGLEFINANCE($A96,""pe""),""-"")"),29.43)</f>
        <v>29.43</v>
      </c>
      <c r="R96" s="16" t="b">
        <f t="shared" si="1"/>
        <v>0</v>
      </c>
      <c r="S96" s="16" t="b">
        <f t="shared" si="2"/>
        <v>0</v>
      </c>
    </row>
    <row r="97">
      <c r="A97" s="17" t="s">
        <v>119</v>
      </c>
      <c r="B97" s="10" t="str">
        <f>IFERROR(__xludf.DUMMYFUNCTION("GOOGLEFINANCE($A97,""name"")"),"Itochu Corp")</f>
        <v>Itochu Corp</v>
      </c>
      <c r="C97" s="10" t="str">
        <f>IFERROR(__xludf.DUMMYFUNCTION("sparkline(index(GOOGLEFINANCE($A97,""price"",workday(today(),-C$2),today()),,2),{""charttype"",""column"";""color"",""green""})"),"")</f>
        <v/>
      </c>
      <c r="D97" s="11">
        <f>IFERROR(__xludf.DUMMYFUNCTION("GOOGLEFINANCE(""NSE:"" &amp;$A97,""price"")"),134.3)</f>
        <v>134.3</v>
      </c>
      <c r="E97" s="11">
        <f>IFERROR(__xludf.DUMMYFUNCTION("GOOGLEFINANCE(""NSE:"" &amp;$A97,""priceopen"")"),134.9)</f>
        <v>134.9</v>
      </c>
      <c r="F97" s="11">
        <f>IFERROR(__xludf.DUMMYFUNCTION("GOOGLEFINANCE(""NSE:"" &amp;$A97,""high"")"),136.05)</f>
        <v>136.05</v>
      </c>
      <c r="G97" s="11">
        <f>IFERROR(__xludf.DUMMYFUNCTION("GOOGLEFINANCE(""NSE:"" &amp;$A97,""low"")"),133.85)</f>
        <v>133.85</v>
      </c>
      <c r="H97" s="11">
        <f>IFERROR(__xludf.DUMMYFUNCTION("GOOGLEFINANCE(""NSE:"" &amp;$A97,""closeyest"")"),135.05)</f>
        <v>135.05</v>
      </c>
      <c r="I97" s="12">
        <f>IFERROR(__xludf.DUMMYFUNCTION("GOOGLEFINANCE(""NSE:"" &amp;$A97,""change"")"),-0.75)</f>
        <v>-0.75</v>
      </c>
      <c r="J97" s="13">
        <f>IFERROR(__xludf.DUMMYFUNCTION("GOOGLEFINANCE(""NSE:"" &amp;$A97,""changepct"")/100"),-0.005600000000000001)</f>
        <v>-0.0056</v>
      </c>
      <c r="K97" s="14">
        <f>IFERROR(__xludf.DUMMYFUNCTION("GOOGLEFINANCE(""NSE:"" &amp;$A97,""volume"")"),9118742.0)</f>
        <v>9118742</v>
      </c>
      <c r="L97" s="13">
        <f>IFERROR(__xludf.DUMMYFUNCTION("$D97/INDEX(GOOGLEFINANCE($A97,""PRICE"",WORKDAY(TODAY(),-L$2)),2,2)-1"),3.6326319420489828)</f>
        <v>3.632631942</v>
      </c>
      <c r="M97" s="13">
        <f>IFERROR(__xludf.DUMMYFUNCTION("$D97/INDEX(GOOGLEFINANCE($A97,""PRICE"",WORKDAY(TODAY(),-M$2)),2,2)-1"),3.631034482758621)</f>
        <v>3.631034483</v>
      </c>
      <c r="N97" s="11">
        <f>IFERROR(__xludf.DUMMYFUNCTION("average(INDEX(GOOGLEFINANCE($A97,""PRICE"",WORKDAY(TODAY(),-N$2),today()),,2))"),29.330000000000002)</f>
        <v>29.33</v>
      </c>
      <c r="O97" s="11" t="str">
        <f>IFERROR(__xludf.DUMMYFUNCTION("average(INDEX(GOOGLEFINANCE($A97,""PRICE"",WORKDAY(TODAY(),-O$2),today()),,2))"),"#N/A")</f>
        <v>#N/A</v>
      </c>
      <c r="P97" s="15">
        <f>IFERROR(__xludf.DUMMYFUNCTION("GOOGLEFINANCE($A97,""marketcap"")"),6.251145714E12)</f>
        <v>6251145714000</v>
      </c>
      <c r="Q97" s="16" t="str">
        <f>IFERROR(__xludf.DUMMYFUNCTION("IFERROR(GOOGLEFINANCE($A97,""pe""),""-"")"),"-")</f>
        <v>-</v>
      </c>
      <c r="R97" s="16" t="b">
        <f t="shared" si="1"/>
        <v>0</v>
      </c>
      <c r="S97" s="16" t="b">
        <f t="shared" si="2"/>
        <v>0</v>
      </c>
    </row>
    <row r="98">
      <c r="A98" s="17" t="s">
        <v>120</v>
      </c>
      <c r="B98" s="10" t="str">
        <f>IFERROR(__xludf.DUMMYFUNCTION("GOOGLEFINANCE($A98,""name"")"),"IPCA Laboratories Ltd")</f>
        <v>IPCA Laboratories Ltd</v>
      </c>
      <c r="C98" s="10" t="str">
        <f>IFERROR(__xludf.DUMMYFUNCTION("sparkline(index(GOOGLEFINANCE($A98,""price"",workday(today(),-C$2),today()),,2),{""charttype"",""column"";""color"",""green""})"),"#N/A")</f>
        <v>#N/A</v>
      </c>
      <c r="D98" s="11">
        <f>IFERROR(__xludf.DUMMYFUNCTION("GOOGLEFINANCE(""NSE:"" &amp;$A98,""price"")"),1028.2)</f>
        <v>1028.2</v>
      </c>
      <c r="E98" s="11">
        <f>IFERROR(__xludf.DUMMYFUNCTION("GOOGLEFINANCE(""NSE:"" &amp;$A98,""priceopen"")"),1029.95)</f>
        <v>1029.95</v>
      </c>
      <c r="F98" s="11">
        <f>IFERROR(__xludf.DUMMYFUNCTION("GOOGLEFINANCE(""NSE:"" &amp;$A98,""high"")"),1034.45)</f>
        <v>1034.45</v>
      </c>
      <c r="G98" s="11">
        <f>IFERROR(__xludf.DUMMYFUNCTION("GOOGLEFINANCE(""NSE:"" &amp;$A98,""low"")"),1010.0)</f>
        <v>1010</v>
      </c>
      <c r="H98" s="11">
        <f>IFERROR(__xludf.DUMMYFUNCTION("GOOGLEFINANCE(""NSE:"" &amp;$A98,""closeyest"")"),1030.4)</f>
        <v>1030.4</v>
      </c>
      <c r="I98" s="12">
        <f>IFERROR(__xludf.DUMMYFUNCTION("GOOGLEFINANCE(""NSE:"" &amp;$A98,""change"")"),-2.2)</f>
        <v>-2.2</v>
      </c>
      <c r="J98" s="13">
        <f>IFERROR(__xludf.DUMMYFUNCTION("GOOGLEFINANCE(""NSE:"" &amp;$A98,""changepct"")/100"),-0.0021)</f>
        <v>-0.0021</v>
      </c>
      <c r="K98" s="14">
        <f>IFERROR(__xludf.DUMMYFUNCTION("GOOGLEFINANCE(""NSE:"" &amp;$A98,""volume"")"),409641.0)</f>
        <v>409641</v>
      </c>
      <c r="L98" s="13">
        <f>IFERROR(__xludf.DUMMYFUNCTION("$D98/INDEX(GOOGLEFINANCE($A98,""PRICE"",WORKDAY(TODAY(),-L$2)),2,2)-1"),0.005033967059283606)</f>
        <v>0.005033967059</v>
      </c>
      <c r="M98" s="13">
        <f>IFERROR(__xludf.DUMMYFUNCTION("$D98/INDEX(GOOGLEFINANCE($A98,""PRICE"",WORKDAY(TODAY(),-M$2)),2,2)-1"),-0.008772775474790273)</f>
        <v>-0.008772775475</v>
      </c>
      <c r="N98" s="11">
        <f>IFERROR(__xludf.DUMMYFUNCTION("average(INDEX(GOOGLEFINANCE($A98,""PRICE"",WORKDAY(TODAY(),-N$2),today()),,2))"),1024.0)</f>
        <v>1024</v>
      </c>
      <c r="O98" s="11">
        <f>IFERROR(__xludf.DUMMYFUNCTION("average(INDEX(GOOGLEFINANCE($A98,""PRICE"",WORKDAY(TODAY(),-O$2),today()),,2))"),1031.1142857142856)</f>
        <v>1031.114286</v>
      </c>
      <c r="P98" s="15">
        <f>IFERROR(__xludf.DUMMYFUNCTION("GOOGLEFINANCE($A98,""marketcap"")"),2.58380067249E11)</f>
        <v>258380067249</v>
      </c>
      <c r="Q98" s="16">
        <f>IFERROR(__xludf.DUMMYFUNCTION("IFERROR(GOOGLEFINANCE($A98,""pe""),""-"")"),31.96)</f>
        <v>31.96</v>
      </c>
      <c r="R98" s="16" t="b">
        <f t="shared" si="1"/>
        <v>0</v>
      </c>
      <c r="S98" s="16" t="b">
        <f t="shared" si="2"/>
        <v>0</v>
      </c>
    </row>
    <row r="99">
      <c r="A99" s="17" t="s">
        <v>121</v>
      </c>
      <c r="B99" s="10" t="str">
        <f>IFERROR(__xludf.DUMMYFUNCTION("GOOGLEFINANCE($A99,""name"")"),"Indian Railway Ctrng nd Trsm Corp Ltd")</f>
        <v>Indian Railway Ctrng nd Trsm Corp Ltd</v>
      </c>
      <c r="C99" s="10" t="str">
        <f>IFERROR(__xludf.DUMMYFUNCTION("sparkline(index(GOOGLEFINANCE($A99,""price"",workday(today(),-C$2),today()),,2),{""charttype"",""column"";""color"",""green""})"),"")</f>
        <v/>
      </c>
      <c r="D99" s="11">
        <f>IFERROR(__xludf.DUMMYFUNCTION("GOOGLEFINANCE(""NSE:"" &amp;$A99,""price"")"),755.3)</f>
        <v>755.3</v>
      </c>
      <c r="E99" s="11">
        <f>IFERROR(__xludf.DUMMYFUNCTION("GOOGLEFINANCE(""NSE:"" &amp;$A99,""priceopen"")"),751.25)</f>
        <v>751.25</v>
      </c>
      <c r="F99" s="11">
        <f>IFERROR(__xludf.DUMMYFUNCTION("GOOGLEFINANCE(""NSE:"" &amp;$A99,""high"")"),766.0)</f>
        <v>766</v>
      </c>
      <c r="G99" s="11">
        <f>IFERROR(__xludf.DUMMYFUNCTION("GOOGLEFINANCE(""NSE:"" &amp;$A99,""low"")"),751.0)</f>
        <v>751</v>
      </c>
      <c r="H99" s="11">
        <f>IFERROR(__xludf.DUMMYFUNCTION("GOOGLEFINANCE(""NSE:"" &amp;$A99,""closeyest"")"),759.65)</f>
        <v>759.65</v>
      </c>
      <c r="I99" s="12">
        <f>IFERROR(__xludf.DUMMYFUNCTION("GOOGLEFINANCE(""NSE:"" &amp;$A99,""change"")"),-4.35)</f>
        <v>-4.35</v>
      </c>
      <c r="J99" s="13">
        <f>IFERROR(__xludf.DUMMYFUNCTION("GOOGLEFINANCE(""NSE:"" &amp;$A99,""changepct"")/100"),-0.005699999999999999)</f>
        <v>-0.0057</v>
      </c>
      <c r="K99" s="14">
        <f>IFERROR(__xludf.DUMMYFUNCTION("GOOGLEFINANCE(""NSE:"" &amp;$A99,""volume"")"),1361764.0)</f>
        <v>1361764</v>
      </c>
      <c r="L99" s="13" t="str">
        <f>IFERROR(__xludf.DUMMYFUNCTION("$D99/INDEX(GOOGLEFINANCE($A99,""PRICE"",WORKDAY(TODAY(),-L$2)),2,2)-1"),"#N/A")</f>
        <v>#N/A</v>
      </c>
      <c r="M99" s="13">
        <f>IFERROR(__xludf.DUMMYFUNCTION("$D99/INDEX(GOOGLEFINANCE($A99,""PRICE"",WORKDAY(TODAY(),-M$2)),2,2)-1"),-0.05752433241826804)</f>
        <v>-0.05752433242</v>
      </c>
      <c r="N99" s="11">
        <f>IFERROR(__xludf.DUMMYFUNCTION("average(INDEX(GOOGLEFINANCE($A99,""PRICE"",WORKDAY(TODAY(),-N$2),today()),,2))"),756.8000000000001)</f>
        <v>756.8</v>
      </c>
      <c r="O99" s="11">
        <f>IFERROR(__xludf.DUMMYFUNCTION("average(INDEX(GOOGLEFINANCE($A99,""PRICE"",WORKDAY(TODAY(),-O$2),today()),,2))"),770.3571428571429)</f>
        <v>770.3571429</v>
      </c>
      <c r="P99" s="15">
        <f>IFERROR(__xludf.DUMMYFUNCTION("GOOGLEFINANCE($A99,""marketcap"")"),6.0819980119E11)</f>
        <v>608199801190</v>
      </c>
      <c r="Q99" s="16">
        <f>IFERROR(__xludf.DUMMYFUNCTION("IFERROR(GOOGLEFINANCE($A99,""pe""),""-"")"),109.1)</f>
        <v>109.1</v>
      </c>
      <c r="R99" s="16" t="b">
        <f t="shared" si="1"/>
        <v>0</v>
      </c>
      <c r="S99" s="16" t="b">
        <f t="shared" si="2"/>
        <v>0</v>
      </c>
    </row>
    <row r="100">
      <c r="A100" s="17" t="s">
        <v>122</v>
      </c>
      <c r="B100" s="10" t="str">
        <f>IFERROR(__xludf.DUMMYFUNCTION("GOOGLEFINANCE($A100,""name"")"),"ITC Ltd")</f>
        <v>ITC Ltd</v>
      </c>
      <c r="C100" s="10" t="str">
        <f>IFERROR(__xludf.DUMMYFUNCTION("sparkline(index(GOOGLEFINANCE($A100,""price"",workday(today(),-C$2),today()),,2),{""charttype"",""column"";""color"",""green""})"),"")</f>
        <v/>
      </c>
      <c r="D100" s="11">
        <f>IFERROR(__xludf.DUMMYFUNCTION("GOOGLEFINANCE(""NSE:"" &amp;$A100,""price"")"),261.1)</f>
        <v>261.1</v>
      </c>
      <c r="E100" s="11">
        <f>IFERROR(__xludf.DUMMYFUNCTION("GOOGLEFINANCE(""NSE:"" &amp;$A100,""priceopen"")"),260.0)</f>
        <v>260</v>
      </c>
      <c r="F100" s="11">
        <f>IFERROR(__xludf.DUMMYFUNCTION("GOOGLEFINANCE(""NSE:"" &amp;$A100,""high"")"),263.0)</f>
        <v>263</v>
      </c>
      <c r="G100" s="11">
        <f>IFERROR(__xludf.DUMMYFUNCTION("GOOGLEFINANCE(""NSE:"" &amp;$A100,""low"")"),258.55)</f>
        <v>258.55</v>
      </c>
      <c r="H100" s="11">
        <f>IFERROR(__xludf.DUMMYFUNCTION("GOOGLEFINANCE(""NSE:"" &amp;$A100,""closeyest"")"),260.4)</f>
        <v>260.4</v>
      </c>
      <c r="I100" s="12">
        <f>IFERROR(__xludf.DUMMYFUNCTION("GOOGLEFINANCE(""NSE:"" &amp;$A100,""change"")"),0.7)</f>
        <v>0.7</v>
      </c>
      <c r="J100" s="13">
        <f>IFERROR(__xludf.DUMMYFUNCTION("GOOGLEFINANCE(""NSE:"" &amp;$A100,""changepct"")/100"),0.0027)</f>
        <v>0.0027</v>
      </c>
      <c r="K100" s="14">
        <f>IFERROR(__xludf.DUMMYFUNCTION("GOOGLEFINANCE(""NSE:"" &amp;$A100,""volume"")"),1.5671273E7)</f>
        <v>15671273</v>
      </c>
      <c r="L100" s="13">
        <f>IFERROR(__xludf.DUMMYFUNCTION("$D100/INDEX(GOOGLEFINANCE($A100,""PRICE"",WORKDAY(TODAY(),-L$2)),2,2)-1"),-0.033320992225101764)</f>
        <v>-0.03332099223</v>
      </c>
      <c r="M100" s="13">
        <f>IFERROR(__xludf.DUMMYFUNCTION("$D100/INDEX(GOOGLEFINANCE($A100,""PRICE"",WORKDAY(TODAY(),-M$2)),2,2)-1"),-0.023925233644859767)</f>
        <v>-0.02392523364</v>
      </c>
      <c r="N100" s="11" t="str">
        <f>IFERROR(__xludf.DUMMYFUNCTION("average(INDEX(GOOGLEFINANCE($A100,""PRICE"",WORKDAY(TODAY(),-N$2),today()),,2))"),"#N/A")</f>
        <v>#N/A</v>
      </c>
      <c r="O100" s="11">
        <f>IFERROR(__xludf.DUMMYFUNCTION("average(INDEX(GOOGLEFINANCE($A100,""PRICE"",WORKDAY(TODAY(),-O$2),today()),,2))"),264.7785714285714)</f>
        <v>264.7785714</v>
      </c>
      <c r="P100" s="15">
        <f>IFERROR(__xludf.DUMMYFUNCTION("GOOGLEFINANCE($A100,""marketcap"")"),3.242397478381E12)</f>
        <v>3242397478381</v>
      </c>
      <c r="Q100" s="16">
        <f>IFERROR(__xludf.DUMMYFUNCTION("IFERROR(GOOGLEFINANCE($A100,""pe""),""-"")"),21.73)</f>
        <v>21.73</v>
      </c>
      <c r="R100" s="16" t="b">
        <f t="shared" si="1"/>
        <v>0</v>
      </c>
      <c r="S100" s="16" t="b">
        <f t="shared" si="2"/>
        <v>0</v>
      </c>
    </row>
    <row r="101">
      <c r="A101" s="17" t="s">
        <v>123</v>
      </c>
      <c r="B101" s="10" t="str">
        <f>IFERROR(__xludf.DUMMYFUNCTION("GOOGLEFINANCE($A101,""name"")"),"Jindal Steel &amp; Power Limited")</f>
        <v>Jindal Steel &amp; Power Limited</v>
      </c>
      <c r="C101" s="10" t="str">
        <f>IFERROR(__xludf.DUMMYFUNCTION("sparkline(index(GOOGLEFINANCE($A101,""price"",workday(today(),-C$2),today()),,2),{""charttype"",""column"";""color"",""green""})"),"")</f>
        <v/>
      </c>
      <c r="D101" s="11">
        <f>IFERROR(__xludf.DUMMYFUNCTION("GOOGLEFINANCE(""NSE:"" &amp;$A101,""price"")"),539.5)</f>
        <v>539.5</v>
      </c>
      <c r="E101" s="11">
        <f>IFERROR(__xludf.DUMMYFUNCTION("GOOGLEFINANCE(""NSE:"" &amp;$A101,""priceopen"")"),538.0)</f>
        <v>538</v>
      </c>
      <c r="F101" s="11">
        <f>IFERROR(__xludf.DUMMYFUNCTION("GOOGLEFINANCE(""NSE:"" &amp;$A101,""high"")"),542.65)</f>
        <v>542.65</v>
      </c>
      <c r="G101" s="11">
        <f>IFERROR(__xludf.DUMMYFUNCTION("GOOGLEFINANCE(""NSE:"" &amp;$A101,""low"")"),533.0)</f>
        <v>533</v>
      </c>
      <c r="H101" s="11">
        <f>IFERROR(__xludf.DUMMYFUNCTION("GOOGLEFINANCE(""NSE:"" &amp;$A101,""closeyest"")"),540.75)</f>
        <v>540.75</v>
      </c>
      <c r="I101" s="12">
        <f>IFERROR(__xludf.DUMMYFUNCTION("GOOGLEFINANCE(""NSE:"" &amp;$A101,""change"")"),-1.25)</f>
        <v>-1.25</v>
      </c>
      <c r="J101" s="13">
        <f>IFERROR(__xludf.DUMMYFUNCTION("GOOGLEFINANCE(""NSE:"" &amp;$A101,""changepct"")/100"),-0.0023)</f>
        <v>-0.0023</v>
      </c>
      <c r="K101" s="14">
        <f>IFERROR(__xludf.DUMMYFUNCTION("GOOGLEFINANCE(""NSE:"" &amp;$A101,""volume"")"),4747073.0)</f>
        <v>4747073</v>
      </c>
      <c r="L101" s="13">
        <f>IFERROR(__xludf.DUMMYFUNCTION("$D101/INDEX(GOOGLEFINANCE($A101,""PRICE"",WORKDAY(TODAY(),-L$2)),2,2)-1"),-0.024500497242563868)</f>
        <v>-0.02450049724</v>
      </c>
      <c r="M101" s="13">
        <f>IFERROR(__xludf.DUMMYFUNCTION("$D101/INDEX(GOOGLEFINANCE($A101,""PRICE"",WORKDAY(TODAY(),-M$2)),2,2)-1"),-0.055497198879551846)</f>
        <v>-0.05549719888</v>
      </c>
      <c r="N101" s="11">
        <f>IFERROR(__xludf.DUMMYFUNCTION("average(INDEX(GOOGLEFINANCE($A101,""PRICE"",WORKDAY(TODAY(),-N$2),today()),,2))"),551.125)</f>
        <v>551.125</v>
      </c>
      <c r="O101" s="11">
        <f>IFERROR(__xludf.DUMMYFUNCTION("average(INDEX(GOOGLEFINANCE($A101,""PRICE"",WORKDAY(TODAY(),-O$2),today()),,2))"),555.1928571428571)</f>
        <v>555.1928571</v>
      </c>
      <c r="P101" s="15">
        <f>IFERROR(__xludf.DUMMYFUNCTION("GOOGLEFINANCE($A101,""marketcap"")"),5.44985677427E11)</f>
        <v>544985677427</v>
      </c>
      <c r="Q101" s="16">
        <f>IFERROR(__xludf.DUMMYFUNCTION("IFERROR(GOOGLEFINANCE($A101,""pe""),""-"")"),7.29)</f>
        <v>7.29</v>
      </c>
      <c r="R101" s="16" t="b">
        <f t="shared" si="1"/>
        <v>0</v>
      </c>
      <c r="S101" s="16" t="b">
        <f t="shared" si="2"/>
        <v>0</v>
      </c>
    </row>
    <row r="102">
      <c r="A102" s="17" t="s">
        <v>124</v>
      </c>
      <c r="B102" s="10" t="str">
        <f>IFERROR(__xludf.DUMMYFUNCTION("GOOGLEFINANCE($A102,""name"")"),"J K Cement Ltd")</f>
        <v>J K Cement Ltd</v>
      </c>
      <c r="C102" s="10" t="str">
        <f>IFERROR(__xludf.DUMMYFUNCTION("sparkline(index(GOOGLEFINANCE($A102,""price"",workday(today(),-C$2),today()),,2),{""charttype"",""column"";""color"",""green""})"),"")</f>
        <v/>
      </c>
      <c r="D102" s="11">
        <f>IFERROR(__xludf.DUMMYFUNCTION("GOOGLEFINANCE(""NSE:"" &amp;$A102,""price"")"),2652.95)</f>
        <v>2652.95</v>
      </c>
      <c r="E102" s="11">
        <f>IFERROR(__xludf.DUMMYFUNCTION("GOOGLEFINANCE(""NSE:"" &amp;$A102,""priceopen"")"),2712.0)</f>
        <v>2712</v>
      </c>
      <c r="F102" s="11">
        <f>IFERROR(__xludf.DUMMYFUNCTION("GOOGLEFINANCE(""NSE:"" &amp;$A102,""high"")"),2735.9)</f>
        <v>2735.9</v>
      </c>
      <c r="G102" s="11">
        <f>IFERROR(__xludf.DUMMYFUNCTION("GOOGLEFINANCE(""NSE:"" &amp;$A102,""low"")"),2635.25)</f>
        <v>2635.25</v>
      </c>
      <c r="H102" s="11">
        <f>IFERROR(__xludf.DUMMYFUNCTION("GOOGLEFINANCE(""NSE:"" &amp;$A102,""closeyest"")"),2714.8)</f>
        <v>2714.8</v>
      </c>
      <c r="I102" s="12">
        <f>IFERROR(__xludf.DUMMYFUNCTION("GOOGLEFINANCE(""NSE:"" &amp;$A102,""change"")"),-61.85)</f>
        <v>-61.85</v>
      </c>
      <c r="J102" s="13">
        <f>IFERROR(__xludf.DUMMYFUNCTION("GOOGLEFINANCE(""NSE:"" &amp;$A102,""changepct"")/100"),-0.022799999999999997)</f>
        <v>-0.0228</v>
      </c>
      <c r="K102" s="14">
        <f>IFERROR(__xludf.DUMMYFUNCTION("GOOGLEFINANCE(""NSE:"" &amp;$A102,""volume"")"),88485.0)</f>
        <v>88485</v>
      </c>
      <c r="L102" s="13">
        <f>IFERROR(__xludf.DUMMYFUNCTION("$D102/INDEX(GOOGLEFINANCE($A102,""PRICE"",WORKDAY(TODAY(),-L$2)),2,2)-1"),-0.02695813236993161)</f>
        <v>-0.02695813237</v>
      </c>
      <c r="M102" s="13">
        <f>IFERROR(__xludf.DUMMYFUNCTION("$D102/INDEX(GOOGLEFINANCE($A102,""PRICE"",WORKDAY(TODAY(),-M$2)),2,2)-1"),-0.04797875585380307)</f>
        <v>-0.04797875585</v>
      </c>
      <c r="N102" s="11">
        <f>IFERROR(__xludf.DUMMYFUNCTION("average(INDEX(GOOGLEFINANCE($A102,""PRICE"",WORKDAY(TODAY(),-N$2),today()),,2))"),2710.9875)</f>
        <v>2710.9875</v>
      </c>
      <c r="O102" s="11">
        <f>IFERROR(__xludf.DUMMYFUNCTION("average(INDEX(GOOGLEFINANCE($A102,""PRICE"",WORKDAY(TODAY(),-O$2),today()),,2))"),2740.0499999999997)</f>
        <v>2740.05</v>
      </c>
      <c r="P102" s="15">
        <f>IFERROR(__xludf.DUMMYFUNCTION("GOOGLEFINANCE($A102,""marketcap"")"),2.06466229994E11)</f>
        <v>206466229994</v>
      </c>
      <c r="Q102" s="16">
        <f>IFERROR(__xludf.DUMMYFUNCTION("IFERROR(GOOGLEFINANCE($A102,""pe""),""-"")"),29.18)</f>
        <v>29.18</v>
      </c>
      <c r="R102" s="16" t="b">
        <f t="shared" si="1"/>
        <v>0</v>
      </c>
      <c r="S102" s="16" t="b">
        <f t="shared" si="2"/>
        <v>0</v>
      </c>
    </row>
    <row r="103">
      <c r="A103" s="17" t="s">
        <v>125</v>
      </c>
      <c r="B103" s="10" t="str">
        <f>IFERROR(__xludf.DUMMYFUNCTION("GOOGLEFINANCE($A103,""name"")"),"JSW Steel Limited Fully Paid Ord. Shrs")</f>
        <v>JSW Steel Limited Fully Paid Ord. Shrs</v>
      </c>
      <c r="C103" s="10" t="str">
        <f>IFERROR(__xludf.DUMMYFUNCTION("sparkline(index(GOOGLEFINANCE($A103,""price"",workday(today(),-C$2),today()),,2),{""charttype"",""column"";""color"",""green""})"),"")</f>
        <v/>
      </c>
      <c r="D103" s="11">
        <f>IFERROR(__xludf.DUMMYFUNCTION("GOOGLEFINANCE(""NSE:"" &amp;$A103,""price"")"),724.5)</f>
        <v>724.5</v>
      </c>
      <c r="E103" s="11">
        <f>IFERROR(__xludf.DUMMYFUNCTION("GOOGLEFINANCE(""NSE:"" &amp;$A103,""priceopen"")"),730.0)</f>
        <v>730</v>
      </c>
      <c r="F103" s="11">
        <f>IFERROR(__xludf.DUMMYFUNCTION("GOOGLEFINANCE(""NSE:"" &amp;$A103,""high"")"),737.0)</f>
        <v>737</v>
      </c>
      <c r="G103" s="11">
        <f>IFERROR(__xludf.DUMMYFUNCTION("GOOGLEFINANCE(""NSE:"" &amp;$A103,""low"")"),722.05)</f>
        <v>722.05</v>
      </c>
      <c r="H103" s="11">
        <f>IFERROR(__xludf.DUMMYFUNCTION("GOOGLEFINANCE(""NSE:"" &amp;$A103,""closeyest"")"),734.2)</f>
        <v>734.2</v>
      </c>
      <c r="I103" s="12">
        <f>IFERROR(__xludf.DUMMYFUNCTION("GOOGLEFINANCE(""NSE:"" &amp;$A103,""change"")"),-9.7)</f>
        <v>-9.7</v>
      </c>
      <c r="J103" s="13">
        <f>IFERROR(__xludf.DUMMYFUNCTION("GOOGLEFINANCE(""NSE:"" &amp;$A103,""changepct"")/100"),-0.0132)</f>
        <v>-0.0132</v>
      </c>
      <c r="K103" s="14">
        <f>IFERROR(__xludf.DUMMYFUNCTION("GOOGLEFINANCE(""NSE:"" &amp;$A103,""volume"")"),2244262.0)</f>
        <v>2244262</v>
      </c>
      <c r="L103" s="13">
        <f>IFERROR(__xludf.DUMMYFUNCTION("$D103/INDEX(GOOGLEFINANCE($A103,""PRICE"",WORKDAY(TODAY(),-L$2)),2,2)-1"),-0.056456339128736155)</f>
        <v>-0.05645633913</v>
      </c>
      <c r="M103" s="13">
        <f>IFERROR(__xludf.DUMMYFUNCTION("$D103/INDEX(GOOGLEFINANCE($A103,""PRICE"",WORKDAY(TODAY(),-M$2)),2,2)-1"),-0.05590304925723222)</f>
        <v>-0.05590304926</v>
      </c>
      <c r="N103" s="11" t="str">
        <f>IFERROR(__xludf.DUMMYFUNCTION("average(INDEX(GOOGLEFINANCE($A103,""PRICE"",WORKDAY(TODAY(),-N$2),today()),,2))"),"#N/A")</f>
        <v>#N/A</v>
      </c>
      <c r="O103" s="11">
        <f>IFERROR(__xludf.DUMMYFUNCTION("average(INDEX(GOOGLEFINANCE($A103,""PRICE"",WORKDAY(TODAY(),-O$2),today()),,2))"),753.85)</f>
        <v>753.85</v>
      </c>
      <c r="P103" s="15">
        <f>IFERROR(__xludf.DUMMYFUNCTION("GOOGLEFINANCE($A103,""marketcap"")"),1.760283026287E12)</f>
        <v>1760283026287</v>
      </c>
      <c r="Q103" s="16">
        <f>IFERROR(__xludf.DUMMYFUNCTION("IFERROR(GOOGLEFINANCE($A103,""pe""),""-"")"),8.1)</f>
        <v>8.1</v>
      </c>
      <c r="R103" s="16" t="b">
        <f t="shared" si="1"/>
        <v>0</v>
      </c>
      <c r="S103" s="16" t="b">
        <f t="shared" si="2"/>
        <v>0</v>
      </c>
    </row>
    <row r="104">
      <c r="A104" s="17" t="s">
        <v>126</v>
      </c>
      <c r="B104" s="10" t="str">
        <f>IFERROR(__xludf.DUMMYFUNCTION("GOOGLEFINANCE($A104,""name"")"),"#N/A")</f>
        <v>#N/A</v>
      </c>
      <c r="C104" s="10" t="str">
        <f>IFERROR(__xludf.DUMMYFUNCTION("sparkline(index(GOOGLEFINANCE($A104,""price"",workday(today(),-C$2),today()),,2),{""charttype"",""column"";""color"",""green""})"),"#N/A")</f>
        <v>#N/A</v>
      </c>
      <c r="D104" s="11" t="str">
        <f>IFERROR(__xludf.DUMMYFUNCTION("GOOGLEFINANCE(""NSE:"" &amp;$A104,""price"")"),"#N/A")</f>
        <v>#N/A</v>
      </c>
      <c r="E104" s="11" t="str">
        <f>IFERROR(__xludf.DUMMYFUNCTION("GOOGLEFINANCE(""NSE:"" &amp;$A104,""priceopen"")"),"#N/A")</f>
        <v>#N/A</v>
      </c>
      <c r="F104" s="11" t="str">
        <f>IFERROR(__xludf.DUMMYFUNCTION("GOOGLEFINANCE(""NSE:"" &amp;$A104,""high"")"),"#N/A")</f>
        <v>#N/A</v>
      </c>
      <c r="G104" s="11" t="str">
        <f>IFERROR(__xludf.DUMMYFUNCTION("GOOGLEFINANCE(""NSE:"" &amp;$A104,""low"")"),"#N/A")</f>
        <v>#N/A</v>
      </c>
      <c r="H104" s="11" t="str">
        <f>IFERROR(__xludf.DUMMYFUNCTION("GOOGLEFINANCE(""NSE:"" &amp;$A104,""closeyest"")"),"#N/A")</f>
        <v>#N/A</v>
      </c>
      <c r="I104" s="12" t="str">
        <f>IFERROR(__xludf.DUMMYFUNCTION("GOOGLEFINANCE(""NSE:"" &amp;$A104,""change"")"),"#N/A")</f>
        <v>#N/A</v>
      </c>
      <c r="J104" s="13" t="str">
        <f>IFERROR(__xludf.DUMMYFUNCTION("GOOGLEFINANCE(""NSE:"" &amp;$A104,""changepct"")/100"),"#N/A")</f>
        <v>#N/A</v>
      </c>
      <c r="K104" s="14" t="str">
        <f>IFERROR(__xludf.DUMMYFUNCTION("GOOGLEFINANCE(""NSE:"" &amp;$A104,""volume"")"),"#N/A")</f>
        <v>#N/A</v>
      </c>
      <c r="L104" s="13" t="str">
        <f>IFERROR(__xludf.DUMMYFUNCTION("$D104/INDEX(GOOGLEFINANCE($A104,""PRICE"",WORKDAY(TODAY(),-L$2)),2,2)-1"),"#N/A")</f>
        <v>#N/A</v>
      </c>
      <c r="M104" s="13" t="str">
        <f>IFERROR(__xludf.DUMMYFUNCTION("$D104/INDEX(GOOGLEFINANCE($A104,""PRICE"",WORKDAY(TODAY(),-M$2)),2,2)-1"),"#N/A")</f>
        <v>#N/A</v>
      </c>
      <c r="N104" s="11" t="str">
        <f>IFERROR(__xludf.DUMMYFUNCTION("average(INDEX(GOOGLEFINANCE($A104,""PRICE"",WORKDAY(TODAY(),-N$2),today()),,2))"),"#N/A")</f>
        <v>#N/A</v>
      </c>
      <c r="O104" s="11" t="str">
        <f>IFERROR(__xludf.DUMMYFUNCTION("average(INDEX(GOOGLEFINANCE($A104,""PRICE"",WORKDAY(TODAY(),-O$2),today()),,2))"),"#N/A")</f>
        <v>#N/A</v>
      </c>
      <c r="P104" s="15" t="str">
        <f>IFERROR(__xludf.DUMMYFUNCTION("GOOGLEFINANCE($A104,""marketcap"")"),"#N/A")</f>
        <v>#N/A</v>
      </c>
      <c r="Q104" s="16" t="str">
        <f>IFERROR(__xludf.DUMMYFUNCTION("IFERROR(GOOGLEFINANCE($A104,""pe""),""-"")"),"-")</f>
        <v>-</v>
      </c>
      <c r="R104" s="16" t="str">
        <f t="shared" si="1"/>
        <v>#N/A</v>
      </c>
      <c r="S104" s="16" t="str">
        <f t="shared" si="2"/>
        <v>#N/A</v>
      </c>
    </row>
    <row r="105">
      <c r="A105" s="17" t="s">
        <v>127</v>
      </c>
      <c r="B105" s="10" t="str">
        <f>IFERROR(__xludf.DUMMYFUNCTION("GOOGLEFINANCE($A105,""name"")"),"Kotak Mahindra Bank Ltd Fully Paid Ord. Shrs")</f>
        <v>Kotak Mahindra Bank Ltd Fully Paid Ord. Shrs</v>
      </c>
      <c r="C105" s="10" t="str">
        <f>IFERROR(__xludf.DUMMYFUNCTION("sparkline(index(GOOGLEFINANCE($A105,""price"",workday(today(),-C$2),today()),,2),{""charttype"",""column"";""color"",""green""})"),"")</f>
        <v/>
      </c>
      <c r="D105" s="11">
        <f>IFERROR(__xludf.DUMMYFUNCTION("GOOGLEFINANCE(""NSE:"" &amp;$A105,""price"")"),1727.7)</f>
        <v>1727.7</v>
      </c>
      <c r="E105" s="11">
        <f>IFERROR(__xludf.DUMMYFUNCTION("GOOGLEFINANCE(""NSE:"" &amp;$A105,""priceopen"")"),1740.0)</f>
        <v>1740</v>
      </c>
      <c r="F105" s="11">
        <f>IFERROR(__xludf.DUMMYFUNCTION("GOOGLEFINANCE(""NSE:"" &amp;$A105,""high"")"),1748.9)</f>
        <v>1748.9</v>
      </c>
      <c r="G105" s="11">
        <f>IFERROR(__xludf.DUMMYFUNCTION("GOOGLEFINANCE(""NSE:"" &amp;$A105,""low"")"),1721.4)</f>
        <v>1721.4</v>
      </c>
      <c r="H105" s="11">
        <f>IFERROR(__xludf.DUMMYFUNCTION("GOOGLEFINANCE(""NSE:"" &amp;$A105,""closeyest"")"),1760.85)</f>
        <v>1760.85</v>
      </c>
      <c r="I105" s="12">
        <f>IFERROR(__xludf.DUMMYFUNCTION("GOOGLEFINANCE(""NSE:"" &amp;$A105,""change"")"),-33.15)</f>
        <v>-33.15</v>
      </c>
      <c r="J105" s="13">
        <f>IFERROR(__xludf.DUMMYFUNCTION("GOOGLEFINANCE(""NSE:"" &amp;$A105,""changepct"")/100"),-0.018799999999999997)</f>
        <v>-0.0188</v>
      </c>
      <c r="K105" s="14">
        <f>IFERROR(__xludf.DUMMYFUNCTION("GOOGLEFINANCE(""NSE:"" &amp;$A105,""volume"")"),2256038.0)</f>
        <v>2256038</v>
      </c>
      <c r="L105" s="13">
        <f>IFERROR(__xludf.DUMMYFUNCTION("$D105/INDEX(GOOGLEFINANCE($A105,""PRICE"",WORKDAY(TODAY(),-L$2)),2,2)-1"),-0.012968464351005515)</f>
        <v>-0.01296846435</v>
      </c>
      <c r="M105" s="13">
        <f>IFERROR(__xludf.DUMMYFUNCTION("$D105/INDEX(GOOGLEFINANCE($A105,""PRICE"",WORKDAY(TODAY(),-M$2)),2,2)-1"),-0.03125963721999492)</f>
        <v>-0.03125963722</v>
      </c>
      <c r="N105" s="11" t="str">
        <f>IFERROR(__xludf.DUMMYFUNCTION("average(INDEX(GOOGLEFINANCE($A105,""PRICE"",WORKDAY(TODAY(),-N$2),today()),,2))"),"#N/A")</f>
        <v>#N/A</v>
      </c>
      <c r="O105" s="11">
        <f>IFERROR(__xludf.DUMMYFUNCTION("average(INDEX(GOOGLEFINANCE($A105,""PRICE"",WORKDAY(TODAY(),-O$2),today()),,2))"),1757.85)</f>
        <v>1757.85</v>
      </c>
      <c r="P105" s="15">
        <f>IFERROR(__xludf.DUMMYFUNCTION("GOOGLEFINANCE($A105,""marketcap"")"),3.404756022491E12)</f>
        <v>3404756022491</v>
      </c>
      <c r="Q105" s="16">
        <f>IFERROR(__xludf.DUMMYFUNCTION("IFERROR(GOOGLEFINANCE($A105,""pe""),""-"")"),31.78)</f>
        <v>31.78</v>
      </c>
      <c r="R105" s="16" t="b">
        <f t="shared" si="1"/>
        <v>0</v>
      </c>
      <c r="S105" s="16" t="b">
        <f t="shared" si="2"/>
        <v>0</v>
      </c>
    </row>
    <row r="106">
      <c r="A106" s="17" t="s">
        <v>128</v>
      </c>
      <c r="B106" s="10" t="str">
        <f>IFERROR(__xludf.DUMMYFUNCTION("GOOGLEFINANCE($A106,""name"")"),"L&amp;T Finance Holdings Ltd")</f>
        <v>L&amp;T Finance Holdings Ltd</v>
      </c>
      <c r="C106" s="10" t="str">
        <f>IFERROR(__xludf.DUMMYFUNCTION("sparkline(index(GOOGLEFINANCE($A106,""price"",workday(today(),-C$2),today()),,2),{""charttype"",""column"";""color"",""green""})"),"")</f>
        <v/>
      </c>
      <c r="D106" s="11">
        <f>IFERROR(__xludf.DUMMYFUNCTION("GOOGLEFINANCE(""NSE:"" &amp;$A106,""price"")"),88.75)</f>
        <v>88.75</v>
      </c>
      <c r="E106" s="11">
        <f>IFERROR(__xludf.DUMMYFUNCTION("GOOGLEFINANCE(""NSE:"" &amp;$A106,""priceopen"")"),87.45)</f>
        <v>87.45</v>
      </c>
      <c r="F106" s="11">
        <f>IFERROR(__xludf.DUMMYFUNCTION("GOOGLEFINANCE(""NSE:"" &amp;$A106,""high"")"),92.2)</f>
        <v>92.2</v>
      </c>
      <c r="G106" s="11">
        <f>IFERROR(__xludf.DUMMYFUNCTION("GOOGLEFINANCE(""NSE:"" &amp;$A106,""low"")"),87.0)</f>
        <v>87</v>
      </c>
      <c r="H106" s="11">
        <f>IFERROR(__xludf.DUMMYFUNCTION("GOOGLEFINANCE(""NSE:"" &amp;$A106,""closeyest"")"),88.45)</f>
        <v>88.45</v>
      </c>
      <c r="I106" s="12">
        <f>IFERROR(__xludf.DUMMYFUNCTION("GOOGLEFINANCE(""NSE:"" &amp;$A106,""change"")"),0.3)</f>
        <v>0.3</v>
      </c>
      <c r="J106" s="13">
        <f>IFERROR(__xludf.DUMMYFUNCTION("GOOGLEFINANCE(""NSE:"" &amp;$A106,""changepct"")/100"),0.0034000000000000002)</f>
        <v>0.0034</v>
      </c>
      <c r="K106" s="14">
        <f>IFERROR(__xludf.DUMMYFUNCTION("GOOGLEFINANCE(""NSE:"" &amp;$A106,""volume"")"),4.9701769E7)</f>
        <v>49701769</v>
      </c>
      <c r="L106" s="13">
        <f>IFERROR(__xludf.DUMMYFUNCTION("$D106/INDEX(GOOGLEFINANCE($A106,""PRICE"",WORKDAY(TODAY(),-L$2)),2,2)-1"),0.08165752589884212)</f>
        <v>0.0816575259</v>
      </c>
      <c r="M106" s="13">
        <f>IFERROR(__xludf.DUMMYFUNCTION("$D106/INDEX(GOOGLEFINANCE($A106,""PRICE"",WORKDAY(TODAY(),-M$2)),2,2)-1"),0.05091770278271168)</f>
        <v>0.05091770278</v>
      </c>
      <c r="N106" s="11">
        <f>IFERROR(__xludf.DUMMYFUNCTION("average(INDEX(GOOGLEFINANCE($A106,""PRICE"",WORKDAY(TODAY(),-N$2),today()),,2))"),83.0375)</f>
        <v>83.0375</v>
      </c>
      <c r="O106" s="11">
        <f>IFERROR(__xludf.DUMMYFUNCTION("average(INDEX(GOOGLEFINANCE($A106,""PRICE"",WORKDAY(TODAY(),-O$2),today()),,2))"),83.12857142857142)</f>
        <v>83.12857143</v>
      </c>
      <c r="P106" s="15">
        <f>IFERROR(__xludf.DUMMYFUNCTION("GOOGLEFINANCE($A106,""marketcap"")"),2.18387655438E11)</f>
        <v>218387655438</v>
      </c>
      <c r="Q106" s="16">
        <f>IFERROR(__xludf.DUMMYFUNCTION("IFERROR(GOOGLEFINANCE($A106,""pe""),""-"")"),21.61)</f>
        <v>21.61</v>
      </c>
      <c r="R106" s="16" t="b">
        <f t="shared" si="1"/>
        <v>0</v>
      </c>
      <c r="S106" s="16" t="b">
        <f t="shared" si="2"/>
        <v>0</v>
      </c>
    </row>
    <row r="107">
      <c r="A107" s="17" t="s">
        <v>129</v>
      </c>
      <c r="B107" s="10" t="str">
        <f>IFERROR(__xludf.DUMMYFUNCTION("GOOGLEFINANCE($A107,""name"")"),"Dr. Lal PathLabs Ltd")</f>
        <v>Dr. Lal PathLabs Ltd</v>
      </c>
      <c r="C107" s="10" t="str">
        <f>IFERROR(__xludf.DUMMYFUNCTION("sparkline(index(GOOGLEFINANCE($A107,""price"",workday(today(),-C$2),today()),,2),{""charttype"",""column"";""color"",""green""})"),"")</f>
        <v/>
      </c>
      <c r="D107" s="11">
        <f>IFERROR(__xludf.DUMMYFUNCTION("GOOGLEFINANCE(""NSE:"" &amp;$A107,""price"")"),2739.0)</f>
        <v>2739</v>
      </c>
      <c r="E107" s="11">
        <f>IFERROR(__xludf.DUMMYFUNCTION("GOOGLEFINANCE(""NSE:"" &amp;$A107,""priceopen"")"),2753.0)</f>
        <v>2753</v>
      </c>
      <c r="F107" s="11">
        <f>IFERROR(__xludf.DUMMYFUNCTION("GOOGLEFINANCE(""NSE:"" &amp;$A107,""high"")"),2787.5)</f>
        <v>2787.5</v>
      </c>
      <c r="G107" s="11">
        <f>IFERROR(__xludf.DUMMYFUNCTION("GOOGLEFINANCE(""NSE:"" &amp;$A107,""low"")"),2730.0)</f>
        <v>2730</v>
      </c>
      <c r="H107" s="11">
        <f>IFERROR(__xludf.DUMMYFUNCTION("GOOGLEFINANCE(""NSE:"" &amp;$A107,""closeyest"")"),2780.55)</f>
        <v>2780.55</v>
      </c>
      <c r="I107" s="12">
        <f>IFERROR(__xludf.DUMMYFUNCTION("GOOGLEFINANCE(""NSE:"" &amp;$A107,""change"")"),-41.55)</f>
        <v>-41.55</v>
      </c>
      <c r="J107" s="13">
        <f>IFERROR(__xludf.DUMMYFUNCTION("GOOGLEFINANCE(""NSE:"" &amp;$A107,""changepct"")/100"),-0.0149)</f>
        <v>-0.0149</v>
      </c>
      <c r="K107" s="14">
        <f>IFERROR(__xludf.DUMMYFUNCTION("GOOGLEFINANCE(""NSE:"" &amp;$A107,""volume"")"),116161.0)</f>
        <v>116161</v>
      </c>
      <c r="L107" s="13">
        <f>IFERROR(__xludf.DUMMYFUNCTION("$D107/INDEX(GOOGLEFINANCE($A107,""PRICE"",WORKDAY(TODAY(),-L$2)),2,2)-1"),0.01559168690557855)</f>
        <v>0.01559168691</v>
      </c>
      <c r="M107" s="13">
        <f>IFERROR(__xludf.DUMMYFUNCTION("$D107/INDEX(GOOGLEFINANCE($A107,""PRICE"",WORKDAY(TODAY(),-M$2)),2,2)-1"),-0.008775897946258882)</f>
        <v>-0.008775897946</v>
      </c>
      <c r="N107" s="11">
        <f>IFERROR(__xludf.DUMMYFUNCTION("average(INDEX(GOOGLEFINANCE($A107,""PRICE"",WORKDAY(TODAY(),-N$2),today()),,2))"),2729.9624999999996)</f>
        <v>2729.9625</v>
      </c>
      <c r="O107" s="11">
        <f>IFERROR(__xludf.DUMMYFUNCTION("average(INDEX(GOOGLEFINANCE($A107,""PRICE"",WORKDAY(TODAY(),-O$2),today()),,2))"),2718.671428571429)</f>
        <v>2718.671429</v>
      </c>
      <c r="P107" s="15">
        <f>IFERROR(__xludf.DUMMYFUNCTION("GOOGLEFINANCE($A107,""marketcap"")"),2.25579470326E11)</f>
        <v>225579470326</v>
      </c>
      <c r="Q107" s="16">
        <f>IFERROR(__xludf.DUMMYFUNCTION("IFERROR(GOOGLEFINANCE($A107,""pe""),""-"")"),61.86)</f>
        <v>61.86</v>
      </c>
      <c r="R107" s="16" t="b">
        <f t="shared" si="1"/>
        <v>0</v>
      </c>
      <c r="S107" s="16" t="b">
        <f t="shared" si="2"/>
        <v>0</v>
      </c>
    </row>
    <row r="108">
      <c r="A108" s="17" t="s">
        <v>130</v>
      </c>
      <c r="B108" s="10" t="str">
        <f>IFERROR(__xludf.DUMMYFUNCTION("GOOGLEFINANCE($A108,""name"")"),"LIC Housing Finance Limited")</f>
        <v>LIC Housing Finance Limited</v>
      </c>
      <c r="C108" s="10" t="str">
        <f>IFERROR(__xludf.DUMMYFUNCTION("sparkline(index(GOOGLEFINANCE($A108,""price"",workday(today(),-C$2),today()),,2),{""charttype"",""column"";""color"",""green""})"),"")</f>
        <v/>
      </c>
      <c r="D108" s="11">
        <f>IFERROR(__xludf.DUMMYFUNCTION("GOOGLEFINANCE(""NSE:"" &amp;$A108,""price"")"),374.85)</f>
        <v>374.85</v>
      </c>
      <c r="E108" s="11">
        <f>IFERROR(__xludf.DUMMYFUNCTION("GOOGLEFINANCE(""NSE:"" &amp;$A108,""priceopen"")"),380.0)</f>
        <v>380</v>
      </c>
      <c r="F108" s="11">
        <f>IFERROR(__xludf.DUMMYFUNCTION("GOOGLEFINANCE(""NSE:"" &amp;$A108,""high"")"),383.15)</f>
        <v>383.15</v>
      </c>
      <c r="G108" s="11">
        <f>IFERROR(__xludf.DUMMYFUNCTION("GOOGLEFINANCE(""NSE:"" &amp;$A108,""low"")"),374.0)</f>
        <v>374</v>
      </c>
      <c r="H108" s="11">
        <f>IFERROR(__xludf.DUMMYFUNCTION("GOOGLEFINANCE(""NSE:"" &amp;$A108,""closeyest"")"),382.3)</f>
        <v>382.3</v>
      </c>
      <c r="I108" s="12">
        <f>IFERROR(__xludf.DUMMYFUNCTION("GOOGLEFINANCE(""NSE:"" &amp;$A108,""change"")"),-7.45)</f>
        <v>-7.45</v>
      </c>
      <c r="J108" s="13">
        <f>IFERROR(__xludf.DUMMYFUNCTION("GOOGLEFINANCE(""NSE:"" &amp;$A108,""changepct"")/100"),-0.0195)</f>
        <v>-0.0195</v>
      </c>
      <c r="K108" s="14">
        <f>IFERROR(__xludf.DUMMYFUNCTION("GOOGLEFINANCE(""NSE:"" &amp;$A108,""volume"")"),2076071.0)</f>
        <v>2076071</v>
      </c>
      <c r="L108" s="13">
        <f>IFERROR(__xludf.DUMMYFUNCTION("$D108/INDEX(GOOGLEFINANCE($A108,""PRICE"",WORKDAY(TODAY(),-L$2)),2,2)-1"),-0.005043132050431276)</f>
        <v>-0.00504313205</v>
      </c>
      <c r="M108" s="13">
        <f>IFERROR(__xludf.DUMMYFUNCTION("$D108/INDEX(GOOGLEFINANCE($A108,""PRICE"",WORKDAY(TODAY(),-M$2)),2,2)-1"),-0.043749999999999956)</f>
        <v>-0.04375</v>
      </c>
      <c r="N108" s="11">
        <f>IFERROR(__xludf.DUMMYFUNCTION("average(INDEX(GOOGLEFINANCE($A108,""PRICE"",WORKDAY(TODAY(),-N$2),today()),,2))"),378.3625)</f>
        <v>378.3625</v>
      </c>
      <c r="O108" s="11">
        <f>IFERROR(__xludf.DUMMYFUNCTION("average(INDEX(GOOGLEFINANCE($A108,""PRICE"",WORKDAY(TODAY(),-O$2),today()),,2))"),382.60714285714283)</f>
        <v>382.6071429</v>
      </c>
      <c r="P108" s="15">
        <f>IFERROR(__xludf.DUMMYFUNCTION("GOOGLEFINANCE($A108,""marketcap"")"),2.07258961708E11)</f>
        <v>207258961708</v>
      </c>
      <c r="Q108" s="16">
        <f>IFERROR(__xludf.DUMMYFUNCTION("IFERROR(GOOGLEFINANCE($A108,""pe""),""-"")"),12.15)</f>
        <v>12.15</v>
      </c>
      <c r="R108" s="16" t="b">
        <f t="shared" si="1"/>
        <v>0</v>
      </c>
      <c r="S108" s="16" t="b">
        <f t="shared" si="2"/>
        <v>0</v>
      </c>
    </row>
    <row r="109">
      <c r="A109" s="17" t="s">
        <v>131</v>
      </c>
      <c r="B109" s="10" t="str">
        <f>IFERROR(__xludf.DUMMYFUNCTION("GOOGLEFINANCE($A109,""name"")"),"#N/A")</f>
        <v>#N/A</v>
      </c>
      <c r="C109" s="10" t="str">
        <f>IFERROR(__xludf.DUMMYFUNCTION("sparkline(index(GOOGLEFINANCE($A109,""price"",workday(today(),-C$2),today()),,2),{""charttype"",""column"";""color"",""green""})"),"#N/A")</f>
        <v>#N/A</v>
      </c>
      <c r="D109" s="11">
        <f>IFERROR(__xludf.DUMMYFUNCTION("GOOGLEFINANCE(""NSE:"" &amp;$A109,""price"")"),1695.0)</f>
        <v>1695</v>
      </c>
      <c r="E109" s="11">
        <f>IFERROR(__xludf.DUMMYFUNCTION("GOOGLEFINANCE(""NSE:"" &amp;$A109,""priceopen"")"),1701.0)</f>
        <v>1701</v>
      </c>
      <c r="F109" s="11">
        <f>IFERROR(__xludf.DUMMYFUNCTION("GOOGLEFINANCE(""NSE:"" &amp;$A109,""high"")"),1716.4)</f>
        <v>1716.4</v>
      </c>
      <c r="G109" s="11">
        <f>IFERROR(__xludf.DUMMYFUNCTION("GOOGLEFINANCE(""NSE:"" &amp;$A109,""low"")"),1690.4)</f>
        <v>1690.4</v>
      </c>
      <c r="H109" s="11">
        <f>IFERROR(__xludf.DUMMYFUNCTION("GOOGLEFINANCE(""NSE:"" &amp;$A109,""closeyest"")"),1714.5)</f>
        <v>1714.5</v>
      </c>
      <c r="I109" s="12">
        <f>IFERROR(__xludf.DUMMYFUNCTION("GOOGLEFINANCE(""NSE:"" &amp;$A109,""change"")"),-19.5)</f>
        <v>-19.5</v>
      </c>
      <c r="J109" s="13">
        <f>IFERROR(__xludf.DUMMYFUNCTION("GOOGLEFINANCE(""NSE:"" &amp;$A109,""changepct"")/100"),-0.011399999999999999)</f>
        <v>-0.0114</v>
      </c>
      <c r="K109" s="14">
        <f>IFERROR(__xludf.DUMMYFUNCTION("GOOGLEFINANCE(""NSE:"" &amp;$A109,""volume"")"),1474689.0)</f>
        <v>1474689</v>
      </c>
      <c r="L109" s="13" t="str">
        <f>IFERROR(__xludf.DUMMYFUNCTION("$D109/INDEX(GOOGLEFINANCE($A109,""PRICE"",WORKDAY(TODAY(),-L$2)),2,2)-1"),"#N/A")</f>
        <v>#N/A</v>
      </c>
      <c r="M109" s="13" t="str">
        <f>IFERROR(__xludf.DUMMYFUNCTION("$D109/INDEX(GOOGLEFINANCE($A109,""PRICE"",WORKDAY(TODAY(),-M$2)),2,2)-1"),"#N/A")</f>
        <v>#N/A</v>
      </c>
      <c r="N109" s="11" t="str">
        <f>IFERROR(__xludf.DUMMYFUNCTION("average(INDEX(GOOGLEFINANCE($A109,""PRICE"",WORKDAY(TODAY(),-N$2),today()),,2))"),"#N/A")</f>
        <v>#N/A</v>
      </c>
      <c r="O109" s="11" t="str">
        <f>IFERROR(__xludf.DUMMYFUNCTION("average(INDEX(GOOGLEFINANCE($A109,""PRICE"",WORKDAY(TODAY(),-O$2),today()),,2))"),"#N/A")</f>
        <v>#N/A</v>
      </c>
      <c r="P109" s="15" t="str">
        <f>IFERROR(__xludf.DUMMYFUNCTION("GOOGLEFINANCE($A109,""marketcap"")"),"#N/A")</f>
        <v>#N/A</v>
      </c>
      <c r="Q109" s="16" t="str">
        <f>IFERROR(__xludf.DUMMYFUNCTION("IFERROR(GOOGLEFINANCE($A109,""pe""),""-"")"),"-")</f>
        <v>-</v>
      </c>
      <c r="R109" s="16" t="b">
        <f t="shared" si="1"/>
        <v>0</v>
      </c>
      <c r="S109" s="16" t="b">
        <f t="shared" si="2"/>
        <v>0</v>
      </c>
    </row>
    <row r="110">
      <c r="A110" s="17" t="s">
        <v>132</v>
      </c>
      <c r="B110" s="10" t="str">
        <f>IFERROR(__xludf.DUMMYFUNCTION("GOOGLEFINANCE($A110,""name"")"),"Lindsell Train Investment Trust PLC, The")</f>
        <v>Lindsell Train Investment Trust PLC, The</v>
      </c>
      <c r="C110" s="10" t="str">
        <f>IFERROR(__xludf.DUMMYFUNCTION("sparkline(index(GOOGLEFINANCE($A110,""price"",workday(today(),-C$2),today()),,2),{""charttype"",""column"";""color"",""green""})"),"")</f>
        <v/>
      </c>
      <c r="D110" s="11">
        <f>IFERROR(__xludf.DUMMYFUNCTION("GOOGLEFINANCE(""NSE:"" &amp;$A110,""price"")"),5095.0)</f>
        <v>5095</v>
      </c>
      <c r="E110" s="11">
        <f>IFERROR(__xludf.DUMMYFUNCTION("GOOGLEFINANCE(""NSE:"" &amp;$A110,""priceopen"")"),5054.0)</f>
        <v>5054</v>
      </c>
      <c r="F110" s="11">
        <f>IFERROR(__xludf.DUMMYFUNCTION("GOOGLEFINANCE(""NSE:"" &amp;$A110,""high"")"),5194.0)</f>
        <v>5194</v>
      </c>
      <c r="G110" s="11">
        <f>IFERROR(__xludf.DUMMYFUNCTION("GOOGLEFINANCE(""NSE:"" &amp;$A110,""low"")"),5002.0)</f>
        <v>5002</v>
      </c>
      <c r="H110" s="11">
        <f>IFERROR(__xludf.DUMMYFUNCTION("GOOGLEFINANCE(""NSE:"" &amp;$A110,""closeyest"")"),5076.95)</f>
        <v>5076.95</v>
      </c>
      <c r="I110" s="12">
        <f>IFERROR(__xludf.DUMMYFUNCTION("GOOGLEFINANCE(""NSE:"" &amp;$A110,""change"")"),18.05)</f>
        <v>18.05</v>
      </c>
      <c r="J110" s="13">
        <f>IFERROR(__xludf.DUMMYFUNCTION("GOOGLEFINANCE(""NSE:"" &amp;$A110,""changepct"")/100"),0.0036)</f>
        <v>0.0036</v>
      </c>
      <c r="K110" s="14">
        <f>IFERROR(__xludf.DUMMYFUNCTION("GOOGLEFINANCE(""NSE:"" &amp;$A110,""volume"")"),691316.0)</f>
        <v>691316</v>
      </c>
      <c r="L110" s="13">
        <f>IFERROR(__xludf.DUMMYFUNCTION("$D110/INDEX(GOOGLEFINANCE($A110,""PRICE"",WORKDAY(TODAY(),-L$2)),2,2)-1"),3.1762295081967213)</f>
        <v>3.176229508</v>
      </c>
      <c r="M110" s="13">
        <f>IFERROR(__xludf.DUMMYFUNCTION("$D110/INDEX(GOOGLEFINANCE($A110,""PRICE"",WORKDAY(TODAY(),-M$2)),2,2)-1"),3.1171717171717175)</f>
        <v>3.117171717</v>
      </c>
      <c r="N110" s="11">
        <f>IFERROR(__xludf.DUMMYFUNCTION("average(INDEX(GOOGLEFINANCE($A110,""PRICE"",WORKDAY(TODAY(),-N$2),today()),,2))"),1213.3333333333333)</f>
        <v>1213.333333</v>
      </c>
      <c r="O110" s="11">
        <f>IFERROR(__xludf.DUMMYFUNCTION("average(INDEX(GOOGLEFINANCE($A110,""PRICE"",WORKDAY(TODAY(),-O$2),today()),,2))"),1222.5)</f>
        <v>1222.5</v>
      </c>
      <c r="P110" s="15">
        <f>IFERROR(__xludf.DUMMYFUNCTION("GOOGLEFINANCE($A110,""marketcap"")"),2.43905913E8)</f>
        <v>243905913</v>
      </c>
      <c r="Q110" s="16">
        <f>IFERROR(__xludf.DUMMYFUNCTION("IFERROR(GOOGLEFINANCE($A110,""pe""),""-"")"),8.25)</f>
        <v>8.25</v>
      </c>
      <c r="R110" s="16" t="b">
        <f t="shared" si="1"/>
        <v>0</v>
      </c>
      <c r="S110" s="16" t="b">
        <f t="shared" si="2"/>
        <v>0</v>
      </c>
    </row>
    <row r="111">
      <c r="A111" s="17" t="s">
        <v>133</v>
      </c>
      <c r="B111" s="10" t="str">
        <f>IFERROR(__xludf.DUMMYFUNCTION("GOOGLEFINANCE($A111,""name"")"),"L&amp;T Technology Services Ltd")</f>
        <v>L&amp;T Technology Services Ltd</v>
      </c>
      <c r="C111" s="10" t="str">
        <f>IFERROR(__xludf.DUMMYFUNCTION("sparkline(index(GOOGLEFINANCE($A111,""price"",workday(today(),-C$2),today()),,2),{""charttype"",""column"";""color"",""green""})"),"")</f>
        <v/>
      </c>
      <c r="D111" s="11">
        <f>IFERROR(__xludf.DUMMYFUNCTION("GOOGLEFINANCE(""NSE:"" &amp;$A111,""price"")"),4115.0)</f>
        <v>4115</v>
      </c>
      <c r="E111" s="11">
        <f>IFERROR(__xludf.DUMMYFUNCTION("GOOGLEFINANCE(""NSE:"" &amp;$A111,""priceopen"")"),4119.95)</f>
        <v>4119.95</v>
      </c>
      <c r="F111" s="11">
        <f>IFERROR(__xludf.DUMMYFUNCTION("GOOGLEFINANCE(""NSE:"" &amp;$A111,""high"")"),4305.95)</f>
        <v>4305.95</v>
      </c>
      <c r="G111" s="11">
        <f>IFERROR(__xludf.DUMMYFUNCTION("GOOGLEFINANCE(""NSE:"" &amp;$A111,""low"")"),4038.6)</f>
        <v>4038.6</v>
      </c>
      <c r="H111" s="11">
        <f>IFERROR(__xludf.DUMMYFUNCTION("GOOGLEFINANCE(""NSE:"" &amp;$A111,""closeyest"")"),4244.3)</f>
        <v>4244.3</v>
      </c>
      <c r="I111" s="12">
        <f>IFERROR(__xludf.DUMMYFUNCTION("GOOGLEFINANCE(""NSE:"" &amp;$A111,""change"")"),-129.3)</f>
        <v>-129.3</v>
      </c>
      <c r="J111" s="13">
        <f>IFERROR(__xludf.DUMMYFUNCTION("GOOGLEFINANCE(""NSE:"" &amp;$A111,""changepct"")/100"),-0.0305)</f>
        <v>-0.0305</v>
      </c>
      <c r="K111" s="14">
        <f>IFERROR(__xludf.DUMMYFUNCTION("GOOGLEFINANCE(""NSE:"" &amp;$A111,""volume"")"),980185.0)</f>
        <v>980185</v>
      </c>
      <c r="L111" s="13">
        <f>IFERROR(__xludf.DUMMYFUNCTION("$D111/INDEX(GOOGLEFINANCE($A111,""PRICE"",WORKDAY(TODAY(),-L$2)),2,2)-1"),-0.04416803131133629)</f>
        <v>-0.04416803131</v>
      </c>
      <c r="M111" s="13">
        <f>IFERROR(__xludf.DUMMYFUNCTION("$D111/INDEX(GOOGLEFINANCE($A111,""PRICE"",WORKDAY(TODAY(),-M$2)),2,2)-1"),-0.14250289131771166)</f>
        <v>-0.1425028913</v>
      </c>
      <c r="N111" s="11">
        <f>IFERROR(__xludf.DUMMYFUNCTION("average(INDEX(GOOGLEFINANCE($A111,""PRICE"",WORKDAY(TODAY(),-N$2),today()),,2))"),4234.987499999999)</f>
        <v>4234.9875</v>
      </c>
      <c r="O111" s="11">
        <f>IFERROR(__xludf.DUMMYFUNCTION("average(INDEX(GOOGLEFINANCE($A111,""PRICE"",WORKDAY(TODAY(),-O$2),today()),,2))"),4405.542857142857)</f>
        <v>4405.542857</v>
      </c>
      <c r="P111" s="15">
        <f>IFERROR(__xludf.DUMMYFUNCTION("GOOGLEFINANCE($A111,""marketcap"")"),4.34321964875E11)</f>
        <v>434321964875</v>
      </c>
      <c r="Q111" s="16">
        <f>IFERROR(__xludf.DUMMYFUNCTION("IFERROR(GOOGLEFINANCE($A111,""pe""),""-"")"),48.88)</f>
        <v>48.88</v>
      </c>
      <c r="R111" s="16" t="b">
        <f t="shared" si="1"/>
        <v>0</v>
      </c>
      <c r="S111" s="16" t="b">
        <f t="shared" si="2"/>
        <v>0</v>
      </c>
    </row>
    <row r="112">
      <c r="A112" s="17" t="s">
        <v>134</v>
      </c>
      <c r="B112" s="10" t="str">
        <f>IFERROR(__xludf.DUMMYFUNCTION("GOOGLEFINANCE($A112,""name"")"),"Lupin Limited")</f>
        <v>Lupin Limited</v>
      </c>
      <c r="C112" s="10" t="str">
        <f>IFERROR(__xludf.DUMMYFUNCTION("sparkline(index(GOOGLEFINANCE($A112,""price"",workday(today(),-C$2),today()),,2),{""charttype"",""column"";""color"",""green""})"),"#N/A")</f>
        <v>#N/A</v>
      </c>
      <c r="D112" s="11">
        <f>IFERROR(__xludf.DUMMYFUNCTION("GOOGLEFINANCE(""NSE:"" &amp;$A112,""price"")"),753.0)</f>
        <v>753</v>
      </c>
      <c r="E112" s="11">
        <f>IFERROR(__xludf.DUMMYFUNCTION("GOOGLEFINANCE(""NSE:"" &amp;$A112,""priceopen"")"),776.0)</f>
        <v>776</v>
      </c>
      <c r="F112" s="11">
        <f>IFERROR(__xludf.DUMMYFUNCTION("GOOGLEFINANCE(""NSE:"" &amp;$A112,""high"")"),783.95)</f>
        <v>783.95</v>
      </c>
      <c r="G112" s="11">
        <f>IFERROR(__xludf.DUMMYFUNCTION("GOOGLEFINANCE(""NSE:"" &amp;$A112,""low"")"),748.65)</f>
        <v>748.65</v>
      </c>
      <c r="H112" s="11">
        <f>IFERROR(__xludf.DUMMYFUNCTION("GOOGLEFINANCE(""NSE:"" &amp;$A112,""closeyest"")"),782.45)</f>
        <v>782.45</v>
      </c>
      <c r="I112" s="12">
        <f>IFERROR(__xludf.DUMMYFUNCTION("GOOGLEFINANCE(""NSE:"" &amp;$A112,""change"")"),-29.45)</f>
        <v>-29.45</v>
      </c>
      <c r="J112" s="13">
        <f>IFERROR(__xludf.DUMMYFUNCTION("GOOGLEFINANCE(""NSE:"" &amp;$A112,""changepct"")/100"),-0.037599999999999995)</f>
        <v>-0.0376</v>
      </c>
      <c r="K112" s="14">
        <f>IFERROR(__xludf.DUMMYFUNCTION("GOOGLEFINANCE(""NSE:"" &amp;$A112,""volume"")"),1161567.0)</f>
        <v>1161567</v>
      </c>
      <c r="L112" s="13">
        <f>IFERROR(__xludf.DUMMYFUNCTION("$D112/INDEX(GOOGLEFINANCE($A112,""PRICE"",WORKDAY(TODAY(),-L$2)),2,2)-1"),-0.022268389274816558)</f>
        <v>-0.02226838927</v>
      </c>
      <c r="M112" s="13">
        <f>IFERROR(__xludf.DUMMYFUNCTION("$D112/INDEX(GOOGLEFINANCE($A112,""PRICE"",WORKDAY(TODAY(),-M$2)),2,2)-1"),-0.0413749204328453)</f>
        <v>-0.04137492043</v>
      </c>
      <c r="N112" s="11">
        <f>IFERROR(__xludf.DUMMYFUNCTION("average(INDEX(GOOGLEFINANCE($A112,""PRICE"",WORKDAY(TODAY(),-N$2),today()),,2))"),774.825)</f>
        <v>774.825</v>
      </c>
      <c r="O112" s="11">
        <f>IFERROR(__xludf.DUMMYFUNCTION("average(INDEX(GOOGLEFINANCE($A112,""PRICE"",WORKDAY(TODAY(),-O$2),today()),,2))"),775.9142857142857)</f>
        <v>775.9142857</v>
      </c>
      <c r="P112" s="15">
        <f>IFERROR(__xludf.DUMMYFUNCTION("GOOGLEFINANCE($A112,""marketcap"")"),3.3943527835E11)</f>
        <v>339435278350</v>
      </c>
      <c r="Q112" s="16" t="str">
        <f>IFERROR(__xludf.DUMMYFUNCTION("IFERROR(GOOGLEFINANCE($A112,""pe""),""-"")"),"-")</f>
        <v>-</v>
      </c>
      <c r="R112" s="16" t="b">
        <f t="shared" si="1"/>
        <v>0</v>
      </c>
      <c r="S112" s="16" t="b">
        <f t="shared" si="2"/>
        <v>0</v>
      </c>
    </row>
    <row r="113">
      <c r="A113" s="17" t="s">
        <v>135</v>
      </c>
      <c r="B113" s="10" t="str">
        <f>IFERROR(__xludf.DUMMYFUNCTION("GOOGLEFINANCE($A113,""name"")"),"Mahindra &amp; Mahindra Limited")</f>
        <v>Mahindra &amp; Mahindra Limited</v>
      </c>
      <c r="C113" s="10" t="str">
        <f>IFERROR(__xludf.DUMMYFUNCTION("sparkline(index(GOOGLEFINANCE($A113,""price"",workday(today(),-C$2),today()),,2),{""charttype"",""column"";""color"",""green""})"),"")</f>
        <v/>
      </c>
      <c r="D113" s="11">
        <f>IFERROR(__xludf.DUMMYFUNCTION("GOOGLEFINANCE(""NSE:"" &amp;$A113,""price"")"),919.0)</f>
        <v>919</v>
      </c>
      <c r="E113" s="11">
        <f>IFERROR(__xludf.DUMMYFUNCTION("GOOGLEFINANCE(""NSE:"" &amp;$A113,""priceopen"")"),903.8)</f>
        <v>903.8</v>
      </c>
      <c r="F113" s="11">
        <f>IFERROR(__xludf.DUMMYFUNCTION("GOOGLEFINANCE(""NSE:"" &amp;$A113,""high"")"),927.05)</f>
        <v>927.05</v>
      </c>
      <c r="G113" s="11">
        <f>IFERROR(__xludf.DUMMYFUNCTION("GOOGLEFINANCE(""NSE:"" &amp;$A113,""low"")"),889.05)</f>
        <v>889.05</v>
      </c>
      <c r="H113" s="11">
        <f>IFERROR(__xludf.DUMMYFUNCTION("GOOGLEFINANCE(""NSE:"" &amp;$A113,""closeyest"")"),911.0)</f>
        <v>911</v>
      </c>
      <c r="I113" s="12">
        <f>IFERROR(__xludf.DUMMYFUNCTION("GOOGLEFINANCE(""NSE:"" &amp;$A113,""change"")"),8.0)</f>
        <v>8</v>
      </c>
      <c r="J113" s="13">
        <f>IFERROR(__xludf.DUMMYFUNCTION("GOOGLEFINANCE(""NSE:"" &amp;$A113,""changepct"")/100"),0.0088)</f>
        <v>0.0088</v>
      </c>
      <c r="K113" s="14">
        <f>IFERROR(__xludf.DUMMYFUNCTION("GOOGLEFINANCE(""NSE:"" &amp;$A113,""volume"")"),4924905.0)</f>
        <v>4924905</v>
      </c>
      <c r="L113" s="13">
        <f>IFERROR(__xludf.DUMMYFUNCTION("$D113/INDEX(GOOGLEFINANCE($A113,""PRICE"",WORKDAY(TODAY(),-L$2)),2,2)-1"),0.05136712046676584)</f>
        <v>0.05136712047</v>
      </c>
      <c r="M113" s="13">
        <f>IFERROR(__xludf.DUMMYFUNCTION("$D113/INDEX(GOOGLEFINANCE($A113,""PRICE"",WORKDAY(TODAY(),-M$2)),2,2)-1"),0.07253311548112262)</f>
        <v>0.07253311548</v>
      </c>
      <c r="N113" s="11">
        <f>IFERROR(__xludf.DUMMYFUNCTION("average(INDEX(GOOGLEFINANCE($A113,""PRICE"",WORKDAY(TODAY(),-N$2),today()),,2))"),884.7125)</f>
        <v>884.7125</v>
      </c>
      <c r="O113" s="11">
        <f>IFERROR(__xludf.DUMMYFUNCTION("average(INDEX(GOOGLEFINANCE($A113,""PRICE"",WORKDAY(TODAY(),-O$2),today()),,2))"),874.657142857143)</f>
        <v>874.6571429</v>
      </c>
      <c r="P113" s="15">
        <f>IFERROR(__xludf.DUMMYFUNCTION("GOOGLEFINANCE($A113,""marketcap"")"),1.08934805195E12)</f>
        <v>1089348051950</v>
      </c>
      <c r="Q113" s="16">
        <f>IFERROR(__xludf.DUMMYFUNCTION("IFERROR(GOOGLEFINANCE($A113,""pe""),""-"")"),18.96)</f>
        <v>18.96</v>
      </c>
      <c r="R113" s="16" t="b">
        <f t="shared" si="1"/>
        <v>0</v>
      </c>
      <c r="S113" s="16" t="b">
        <f t="shared" si="2"/>
        <v>0</v>
      </c>
    </row>
    <row r="114">
      <c r="A114" s="17" t="s">
        <v>136</v>
      </c>
      <c r="B114" s="10" t="str">
        <f>IFERROR(__xludf.DUMMYFUNCTION("GOOGLEFINANCE($A114,""name"")"),"Mahindra &amp; Mahindra Fin. Services Ltd.")</f>
        <v>Mahindra &amp; Mahindra Fin. Services Ltd.</v>
      </c>
      <c r="C114" s="10" t="str">
        <f>IFERROR(__xludf.DUMMYFUNCTION("sparkline(index(GOOGLEFINANCE($A114,""price"",workday(today(),-C$2),today()),,2),{""charttype"",""column"";""color"",""green""})"),"")</f>
        <v/>
      </c>
      <c r="D114" s="11">
        <f>IFERROR(__xludf.DUMMYFUNCTION("GOOGLEFINANCE(""NSE:"" &amp;$A114,""price"")"),176.65)</f>
        <v>176.65</v>
      </c>
      <c r="E114" s="11">
        <f>IFERROR(__xludf.DUMMYFUNCTION("GOOGLEFINANCE(""NSE:"" &amp;$A114,""priceopen"")"),178.5)</f>
        <v>178.5</v>
      </c>
      <c r="F114" s="11">
        <f>IFERROR(__xludf.DUMMYFUNCTION("GOOGLEFINANCE(""NSE:"" &amp;$A114,""high"")"),180.45)</f>
        <v>180.45</v>
      </c>
      <c r="G114" s="11">
        <f>IFERROR(__xludf.DUMMYFUNCTION("GOOGLEFINANCE(""NSE:"" &amp;$A114,""low"")"),175.75)</f>
        <v>175.75</v>
      </c>
      <c r="H114" s="11">
        <f>IFERROR(__xludf.DUMMYFUNCTION("GOOGLEFINANCE(""NSE:"" &amp;$A114,""closeyest"")"),179.7)</f>
        <v>179.7</v>
      </c>
      <c r="I114" s="12">
        <f>IFERROR(__xludf.DUMMYFUNCTION("GOOGLEFINANCE(""NSE:"" &amp;$A114,""change"")"),-3.05)</f>
        <v>-3.05</v>
      </c>
      <c r="J114" s="13">
        <f>IFERROR(__xludf.DUMMYFUNCTION("GOOGLEFINANCE(""NSE:"" &amp;$A114,""changepct"")/100"),-0.017)</f>
        <v>-0.017</v>
      </c>
      <c r="K114" s="14">
        <f>IFERROR(__xludf.DUMMYFUNCTION("GOOGLEFINANCE(""NSE:"" &amp;$A114,""volume"")"),3098826.0)</f>
        <v>3098826</v>
      </c>
      <c r="L114" s="13">
        <f>IFERROR(__xludf.DUMMYFUNCTION("$D114/INDEX(GOOGLEFINANCE($A114,""PRICE"",WORKDAY(TODAY(),-L$2)),2,2)-1"),-0.005349099099099086)</f>
        <v>-0.005349099099</v>
      </c>
      <c r="M114" s="13">
        <f>IFERROR(__xludf.DUMMYFUNCTION("$D114/INDEX(GOOGLEFINANCE($A114,""PRICE"",WORKDAY(TODAY(),-M$2)),2,2)-1"),0.005406943653955665)</f>
        <v>0.005406943654</v>
      </c>
      <c r="N114" s="11" t="str">
        <f>IFERROR(__xludf.DUMMYFUNCTION("average(INDEX(GOOGLEFINANCE($A114,""PRICE"",WORKDAY(TODAY(),-N$2),today()),,2))"),"#N/A")</f>
        <v>#N/A</v>
      </c>
      <c r="O114" s="11">
        <f>IFERROR(__xludf.DUMMYFUNCTION("average(INDEX(GOOGLEFINANCE($A114,""PRICE"",WORKDAY(TODAY(),-O$2),today()),,2))"),178.62857142857143)</f>
        <v>178.6285714</v>
      </c>
      <c r="P114" s="15">
        <f>IFERROR(__xludf.DUMMYFUNCTION("GOOGLEFINANCE($A114,""marketcap"")"),2.21759713427E11)</f>
        <v>221759713427</v>
      </c>
      <c r="Q114" s="16">
        <f>IFERROR(__xludf.DUMMYFUNCTION("IFERROR(GOOGLEFINANCE($A114,""pe""),""-"")"),29.97)</f>
        <v>29.97</v>
      </c>
      <c r="R114" s="16" t="b">
        <f t="shared" si="1"/>
        <v>0</v>
      </c>
      <c r="S114" s="16" t="b">
        <f t="shared" si="2"/>
        <v>0</v>
      </c>
    </row>
    <row r="115">
      <c r="A115" s="17" t="s">
        <v>137</v>
      </c>
      <c r="B115" s="10" t="str">
        <f>IFERROR(__xludf.DUMMYFUNCTION("GOOGLEFINANCE($A115,""name"")"),"Manappuram Finance Ltd")</f>
        <v>Manappuram Finance Ltd</v>
      </c>
      <c r="C115" s="10" t="str">
        <f>IFERROR(__xludf.DUMMYFUNCTION("sparkline(index(GOOGLEFINANCE($A115,""price"",workday(today(),-C$2),today()),,2),{""charttype"",""column"";""color"",""green""})"),"")</f>
        <v/>
      </c>
      <c r="D115" s="11">
        <f>IFERROR(__xludf.DUMMYFUNCTION("GOOGLEFINANCE(""NSE:"" &amp;$A115,""price"")"),118.85)</f>
        <v>118.85</v>
      </c>
      <c r="E115" s="11">
        <f>IFERROR(__xludf.DUMMYFUNCTION("GOOGLEFINANCE(""NSE:"" &amp;$A115,""priceopen"")"),120.3)</f>
        <v>120.3</v>
      </c>
      <c r="F115" s="11">
        <f>IFERROR(__xludf.DUMMYFUNCTION("GOOGLEFINANCE(""NSE:"" &amp;$A115,""high"")"),121.35)</f>
        <v>121.35</v>
      </c>
      <c r="G115" s="11">
        <f>IFERROR(__xludf.DUMMYFUNCTION("GOOGLEFINANCE(""NSE:"" &amp;$A115,""low"")"),118.5)</f>
        <v>118.5</v>
      </c>
      <c r="H115" s="11">
        <f>IFERROR(__xludf.DUMMYFUNCTION("GOOGLEFINANCE(""NSE:"" &amp;$A115,""closeyest"")"),121.25)</f>
        <v>121.25</v>
      </c>
      <c r="I115" s="12">
        <f>IFERROR(__xludf.DUMMYFUNCTION("GOOGLEFINANCE(""NSE:"" &amp;$A115,""change"")"),-2.4)</f>
        <v>-2.4</v>
      </c>
      <c r="J115" s="13">
        <f>IFERROR(__xludf.DUMMYFUNCTION("GOOGLEFINANCE(""NSE:"" &amp;$A115,""changepct"")/100"),-0.019799999999999998)</f>
        <v>-0.0198</v>
      </c>
      <c r="K115" s="14">
        <f>IFERROR(__xludf.DUMMYFUNCTION("GOOGLEFINANCE(""NSE:"" &amp;$A115,""volume"")"),3269444.0)</f>
        <v>3269444</v>
      </c>
      <c r="L115" s="13">
        <f>IFERROR(__xludf.DUMMYFUNCTION("$D115/INDEX(GOOGLEFINANCE($A115,""PRICE"",WORKDAY(TODAY(),-L$2)),2,2)-1"),-0.03452477660438669)</f>
        <v>-0.0345247766</v>
      </c>
      <c r="M115" s="13">
        <f>IFERROR(__xludf.DUMMYFUNCTION("$D115/INDEX(GOOGLEFINANCE($A115,""PRICE"",WORKDAY(TODAY(),-M$2)),2,2)-1"),-0.03726204941271771)</f>
        <v>-0.03726204941</v>
      </c>
      <c r="N115" s="11">
        <f>IFERROR(__xludf.DUMMYFUNCTION("average(INDEX(GOOGLEFINANCE($A115,""PRICE"",WORKDAY(TODAY(),-N$2),today()),,2))"),119.475)</f>
        <v>119.475</v>
      </c>
      <c r="O115" s="11" t="str">
        <f>IFERROR(__xludf.DUMMYFUNCTION("average(INDEX(GOOGLEFINANCE($A115,""PRICE"",WORKDAY(TODAY(),-O$2),today()),,2))"),"#N/A")</f>
        <v>#N/A</v>
      </c>
      <c r="P115" s="15">
        <f>IFERROR(__xludf.DUMMYFUNCTION("GOOGLEFINANCE($A115,""marketcap"")"),1.0316777683E11)</f>
        <v>103167776830</v>
      </c>
      <c r="Q115" s="16">
        <f>IFERROR(__xludf.DUMMYFUNCTION("IFERROR(GOOGLEFINANCE($A115,""pe""),""-"")"),6.55)</f>
        <v>6.55</v>
      </c>
      <c r="R115" s="16" t="b">
        <f t="shared" si="1"/>
        <v>0</v>
      </c>
      <c r="S115" s="16" t="b">
        <f t="shared" si="2"/>
        <v>0</v>
      </c>
    </row>
    <row r="116">
      <c r="A116" s="17" t="s">
        <v>138</v>
      </c>
      <c r="B116" s="10" t="str">
        <f>IFERROR(__xludf.DUMMYFUNCTION("GOOGLEFINANCE($A116,""name"")"),"Marico Limited Fully Paid Ord. Shrs")</f>
        <v>Marico Limited Fully Paid Ord. Shrs</v>
      </c>
      <c r="C116" s="10" t="str">
        <f>IFERROR(__xludf.DUMMYFUNCTION("sparkline(index(GOOGLEFINANCE($A116,""price"",workday(today(),-C$2),today()),,2),{""charttype"",""column"";""color"",""green""})"),"")</f>
        <v/>
      </c>
      <c r="D116" s="11">
        <f>IFERROR(__xludf.DUMMYFUNCTION("GOOGLEFINANCE(""NSE:"" &amp;$A116,""price"")"),522.5)</f>
        <v>522.5</v>
      </c>
      <c r="E116" s="11">
        <f>IFERROR(__xludf.DUMMYFUNCTION("GOOGLEFINANCE(""NSE:"" &amp;$A116,""priceopen"")"),516.6)</f>
        <v>516.6</v>
      </c>
      <c r="F116" s="11">
        <f>IFERROR(__xludf.DUMMYFUNCTION("GOOGLEFINANCE(""NSE:"" &amp;$A116,""high"")"),525.35)</f>
        <v>525.35</v>
      </c>
      <c r="G116" s="11">
        <f>IFERROR(__xludf.DUMMYFUNCTION("GOOGLEFINANCE(""NSE:"" &amp;$A116,""low"")"),509.0)</f>
        <v>509</v>
      </c>
      <c r="H116" s="11">
        <f>IFERROR(__xludf.DUMMYFUNCTION("GOOGLEFINANCE(""NSE:"" &amp;$A116,""closeyest"")"),518.2)</f>
        <v>518.2</v>
      </c>
      <c r="I116" s="12">
        <f>IFERROR(__xludf.DUMMYFUNCTION("GOOGLEFINANCE(""NSE:"" &amp;$A116,""change"")"),4.3)</f>
        <v>4.3</v>
      </c>
      <c r="J116" s="13">
        <f>IFERROR(__xludf.DUMMYFUNCTION("GOOGLEFINANCE(""NSE:"" &amp;$A116,""changepct"")/100"),0.0083)</f>
        <v>0.0083</v>
      </c>
      <c r="K116" s="14">
        <f>IFERROR(__xludf.DUMMYFUNCTION("GOOGLEFINANCE(""NSE:"" &amp;$A116,""volume"")"),1831082.0)</f>
        <v>1831082</v>
      </c>
      <c r="L116" s="13">
        <f>IFERROR(__xludf.DUMMYFUNCTION("$D116/INDEX(GOOGLEFINANCE($A116,""PRICE"",WORKDAY(TODAY(),-L$2)),2,2)-1"),0.008979434199092307)</f>
        <v>0.008979434199</v>
      </c>
      <c r="M116" s="13">
        <f>IFERROR(__xludf.DUMMYFUNCTION("$D116/INDEX(GOOGLEFINANCE($A116,""PRICE"",WORKDAY(TODAY(),-M$2)),2,2)-1"),0.005677990568761615)</f>
        <v>0.005677990569</v>
      </c>
      <c r="N116" s="11">
        <f>IFERROR(__xludf.DUMMYFUNCTION("average(INDEX(GOOGLEFINANCE($A116,""PRICE"",WORKDAY(TODAY(),-N$2),today()),,2))"),512.7)</f>
        <v>512.7</v>
      </c>
      <c r="O116" s="11">
        <f>IFERROR(__xludf.DUMMYFUNCTION("average(INDEX(GOOGLEFINANCE($A116,""PRICE"",WORKDAY(TODAY(),-O$2),today()),,2))"),515.4214285714286)</f>
        <v>515.4214286</v>
      </c>
      <c r="P116" s="15">
        <f>IFERROR(__xludf.DUMMYFUNCTION("GOOGLEFINANCE($A116,""marketcap"")"),6.6751264125E11)</f>
        <v>667512641250</v>
      </c>
      <c r="Q116" s="16">
        <f>IFERROR(__xludf.DUMMYFUNCTION("IFERROR(GOOGLEFINANCE($A116,""pe""),""-"")"),56.49)</f>
        <v>56.49</v>
      </c>
      <c r="R116" s="16" t="b">
        <f t="shared" si="1"/>
        <v>0</v>
      </c>
      <c r="S116" s="16" t="b">
        <f t="shared" si="2"/>
        <v>0</v>
      </c>
    </row>
    <row r="117">
      <c r="A117" s="17" t="s">
        <v>139</v>
      </c>
      <c r="B117" s="10" t="str">
        <f>IFERROR(__xludf.DUMMYFUNCTION("GOOGLEFINANCE($A117,""name"")"),"Maruti Suzuki India Ltd")</f>
        <v>Maruti Suzuki India Ltd</v>
      </c>
      <c r="C117" s="10" t="str">
        <f>IFERROR(__xludf.DUMMYFUNCTION("sparkline(index(GOOGLEFINANCE($A117,""price"",workday(today(),-C$2),today()),,2),{""charttype"",""column"";""color"",""green""})"),"")</f>
        <v/>
      </c>
      <c r="D117" s="11">
        <f>IFERROR(__xludf.DUMMYFUNCTION("GOOGLEFINANCE(""NSE:"" &amp;$A117,""price"")"),7900.0)</f>
        <v>7900</v>
      </c>
      <c r="E117" s="11">
        <f>IFERROR(__xludf.DUMMYFUNCTION("GOOGLEFINANCE(""NSE:"" &amp;$A117,""priceopen"")"),7789.0)</f>
        <v>7789</v>
      </c>
      <c r="F117" s="11">
        <f>IFERROR(__xludf.DUMMYFUNCTION("GOOGLEFINANCE(""NSE:"" &amp;$A117,""high"")"),8016.65)</f>
        <v>8016.65</v>
      </c>
      <c r="G117" s="11">
        <f>IFERROR(__xludf.DUMMYFUNCTION("GOOGLEFINANCE(""NSE:"" &amp;$A117,""low"")"),7731.0)</f>
        <v>7731</v>
      </c>
      <c r="H117" s="11">
        <f>IFERROR(__xludf.DUMMYFUNCTION("GOOGLEFINANCE(""NSE:"" &amp;$A117,""closeyest"")"),7879.2)</f>
        <v>7879.2</v>
      </c>
      <c r="I117" s="12">
        <f>IFERROR(__xludf.DUMMYFUNCTION("GOOGLEFINANCE(""NSE:"" &amp;$A117,""change"")"),20.8)</f>
        <v>20.8</v>
      </c>
      <c r="J117" s="13">
        <f>IFERROR(__xludf.DUMMYFUNCTION("GOOGLEFINANCE(""NSE:"" &amp;$A117,""changepct"")/100"),0.0026)</f>
        <v>0.0026</v>
      </c>
      <c r="K117" s="14">
        <f>IFERROR(__xludf.DUMMYFUNCTION("GOOGLEFINANCE(""NSE:"" &amp;$A117,""volume"")"),960818.0)</f>
        <v>960818</v>
      </c>
      <c r="L117" s="13">
        <f>IFERROR(__xludf.DUMMYFUNCTION("$D117/INDEX(GOOGLEFINANCE($A117,""PRICE"",WORKDAY(TODAY(),-L$2)),2,2)-1"),0.043110847032415744)</f>
        <v>0.04311084703</v>
      </c>
      <c r="M117" s="13">
        <f>IFERROR(__xludf.DUMMYFUNCTION("$D117/INDEX(GOOGLEFINANCE($A117,""PRICE"",WORKDAY(TODAY(),-M$2)),2,2)-1"),0.04422766806778222)</f>
        <v>0.04422766807</v>
      </c>
      <c r="N117" s="11">
        <f>IFERROR(__xludf.DUMMYFUNCTION("average(INDEX(GOOGLEFINANCE($A117,""PRICE"",WORKDAY(TODAY(),-N$2),today()),,2))"),7638.625)</f>
        <v>7638.625</v>
      </c>
      <c r="O117" s="11">
        <f>IFERROR(__xludf.DUMMYFUNCTION("average(INDEX(GOOGLEFINANCE($A117,""PRICE"",WORKDAY(TODAY(),-O$2),today()),,2))"),7601.107142857142)</f>
        <v>7601.107143</v>
      </c>
      <c r="P117" s="15">
        <f>IFERROR(__xludf.DUMMYFUNCTION("GOOGLEFINANCE($A117,""marketcap"")"),2.31470544065E12)</f>
        <v>2314705440650</v>
      </c>
      <c r="Q117" s="16">
        <f>IFERROR(__xludf.DUMMYFUNCTION("IFERROR(GOOGLEFINANCE($A117,""pe""),""-"")"),73.55)</f>
        <v>73.55</v>
      </c>
      <c r="R117" s="16" t="b">
        <f t="shared" si="1"/>
        <v>0</v>
      </c>
      <c r="S117" s="16" t="b">
        <f t="shared" si="2"/>
        <v>0</v>
      </c>
    </row>
    <row r="118">
      <c r="A118" s="17" t="s">
        <v>140</v>
      </c>
      <c r="B118" s="10" t="str">
        <f>IFERROR(__xludf.DUMMYFUNCTION("GOOGLEFINANCE($A118,""name"")"),"United Spirits Ltd")</f>
        <v>United Spirits Ltd</v>
      </c>
      <c r="C118" s="10" t="str">
        <f>IFERROR(__xludf.DUMMYFUNCTION("sparkline(index(GOOGLEFINANCE($A118,""price"",workday(today(),-C$2),today()),,2),{""charttype"",""column"";""color"",""green""})"),"")</f>
        <v/>
      </c>
      <c r="D118" s="11">
        <f>IFERROR(__xludf.DUMMYFUNCTION("GOOGLEFINANCE(""NSE:"" &amp;$A118,""price"")"),871.0)</f>
        <v>871</v>
      </c>
      <c r="E118" s="11">
        <f>IFERROR(__xludf.DUMMYFUNCTION("GOOGLEFINANCE(""NSE:"" &amp;$A118,""priceopen"")"),871.0)</f>
        <v>871</v>
      </c>
      <c r="F118" s="11">
        <f>IFERROR(__xludf.DUMMYFUNCTION("GOOGLEFINANCE(""NSE:"" &amp;$A118,""high"")"),884.6)</f>
        <v>884.6</v>
      </c>
      <c r="G118" s="11">
        <f>IFERROR(__xludf.DUMMYFUNCTION("GOOGLEFINANCE(""NSE:"" &amp;$A118,""low"")"),866.1)</f>
        <v>866.1</v>
      </c>
      <c r="H118" s="11">
        <f>IFERROR(__xludf.DUMMYFUNCTION("GOOGLEFINANCE(""NSE:"" &amp;$A118,""closeyest"")"),871.15)</f>
        <v>871.15</v>
      </c>
      <c r="I118" s="12">
        <f>IFERROR(__xludf.DUMMYFUNCTION("GOOGLEFINANCE(""NSE:"" &amp;$A118,""change"")"),-0.15)</f>
        <v>-0.15</v>
      </c>
      <c r="J118" s="13">
        <f>IFERROR(__xludf.DUMMYFUNCTION("GOOGLEFINANCE(""NSE:"" &amp;$A118,""changepct"")/100"),-2.0E-4)</f>
        <v>-0.0002</v>
      </c>
      <c r="K118" s="14">
        <f>IFERROR(__xludf.DUMMYFUNCTION("GOOGLEFINANCE(""NSE:"" &amp;$A118,""volume"")"),1338384.0)</f>
        <v>1338384</v>
      </c>
      <c r="L118" s="13">
        <f>IFERROR(__xludf.DUMMYFUNCTION("$D118/INDEX(GOOGLEFINANCE($A118,""PRICE"",WORKDAY(TODAY(),-L$2)),2,2)-1"),-0.017927613034163903)</f>
        <v>-0.01792761303</v>
      </c>
      <c r="M118" s="13">
        <f>IFERROR(__xludf.DUMMYFUNCTION("$D118/INDEX(GOOGLEFINANCE($A118,""PRICE"",WORKDAY(TODAY(),-M$2)),2,2)-1"),-0.04327768014059752)</f>
        <v>-0.04327768014</v>
      </c>
      <c r="N118" s="11">
        <f>IFERROR(__xludf.DUMMYFUNCTION("average(INDEX(GOOGLEFINANCE($A118,""PRICE"",WORKDAY(TODAY(),-N$2),today()),,2))"),870.0375)</f>
        <v>870.0375</v>
      </c>
      <c r="O118" s="11">
        <f>IFERROR(__xludf.DUMMYFUNCTION("average(INDEX(GOOGLEFINANCE($A118,""PRICE"",WORKDAY(TODAY(),-O$2),today()),,2))"),883.5642857142858)</f>
        <v>883.5642857</v>
      </c>
      <c r="P118" s="15">
        <f>IFERROR(__xludf.DUMMYFUNCTION("GOOGLEFINANCE($A118,""marketcap"")"),6.306208117E11)</f>
        <v>630620811700</v>
      </c>
      <c r="Q118" s="16">
        <f>IFERROR(__xludf.DUMMYFUNCTION("IFERROR(GOOGLEFINANCE($A118,""pe""),""-"")"),72.36)</f>
        <v>72.36</v>
      </c>
      <c r="R118" s="16" t="b">
        <f t="shared" si="1"/>
        <v>0</v>
      </c>
      <c r="S118" s="16" t="b">
        <f t="shared" si="2"/>
        <v>0</v>
      </c>
    </row>
    <row r="119">
      <c r="A119" s="17" t="s">
        <v>141</v>
      </c>
      <c r="B119" s="10" t="str">
        <f>IFERROR(__xludf.DUMMYFUNCTION("GOOGLEFINANCE($A119,""name"")"),"FTSE 250 Index")</f>
        <v>FTSE 250 Index</v>
      </c>
      <c r="C119" s="10" t="str">
        <f>IFERROR(__xludf.DUMMYFUNCTION("sparkline(index(GOOGLEFINANCE($A119,""price"",workday(today(),-C$2),today()),,2),{""charttype"",""column"";""color"",""green""})"),"")</f>
        <v/>
      </c>
      <c r="D119" s="11">
        <f>IFERROR(__xludf.DUMMYFUNCTION("GOOGLEFINANCE(""NSE:"" &amp;$A119,""price"")"),1387.0)</f>
        <v>1387</v>
      </c>
      <c r="E119" s="11">
        <f>IFERROR(__xludf.DUMMYFUNCTION("GOOGLEFINANCE(""NSE:"" &amp;$A119,""priceopen"")"),1375.05)</f>
        <v>1375.05</v>
      </c>
      <c r="F119" s="11">
        <f>IFERROR(__xludf.DUMMYFUNCTION("GOOGLEFINANCE(""NSE:"" &amp;$A119,""high"")"),1409.85)</f>
        <v>1409.85</v>
      </c>
      <c r="G119" s="11">
        <f>IFERROR(__xludf.DUMMYFUNCTION("GOOGLEFINANCE(""NSE:"" &amp;$A119,""low"")"),1375.05)</f>
        <v>1375.05</v>
      </c>
      <c r="H119" s="11">
        <f>IFERROR(__xludf.DUMMYFUNCTION("GOOGLEFINANCE(""NSE:"" &amp;$A119,""closeyest"")"),1387.0)</f>
        <v>1387</v>
      </c>
      <c r="I119" s="12">
        <f>IFERROR(__xludf.DUMMYFUNCTION("GOOGLEFINANCE(""NSE:"" &amp;$A119,""change"")"),0.0)</f>
        <v>0</v>
      </c>
      <c r="J119" s="13">
        <f>IFERROR(__xludf.DUMMYFUNCTION("GOOGLEFINANCE(""NSE:"" &amp;$A119,""changepct"")/100"),0.0)</f>
        <v>0</v>
      </c>
      <c r="K119" s="14">
        <f>IFERROR(__xludf.DUMMYFUNCTION("GOOGLEFINANCE(""NSE:"" &amp;$A119,""volume"")"),218461.0)</f>
        <v>218461</v>
      </c>
      <c r="L119" s="13">
        <f>IFERROR(__xludf.DUMMYFUNCTION("$D119/INDEX(GOOGLEFINANCE($A119,""PRICE"",WORKDAY(TODAY(),-L$2)),2,2)-1"),-0.9338331861634555)</f>
        <v>-0.9338331862</v>
      </c>
      <c r="M119" s="13">
        <f>IFERROR(__xludf.DUMMYFUNCTION("$D119/INDEX(GOOGLEFINANCE($A119,""PRICE"",WORKDAY(TODAY(),-M$2)),2,2)-1"),-0.9344961254954114)</f>
        <v>-0.9344961255</v>
      </c>
      <c r="N119" s="11">
        <f>IFERROR(__xludf.DUMMYFUNCTION("average(INDEX(GOOGLEFINANCE($A119,""PRICE"",WORKDAY(TODAY(),-N$2),today()),,2))"),21068.616666666665)</f>
        <v>21068.61667</v>
      </c>
      <c r="O119" s="11">
        <f>IFERROR(__xludf.DUMMYFUNCTION("average(INDEX(GOOGLEFINANCE($A119,""PRICE"",WORKDAY(TODAY(),-O$2),today()),,2))"),21076.364999999998)</f>
        <v>21076.365</v>
      </c>
      <c r="P119" s="15" t="str">
        <f>IFERROR(__xludf.DUMMYFUNCTION("GOOGLEFINANCE($A119,""marketcap"")"),"#N/A")</f>
        <v>#N/A</v>
      </c>
      <c r="Q119" s="16" t="str">
        <f>IFERROR(__xludf.DUMMYFUNCTION("IFERROR(GOOGLEFINANCE($A119,""pe""),""-"")"),"-")</f>
        <v>-</v>
      </c>
      <c r="R119" s="16" t="b">
        <f t="shared" si="1"/>
        <v>1</v>
      </c>
      <c r="S119" s="16" t="b">
        <f t="shared" si="2"/>
        <v>0</v>
      </c>
    </row>
    <row r="120">
      <c r="A120" s="17" t="s">
        <v>142</v>
      </c>
      <c r="B120" s="10" t="str">
        <f>IFERROR(__xludf.DUMMYFUNCTION("GOOGLEFINANCE($A120,""name"")"),"Metropolis Healthcare Ltd")</f>
        <v>Metropolis Healthcare Ltd</v>
      </c>
      <c r="C120" s="10" t="str">
        <f>IFERROR(__xludf.DUMMYFUNCTION("sparkline(index(GOOGLEFINANCE($A120,""price"",workday(today(),-C$2),today()),,2),{""charttype"",""column"";""color"",""green""})"),"")</f>
        <v/>
      </c>
      <c r="D120" s="11">
        <f>IFERROR(__xludf.DUMMYFUNCTION("GOOGLEFINANCE(""NSE:"" &amp;$A120,""price"")"),2404.5)</f>
        <v>2404.5</v>
      </c>
      <c r="E120" s="11">
        <f>IFERROR(__xludf.DUMMYFUNCTION("GOOGLEFINANCE(""NSE:"" &amp;$A120,""priceopen"")"),2483.4)</f>
        <v>2483.4</v>
      </c>
      <c r="F120" s="11">
        <f>IFERROR(__xludf.DUMMYFUNCTION("GOOGLEFINANCE(""NSE:"" &amp;$A120,""high"")"),2488.65)</f>
        <v>2488.65</v>
      </c>
      <c r="G120" s="11">
        <f>IFERROR(__xludf.DUMMYFUNCTION("GOOGLEFINANCE(""NSE:"" &amp;$A120,""low"")"),2402.15)</f>
        <v>2402.15</v>
      </c>
      <c r="H120" s="11">
        <f>IFERROR(__xludf.DUMMYFUNCTION("GOOGLEFINANCE(""NSE:"" &amp;$A120,""closeyest"")"),2482.0)</f>
        <v>2482</v>
      </c>
      <c r="I120" s="12">
        <f>IFERROR(__xludf.DUMMYFUNCTION("GOOGLEFINANCE(""NSE:"" &amp;$A120,""change"")"),-77.5)</f>
        <v>-77.5</v>
      </c>
      <c r="J120" s="13">
        <f>IFERROR(__xludf.DUMMYFUNCTION("GOOGLEFINANCE(""NSE:"" &amp;$A120,""changepct"")/100"),-0.031200000000000002)</f>
        <v>-0.0312</v>
      </c>
      <c r="K120" s="14">
        <f>IFERROR(__xludf.DUMMYFUNCTION("GOOGLEFINANCE(""NSE:"" &amp;$A120,""volume"")"),111418.0)</f>
        <v>111418</v>
      </c>
      <c r="L120" s="13">
        <f>IFERROR(__xludf.DUMMYFUNCTION("$D120/INDEX(GOOGLEFINANCE($A120,""PRICE"",WORKDAY(TODAY(),-L$2)),2,2)-1"),-0.006999938053645516)</f>
        <v>-0.006999938054</v>
      </c>
      <c r="M120" s="13">
        <f>IFERROR(__xludf.DUMMYFUNCTION("$D120/INDEX(GOOGLEFINANCE($A120,""PRICE"",WORKDAY(TODAY(),-M$2)),2,2)-1"),-0.025650376853878054)</f>
        <v>-0.02565037685</v>
      </c>
      <c r="N120" s="11">
        <f>IFERROR(__xludf.DUMMYFUNCTION("average(INDEX(GOOGLEFINANCE($A120,""PRICE"",WORKDAY(TODAY(),-N$2),today()),,2))"),2451.9375)</f>
        <v>2451.9375</v>
      </c>
      <c r="O120" s="11" t="str">
        <f>IFERROR(__xludf.DUMMYFUNCTION("average(INDEX(GOOGLEFINANCE($A120,""PRICE"",WORKDAY(TODAY(),-O$2),today()),,2))"),"#N/A")</f>
        <v>#N/A</v>
      </c>
      <c r="P120" s="15">
        <f>IFERROR(__xludf.DUMMYFUNCTION("GOOGLEFINANCE($A120,""marketcap"")"),1.2211825684E11)</f>
        <v>122118256840</v>
      </c>
      <c r="Q120" s="16">
        <f>IFERROR(__xludf.DUMMYFUNCTION("IFERROR(GOOGLEFINANCE($A120,""pe""),""-"")"),52.45)</f>
        <v>52.45</v>
      </c>
      <c r="R120" s="16" t="b">
        <f t="shared" si="1"/>
        <v>0</v>
      </c>
      <c r="S120" s="16" t="b">
        <f t="shared" si="2"/>
        <v>0</v>
      </c>
    </row>
    <row r="121">
      <c r="A121" s="17" t="s">
        <v>143</v>
      </c>
      <c r="B121" s="10" t="str">
        <f>IFERROR(__xludf.DUMMYFUNCTION("GOOGLEFINANCE($A121,""name"")"),"Max Financial Services Ltd")</f>
        <v>Max Financial Services Ltd</v>
      </c>
      <c r="C121" s="10" t="str">
        <f>IFERROR(__xludf.DUMMYFUNCTION("sparkline(index(GOOGLEFINANCE($A121,""price"",workday(today(),-C$2),today()),,2),{""charttype"",""column"";""color"",""green""})"),"")</f>
        <v/>
      </c>
      <c r="D121" s="11">
        <f>IFERROR(__xludf.DUMMYFUNCTION("GOOGLEFINANCE(""NSE:"" &amp;$A121,""price"")"),740.0)</f>
        <v>740</v>
      </c>
      <c r="E121" s="11">
        <f>IFERROR(__xludf.DUMMYFUNCTION("GOOGLEFINANCE(""NSE:"" &amp;$A121,""priceopen"")"),741.5)</f>
        <v>741.5</v>
      </c>
      <c r="F121" s="11">
        <f>IFERROR(__xludf.DUMMYFUNCTION("GOOGLEFINANCE(""NSE:"" &amp;$A121,""high"")"),769.0)</f>
        <v>769</v>
      </c>
      <c r="G121" s="11">
        <f>IFERROR(__xludf.DUMMYFUNCTION("GOOGLEFINANCE(""NSE:"" &amp;$A121,""low"")"),735.0)</f>
        <v>735</v>
      </c>
      <c r="H121" s="11">
        <f>IFERROR(__xludf.DUMMYFUNCTION("GOOGLEFINANCE(""NSE:"" &amp;$A121,""closeyest"")"),747.45)</f>
        <v>747.45</v>
      </c>
      <c r="I121" s="12">
        <f>IFERROR(__xludf.DUMMYFUNCTION("GOOGLEFINANCE(""NSE:"" &amp;$A121,""change"")"),-7.45)</f>
        <v>-7.45</v>
      </c>
      <c r="J121" s="13">
        <f>IFERROR(__xludf.DUMMYFUNCTION("GOOGLEFINANCE(""NSE:"" &amp;$A121,""changepct"")/100"),-0.01)</f>
        <v>-0.01</v>
      </c>
      <c r="K121" s="14">
        <f>IFERROR(__xludf.DUMMYFUNCTION("GOOGLEFINANCE(""NSE:"" &amp;$A121,""volume"")"),513725.0)</f>
        <v>513725</v>
      </c>
      <c r="L121" s="13">
        <f>IFERROR(__xludf.DUMMYFUNCTION("$D121/INDEX(GOOGLEFINANCE($A121,""PRICE"",WORKDAY(TODAY(),-L$2)),2,2)-1"),-0.04244306418219457)</f>
        <v>-0.04244306418</v>
      </c>
      <c r="M121" s="13" t="str">
        <f>IFERROR(__xludf.DUMMYFUNCTION("$D121/INDEX(GOOGLEFINANCE($A121,""PRICE"",WORKDAY(TODAY(),-M$2)),2,2)-1"),"#N/A")</f>
        <v>#N/A</v>
      </c>
      <c r="N121" s="11" t="str">
        <f>IFERROR(__xludf.DUMMYFUNCTION("average(INDEX(GOOGLEFINANCE($A121,""PRICE"",WORKDAY(TODAY(),-N$2),today()),,2))"),"#N/A")</f>
        <v>#N/A</v>
      </c>
      <c r="O121" s="11">
        <f>IFERROR(__xludf.DUMMYFUNCTION("average(INDEX(GOOGLEFINANCE($A121,""PRICE"",WORKDAY(TODAY(),-O$2),today()),,2))"),765.2714285714285)</f>
        <v>765.2714286</v>
      </c>
      <c r="P121" s="15">
        <f>IFERROR(__xludf.DUMMYFUNCTION("GOOGLEFINANCE($A121,""marketcap"")"),2.55747108E11)</f>
        <v>255747108000</v>
      </c>
      <c r="Q121" s="16">
        <f>IFERROR(__xludf.DUMMYFUNCTION("IFERROR(GOOGLEFINANCE($A121,""pe""),""-"")"),120.95)</f>
        <v>120.95</v>
      </c>
      <c r="R121" s="16" t="b">
        <f t="shared" si="1"/>
        <v>0</v>
      </c>
      <c r="S121" s="16" t="b">
        <f t="shared" si="2"/>
        <v>0</v>
      </c>
    </row>
    <row r="122">
      <c r="A122" s="17" t="s">
        <v>144</v>
      </c>
      <c r="B122" s="10" t="str">
        <f>IFERROR(__xludf.DUMMYFUNCTION("GOOGLEFINANCE($A122,""name"")"),"Magontec Ltd")</f>
        <v>Magontec Ltd</v>
      </c>
      <c r="C122" s="10" t="str">
        <f>IFERROR(__xludf.DUMMYFUNCTION("sparkline(index(GOOGLEFINANCE($A122,""price"",workday(today(),-C$2),today()),,2),{""charttype"",""column"";""color"",""green""})"),"")</f>
        <v/>
      </c>
      <c r="D122" s="11">
        <f>IFERROR(__xludf.DUMMYFUNCTION("GOOGLEFINANCE(""NSE:"" &amp;$A122,""price"")"),823.5)</f>
        <v>823.5</v>
      </c>
      <c r="E122" s="11">
        <f>IFERROR(__xludf.DUMMYFUNCTION("GOOGLEFINANCE(""NSE:"" &amp;$A122,""priceopen"")"),820.0)</f>
        <v>820</v>
      </c>
      <c r="F122" s="11">
        <f>IFERROR(__xludf.DUMMYFUNCTION("GOOGLEFINANCE(""NSE:"" &amp;$A122,""high"")"),838.65)</f>
        <v>838.65</v>
      </c>
      <c r="G122" s="11">
        <f>IFERROR(__xludf.DUMMYFUNCTION("GOOGLEFINANCE(""NSE:"" &amp;$A122,""low"")"),818.0)</f>
        <v>818</v>
      </c>
      <c r="H122" s="11">
        <f>IFERROR(__xludf.DUMMYFUNCTION("GOOGLEFINANCE(""NSE:"" &amp;$A122,""closeyest"")"),825.55)</f>
        <v>825.55</v>
      </c>
      <c r="I122" s="12">
        <f>IFERROR(__xludf.DUMMYFUNCTION("GOOGLEFINANCE(""NSE:"" &amp;$A122,""change"")"),-2.05)</f>
        <v>-2.05</v>
      </c>
      <c r="J122" s="13">
        <f>IFERROR(__xludf.DUMMYFUNCTION("GOOGLEFINANCE(""NSE:"" &amp;$A122,""changepct"")/100"),-0.0025)</f>
        <v>-0.0025</v>
      </c>
      <c r="K122" s="14">
        <f>IFERROR(__xludf.DUMMYFUNCTION("GOOGLEFINANCE(""NSE:"" &amp;$A122,""volume"")"),380976.0)</f>
        <v>380976</v>
      </c>
      <c r="L122" s="13" t="str">
        <f>IFERROR(__xludf.DUMMYFUNCTION("$D122/INDEX(GOOGLEFINANCE($A122,""PRICE"",WORKDAY(TODAY(),-L$2)),2,2)-1"),"#N/A")</f>
        <v>#N/A</v>
      </c>
      <c r="M122" s="13">
        <f>IFERROR(__xludf.DUMMYFUNCTION("$D122/INDEX(GOOGLEFINANCE($A122,""PRICE"",WORKDAY(TODAY(),-M$2)),2,2)-1"),2286.5)</f>
        <v>2286.5</v>
      </c>
      <c r="N122" s="11" t="str">
        <f>IFERROR(__xludf.DUMMYFUNCTION("average(INDEX(GOOGLEFINANCE($A122,""PRICE"",WORKDAY(TODAY(),-N$2),today()),,2))"),"#N/A")</f>
        <v>#N/A</v>
      </c>
      <c r="O122" s="11">
        <f>IFERROR(__xludf.DUMMYFUNCTION("average(INDEX(GOOGLEFINANCE($A122,""PRICE"",WORKDAY(TODAY(),-O$2),today()),,2))"),0.36999999999999994)</f>
        <v>0.37</v>
      </c>
      <c r="P122" s="15">
        <f>IFERROR(__xludf.DUMMYFUNCTION("GOOGLEFINANCE($A122,""marketcap"")"),2.838981E7)</f>
        <v>28389810</v>
      </c>
      <c r="Q122" s="16">
        <f>IFERROR(__xludf.DUMMYFUNCTION("IFERROR(GOOGLEFINANCE($A122,""pe""),""-"")"),5.67)</f>
        <v>5.67</v>
      </c>
      <c r="R122" s="16" t="b">
        <f t="shared" si="1"/>
        <v>0</v>
      </c>
      <c r="S122" s="16" t="b">
        <f t="shared" si="2"/>
        <v>0</v>
      </c>
    </row>
    <row r="123">
      <c r="A123" s="17" t="s">
        <v>145</v>
      </c>
      <c r="B123" s="10" t="str">
        <f>IFERROR(__xludf.DUMMYFUNCTION("GOOGLEFINANCE($A123,""name"")"),"MindTree Ltd")</f>
        <v>MindTree Ltd</v>
      </c>
      <c r="C123" s="10" t="str">
        <f>IFERROR(__xludf.DUMMYFUNCTION("sparkline(index(GOOGLEFINANCE($A123,""price"",workday(today(),-C$2),today()),,2),{""charttype"",""column"";""color"",""green""})"),"")</f>
        <v/>
      </c>
      <c r="D123" s="11">
        <f>IFERROR(__xludf.DUMMYFUNCTION("GOOGLEFINANCE(""NSE:"" &amp;$A123,""price"")"),3865.0)</f>
        <v>3865</v>
      </c>
      <c r="E123" s="11">
        <f>IFERROR(__xludf.DUMMYFUNCTION("GOOGLEFINANCE(""NSE:"" &amp;$A123,""priceopen"")"),3700.0)</f>
        <v>3700</v>
      </c>
      <c r="F123" s="11">
        <f>IFERROR(__xludf.DUMMYFUNCTION("GOOGLEFINANCE(""NSE:"" &amp;$A123,""high"")"),3897.75)</f>
        <v>3897.75</v>
      </c>
      <c r="G123" s="11">
        <f>IFERROR(__xludf.DUMMYFUNCTION("GOOGLEFINANCE(""NSE:"" &amp;$A123,""low"")"),3692.4)</f>
        <v>3692.4</v>
      </c>
      <c r="H123" s="11">
        <f>IFERROR(__xludf.DUMMYFUNCTION("GOOGLEFINANCE(""NSE:"" &amp;$A123,""closeyest"")"),3737.5)</f>
        <v>3737.5</v>
      </c>
      <c r="I123" s="12">
        <f>IFERROR(__xludf.DUMMYFUNCTION("GOOGLEFINANCE(""NSE:"" &amp;$A123,""change"")"),127.5)</f>
        <v>127.5</v>
      </c>
      <c r="J123" s="13">
        <f>IFERROR(__xludf.DUMMYFUNCTION("GOOGLEFINANCE(""NSE:"" &amp;$A123,""changepct"")/100"),0.0341)</f>
        <v>0.0341</v>
      </c>
      <c r="K123" s="14">
        <f>IFERROR(__xludf.DUMMYFUNCTION("GOOGLEFINANCE(""NSE:"" &amp;$A123,""volume"")"),1704417.0)</f>
        <v>1704417</v>
      </c>
      <c r="L123" s="13">
        <f>IFERROR(__xludf.DUMMYFUNCTION("$D123/INDEX(GOOGLEFINANCE($A123,""PRICE"",WORKDAY(TODAY(),-L$2)),2,2)-1"),-0.023373341756159238)</f>
        <v>-0.02337334176</v>
      </c>
      <c r="M123" s="13">
        <f>IFERROR(__xludf.DUMMYFUNCTION("$D123/INDEX(GOOGLEFINANCE($A123,""PRICE"",WORKDAY(TODAY(),-M$2)),2,2)-1"),-0.08680654002457222)</f>
        <v>-0.08680654002</v>
      </c>
      <c r="N123" s="11">
        <f>IFERROR(__xludf.DUMMYFUNCTION("average(INDEX(GOOGLEFINANCE($A123,""PRICE"",WORKDAY(TODAY(),-N$2),today()),,2))"),3749.75)</f>
        <v>3749.75</v>
      </c>
      <c r="O123" s="11">
        <f>IFERROR(__xludf.DUMMYFUNCTION("average(INDEX(GOOGLEFINANCE($A123,""PRICE"",WORKDAY(TODAY(),-O$2),today()),,2))"),3912.9714285714285)</f>
        <v>3912.971429</v>
      </c>
      <c r="P123" s="15">
        <f>IFERROR(__xludf.DUMMYFUNCTION("GOOGLEFINANCE($A123,""marketcap"")"),6.30898598597E11)</f>
        <v>630898598597</v>
      </c>
      <c r="Q123" s="16">
        <f>IFERROR(__xludf.DUMMYFUNCTION("IFERROR(GOOGLEFINANCE($A123,""pe""),""-"")"),38.56)</f>
        <v>38.56</v>
      </c>
      <c r="R123" s="16" t="b">
        <f t="shared" si="1"/>
        <v>0</v>
      </c>
      <c r="S123" s="16" t="b">
        <f t="shared" si="2"/>
        <v>0</v>
      </c>
    </row>
    <row r="124">
      <c r="A124" s="17" t="s">
        <v>146</v>
      </c>
      <c r="B124" s="10" t="str">
        <f>IFERROR(__xludf.DUMMYFUNCTION("GOOGLEFINANCE($A124,""name"")"),"Motherson Sumi Systems Limited")</f>
        <v>Motherson Sumi Systems Limited</v>
      </c>
      <c r="C124" s="10" t="str">
        <f>IFERROR(__xludf.DUMMYFUNCTION("sparkline(index(GOOGLEFINANCE($A124,""price"",workday(today(),-C$2),today()),,2),{""charttype"",""column"";""color"",""green""})"),"")</f>
        <v/>
      </c>
      <c r="D124" s="11">
        <f>IFERROR(__xludf.DUMMYFUNCTION("GOOGLEFINANCE(""NSE:"" &amp;$A124,""price"")"),138.75)</f>
        <v>138.75</v>
      </c>
      <c r="E124" s="11">
        <f>IFERROR(__xludf.DUMMYFUNCTION("GOOGLEFINANCE(""NSE:"" &amp;$A124,""priceopen"")"),140.3)</f>
        <v>140.3</v>
      </c>
      <c r="F124" s="11">
        <f>IFERROR(__xludf.DUMMYFUNCTION("GOOGLEFINANCE(""NSE:"" &amp;$A124,""high"")"),140.4)</f>
        <v>140.4</v>
      </c>
      <c r="G124" s="11">
        <f>IFERROR(__xludf.DUMMYFUNCTION("GOOGLEFINANCE(""NSE:"" &amp;$A124,""low"")"),137.85)</f>
        <v>137.85</v>
      </c>
      <c r="H124" s="11">
        <f>IFERROR(__xludf.DUMMYFUNCTION("GOOGLEFINANCE(""NSE:"" &amp;$A124,""closeyest"")"),141.6)</f>
        <v>141.6</v>
      </c>
      <c r="I124" s="12">
        <f>IFERROR(__xludf.DUMMYFUNCTION("GOOGLEFINANCE(""NSE:"" &amp;$A124,""change"")"),-2.85)</f>
        <v>-2.85</v>
      </c>
      <c r="J124" s="13">
        <f>IFERROR(__xludf.DUMMYFUNCTION("GOOGLEFINANCE(""NSE:"" &amp;$A124,""changepct"")/100"),-0.020099999999999996)</f>
        <v>-0.0201</v>
      </c>
      <c r="K124" s="14">
        <f>IFERROR(__xludf.DUMMYFUNCTION("GOOGLEFINANCE(""NSE:"" &amp;$A124,""volume"")"),4117173.0)</f>
        <v>4117173</v>
      </c>
      <c r="L124" s="13">
        <f>IFERROR(__xludf.DUMMYFUNCTION("$D124/INDEX(GOOGLEFINANCE($A124,""PRICE"",WORKDAY(TODAY(),-L$2)),2,2)-1"),-0.0025161754133716796)</f>
        <v>-0.002516175413</v>
      </c>
      <c r="M124" s="13" t="str">
        <f>IFERROR(__xludf.DUMMYFUNCTION("$D124/INDEX(GOOGLEFINANCE($A124,""PRICE"",WORKDAY(TODAY(),-M$2)),2,2)-1"),"#N/A")</f>
        <v>#N/A</v>
      </c>
      <c r="N124" s="11">
        <f>IFERROR(__xludf.DUMMYFUNCTION("average(INDEX(GOOGLEFINANCE($A124,""PRICE"",WORKDAY(TODAY(),-N$2),today()),,2))"),137.67499999999998)</f>
        <v>137.675</v>
      </c>
      <c r="O124" s="11">
        <f>IFERROR(__xludf.DUMMYFUNCTION("average(INDEX(GOOGLEFINANCE($A124,""PRICE"",WORKDAY(TODAY(),-O$2),today()),,2))"),139.05)</f>
        <v>139.05</v>
      </c>
      <c r="P124" s="15">
        <f>IFERROR(__xludf.DUMMYFUNCTION("GOOGLEFINANCE($A124,""marketcap"")"),6.15142094173E11)</f>
        <v>615142094173</v>
      </c>
      <c r="Q124" s="16">
        <f>IFERROR(__xludf.DUMMYFUNCTION("IFERROR(GOOGLEFINANCE($A124,""pe""),""-"")"),29.87)</f>
        <v>29.87</v>
      </c>
      <c r="R124" s="16" t="b">
        <f t="shared" si="1"/>
        <v>0</v>
      </c>
      <c r="S124" s="16" t="b">
        <f t="shared" si="2"/>
        <v>0</v>
      </c>
    </row>
    <row r="125">
      <c r="A125" s="17" t="s">
        <v>147</v>
      </c>
      <c r="B125" s="10" t="str">
        <f>IFERROR(__xludf.DUMMYFUNCTION("GOOGLEFINANCE($A125,""name"")"),"Mphasis Ltd.")</f>
        <v>Mphasis Ltd.</v>
      </c>
      <c r="C125" s="10" t="str">
        <f>IFERROR(__xludf.DUMMYFUNCTION("sparkline(index(GOOGLEFINANCE($A125,""price"",workday(today(),-C$2),today()),,2),{""charttype"",""column"";""color"",""green""})"),"")</f>
        <v/>
      </c>
      <c r="D125" s="11">
        <f>IFERROR(__xludf.DUMMYFUNCTION("GOOGLEFINANCE(""NSE:"" &amp;$A125,""price"")"),2899.0)</f>
        <v>2899</v>
      </c>
      <c r="E125" s="11">
        <f>IFERROR(__xludf.DUMMYFUNCTION("GOOGLEFINANCE(""NSE:"" &amp;$A125,""priceopen"")"),2890.0)</f>
        <v>2890</v>
      </c>
      <c r="F125" s="11">
        <f>IFERROR(__xludf.DUMMYFUNCTION("GOOGLEFINANCE(""NSE:"" &amp;$A125,""high"")"),2940.0)</f>
        <v>2940</v>
      </c>
      <c r="G125" s="11">
        <f>IFERROR(__xludf.DUMMYFUNCTION("GOOGLEFINANCE(""NSE:"" &amp;$A125,""low"")"),2866.0)</f>
        <v>2866</v>
      </c>
      <c r="H125" s="11">
        <f>IFERROR(__xludf.DUMMYFUNCTION("GOOGLEFINANCE(""NSE:"" &amp;$A125,""closeyest"")"),2900.75)</f>
        <v>2900.75</v>
      </c>
      <c r="I125" s="12">
        <f>IFERROR(__xludf.DUMMYFUNCTION("GOOGLEFINANCE(""NSE:"" &amp;$A125,""change"")"),-1.75)</f>
        <v>-1.75</v>
      </c>
      <c r="J125" s="13">
        <f>IFERROR(__xludf.DUMMYFUNCTION("GOOGLEFINANCE(""NSE:"" &amp;$A125,""changepct"")/100"),-6.0E-4)</f>
        <v>-0.0006</v>
      </c>
      <c r="K125" s="14">
        <f>IFERROR(__xludf.DUMMYFUNCTION("GOOGLEFINANCE(""NSE:"" &amp;$A125,""volume"")"),356851.0)</f>
        <v>356851</v>
      </c>
      <c r="L125" s="13">
        <f>IFERROR(__xludf.DUMMYFUNCTION("$D125/INDEX(GOOGLEFINANCE($A125,""PRICE"",WORKDAY(TODAY(),-L$2)),2,2)-1"),0.006632174728289142)</f>
        <v>0.006632174728</v>
      </c>
      <c r="M125" s="13">
        <f>IFERROR(__xludf.DUMMYFUNCTION("$D125/INDEX(GOOGLEFINANCE($A125,""PRICE"",WORKDAY(TODAY(),-M$2)),2,2)-1"),-0.07356512846733987)</f>
        <v>-0.07356512847</v>
      </c>
      <c r="N125" s="11" t="str">
        <f>IFERROR(__xludf.DUMMYFUNCTION("average(INDEX(GOOGLEFINANCE($A125,""PRICE"",WORKDAY(TODAY(),-N$2),today()),,2))"),"#N/A")</f>
        <v>#N/A</v>
      </c>
      <c r="O125" s="11">
        <f>IFERROR(__xludf.DUMMYFUNCTION("average(INDEX(GOOGLEFINANCE($A125,""PRICE"",WORKDAY(TODAY(),-O$2),today()),,2))"),2965.8642857142854)</f>
        <v>2965.864286</v>
      </c>
      <c r="P125" s="15">
        <f>IFERROR(__xludf.DUMMYFUNCTION("GOOGLEFINANCE($A125,""marketcap"")"),5.377068099E11)</f>
        <v>537706809900</v>
      </c>
      <c r="Q125" s="16">
        <f>IFERROR(__xludf.DUMMYFUNCTION("IFERROR(GOOGLEFINANCE($A125,""pe""),""-"")"),40.59)</f>
        <v>40.59</v>
      </c>
      <c r="R125" s="16" t="b">
        <f t="shared" si="1"/>
        <v>0</v>
      </c>
      <c r="S125" s="16" t="b">
        <f t="shared" si="2"/>
        <v>0</v>
      </c>
    </row>
    <row r="126">
      <c r="A126" s="17" t="s">
        <v>148</v>
      </c>
      <c r="B126" s="10" t="str">
        <f>IFERROR(__xludf.DUMMYFUNCTION("GOOGLEFINANCE($A126,""name"")"),"Merafe Resources Limited")</f>
        <v>Merafe Resources Limited</v>
      </c>
      <c r="C126" s="10" t="str">
        <f>IFERROR(__xludf.DUMMYFUNCTION("sparkline(index(GOOGLEFINANCE($A126,""price"",workday(today(),-C$2),today()),,2),{""charttype"",""column"";""color"",""green""})"),"")</f>
        <v/>
      </c>
      <c r="D126" s="11">
        <f>IFERROR(__xludf.DUMMYFUNCTION("GOOGLEFINANCE(""NSE:"" &amp;$A126,""price"")"),69250.0)</f>
        <v>69250</v>
      </c>
      <c r="E126" s="11">
        <f>IFERROR(__xludf.DUMMYFUNCTION("GOOGLEFINANCE(""NSE:"" &amp;$A126,""priceopen"")"),69625.0)</f>
        <v>69625</v>
      </c>
      <c r="F126" s="11">
        <f>IFERROR(__xludf.DUMMYFUNCTION("GOOGLEFINANCE(""NSE:"" &amp;$A126,""high"")"),69625.0)</f>
        <v>69625</v>
      </c>
      <c r="G126" s="11">
        <f>IFERROR(__xludf.DUMMYFUNCTION("GOOGLEFINANCE(""NSE:"" &amp;$A126,""low"")"),68600.0)</f>
        <v>68600</v>
      </c>
      <c r="H126" s="11">
        <f>IFERROR(__xludf.DUMMYFUNCTION("GOOGLEFINANCE(""NSE:"" &amp;$A126,""closeyest"")"),69714.8)</f>
        <v>69714.8</v>
      </c>
      <c r="I126" s="12">
        <f>IFERROR(__xludf.DUMMYFUNCTION("GOOGLEFINANCE(""NSE:"" &amp;$A126,""change"")"),-464.8)</f>
        <v>-464.8</v>
      </c>
      <c r="J126" s="13">
        <f>IFERROR(__xludf.DUMMYFUNCTION("GOOGLEFINANCE(""NSE:"" &amp;$A126,""changepct"")/100"),-0.0067)</f>
        <v>-0.0067</v>
      </c>
      <c r="K126" s="14">
        <f>IFERROR(__xludf.DUMMYFUNCTION("GOOGLEFINANCE(""NSE:"" &amp;$A126,""volume"")"),6278.0)</f>
        <v>6278</v>
      </c>
      <c r="L126" s="13">
        <f>IFERROR(__xludf.DUMMYFUNCTION("$D126/INDEX(GOOGLEFINANCE($A126,""PRICE"",WORKDAY(TODAY(),-L$2)),2,2)-1"),418.6969696969697)</f>
        <v>418.6969697</v>
      </c>
      <c r="M126" s="13">
        <f>IFERROR(__xludf.DUMMYFUNCTION("$D126/INDEX(GOOGLEFINANCE($A126,""PRICE"",WORKDAY(TODAY(),-M$2)),2,2)-1"),408.76331360946745)</f>
        <v>408.7633136</v>
      </c>
      <c r="N126" s="11">
        <f>IFERROR(__xludf.DUMMYFUNCTION("average(INDEX(GOOGLEFINANCE($A126,""PRICE"",WORKDAY(TODAY(),-N$2),today()),,2))"),164.0)</f>
        <v>164</v>
      </c>
      <c r="O126" s="11">
        <f>IFERROR(__xludf.DUMMYFUNCTION("average(INDEX(GOOGLEFINANCE($A126,""PRICE"",WORKDAY(TODAY(),-O$2),today()),,2))"),164.75)</f>
        <v>164.75</v>
      </c>
      <c r="P126" s="15">
        <f>IFERROR(__xludf.DUMMYFUNCTION("GOOGLEFINANCE($A126,""marketcap"")"),3.92362939E9)</f>
        <v>3923629390</v>
      </c>
      <c r="Q126" s="16">
        <f>IFERROR(__xludf.DUMMYFUNCTION("IFERROR(GOOGLEFINANCE($A126,""pe""),""-"")"),2.35)</f>
        <v>2.35</v>
      </c>
      <c r="R126" s="16" t="b">
        <f t="shared" si="1"/>
        <v>0</v>
      </c>
      <c r="S126" s="16" t="b">
        <f t="shared" si="2"/>
        <v>1</v>
      </c>
    </row>
    <row r="127">
      <c r="A127" s="17" t="s">
        <v>149</v>
      </c>
      <c r="B127" s="10" t="str">
        <f>IFERROR(__xludf.DUMMYFUNCTION("GOOGLEFINANCE($A127,""name"")"),"Muthoot Finance Ltd")</f>
        <v>Muthoot Finance Ltd</v>
      </c>
      <c r="C127" s="10" t="str">
        <f>IFERROR(__xludf.DUMMYFUNCTION("sparkline(index(GOOGLEFINANCE($A127,""price"",workday(today(),-C$2),today()),,2),{""charttype"",""column"";""color"",""green""})"),"")</f>
        <v/>
      </c>
      <c r="D127" s="11">
        <f>IFERROR(__xludf.DUMMYFUNCTION("GOOGLEFINANCE(""NSE:"" &amp;$A127,""price"")"),1314.9)</f>
        <v>1314.9</v>
      </c>
      <c r="E127" s="11">
        <f>IFERROR(__xludf.DUMMYFUNCTION("GOOGLEFINANCE(""NSE:"" &amp;$A127,""priceopen"")"),1332.0)</f>
        <v>1332</v>
      </c>
      <c r="F127" s="11">
        <f>IFERROR(__xludf.DUMMYFUNCTION("GOOGLEFINANCE(""NSE:"" &amp;$A127,""high"")"),1339.1)</f>
        <v>1339.1</v>
      </c>
      <c r="G127" s="11">
        <f>IFERROR(__xludf.DUMMYFUNCTION("GOOGLEFINANCE(""NSE:"" &amp;$A127,""low"")"),1309.65)</f>
        <v>1309.65</v>
      </c>
      <c r="H127" s="11">
        <f>IFERROR(__xludf.DUMMYFUNCTION("GOOGLEFINANCE(""NSE:"" &amp;$A127,""closeyest"")"),1333.4)</f>
        <v>1333.4</v>
      </c>
      <c r="I127" s="12">
        <f>IFERROR(__xludf.DUMMYFUNCTION("GOOGLEFINANCE(""NSE:"" &amp;$A127,""change"")"),-18.5)</f>
        <v>-18.5</v>
      </c>
      <c r="J127" s="13">
        <f>IFERROR(__xludf.DUMMYFUNCTION("GOOGLEFINANCE(""NSE:"" &amp;$A127,""changepct"")/100"),-0.0139)</f>
        <v>-0.0139</v>
      </c>
      <c r="K127" s="14">
        <f>IFERROR(__xludf.DUMMYFUNCTION("GOOGLEFINANCE(""NSE:"" &amp;$A127,""volume"")"),300769.0)</f>
        <v>300769</v>
      </c>
      <c r="L127" s="13">
        <f>IFERROR(__xludf.DUMMYFUNCTION("$D127/INDEX(GOOGLEFINANCE($A127,""PRICE"",WORKDAY(TODAY(),-L$2)),2,2)-1"),-0.003221771595345535)</f>
        <v>-0.003221771595</v>
      </c>
      <c r="M127" s="13">
        <f>IFERROR(__xludf.DUMMYFUNCTION("$D127/INDEX(GOOGLEFINANCE($A127,""PRICE"",WORKDAY(TODAY(),-M$2)),2,2)-1"),-0.04116381667699698)</f>
        <v>-0.04116381668</v>
      </c>
      <c r="N127" s="11">
        <f>IFERROR(__xludf.DUMMYFUNCTION("average(INDEX(GOOGLEFINANCE($A127,""PRICE"",WORKDAY(TODAY(),-N$2),today()),,2))"),1318.0500000000002)</f>
        <v>1318.05</v>
      </c>
      <c r="O127" s="11">
        <f>IFERROR(__xludf.DUMMYFUNCTION("average(INDEX(GOOGLEFINANCE($A127,""PRICE"",WORKDAY(TODAY(),-O$2),today()),,2))"),1332.5642857142855)</f>
        <v>1332.564286</v>
      </c>
      <c r="P127" s="15">
        <f>IFERROR(__xludf.DUMMYFUNCTION("GOOGLEFINANCE($A127,""marketcap"")"),5.2198033125E11)</f>
        <v>521980331250</v>
      </c>
      <c r="Q127" s="16">
        <f>IFERROR(__xludf.DUMMYFUNCTION("IFERROR(GOOGLEFINANCE($A127,""pe""),""-"")"),13.07)</f>
        <v>13.07</v>
      </c>
      <c r="R127" s="16" t="b">
        <f t="shared" si="1"/>
        <v>0</v>
      </c>
      <c r="S127" s="16" t="b">
        <f t="shared" si="2"/>
        <v>0</v>
      </c>
    </row>
    <row r="128">
      <c r="A128" s="17" t="s">
        <v>150</v>
      </c>
      <c r="B128" s="10" t="str">
        <f>IFERROR(__xludf.DUMMYFUNCTION("GOOGLEFINANCE($A128,""name"")"),"Nippon Life India Asset Management Ltd")</f>
        <v>Nippon Life India Asset Management Ltd</v>
      </c>
      <c r="C128" s="10" t="str">
        <f>IFERROR(__xludf.DUMMYFUNCTION("sparkline(index(GOOGLEFINANCE($A128,""price"",workday(today(),-C$2),today()),,2),{""charttype"",""column"";""color"",""green""})"),"#N/A")</f>
        <v>#N/A</v>
      </c>
      <c r="D128" s="11">
        <f>IFERROR(__xludf.DUMMYFUNCTION("GOOGLEFINANCE(""NSE:"" &amp;$A128,""price"")"),326.6)</f>
        <v>326.6</v>
      </c>
      <c r="E128" s="11">
        <f>IFERROR(__xludf.DUMMYFUNCTION("GOOGLEFINANCE(""NSE:"" &amp;$A128,""priceopen"")"),328.0)</f>
        <v>328</v>
      </c>
      <c r="F128" s="11">
        <f>IFERROR(__xludf.DUMMYFUNCTION("GOOGLEFINANCE(""NSE:"" &amp;$A128,""high"")"),333.3)</f>
        <v>333.3</v>
      </c>
      <c r="G128" s="11">
        <f>IFERROR(__xludf.DUMMYFUNCTION("GOOGLEFINANCE(""NSE:"" &amp;$A128,""low"")"),326.0)</f>
        <v>326</v>
      </c>
      <c r="H128" s="11">
        <f>IFERROR(__xludf.DUMMYFUNCTION("GOOGLEFINANCE(""NSE:"" &amp;$A128,""closeyest"")"),331.7)</f>
        <v>331.7</v>
      </c>
      <c r="I128" s="12">
        <f>IFERROR(__xludf.DUMMYFUNCTION("GOOGLEFINANCE(""NSE:"" &amp;$A128,""change"")"),-5.1)</f>
        <v>-5.1</v>
      </c>
      <c r="J128" s="13">
        <f>IFERROR(__xludf.DUMMYFUNCTION("GOOGLEFINANCE(""NSE:"" &amp;$A128,""changepct"")/100"),-0.0154)</f>
        <v>-0.0154</v>
      </c>
      <c r="K128" s="14">
        <f>IFERROR(__xludf.DUMMYFUNCTION("GOOGLEFINANCE(""NSE:"" &amp;$A128,""volume"")"),174555.0)</f>
        <v>174555</v>
      </c>
      <c r="L128" s="13" t="str">
        <f>IFERROR(__xludf.DUMMYFUNCTION("$D128/INDEX(GOOGLEFINANCE($A128,""PRICE"",WORKDAY(TODAY(),-L$2)),2,2)-1"),"#N/A")</f>
        <v>#N/A</v>
      </c>
      <c r="M128" s="13">
        <f>IFERROR(__xludf.DUMMYFUNCTION("$D128/INDEX(GOOGLEFINANCE($A128,""PRICE"",WORKDAY(TODAY(),-M$2)),2,2)-1"),-0.014484007242003494)</f>
        <v>-0.01448400724</v>
      </c>
      <c r="N128" s="11">
        <f>IFERROR(__xludf.DUMMYFUNCTION("average(INDEX(GOOGLEFINANCE($A128,""PRICE"",WORKDAY(TODAY(),-N$2),today()),,2))"),327.05)</f>
        <v>327.05</v>
      </c>
      <c r="O128" s="11">
        <f>IFERROR(__xludf.DUMMYFUNCTION("average(INDEX(GOOGLEFINANCE($A128,""PRICE"",WORKDAY(TODAY(),-O$2),today()),,2))"),328.8642857142857)</f>
        <v>328.8642857</v>
      </c>
      <c r="P128" s="15">
        <f>IFERROR(__xludf.DUMMYFUNCTION("GOOGLEFINANCE($A128,""marketcap"")"),2.01117100969E11)</f>
        <v>201117100969</v>
      </c>
      <c r="Q128" s="16">
        <f>IFERROR(__xludf.DUMMYFUNCTION("IFERROR(GOOGLEFINANCE($A128,""pe""),""-"")"),40.57)</f>
        <v>40.57</v>
      </c>
      <c r="R128" s="16" t="b">
        <f t="shared" si="1"/>
        <v>0</v>
      </c>
      <c r="S128" s="16" t="b">
        <f t="shared" si="2"/>
        <v>0</v>
      </c>
    </row>
    <row r="129">
      <c r="A129" s="17" t="s">
        <v>151</v>
      </c>
      <c r="B129" s="10" t="str">
        <f>IFERROR(__xludf.DUMMYFUNCTION("GOOGLEFINANCE($A129,""name"")"),"National Aluminium Company Limited")</f>
        <v>National Aluminium Company Limited</v>
      </c>
      <c r="C129" s="10" t="str">
        <f>IFERROR(__xludf.DUMMYFUNCTION("sparkline(index(GOOGLEFINANCE($A129,""price"",workday(today(),-C$2),today()),,2),{""charttype"",""column"";""color"",""green""})"),"")</f>
        <v/>
      </c>
      <c r="D129" s="11">
        <f>IFERROR(__xludf.DUMMYFUNCTION("GOOGLEFINANCE(""NSE:"" &amp;$A129,""price"")"),115.35)</f>
        <v>115.35</v>
      </c>
      <c r="E129" s="11">
        <f>IFERROR(__xludf.DUMMYFUNCTION("GOOGLEFINANCE(""NSE:"" &amp;$A129,""priceopen"")"),117.3)</f>
        <v>117.3</v>
      </c>
      <c r="F129" s="11">
        <f>IFERROR(__xludf.DUMMYFUNCTION("GOOGLEFINANCE(""NSE:"" &amp;$A129,""high"")"),118.5)</f>
        <v>118.5</v>
      </c>
      <c r="G129" s="11">
        <f>IFERROR(__xludf.DUMMYFUNCTION("GOOGLEFINANCE(""NSE:"" &amp;$A129,""low"")"),114.9)</f>
        <v>114.9</v>
      </c>
      <c r="H129" s="11">
        <f>IFERROR(__xludf.DUMMYFUNCTION("GOOGLEFINANCE(""NSE:"" &amp;$A129,""closeyest"")"),119.3)</f>
        <v>119.3</v>
      </c>
      <c r="I129" s="12">
        <f>IFERROR(__xludf.DUMMYFUNCTION("GOOGLEFINANCE(""NSE:"" &amp;$A129,""change"")"),-3.95)</f>
        <v>-3.95</v>
      </c>
      <c r="J129" s="13">
        <f>IFERROR(__xludf.DUMMYFUNCTION("GOOGLEFINANCE(""NSE:"" &amp;$A129,""changepct"")/100"),-0.0331)</f>
        <v>-0.0331</v>
      </c>
      <c r="K129" s="14">
        <f>IFERROR(__xludf.DUMMYFUNCTION("GOOGLEFINANCE(""NSE:"" &amp;$A129,""volume"")"),2.3547072E7)</f>
        <v>23547072</v>
      </c>
      <c r="L129" s="13">
        <f>IFERROR(__xludf.DUMMYFUNCTION("$D129/INDEX(GOOGLEFINANCE($A129,""PRICE"",WORKDAY(TODAY(),-L$2)),2,2)-1"),-0.036340852130325896)</f>
        <v>-0.03634085213</v>
      </c>
      <c r="M129" s="13">
        <f>IFERROR(__xludf.DUMMYFUNCTION("$D129/INDEX(GOOGLEFINANCE($A129,""PRICE"",WORKDAY(TODAY(),-M$2)),2,2)-1"),-0.07162977867203224)</f>
        <v>-0.07162977867</v>
      </c>
      <c r="N129" s="11">
        <f>IFERROR(__xludf.DUMMYFUNCTION("average(INDEX(GOOGLEFINANCE($A129,""PRICE"",WORKDAY(TODAY(),-N$2),today()),,2))"),119.4625)</f>
        <v>119.4625</v>
      </c>
      <c r="O129" s="11">
        <f>IFERROR(__xludf.DUMMYFUNCTION("average(INDEX(GOOGLEFINANCE($A129,""PRICE"",WORKDAY(TODAY(),-O$2),today()),,2))"),120.29285714285713)</f>
        <v>120.2928571</v>
      </c>
      <c r="P129" s="15">
        <f>IFERROR(__xludf.DUMMYFUNCTION("GOOGLEFINANCE($A129,""marketcap"")"),2.12105701688E11)</f>
        <v>212105701688</v>
      </c>
      <c r="Q129" s="16">
        <f>IFERROR(__xludf.DUMMYFUNCTION("IFERROR(GOOGLEFINANCE($A129,""pe""),""-"")"),7.44)</f>
        <v>7.44</v>
      </c>
      <c r="R129" s="16" t="b">
        <f t="shared" si="1"/>
        <v>0</v>
      </c>
      <c r="S129" s="16" t="b">
        <f t="shared" si="2"/>
        <v>0</v>
      </c>
    </row>
    <row r="130">
      <c r="A130" s="17" t="s">
        <v>152</v>
      </c>
      <c r="B130" s="10" t="str">
        <f>IFERROR(__xludf.DUMMYFUNCTION("GOOGLEFINANCE($A130,""name"")"),"Info Edge (India) Ltd")</f>
        <v>Info Edge (India) Ltd</v>
      </c>
      <c r="C130" s="10" t="str">
        <f>IFERROR(__xludf.DUMMYFUNCTION("sparkline(index(GOOGLEFINANCE($A130,""price"",workday(today(),-C$2),today()),,2),{""charttype"",""column"";""color"",""green""})"),"")</f>
        <v/>
      </c>
      <c r="D130" s="11">
        <f>IFERROR(__xludf.DUMMYFUNCTION("GOOGLEFINANCE(""NSE:"" &amp;$A130,""price"")"),4667.85)</f>
        <v>4667.85</v>
      </c>
      <c r="E130" s="11">
        <f>IFERROR(__xludf.DUMMYFUNCTION("GOOGLEFINANCE(""NSE:"" &amp;$A130,""priceopen"")"),4603.25)</f>
        <v>4603.25</v>
      </c>
      <c r="F130" s="11">
        <f>IFERROR(__xludf.DUMMYFUNCTION("GOOGLEFINANCE(""NSE:"" &amp;$A130,""high"")"),4694.95)</f>
        <v>4694.95</v>
      </c>
      <c r="G130" s="11">
        <f>IFERROR(__xludf.DUMMYFUNCTION("GOOGLEFINANCE(""NSE:"" &amp;$A130,""low"")"),4575.0)</f>
        <v>4575</v>
      </c>
      <c r="H130" s="11">
        <f>IFERROR(__xludf.DUMMYFUNCTION("GOOGLEFINANCE(""NSE:"" &amp;$A130,""closeyest"")"),4632.05)</f>
        <v>4632.05</v>
      </c>
      <c r="I130" s="12">
        <f>IFERROR(__xludf.DUMMYFUNCTION("GOOGLEFINANCE(""NSE:"" &amp;$A130,""change"")"),35.8)</f>
        <v>35.8</v>
      </c>
      <c r="J130" s="13">
        <f>IFERROR(__xludf.DUMMYFUNCTION("GOOGLEFINANCE(""NSE:"" &amp;$A130,""changepct"")/100"),0.0077)</f>
        <v>0.0077</v>
      </c>
      <c r="K130" s="14">
        <f>IFERROR(__xludf.DUMMYFUNCTION("GOOGLEFINANCE(""NSE:"" &amp;$A130,""volume"")"),287197.0)</f>
        <v>287197</v>
      </c>
      <c r="L130" s="13">
        <f>IFERROR(__xludf.DUMMYFUNCTION("$D130/INDEX(GOOGLEFINANCE($A130,""PRICE"",WORKDAY(TODAY(),-L$2)),2,2)-1"),2.78578393031248E-4)</f>
        <v>0.000278578393</v>
      </c>
      <c r="M130" s="13">
        <f>IFERROR(__xludf.DUMMYFUNCTION("$D130/INDEX(GOOGLEFINANCE($A130,""PRICE"",WORKDAY(TODAY(),-M$2)),2,2)-1"),-0.044080604534005086)</f>
        <v>-0.04408060453</v>
      </c>
      <c r="N130" s="11">
        <f>IFERROR(__xludf.DUMMYFUNCTION("average(INDEX(GOOGLEFINANCE($A130,""PRICE"",WORKDAY(TODAY(),-N$2),today()),,2))"),4638.4)</f>
        <v>4638.4</v>
      </c>
      <c r="O130" s="11">
        <f>IFERROR(__xludf.DUMMYFUNCTION("average(INDEX(GOOGLEFINANCE($A130,""PRICE"",WORKDAY(TODAY(),-O$2),today()),,2))"),4711.064285714287)</f>
        <v>4711.064286</v>
      </c>
      <c r="P130" s="15">
        <f>IFERROR(__xludf.DUMMYFUNCTION("GOOGLEFINANCE($A130,""marketcap"")"),5.97104139E11)</f>
        <v>597104139000</v>
      </c>
      <c r="Q130" s="16">
        <f>IFERROR(__xludf.DUMMYFUNCTION("IFERROR(GOOGLEFINANCE($A130,""pe""),""-"")"),4.87)</f>
        <v>4.87</v>
      </c>
      <c r="R130" s="16" t="b">
        <f t="shared" si="1"/>
        <v>0</v>
      </c>
      <c r="S130" s="16" t="b">
        <f t="shared" si="2"/>
        <v>0</v>
      </c>
    </row>
    <row r="131">
      <c r="A131" s="17" t="s">
        <v>153</v>
      </c>
      <c r="B131" s="10" t="str">
        <f>IFERROR(__xludf.DUMMYFUNCTION("GOOGLEFINANCE($A131,""name"")"),"Navin Fluorine International Limited")</f>
        <v>Navin Fluorine International Limited</v>
      </c>
      <c r="C131" s="10" t="str">
        <f>IFERROR(__xludf.DUMMYFUNCTION("sparkline(index(GOOGLEFINANCE($A131,""price"",workday(today(),-C$2),today()),,2),{""charttype"",""column"";""color"",""green""})"),"")</f>
        <v/>
      </c>
      <c r="D131" s="11">
        <f>IFERROR(__xludf.DUMMYFUNCTION("GOOGLEFINANCE(""NSE:"" &amp;$A131,""price"")"),4046.45)</f>
        <v>4046.45</v>
      </c>
      <c r="E131" s="11">
        <f>IFERROR(__xludf.DUMMYFUNCTION("GOOGLEFINANCE(""NSE:"" &amp;$A131,""priceopen"")"),4040.0)</f>
        <v>4040</v>
      </c>
      <c r="F131" s="11">
        <f>IFERROR(__xludf.DUMMYFUNCTION("GOOGLEFINANCE(""NSE:"" &amp;$A131,""high"")"),4116.75)</f>
        <v>4116.75</v>
      </c>
      <c r="G131" s="11">
        <f>IFERROR(__xludf.DUMMYFUNCTION("GOOGLEFINANCE(""NSE:"" &amp;$A131,""low"")"),4011.05)</f>
        <v>4011.05</v>
      </c>
      <c r="H131" s="11">
        <f>IFERROR(__xludf.DUMMYFUNCTION("GOOGLEFINANCE(""NSE:"" &amp;$A131,""closeyest"")"),4044.95)</f>
        <v>4044.95</v>
      </c>
      <c r="I131" s="12">
        <f>IFERROR(__xludf.DUMMYFUNCTION("GOOGLEFINANCE(""NSE:"" &amp;$A131,""change"")"),1.5)</f>
        <v>1.5</v>
      </c>
      <c r="J131" s="13">
        <f>IFERROR(__xludf.DUMMYFUNCTION("GOOGLEFINANCE(""NSE:"" &amp;$A131,""changepct"")/100"),4.0E-4)</f>
        <v>0.0004</v>
      </c>
      <c r="K131" s="14">
        <f>IFERROR(__xludf.DUMMYFUNCTION("GOOGLEFINANCE(""NSE:"" &amp;$A131,""volume"")"),133402.0)</f>
        <v>133402</v>
      </c>
      <c r="L131" s="13">
        <f>IFERROR(__xludf.DUMMYFUNCTION("$D131/INDEX(GOOGLEFINANCE($A131,""PRICE"",WORKDAY(TODAY(),-L$2)),2,2)-1"),0.02073532193983718)</f>
        <v>0.02073532194</v>
      </c>
      <c r="M131" s="13">
        <f>IFERROR(__xludf.DUMMYFUNCTION("$D131/INDEX(GOOGLEFINANCE($A131,""PRICE"",WORKDAY(TODAY(),-M$2)),2,2)-1"),-0.006250153490999333)</f>
        <v>-0.006250153491</v>
      </c>
      <c r="N131" s="11">
        <f>IFERROR(__xludf.DUMMYFUNCTION("average(INDEX(GOOGLEFINANCE($A131,""PRICE"",WORKDAY(TODAY(),-N$2),today()),,2))"),3953.6499999999996)</f>
        <v>3953.65</v>
      </c>
      <c r="O131" s="11">
        <f>IFERROR(__xludf.DUMMYFUNCTION("average(INDEX(GOOGLEFINANCE($A131,""PRICE"",WORKDAY(TODAY(),-O$2),today()),,2))"),3972.628571428572)</f>
        <v>3972.628571</v>
      </c>
      <c r="P131" s="15">
        <f>IFERROR(__xludf.DUMMYFUNCTION("GOOGLEFINANCE($A131,""marketcap"")"),2.00853717155E11)</f>
        <v>200853717155</v>
      </c>
      <c r="Q131" s="16">
        <f>IFERROR(__xludf.DUMMYFUNCTION("IFERROR(GOOGLEFINANCE($A131,""pe""),""-"")"),76.34)</f>
        <v>76.34</v>
      </c>
      <c r="R131" s="16" t="b">
        <f t="shared" si="1"/>
        <v>0</v>
      </c>
      <c r="S131" s="16" t="b">
        <f t="shared" si="2"/>
        <v>0</v>
      </c>
    </row>
    <row r="132">
      <c r="A132" s="17" t="s">
        <v>154</v>
      </c>
      <c r="B132" s="10" t="str">
        <f>IFERROR(__xludf.DUMMYFUNCTION("GOOGLEFINANCE($A132,""name"")"),"Nestle India Limited")</f>
        <v>Nestle India Limited</v>
      </c>
      <c r="C132" s="10" t="str">
        <f>IFERROR(__xludf.DUMMYFUNCTION("sparkline(index(GOOGLEFINANCE($A132,""price"",workday(today(),-C$2),today()),,2),{""charttype"",""column"";""color"",""green""})"),"")</f>
        <v/>
      </c>
      <c r="D132" s="11">
        <f>IFERROR(__xludf.DUMMYFUNCTION("GOOGLEFINANCE(""NSE:"" &amp;$A132,""price"")"),18184.3)</f>
        <v>18184.3</v>
      </c>
      <c r="E132" s="11">
        <f>IFERROR(__xludf.DUMMYFUNCTION("GOOGLEFINANCE(""NSE:"" &amp;$A132,""priceopen"")"),18040.1)</f>
        <v>18040.1</v>
      </c>
      <c r="F132" s="11">
        <f>IFERROR(__xludf.DUMMYFUNCTION("GOOGLEFINANCE(""NSE:"" &amp;$A132,""high"")"),18249.45)</f>
        <v>18249.45</v>
      </c>
      <c r="G132" s="11">
        <f>IFERROR(__xludf.DUMMYFUNCTION("GOOGLEFINANCE(""NSE:"" &amp;$A132,""low"")"),17832.1)</f>
        <v>17832.1</v>
      </c>
      <c r="H132" s="11">
        <f>IFERROR(__xludf.DUMMYFUNCTION("GOOGLEFINANCE(""NSE:"" &amp;$A132,""closeyest"")"),18202.95)</f>
        <v>18202.95</v>
      </c>
      <c r="I132" s="12">
        <f>IFERROR(__xludf.DUMMYFUNCTION("GOOGLEFINANCE(""NSE:"" &amp;$A132,""change"")"),-18.65)</f>
        <v>-18.65</v>
      </c>
      <c r="J132" s="13">
        <f>IFERROR(__xludf.DUMMYFUNCTION("GOOGLEFINANCE(""NSE:"" &amp;$A132,""changepct"")/100"),-0.001)</f>
        <v>-0.001</v>
      </c>
      <c r="K132" s="14">
        <f>IFERROR(__xludf.DUMMYFUNCTION("GOOGLEFINANCE(""NSE:"" &amp;$A132,""volume"")"),108707.0)</f>
        <v>108707</v>
      </c>
      <c r="L132" s="13">
        <f>IFERROR(__xludf.DUMMYFUNCTION("$D132/INDEX(GOOGLEFINANCE($A132,""PRICE"",WORKDAY(TODAY(),-L$2)),2,2)-1"),-0.020321633488672775)</f>
        <v>-0.02032163349</v>
      </c>
      <c r="M132" s="13">
        <f>IFERROR(__xludf.DUMMYFUNCTION("$D132/INDEX(GOOGLEFINANCE($A132,""PRICE"",WORKDAY(TODAY(),-M$2)),2,2)-1"),-0.013136079581685944)</f>
        <v>-0.01313607958</v>
      </c>
      <c r="N132" s="11">
        <f>IFERROR(__xludf.DUMMYFUNCTION("average(INDEX(GOOGLEFINANCE($A132,""PRICE"",WORKDAY(TODAY(),-N$2),today()),,2))"),18254.5625)</f>
        <v>18254.5625</v>
      </c>
      <c r="O132" s="11">
        <f>IFERROR(__xludf.DUMMYFUNCTION("average(INDEX(GOOGLEFINANCE($A132,""PRICE"",WORKDAY(TODAY(),-O$2),today()),,2))"),18320.68571428571)</f>
        <v>18320.68571</v>
      </c>
      <c r="P132" s="15">
        <f>IFERROR(__xludf.DUMMYFUNCTION("GOOGLEFINANCE($A132,""marketcap"")"),1.719097425892E12)</f>
        <v>1719097425892</v>
      </c>
      <c r="Q132" s="16">
        <f>IFERROR(__xludf.DUMMYFUNCTION("IFERROR(GOOGLEFINANCE($A132,""pe""),""-"")"),81.74)</f>
        <v>81.74</v>
      </c>
      <c r="R132" s="16" t="b">
        <f t="shared" si="1"/>
        <v>0</v>
      </c>
      <c r="S132" s="16" t="b">
        <f t="shared" si="2"/>
        <v>0</v>
      </c>
    </row>
    <row r="133">
      <c r="A133" s="17" t="s">
        <v>155</v>
      </c>
      <c r="B133" s="10" t="str">
        <f>IFERROR(__xludf.DUMMYFUNCTION("GOOGLEFINANCE($A133,""name"")"),"NMDC Limited")</f>
        <v>NMDC Limited</v>
      </c>
      <c r="C133" s="10" t="str">
        <f>IFERROR(__xludf.DUMMYFUNCTION("sparkline(index(GOOGLEFINANCE($A133,""price"",workday(today(),-C$2),today()),,2),{""charttype"",""column"";""color"",""green""})"),"")</f>
        <v/>
      </c>
      <c r="D133" s="11">
        <f>IFERROR(__xludf.DUMMYFUNCTION("GOOGLEFINANCE(""NSE:"" &amp;$A133,""price"")"),167.2)</f>
        <v>167.2</v>
      </c>
      <c r="E133" s="11">
        <f>IFERROR(__xludf.DUMMYFUNCTION("GOOGLEFINANCE(""NSE:"" &amp;$A133,""priceopen"")"),167.95)</f>
        <v>167.95</v>
      </c>
      <c r="F133" s="11">
        <f>IFERROR(__xludf.DUMMYFUNCTION("GOOGLEFINANCE(""NSE:"" &amp;$A133,""high"")"),170.7)</f>
        <v>170.7</v>
      </c>
      <c r="G133" s="11">
        <f>IFERROR(__xludf.DUMMYFUNCTION("GOOGLEFINANCE(""NSE:"" &amp;$A133,""low"")"),166.45)</f>
        <v>166.45</v>
      </c>
      <c r="H133" s="11">
        <f>IFERROR(__xludf.DUMMYFUNCTION("GOOGLEFINANCE(""NSE:"" &amp;$A133,""closeyest"")"),169.95)</f>
        <v>169.95</v>
      </c>
      <c r="I133" s="12">
        <f>IFERROR(__xludf.DUMMYFUNCTION("GOOGLEFINANCE(""NSE:"" &amp;$A133,""change"")"),-2.75)</f>
        <v>-2.75</v>
      </c>
      <c r="J133" s="13">
        <f>IFERROR(__xludf.DUMMYFUNCTION("GOOGLEFINANCE(""NSE:"" &amp;$A133,""changepct"")/100"),-0.016200000000000003)</f>
        <v>-0.0162</v>
      </c>
      <c r="K133" s="14">
        <f>IFERROR(__xludf.DUMMYFUNCTION("GOOGLEFINANCE(""NSE:"" &amp;$A133,""volume"")"),3893247.0)</f>
        <v>3893247</v>
      </c>
      <c r="L133" s="13">
        <f>IFERROR(__xludf.DUMMYFUNCTION("$D133/INDEX(GOOGLEFINANCE($A133,""PRICE"",WORKDAY(TODAY(),-L$2)),2,2)-1"),-0.006240713224368588)</f>
        <v>-0.006240713224</v>
      </c>
      <c r="M133" s="13">
        <f>IFERROR(__xludf.DUMMYFUNCTION("$D133/INDEX(GOOGLEFINANCE($A133,""PRICE"",WORKDAY(TODAY(),-M$2)),2,2)-1"),-0.03852788959171949)</f>
        <v>-0.03852788959</v>
      </c>
      <c r="N133" s="11">
        <f>IFERROR(__xludf.DUMMYFUNCTION("average(INDEX(GOOGLEFINANCE($A133,""PRICE"",WORKDAY(TODAY(),-N$2),today()),,2))"),169.35)</f>
        <v>169.35</v>
      </c>
      <c r="O133" s="11">
        <f>IFERROR(__xludf.DUMMYFUNCTION("average(INDEX(GOOGLEFINANCE($A133,""PRICE"",WORKDAY(TODAY(),-O$2),today()),,2))"),169.79285714285714)</f>
        <v>169.7928571</v>
      </c>
      <c r="P133" s="15">
        <f>IFERROR(__xludf.DUMMYFUNCTION("GOOGLEFINANCE($A133,""marketcap"")"),4.87397116504E11)</f>
        <v>487397116504</v>
      </c>
      <c r="Q133" s="16">
        <f>IFERROR(__xludf.DUMMYFUNCTION("IFERROR(GOOGLEFINANCE($A133,""pe""),""-"")"),4.52)</f>
        <v>4.52</v>
      </c>
      <c r="R133" s="16" t="b">
        <f t="shared" si="1"/>
        <v>0</v>
      </c>
      <c r="S133" s="16" t="b">
        <f t="shared" si="2"/>
        <v>0</v>
      </c>
    </row>
    <row r="134">
      <c r="A134" s="17" t="s">
        <v>156</v>
      </c>
      <c r="B134" s="10" t="str">
        <f>IFERROR(__xludf.DUMMYFUNCTION("GOOGLEFINANCE($A134,""name"")"),"NTPC Limited")</f>
        <v>NTPC Limited</v>
      </c>
      <c r="C134" s="10" t="str">
        <f>IFERROR(__xludf.DUMMYFUNCTION("sparkline(index(GOOGLEFINANCE($A134,""price"",workday(today(),-C$2),today()),,2),{""charttype"",""column"";""color"",""green""})"),"")</f>
        <v/>
      </c>
      <c r="D134" s="11">
        <f>IFERROR(__xludf.DUMMYFUNCTION("GOOGLEFINANCE(""NSE:"" &amp;$A134,""price"")"),160.0)</f>
        <v>160</v>
      </c>
      <c r="E134" s="11">
        <f>IFERROR(__xludf.DUMMYFUNCTION("GOOGLEFINANCE(""NSE:"" &amp;$A134,""priceopen"")"),161.25)</f>
        <v>161.25</v>
      </c>
      <c r="F134" s="11">
        <f>IFERROR(__xludf.DUMMYFUNCTION("GOOGLEFINANCE(""NSE:"" &amp;$A134,""high"")"),163.0)</f>
        <v>163</v>
      </c>
      <c r="G134" s="11">
        <f>IFERROR(__xludf.DUMMYFUNCTION("GOOGLEFINANCE(""NSE:"" &amp;$A134,""low"")"),159.85)</f>
        <v>159.85</v>
      </c>
      <c r="H134" s="11">
        <f>IFERROR(__xludf.DUMMYFUNCTION("GOOGLEFINANCE(""NSE:"" &amp;$A134,""closeyest"")"),162.7)</f>
        <v>162.7</v>
      </c>
      <c r="I134" s="12">
        <f>IFERROR(__xludf.DUMMYFUNCTION("GOOGLEFINANCE(""NSE:"" &amp;$A134,""change"")"),-2.7)</f>
        <v>-2.7</v>
      </c>
      <c r="J134" s="13">
        <f>IFERROR(__xludf.DUMMYFUNCTION("GOOGLEFINANCE(""NSE:"" &amp;$A134,""changepct"")/100"),-0.0166)</f>
        <v>-0.0166</v>
      </c>
      <c r="K134" s="14">
        <f>IFERROR(__xludf.DUMMYFUNCTION("GOOGLEFINANCE(""NSE:"" &amp;$A134,""volume"")"),9922564.0)</f>
        <v>9922564</v>
      </c>
      <c r="L134" s="13">
        <f>IFERROR(__xludf.DUMMYFUNCTION("$D134/INDEX(GOOGLEFINANCE($A134,""PRICE"",WORKDAY(TODAY(),-L$2)),2,2)-1"),-0.019607843137254832)</f>
        <v>-0.01960784314</v>
      </c>
      <c r="M134" s="13">
        <f>IFERROR(__xludf.DUMMYFUNCTION("$D134/INDEX(GOOGLEFINANCE($A134,""PRICE"",WORKDAY(TODAY(),-M$2)),2,2)-1"),0.045068582625734877)</f>
        <v>0.04506858263</v>
      </c>
      <c r="N134" s="11" t="str">
        <f>IFERROR(__xludf.DUMMYFUNCTION("average(INDEX(GOOGLEFINANCE($A134,""PRICE"",WORKDAY(TODAY(),-N$2),today()),,2))"),"#N/A")</f>
        <v>#N/A</v>
      </c>
      <c r="O134" s="11">
        <f>IFERROR(__xludf.DUMMYFUNCTION("average(INDEX(GOOGLEFINANCE($A134,""PRICE"",WORKDAY(TODAY(),-O$2),today()),,2))"),158.09999999999997)</f>
        <v>158.1</v>
      </c>
      <c r="P134" s="15">
        <f>IFERROR(__xludf.DUMMYFUNCTION("GOOGLEFINANCE($A134,""marketcap"")"),1.5558271875E12)</f>
        <v>1555827187500</v>
      </c>
      <c r="Q134" s="16">
        <f>IFERROR(__xludf.DUMMYFUNCTION("IFERROR(GOOGLEFINANCE($A134,""pe""),""-"")"),10.82)</f>
        <v>10.82</v>
      </c>
      <c r="R134" s="16" t="b">
        <f t="shared" si="1"/>
        <v>0</v>
      </c>
      <c r="S134" s="16" t="b">
        <f t="shared" si="2"/>
        <v>0</v>
      </c>
    </row>
    <row r="135">
      <c r="A135" s="17" t="s">
        <v>157</v>
      </c>
      <c r="B135" s="10" t="str">
        <f>IFERROR(__xludf.DUMMYFUNCTION("GOOGLEFINANCE($A135,""name"")"),"Oberoi Realty Limited.")</f>
        <v>Oberoi Realty Limited.</v>
      </c>
      <c r="C135" s="10" t="str">
        <f>IFERROR(__xludf.DUMMYFUNCTION("sparkline(index(GOOGLEFINANCE($A135,""price"",workday(today(),-C$2),today()),,2),{""charttype"",""column"";""color"",""green""})"),"")</f>
        <v/>
      </c>
      <c r="D135" s="11">
        <f>IFERROR(__xludf.DUMMYFUNCTION("GOOGLEFINANCE(""NSE:"" &amp;$A135,""price"")"),960.8)</f>
        <v>960.8</v>
      </c>
      <c r="E135" s="11">
        <f>IFERROR(__xludf.DUMMYFUNCTION("GOOGLEFINANCE(""NSE:"" &amp;$A135,""priceopen"")"),968.0)</f>
        <v>968</v>
      </c>
      <c r="F135" s="11">
        <f>IFERROR(__xludf.DUMMYFUNCTION("GOOGLEFINANCE(""NSE:"" &amp;$A135,""high"")"),986.4)</f>
        <v>986.4</v>
      </c>
      <c r="G135" s="11">
        <f>IFERROR(__xludf.DUMMYFUNCTION("GOOGLEFINANCE(""NSE:"" &amp;$A135,""low"")"),955.9)</f>
        <v>955.9</v>
      </c>
      <c r="H135" s="11">
        <f>IFERROR(__xludf.DUMMYFUNCTION("GOOGLEFINANCE(""NSE:"" &amp;$A135,""closeyest"")"),981.9)</f>
        <v>981.9</v>
      </c>
      <c r="I135" s="12">
        <f>IFERROR(__xludf.DUMMYFUNCTION("GOOGLEFINANCE(""NSE:"" &amp;$A135,""change"")"),-21.1)</f>
        <v>-21.1</v>
      </c>
      <c r="J135" s="13">
        <f>IFERROR(__xludf.DUMMYFUNCTION("GOOGLEFINANCE(""NSE:"" &amp;$A135,""changepct"")/100"),-0.0215)</f>
        <v>-0.0215</v>
      </c>
      <c r="K135" s="14">
        <f>IFERROR(__xludf.DUMMYFUNCTION("GOOGLEFINANCE(""NSE:"" &amp;$A135,""volume"")"),483836.0)</f>
        <v>483836</v>
      </c>
      <c r="L135" s="13" t="str">
        <f>IFERROR(__xludf.DUMMYFUNCTION("$D135/INDEX(GOOGLEFINANCE($A135,""PRICE"",WORKDAY(TODAY(),-L$2)),2,2)-1"),"#N/A")</f>
        <v>#N/A</v>
      </c>
      <c r="M135" s="13">
        <f>IFERROR(__xludf.DUMMYFUNCTION("$D135/INDEX(GOOGLEFINANCE($A135,""PRICE"",WORKDAY(TODAY(),-M$2)),2,2)-1"),-0.040351578106272545)</f>
        <v>-0.04035157811</v>
      </c>
      <c r="N135" s="11">
        <f>IFERROR(__xludf.DUMMYFUNCTION("average(INDEX(GOOGLEFINANCE($A135,""PRICE"",WORKDAY(TODAY(),-N$2),today()),,2))"),976.2375000000001)</f>
        <v>976.2375</v>
      </c>
      <c r="O135" s="11">
        <f>IFERROR(__xludf.DUMMYFUNCTION("average(INDEX(GOOGLEFINANCE($A135,""PRICE"",WORKDAY(TODAY(),-O$2),today()),,2))"),985.7357142857143)</f>
        <v>985.7357143</v>
      </c>
      <c r="P135" s="15">
        <f>IFERROR(__xludf.DUMMYFUNCTION("GOOGLEFINANCE($A135,""marketcap"")"),3.48569972691E11)</f>
        <v>348569972691</v>
      </c>
      <c r="Q135" s="16">
        <f>IFERROR(__xludf.DUMMYFUNCTION("IFERROR(GOOGLEFINANCE($A135,""pe""),""-"")"),31.7)</f>
        <v>31.7</v>
      </c>
      <c r="R135" s="16" t="b">
        <f t="shared" si="1"/>
        <v>0</v>
      </c>
      <c r="S135" s="16" t="b">
        <f t="shared" si="2"/>
        <v>0</v>
      </c>
    </row>
    <row r="136">
      <c r="A136" s="17" t="s">
        <v>158</v>
      </c>
      <c r="B136" s="10" t="str">
        <f>IFERROR(__xludf.DUMMYFUNCTION("GOOGLEFINANCE($A136,""name"")"),"Oracle Financial Services Software Ltd.")</f>
        <v>Oracle Financial Services Software Ltd.</v>
      </c>
      <c r="C136" s="10" t="str">
        <f>IFERROR(__xludf.DUMMYFUNCTION("sparkline(index(GOOGLEFINANCE($A136,""price"",workday(today(),-C$2),today()),,2),{""charttype"",""column"";""color"",""green""})"),"")</f>
        <v/>
      </c>
      <c r="D136" s="11">
        <f>IFERROR(__xludf.DUMMYFUNCTION("GOOGLEFINANCE(""NSE:"" &amp;$A136,""price"")"),3489.85)</f>
        <v>3489.85</v>
      </c>
      <c r="E136" s="11">
        <f>IFERROR(__xludf.DUMMYFUNCTION("GOOGLEFINANCE(""NSE:"" &amp;$A136,""priceopen"")"),3534.9)</f>
        <v>3534.9</v>
      </c>
      <c r="F136" s="11">
        <f>IFERROR(__xludf.DUMMYFUNCTION("GOOGLEFINANCE(""NSE:"" &amp;$A136,""high"")"),3544.9)</f>
        <v>3544.9</v>
      </c>
      <c r="G136" s="11">
        <f>IFERROR(__xludf.DUMMYFUNCTION("GOOGLEFINANCE(""NSE:"" &amp;$A136,""low"")"),3480.0)</f>
        <v>3480</v>
      </c>
      <c r="H136" s="11">
        <f>IFERROR(__xludf.DUMMYFUNCTION("GOOGLEFINANCE(""NSE:"" &amp;$A136,""closeyest"")"),3532.95)</f>
        <v>3532.95</v>
      </c>
      <c r="I136" s="12">
        <f>IFERROR(__xludf.DUMMYFUNCTION("GOOGLEFINANCE(""NSE:"" &amp;$A136,""change"")"),-43.1)</f>
        <v>-43.1</v>
      </c>
      <c r="J136" s="13">
        <f>IFERROR(__xludf.DUMMYFUNCTION("GOOGLEFINANCE(""NSE:"" &amp;$A136,""changepct"")/100"),-0.012199999999999999)</f>
        <v>-0.0122</v>
      </c>
      <c r="K136" s="14">
        <f>IFERROR(__xludf.DUMMYFUNCTION("GOOGLEFINANCE(""NSE:"" &amp;$A136,""volume"")"),42995.0)</f>
        <v>42995</v>
      </c>
      <c r="L136" s="13">
        <f>IFERROR(__xludf.DUMMYFUNCTION("$D136/INDEX(GOOGLEFINANCE($A136,""PRICE"",WORKDAY(TODAY(),-L$2)),2,2)-1"),-0.02712459752170948)</f>
        <v>-0.02712459752</v>
      </c>
      <c r="M136" s="13">
        <f>IFERROR(__xludf.DUMMYFUNCTION("$D136/INDEX(GOOGLEFINANCE($A136,""PRICE"",WORKDAY(TODAY(),-M$2)),2,2)-1"),-0.054779122992335005)</f>
        <v>-0.05477912299</v>
      </c>
      <c r="N136" s="11">
        <f>IFERROR(__xludf.DUMMYFUNCTION("average(INDEX(GOOGLEFINANCE($A136,""PRICE"",WORKDAY(TODAY(),-N$2),today()),,2))"),3550.9875)</f>
        <v>3550.9875</v>
      </c>
      <c r="O136" s="11">
        <f>IFERROR(__xludf.DUMMYFUNCTION("average(INDEX(GOOGLEFINANCE($A136,""PRICE"",WORKDAY(TODAY(),-O$2),today()),,2))"),3581.1)</f>
        <v>3581.1</v>
      </c>
      <c r="P136" s="15">
        <f>IFERROR(__xludf.DUMMYFUNCTION("GOOGLEFINANCE($A136,""marketcap"")"),3.0465614706E11)</f>
        <v>304656147060</v>
      </c>
      <c r="Q136" s="16">
        <f>IFERROR(__xludf.DUMMYFUNCTION("IFERROR(GOOGLEFINANCE($A136,""pe""),""-"")"),16.18)</f>
        <v>16.18</v>
      </c>
      <c r="R136" s="16" t="b">
        <f t="shared" si="1"/>
        <v>0</v>
      </c>
      <c r="S136" s="16" t="b">
        <f t="shared" si="2"/>
        <v>0</v>
      </c>
    </row>
    <row r="137">
      <c r="A137" s="17" t="s">
        <v>159</v>
      </c>
      <c r="B137" s="10" t="str">
        <f>IFERROR(__xludf.DUMMYFUNCTION("GOOGLEFINANCE($A137,""name"")"),"Oil &amp; Natural Gas Corporation Limited")</f>
        <v>Oil &amp; Natural Gas Corporation Limited</v>
      </c>
      <c r="C137" s="10" t="str">
        <f>IFERROR(__xludf.DUMMYFUNCTION("sparkline(index(GOOGLEFINANCE($A137,""price"",workday(today(),-C$2),today()),,2),{""charttype"",""column"";""color"",""green""})"),"")</f>
        <v/>
      </c>
      <c r="D137" s="11">
        <f>IFERROR(__xludf.DUMMYFUNCTION("GOOGLEFINANCE(""NSE:"" &amp;$A137,""price"")"),174.1)</f>
        <v>174.1</v>
      </c>
      <c r="E137" s="11">
        <f>IFERROR(__xludf.DUMMYFUNCTION("GOOGLEFINANCE(""NSE:"" &amp;$A137,""priceopen"")"),174.15)</f>
        <v>174.15</v>
      </c>
      <c r="F137" s="11">
        <f>IFERROR(__xludf.DUMMYFUNCTION("GOOGLEFINANCE(""NSE:"" &amp;$A137,""high"")"),176.3)</f>
        <v>176.3</v>
      </c>
      <c r="G137" s="11">
        <f>IFERROR(__xludf.DUMMYFUNCTION("GOOGLEFINANCE(""NSE:"" &amp;$A137,""low"")"),173.7)</f>
        <v>173.7</v>
      </c>
      <c r="H137" s="11">
        <f>IFERROR(__xludf.DUMMYFUNCTION("GOOGLEFINANCE(""NSE:"" &amp;$A137,""closeyest"")"),174.15)</f>
        <v>174.15</v>
      </c>
      <c r="I137" s="12">
        <f>IFERROR(__xludf.DUMMYFUNCTION("GOOGLEFINANCE(""NSE:"" &amp;$A137,""change"")"),-0.05)</f>
        <v>-0.05</v>
      </c>
      <c r="J137" s="13">
        <f>IFERROR(__xludf.DUMMYFUNCTION("GOOGLEFINANCE(""NSE:"" &amp;$A137,""changepct"")/100"),-3.0E-4)</f>
        <v>-0.0003</v>
      </c>
      <c r="K137" s="14">
        <f>IFERROR(__xludf.DUMMYFUNCTION("GOOGLEFINANCE(""NSE:"" &amp;$A137,""volume"")"),1.0267952E7)</f>
        <v>10267952</v>
      </c>
      <c r="L137" s="13">
        <f>IFERROR(__xludf.DUMMYFUNCTION("$D137/INDEX(GOOGLEFINANCE($A137,""PRICE"",WORKDAY(TODAY(),-L$2)),2,2)-1"),-0.009670079635950013)</f>
        <v>-0.009670079636</v>
      </c>
      <c r="M137" s="13" t="str">
        <f>IFERROR(__xludf.DUMMYFUNCTION("$D137/INDEX(GOOGLEFINANCE($A137,""PRICE"",WORKDAY(TODAY(),-M$2)),2,2)-1"),"#N/A")</f>
        <v>#N/A</v>
      </c>
      <c r="N137" s="11">
        <f>IFERROR(__xludf.DUMMYFUNCTION("average(INDEX(GOOGLEFINANCE($A137,""PRICE"",WORKDAY(TODAY(),-N$2),today()),,2))"),175.65)</f>
        <v>175.65</v>
      </c>
      <c r="O137" s="11">
        <f>IFERROR(__xludf.DUMMYFUNCTION("average(INDEX(GOOGLEFINANCE($A137,""PRICE"",WORKDAY(TODAY(),-O$2),today()),,2))"),173.85000000000005)</f>
        <v>173.85</v>
      </c>
      <c r="P137" s="15">
        <f>IFERROR(__xludf.DUMMYFUNCTION("GOOGLEFINANCE($A137,""marketcap"")"),2.2095477E12)</f>
        <v>2209547700000</v>
      </c>
      <c r="Q137" s="16">
        <f>IFERROR(__xludf.DUMMYFUNCTION("IFERROR(GOOGLEFINANCE($A137,""pe""),""-"")"),4.96)</f>
        <v>4.96</v>
      </c>
      <c r="R137" s="16" t="b">
        <f t="shared" si="1"/>
        <v>0</v>
      </c>
      <c r="S137" s="16" t="b">
        <f t="shared" si="2"/>
        <v>0</v>
      </c>
    </row>
    <row r="138">
      <c r="A138" s="17" t="s">
        <v>160</v>
      </c>
      <c r="B138" s="10" t="str">
        <f>IFERROR(__xludf.DUMMYFUNCTION("GOOGLEFINANCE($A138,""name"")"),"Page Industries Limited")</f>
        <v>Page Industries Limited</v>
      </c>
      <c r="C138" s="10" t="str">
        <f>IFERROR(__xludf.DUMMYFUNCTION("sparkline(index(GOOGLEFINANCE($A138,""price"",workday(today(),-C$2),today()),,2),{""charttype"",""column"";""color"",""green""})"),"")</f>
        <v/>
      </c>
      <c r="D138" s="11">
        <f>IFERROR(__xludf.DUMMYFUNCTION("GOOGLEFINANCE(""NSE:"" &amp;$A138,""price"")"),46000.0)</f>
        <v>46000</v>
      </c>
      <c r="E138" s="11">
        <f>IFERROR(__xludf.DUMMYFUNCTION("GOOGLEFINANCE(""NSE:"" &amp;$A138,""priceopen"")"),45749.8)</f>
        <v>45749.8</v>
      </c>
      <c r="F138" s="11">
        <f>IFERROR(__xludf.DUMMYFUNCTION("GOOGLEFINANCE(""NSE:"" &amp;$A138,""high"")"),46000.0)</f>
        <v>46000</v>
      </c>
      <c r="G138" s="11">
        <f>IFERROR(__xludf.DUMMYFUNCTION("GOOGLEFINANCE(""NSE:"" &amp;$A138,""low"")"),45540.05)</f>
        <v>45540.05</v>
      </c>
      <c r="H138" s="11">
        <f>IFERROR(__xludf.DUMMYFUNCTION("GOOGLEFINANCE(""NSE:"" &amp;$A138,""closeyest"")"),45814.0)</f>
        <v>45814</v>
      </c>
      <c r="I138" s="12">
        <f>IFERROR(__xludf.DUMMYFUNCTION("GOOGLEFINANCE(""NSE:"" &amp;$A138,""change"")"),186.0)</f>
        <v>186</v>
      </c>
      <c r="J138" s="13">
        <f>IFERROR(__xludf.DUMMYFUNCTION("GOOGLEFINANCE(""NSE:"" &amp;$A138,""changepct"")/100"),0.0040999999999999995)</f>
        <v>0.0041</v>
      </c>
      <c r="K138" s="14">
        <f>IFERROR(__xludf.DUMMYFUNCTION("GOOGLEFINANCE(""NSE:"" &amp;$A138,""volume"")"),8154.0)</f>
        <v>8154</v>
      </c>
      <c r="L138" s="13">
        <f>IFERROR(__xludf.DUMMYFUNCTION("$D138/INDEX(GOOGLEFINANCE($A138,""PRICE"",WORKDAY(TODAY(),-L$2)),2,2)-1"),0.0159863239406135)</f>
        <v>0.01598632394</v>
      </c>
      <c r="M138" s="13" t="str">
        <f>IFERROR(__xludf.DUMMYFUNCTION("$D138/INDEX(GOOGLEFINANCE($A138,""PRICE"",WORKDAY(TODAY(),-M$2)),2,2)-1"),"#N/A")</f>
        <v>#N/A</v>
      </c>
      <c r="N138" s="11">
        <f>IFERROR(__xludf.DUMMYFUNCTION("average(INDEX(GOOGLEFINANCE($A138,""PRICE"",WORKDAY(TODAY(),-N$2),today()),,2))"),45412.4625)</f>
        <v>45412.4625</v>
      </c>
      <c r="O138" s="11">
        <f>IFERROR(__xludf.DUMMYFUNCTION("average(INDEX(GOOGLEFINANCE($A138,""PRICE"",WORKDAY(TODAY(),-O$2),today()),,2))"),45256.00714285714)</f>
        <v>45256.00714</v>
      </c>
      <c r="P138" s="15">
        <f>IFERROR(__xludf.DUMMYFUNCTION("GOOGLEFINANCE($A138,""marketcap"")"),5.1667062E11)</f>
        <v>516670620000</v>
      </c>
      <c r="Q138" s="16">
        <f>IFERROR(__xludf.DUMMYFUNCTION("IFERROR(GOOGLEFINANCE($A138,""pe""),""-"")"),111.16)</f>
        <v>111.16</v>
      </c>
      <c r="R138" s="16" t="b">
        <f t="shared" si="1"/>
        <v>0</v>
      </c>
      <c r="S138" s="16" t="b">
        <f t="shared" si="2"/>
        <v>0</v>
      </c>
    </row>
    <row r="139">
      <c r="A139" s="17" t="s">
        <v>161</v>
      </c>
      <c r="B139" s="10" t="str">
        <f>IFERROR(__xludf.DUMMYFUNCTION("GOOGLEFINANCE($A139,""name"")"),"Piramal Enterprises Ltd")</f>
        <v>Piramal Enterprises Ltd</v>
      </c>
      <c r="C139" s="10" t="str">
        <f>IFERROR(__xludf.DUMMYFUNCTION("sparkline(index(GOOGLEFINANCE($A139,""price"",workday(today(),-C$2),today()),,2),{""charttype"",""column"";""color"",""green""})"),"")</f>
        <v/>
      </c>
      <c r="D139" s="11">
        <f>IFERROR(__xludf.DUMMYFUNCTION("GOOGLEFINANCE(""NSE:"" &amp;$A139,""price"")"),2177.8)</f>
        <v>2177.8</v>
      </c>
      <c r="E139" s="11">
        <f>IFERROR(__xludf.DUMMYFUNCTION("GOOGLEFINANCE(""NSE:"" &amp;$A139,""priceopen"")"),2220.0)</f>
        <v>2220</v>
      </c>
      <c r="F139" s="11">
        <f>IFERROR(__xludf.DUMMYFUNCTION("GOOGLEFINANCE(""NSE:"" &amp;$A139,""high"")"),2247.9)</f>
        <v>2247.9</v>
      </c>
      <c r="G139" s="11">
        <f>IFERROR(__xludf.DUMMYFUNCTION("GOOGLEFINANCE(""NSE:"" &amp;$A139,""low"")"),2166.05)</f>
        <v>2166.05</v>
      </c>
      <c r="H139" s="11">
        <f>IFERROR(__xludf.DUMMYFUNCTION("GOOGLEFINANCE(""NSE:"" &amp;$A139,""closeyest"")"),2239.35)</f>
        <v>2239.35</v>
      </c>
      <c r="I139" s="12">
        <f>IFERROR(__xludf.DUMMYFUNCTION("GOOGLEFINANCE(""NSE:"" &amp;$A139,""change"")"),-61.55)</f>
        <v>-61.55</v>
      </c>
      <c r="J139" s="13">
        <f>IFERROR(__xludf.DUMMYFUNCTION("GOOGLEFINANCE(""NSE:"" &amp;$A139,""changepct"")/100"),-0.0275)</f>
        <v>-0.0275</v>
      </c>
      <c r="K139" s="14">
        <f>IFERROR(__xludf.DUMMYFUNCTION("GOOGLEFINANCE(""NSE:"" &amp;$A139,""volume"")"),312775.0)</f>
        <v>312775</v>
      </c>
      <c r="L139" s="13">
        <f>IFERROR(__xludf.DUMMYFUNCTION("$D139/INDEX(GOOGLEFINANCE($A139,""PRICE"",WORKDAY(TODAY(),-L$2)),2,2)-1"),-0.02193878696696827)</f>
        <v>-0.02193878697</v>
      </c>
      <c r="M139" s="13">
        <f>IFERROR(__xludf.DUMMYFUNCTION("$D139/INDEX(GOOGLEFINANCE($A139,""PRICE"",WORKDAY(TODAY(),-M$2)),2,2)-1"),-0.06169754416199902)</f>
        <v>-0.06169754416</v>
      </c>
      <c r="N139" s="11">
        <f>IFERROR(__xludf.DUMMYFUNCTION("average(INDEX(GOOGLEFINANCE($A139,""PRICE"",WORKDAY(TODAY(),-N$2),today()),,2))"),2230.0750000000003)</f>
        <v>2230.075</v>
      </c>
      <c r="O139" s="11">
        <f>IFERROR(__xludf.DUMMYFUNCTION("average(INDEX(GOOGLEFINANCE($A139,""PRICE"",WORKDAY(TODAY(),-O$2),today()),,2))"),2257.1071428571427)</f>
        <v>2257.107143</v>
      </c>
      <c r="P139" s="15">
        <f>IFERROR(__xludf.DUMMYFUNCTION("GOOGLEFINANCE($A139,""marketcap"")"),5.18350820861E11)</f>
        <v>518350820861</v>
      </c>
      <c r="Q139" s="16">
        <f>IFERROR(__xludf.DUMMYFUNCTION("IFERROR(GOOGLEFINANCE($A139,""pe""),""-"")"),42.11)</f>
        <v>42.11</v>
      </c>
      <c r="R139" s="16" t="b">
        <f t="shared" si="1"/>
        <v>0</v>
      </c>
      <c r="S139" s="16" t="b">
        <f t="shared" si="2"/>
        <v>0</v>
      </c>
    </row>
    <row r="140">
      <c r="A140" s="17" t="s">
        <v>162</v>
      </c>
      <c r="B140" s="10" t="str">
        <f>IFERROR(__xludf.DUMMYFUNCTION("GOOGLEFINANCE($A140,""name"")"),"Persistent Systems Limited")</f>
        <v>Persistent Systems Limited</v>
      </c>
      <c r="C140" s="10" t="str">
        <f>IFERROR(__xludf.DUMMYFUNCTION("sparkline(index(GOOGLEFINANCE($A140,""price"",workday(today(),-C$2),today()),,2),{""charttype"",""column"";""color"",""green""})"),"")</f>
        <v/>
      </c>
      <c r="D140" s="11">
        <f>IFERROR(__xludf.DUMMYFUNCTION("GOOGLEFINANCE(""NSE:"" &amp;$A140,""price"")"),4043.65)</f>
        <v>4043.65</v>
      </c>
      <c r="E140" s="11">
        <f>IFERROR(__xludf.DUMMYFUNCTION("GOOGLEFINANCE(""NSE:"" &amp;$A140,""priceopen"")"),3990.0)</f>
        <v>3990</v>
      </c>
      <c r="F140" s="11">
        <f>IFERROR(__xludf.DUMMYFUNCTION("GOOGLEFINANCE(""NSE:"" &amp;$A140,""high"")"),4140.0)</f>
        <v>4140</v>
      </c>
      <c r="G140" s="11">
        <f>IFERROR(__xludf.DUMMYFUNCTION("GOOGLEFINANCE(""NSE:"" &amp;$A140,""low"")"),3957.0)</f>
        <v>3957</v>
      </c>
      <c r="H140" s="11">
        <f>IFERROR(__xludf.DUMMYFUNCTION("GOOGLEFINANCE(""NSE:"" &amp;$A140,""closeyest"")"),4011.85)</f>
        <v>4011.85</v>
      </c>
      <c r="I140" s="12">
        <f>IFERROR(__xludf.DUMMYFUNCTION("GOOGLEFINANCE(""NSE:"" &amp;$A140,""change"")"),31.8)</f>
        <v>31.8</v>
      </c>
      <c r="J140" s="13">
        <f>IFERROR(__xludf.DUMMYFUNCTION("GOOGLEFINANCE(""NSE:"" &amp;$A140,""changepct"")/100"),0.0079)</f>
        <v>0.0079</v>
      </c>
      <c r="K140" s="14">
        <f>IFERROR(__xludf.DUMMYFUNCTION("GOOGLEFINANCE(""NSE:"" &amp;$A140,""volume"")"),248978.0)</f>
        <v>248978</v>
      </c>
      <c r="L140" s="13">
        <f>IFERROR(__xludf.DUMMYFUNCTION("$D140/INDEX(GOOGLEFINANCE($A140,""PRICE"",WORKDAY(TODAY(),-L$2)),2,2)-1"),-0.040732086303628456)</f>
        <v>-0.0407320863</v>
      </c>
      <c r="M140" s="13" t="str">
        <f>IFERROR(__xludf.DUMMYFUNCTION("$D140/INDEX(GOOGLEFINANCE($A140,""PRICE"",WORKDAY(TODAY(),-M$2)),2,2)-1"),"#N/A")</f>
        <v>#N/A</v>
      </c>
      <c r="N140" s="11">
        <f>IFERROR(__xludf.DUMMYFUNCTION("average(INDEX(GOOGLEFINANCE($A140,""PRICE"",WORKDAY(TODAY(),-N$2),today()),,2))"),4096.75)</f>
        <v>4096.75</v>
      </c>
      <c r="O140" s="11">
        <f>IFERROR(__xludf.DUMMYFUNCTION("average(INDEX(GOOGLEFINANCE($A140,""PRICE"",WORKDAY(TODAY(),-O$2),today()),,2))"),4230.728571428571)</f>
        <v>4230.728571</v>
      </c>
      <c r="P140" s="15">
        <f>IFERROR(__xludf.DUMMYFUNCTION("GOOGLEFINANCE($A140,""marketcap"")"),3.23657053976E11)</f>
        <v>323657053976</v>
      </c>
      <c r="Q140" s="16">
        <f>IFERROR(__xludf.DUMMYFUNCTION("IFERROR(GOOGLEFINANCE($A140,""pe""),""-"")"),49.27)</f>
        <v>49.27</v>
      </c>
      <c r="R140" s="16" t="b">
        <f t="shared" si="1"/>
        <v>0</v>
      </c>
      <c r="S140" s="16" t="b">
        <f t="shared" si="2"/>
        <v>0</v>
      </c>
    </row>
    <row r="141">
      <c r="A141" s="17" t="s">
        <v>163</v>
      </c>
      <c r="B141" s="10" t="str">
        <f>IFERROR(__xludf.DUMMYFUNCTION("GOOGLEFINANCE($A141,""name"")"),"Petronet LNG Ltd")</f>
        <v>Petronet LNG Ltd</v>
      </c>
      <c r="C141" s="10" t="str">
        <f>IFERROR(__xludf.DUMMYFUNCTION("sparkline(index(GOOGLEFINANCE($A141,""price"",workday(today(),-C$2),today()),,2),{""charttype"",""column"";""color"",""green""})"),"")</f>
        <v/>
      </c>
      <c r="D141" s="11">
        <f>IFERROR(__xludf.DUMMYFUNCTION("GOOGLEFINANCE(""NSE:"" &amp;$A141,""price"")"),206.5)</f>
        <v>206.5</v>
      </c>
      <c r="E141" s="11">
        <f>IFERROR(__xludf.DUMMYFUNCTION("GOOGLEFINANCE(""NSE:"" &amp;$A141,""priceopen"")"),208.6)</f>
        <v>208.6</v>
      </c>
      <c r="F141" s="11">
        <f>IFERROR(__xludf.DUMMYFUNCTION("GOOGLEFINANCE(""NSE:"" &amp;$A141,""high"")"),209.85)</f>
        <v>209.85</v>
      </c>
      <c r="G141" s="11">
        <f>IFERROR(__xludf.DUMMYFUNCTION("GOOGLEFINANCE(""NSE:"" &amp;$A141,""low"")"),206.15)</f>
        <v>206.15</v>
      </c>
      <c r="H141" s="11">
        <f>IFERROR(__xludf.DUMMYFUNCTION("GOOGLEFINANCE(""NSE:"" &amp;$A141,""closeyest"")"),210.7)</f>
        <v>210.7</v>
      </c>
      <c r="I141" s="12">
        <f>IFERROR(__xludf.DUMMYFUNCTION("GOOGLEFINANCE(""NSE:"" &amp;$A141,""change"")"),-4.2)</f>
        <v>-4.2</v>
      </c>
      <c r="J141" s="13">
        <f>IFERROR(__xludf.DUMMYFUNCTION("GOOGLEFINANCE(""NSE:"" &amp;$A141,""changepct"")/100"),-0.0199)</f>
        <v>-0.0199</v>
      </c>
      <c r="K141" s="14">
        <f>IFERROR(__xludf.DUMMYFUNCTION("GOOGLEFINANCE(""NSE:"" &amp;$A141,""volume"")"),1801000.0)</f>
        <v>1801000</v>
      </c>
      <c r="L141" s="13" t="str">
        <f>IFERROR(__xludf.DUMMYFUNCTION("$D141/INDEX(GOOGLEFINANCE($A141,""PRICE"",WORKDAY(TODAY(),-L$2)),2,2)-1"),"#N/A")</f>
        <v>#N/A</v>
      </c>
      <c r="M141" s="13">
        <f>IFERROR(__xludf.DUMMYFUNCTION("$D141/INDEX(GOOGLEFINANCE($A141,""PRICE"",WORKDAY(TODAY(),-M$2)),2,2)-1"),0.017742730409068486)</f>
        <v>0.01774273041</v>
      </c>
      <c r="N141" s="11">
        <f>IFERROR(__xludf.DUMMYFUNCTION("average(INDEX(GOOGLEFINANCE($A141,""PRICE"",WORKDAY(TODAY(),-N$2),today()),,2))"),206.1375)</f>
        <v>206.1375</v>
      </c>
      <c r="O141" s="11">
        <f>IFERROR(__xludf.DUMMYFUNCTION("average(INDEX(GOOGLEFINANCE($A141,""PRICE"",WORKDAY(TODAY(),-O$2),today()),,2))"),204.92857142857147)</f>
        <v>204.9285714</v>
      </c>
      <c r="P141" s="15">
        <f>IFERROR(__xludf.DUMMYFUNCTION("GOOGLEFINANCE($A141,""marketcap"")"),3.04281467E11)</f>
        <v>304281467000</v>
      </c>
      <c r="Q141" s="16">
        <f>IFERROR(__xludf.DUMMYFUNCTION("IFERROR(GOOGLEFINANCE($A141,""pe""),""-"")"),9.43)</f>
        <v>9.43</v>
      </c>
      <c r="R141" s="16" t="b">
        <f t="shared" si="1"/>
        <v>0</v>
      </c>
      <c r="S141" s="16" t="b">
        <f t="shared" si="2"/>
        <v>0</v>
      </c>
    </row>
    <row r="142">
      <c r="A142" s="17" t="s">
        <v>164</v>
      </c>
      <c r="B142" s="10" t="str">
        <f>IFERROR(__xludf.DUMMYFUNCTION("GOOGLEFINANCE($A142,""name"")"),"Premier Financial Corp (OHIO)")</f>
        <v>Premier Financial Corp (OHIO)</v>
      </c>
      <c r="C142" s="10" t="str">
        <f>IFERROR(__xludf.DUMMYFUNCTION("sparkline(index(GOOGLEFINANCE($A142,""price"",workday(today(),-C$2),today()),,2),{""charttype"",""column"";""color"",""green""})"),"#N/A")</f>
        <v>#N/A</v>
      </c>
      <c r="D142" s="11">
        <f>IFERROR(__xludf.DUMMYFUNCTION("GOOGLEFINANCE(""NSE:"" &amp;$A142,""price"")"),118.7)</f>
        <v>118.7</v>
      </c>
      <c r="E142" s="11">
        <f>IFERROR(__xludf.DUMMYFUNCTION("GOOGLEFINANCE(""NSE:"" &amp;$A142,""priceopen"")"),118.4)</f>
        <v>118.4</v>
      </c>
      <c r="F142" s="11">
        <f>IFERROR(__xludf.DUMMYFUNCTION("GOOGLEFINANCE(""NSE:"" &amp;$A142,""high"")"),119.4)</f>
        <v>119.4</v>
      </c>
      <c r="G142" s="11">
        <f>IFERROR(__xludf.DUMMYFUNCTION("GOOGLEFINANCE(""NSE:"" &amp;$A142,""low"")"),118.3)</f>
        <v>118.3</v>
      </c>
      <c r="H142" s="11">
        <f>IFERROR(__xludf.DUMMYFUNCTION("GOOGLEFINANCE(""NSE:"" &amp;$A142,""closeyest"")"),119.0)</f>
        <v>119</v>
      </c>
      <c r="I142" s="12">
        <f>IFERROR(__xludf.DUMMYFUNCTION("GOOGLEFINANCE(""NSE:"" &amp;$A142,""change"")"),-0.3)</f>
        <v>-0.3</v>
      </c>
      <c r="J142" s="13">
        <f>IFERROR(__xludf.DUMMYFUNCTION("GOOGLEFINANCE(""NSE:"" &amp;$A142,""changepct"")/100"),-0.0025)</f>
        <v>-0.0025</v>
      </c>
      <c r="K142" s="14">
        <f>IFERROR(__xludf.DUMMYFUNCTION("GOOGLEFINANCE(""NSE:"" &amp;$A142,""volume"")"),2353294.0)</f>
        <v>2353294</v>
      </c>
      <c r="L142" s="13">
        <f>IFERROR(__xludf.DUMMYFUNCTION("$D142/INDEX(GOOGLEFINANCE($A142,""PRICE"",WORKDAY(TODAY(),-L$2)),2,2)-1"),3.146000698567936)</f>
        <v>3.146000699</v>
      </c>
      <c r="M142" s="13">
        <f>IFERROR(__xludf.DUMMYFUNCTION("$D142/INDEX(GOOGLEFINANCE($A142,""PRICE"",WORKDAY(TODAY(),-M$2)),2,2)-1"),3.159074982480729)</f>
        <v>3.159074982</v>
      </c>
      <c r="N142" s="11">
        <f>IFERROR(__xludf.DUMMYFUNCTION("average(INDEX(GOOGLEFINANCE($A142,""PRICE"",WORKDAY(TODAY(),-N$2),today()),,2))"),29.167499999999997)</f>
        <v>29.1675</v>
      </c>
      <c r="O142" s="11">
        <f>IFERROR(__xludf.DUMMYFUNCTION("average(INDEX(GOOGLEFINANCE($A142,""PRICE"",WORKDAY(TODAY(),-O$2),today()),,2))"),28.93444444444444)</f>
        <v>28.93444444</v>
      </c>
      <c r="P142" s="15">
        <f>IFERROR(__xludf.DUMMYFUNCTION("GOOGLEFINANCE($A142,""marketcap"")"),1.043567907E9)</f>
        <v>1043567907</v>
      </c>
      <c r="Q142" s="16">
        <f>IFERROR(__xludf.DUMMYFUNCTION("IFERROR(GOOGLEFINANCE($A142,""pe""),""-"")"),8.52)</f>
        <v>8.52</v>
      </c>
      <c r="R142" s="16" t="b">
        <f t="shared" si="1"/>
        <v>0</v>
      </c>
      <c r="S142" s="16" t="b">
        <f t="shared" si="2"/>
        <v>0</v>
      </c>
    </row>
    <row r="143">
      <c r="A143" s="17" t="s">
        <v>165</v>
      </c>
      <c r="B143" s="10" t="str">
        <f>IFERROR(__xludf.DUMMYFUNCTION("GOOGLEFINANCE($A143,""name"")"),"Pfizer Limited")</f>
        <v>Pfizer Limited</v>
      </c>
      <c r="C143" s="10" t="str">
        <f>IFERROR(__xludf.DUMMYFUNCTION("sparkline(index(GOOGLEFINANCE($A143,""price"",workday(today(),-C$2),today()),,2),{""charttype"",""column"";""color"",""green""})"),"")</f>
        <v/>
      </c>
      <c r="D143" s="11">
        <f>IFERROR(__xludf.DUMMYFUNCTION("GOOGLEFINANCE(""NSE:"" &amp;$A143,""price"")"),4348.9)</f>
        <v>4348.9</v>
      </c>
      <c r="E143" s="11">
        <f>IFERROR(__xludf.DUMMYFUNCTION("GOOGLEFINANCE(""NSE:"" &amp;$A143,""priceopen"")"),4468.0)</f>
        <v>4468</v>
      </c>
      <c r="F143" s="11">
        <f>IFERROR(__xludf.DUMMYFUNCTION("GOOGLEFINANCE(""NSE:"" &amp;$A143,""high"")"),4468.0)</f>
        <v>4468</v>
      </c>
      <c r="G143" s="11">
        <f>IFERROR(__xludf.DUMMYFUNCTION("GOOGLEFINANCE(""NSE:"" &amp;$A143,""low"")"),4334.1)</f>
        <v>4334.1</v>
      </c>
      <c r="H143" s="11">
        <f>IFERROR(__xludf.DUMMYFUNCTION("GOOGLEFINANCE(""NSE:"" &amp;$A143,""closeyest"")"),4458.85)</f>
        <v>4458.85</v>
      </c>
      <c r="I143" s="12">
        <f>IFERROR(__xludf.DUMMYFUNCTION("GOOGLEFINANCE(""NSE:"" &amp;$A143,""change"")"),-109.95)</f>
        <v>-109.95</v>
      </c>
      <c r="J143" s="13">
        <f>IFERROR(__xludf.DUMMYFUNCTION("GOOGLEFINANCE(""NSE:"" &amp;$A143,""changepct"")/100"),-0.024700000000000003)</f>
        <v>-0.0247</v>
      </c>
      <c r="K143" s="14">
        <f>IFERROR(__xludf.DUMMYFUNCTION("GOOGLEFINANCE(""NSE:"" &amp;$A143,""volume"")"),30912.0)</f>
        <v>30912</v>
      </c>
      <c r="L143" s="13">
        <f>IFERROR(__xludf.DUMMYFUNCTION("$D143/INDEX(GOOGLEFINANCE($A143,""PRICE"",WORKDAY(TODAY(),-L$2)),2,2)-1"),-0.02475724889556674)</f>
        <v>-0.0247572489</v>
      </c>
      <c r="M143" s="13">
        <f>IFERROR(__xludf.DUMMYFUNCTION("$D143/INDEX(GOOGLEFINANCE($A143,""PRICE"",WORKDAY(TODAY(),-M$2)),2,2)-1"),-0.028493560745680213)</f>
        <v>-0.02849356075</v>
      </c>
      <c r="N143" s="11">
        <f>IFERROR(__xludf.DUMMYFUNCTION("average(INDEX(GOOGLEFINANCE($A143,""PRICE"",WORKDAY(TODAY(),-N$2),today()),,2))"),4455.9125)</f>
        <v>4455.9125</v>
      </c>
      <c r="O143" s="11">
        <f>IFERROR(__xludf.DUMMYFUNCTION("average(INDEX(GOOGLEFINANCE($A143,""PRICE"",WORKDAY(TODAY(),-O$2),today()),,2))"),4444.128571428571)</f>
        <v>4444.128571</v>
      </c>
      <c r="P143" s="15">
        <f>IFERROR(__xludf.DUMMYFUNCTION("GOOGLEFINANCE($A143,""marketcap"")"),1.98238644055E11)</f>
        <v>198238644055</v>
      </c>
      <c r="Q143" s="16">
        <f>IFERROR(__xludf.DUMMYFUNCTION("IFERROR(GOOGLEFINANCE($A143,""pe""),""-"")"),33.88)</f>
        <v>33.88</v>
      </c>
      <c r="R143" s="16" t="b">
        <f t="shared" si="1"/>
        <v>0</v>
      </c>
      <c r="S143" s="16" t="b">
        <f t="shared" si="2"/>
        <v>1</v>
      </c>
    </row>
    <row r="144">
      <c r="A144" s="17" t="s">
        <v>166</v>
      </c>
      <c r="B144" s="10" t="str">
        <f>IFERROR(__xludf.DUMMYFUNCTION("GOOGLEFINANCE($A144,""name"")"),"Pidilite Industries Limited")</f>
        <v>Pidilite Industries Limited</v>
      </c>
      <c r="C144" s="10" t="str">
        <f>IFERROR(__xludf.DUMMYFUNCTION("sparkline(index(GOOGLEFINANCE($A144,""price"",workday(today(),-C$2),today()),,2),{""charttype"",""column"";""color"",""green""})"),"#N/A")</f>
        <v>#N/A</v>
      </c>
      <c r="D144" s="11">
        <f>IFERROR(__xludf.DUMMYFUNCTION("GOOGLEFINANCE(""NSE:"" &amp;$A144,""price"")"),2425.0)</f>
        <v>2425</v>
      </c>
      <c r="E144" s="11">
        <f>IFERROR(__xludf.DUMMYFUNCTION("GOOGLEFINANCE(""NSE:"" &amp;$A144,""priceopen"")"),2400.0)</f>
        <v>2400</v>
      </c>
      <c r="F144" s="11">
        <f>IFERROR(__xludf.DUMMYFUNCTION("GOOGLEFINANCE(""NSE:"" &amp;$A144,""high"")"),2439.4)</f>
        <v>2439.4</v>
      </c>
      <c r="G144" s="11">
        <f>IFERROR(__xludf.DUMMYFUNCTION("GOOGLEFINANCE(""NSE:"" &amp;$A144,""low"")"),2380.55)</f>
        <v>2380.55</v>
      </c>
      <c r="H144" s="11">
        <f>IFERROR(__xludf.DUMMYFUNCTION("GOOGLEFINANCE(""NSE:"" &amp;$A144,""closeyest"")"),2406.35)</f>
        <v>2406.35</v>
      </c>
      <c r="I144" s="12">
        <f>IFERROR(__xludf.DUMMYFUNCTION("GOOGLEFINANCE(""NSE:"" &amp;$A144,""change"")"),18.65)</f>
        <v>18.65</v>
      </c>
      <c r="J144" s="13">
        <f>IFERROR(__xludf.DUMMYFUNCTION("GOOGLEFINANCE(""NSE:"" &amp;$A144,""changepct"")/100"),0.0078000000000000005)</f>
        <v>0.0078</v>
      </c>
      <c r="K144" s="14">
        <f>IFERROR(__xludf.DUMMYFUNCTION("GOOGLEFINANCE(""NSE:"" &amp;$A144,""volume"")"),316943.0)</f>
        <v>316943</v>
      </c>
      <c r="L144" s="13">
        <f>IFERROR(__xludf.DUMMYFUNCTION("$D144/INDEX(GOOGLEFINANCE($A144,""PRICE"",WORKDAY(TODAY(),-L$2)),2,2)-1"),0.02565187049294737)</f>
        <v>0.02565187049</v>
      </c>
      <c r="M144" s="13">
        <f>IFERROR(__xludf.DUMMYFUNCTION("$D144/INDEX(GOOGLEFINANCE($A144,""PRICE"",WORKDAY(TODAY(),-M$2)),2,2)-1"),-0.009860563869097505)</f>
        <v>-0.009860563869</v>
      </c>
      <c r="N144" s="11">
        <f>IFERROR(__xludf.DUMMYFUNCTION("average(INDEX(GOOGLEFINANCE($A144,""PRICE"",WORKDAY(TODAY(),-N$2),today()),,2))"),2367.0375)</f>
        <v>2367.0375</v>
      </c>
      <c r="O144" s="11">
        <f>IFERROR(__xludf.DUMMYFUNCTION("average(INDEX(GOOGLEFINANCE($A144,""PRICE"",WORKDAY(TODAY(),-O$2),today()),,2))"),2379.8642857142854)</f>
        <v>2379.864286</v>
      </c>
      <c r="P144" s="15">
        <f>IFERROR(__xludf.DUMMYFUNCTION("GOOGLEFINANCE($A144,""marketcap"")"),1.211604205E12)</f>
        <v>1211604205000</v>
      </c>
      <c r="Q144" s="16">
        <f>IFERROR(__xludf.DUMMYFUNCTION("IFERROR(GOOGLEFINANCE($A144,""pe""),""-"")"),97.89)</f>
        <v>97.89</v>
      </c>
      <c r="R144" s="16" t="b">
        <f t="shared" si="1"/>
        <v>0</v>
      </c>
      <c r="S144" s="16" t="b">
        <f t="shared" si="2"/>
        <v>0</v>
      </c>
    </row>
    <row r="145">
      <c r="A145" s="17" t="s">
        <v>167</v>
      </c>
      <c r="B145" s="10" t="str">
        <f>IFERROR(__xludf.DUMMYFUNCTION("GOOGLEFINANCE($A145,""name"")"),"P I Industries Ltd")</f>
        <v>P I Industries Ltd</v>
      </c>
      <c r="C145" s="10" t="str">
        <f>IFERROR(__xludf.DUMMYFUNCTION("sparkline(index(GOOGLEFINANCE($A145,""price"",workday(today(),-C$2),today()),,2),{""charttype"",""column"";""color"",""green""})"),"")</f>
        <v/>
      </c>
      <c r="D145" s="11">
        <f>IFERROR(__xludf.DUMMYFUNCTION("GOOGLEFINANCE(""NSE:"" &amp;$A145,""price"")"),2875.0)</f>
        <v>2875</v>
      </c>
      <c r="E145" s="11">
        <f>IFERROR(__xludf.DUMMYFUNCTION("GOOGLEFINANCE(""NSE:"" &amp;$A145,""priceopen"")"),2877.9)</f>
        <v>2877.9</v>
      </c>
      <c r="F145" s="11">
        <f>IFERROR(__xludf.DUMMYFUNCTION("GOOGLEFINANCE(""NSE:"" &amp;$A145,""high"")"),2913.25)</f>
        <v>2913.25</v>
      </c>
      <c r="G145" s="11">
        <f>IFERROR(__xludf.DUMMYFUNCTION("GOOGLEFINANCE(""NSE:"" &amp;$A145,""low"")"),2854.0)</f>
        <v>2854</v>
      </c>
      <c r="H145" s="11">
        <f>IFERROR(__xludf.DUMMYFUNCTION("GOOGLEFINANCE(""NSE:"" &amp;$A145,""closeyest"")"),2876.3)</f>
        <v>2876.3</v>
      </c>
      <c r="I145" s="12">
        <f>IFERROR(__xludf.DUMMYFUNCTION("GOOGLEFINANCE(""NSE:"" &amp;$A145,""change"")"),-1.3)</f>
        <v>-1.3</v>
      </c>
      <c r="J145" s="13">
        <f>IFERROR(__xludf.DUMMYFUNCTION("GOOGLEFINANCE(""NSE:"" &amp;$A145,""changepct"")/100"),-5.0E-4)</f>
        <v>-0.0005</v>
      </c>
      <c r="K145" s="14">
        <f>IFERROR(__xludf.DUMMYFUNCTION("GOOGLEFINANCE(""NSE:"" &amp;$A145,""volume"")"),177013.0)</f>
        <v>177013</v>
      </c>
      <c r="L145" s="13">
        <f>IFERROR(__xludf.DUMMYFUNCTION("$D145/INDEX(GOOGLEFINANCE($A145,""PRICE"",WORKDAY(TODAY(),-L$2)),2,2)-1"),-0.01648877941981386)</f>
        <v>-0.01648877942</v>
      </c>
      <c r="M145" s="13">
        <f>IFERROR(__xludf.DUMMYFUNCTION("$D145/INDEX(GOOGLEFINANCE($A145,""PRICE"",WORKDAY(TODAY(),-M$2)),2,2)-1"),-0.013383665065202499)</f>
        <v>-0.01338366507</v>
      </c>
      <c r="N145" s="11">
        <f>IFERROR(__xludf.DUMMYFUNCTION("average(INDEX(GOOGLEFINANCE($A145,""PRICE"",WORKDAY(TODAY(),-N$2),today()),,2))"),2890.75)</f>
        <v>2890.75</v>
      </c>
      <c r="O145" s="11">
        <f>IFERROR(__xludf.DUMMYFUNCTION("average(INDEX(GOOGLEFINANCE($A145,""PRICE"",WORKDAY(TODAY(),-O$2),today()),,2))"),2917.035714285714)</f>
        <v>2917.035714</v>
      </c>
      <c r="P145" s="15">
        <f>IFERROR(__xludf.DUMMYFUNCTION("GOOGLEFINANCE($A145,""marketcap"")"),4.383193375E11)</f>
        <v>438319337500</v>
      </c>
      <c r="Q145" s="16">
        <f>IFERROR(__xludf.DUMMYFUNCTION("IFERROR(GOOGLEFINANCE($A145,""pe""),""-"")"),52.0)</f>
        <v>52</v>
      </c>
      <c r="R145" s="16" t="b">
        <f t="shared" si="1"/>
        <v>0</v>
      </c>
      <c r="S145" s="16" t="b">
        <f t="shared" si="2"/>
        <v>0</v>
      </c>
    </row>
    <row r="146">
      <c r="A146" s="17" t="s">
        <v>168</v>
      </c>
      <c r="B146" s="10" t="str">
        <f>IFERROR(__xludf.DUMMYFUNCTION("GOOGLEFINANCE($A146,""name"")"),"Punjab National Bank")</f>
        <v>Punjab National Bank</v>
      </c>
      <c r="C146" s="10" t="str">
        <f>IFERROR(__xludf.DUMMYFUNCTION("sparkline(index(GOOGLEFINANCE($A146,""price"",workday(today(),-C$2),today()),,2),{""charttype"",""column"";""color"",""green""})"),"")</f>
        <v/>
      </c>
      <c r="D146" s="11">
        <f>IFERROR(__xludf.DUMMYFUNCTION("GOOGLEFINANCE(""NSE:"" &amp;$A146,""price"")"),35.4)</f>
        <v>35.4</v>
      </c>
      <c r="E146" s="11">
        <f>IFERROR(__xludf.DUMMYFUNCTION("GOOGLEFINANCE(""NSE:"" &amp;$A146,""priceopen"")"),35.85)</f>
        <v>35.85</v>
      </c>
      <c r="F146" s="11">
        <f>IFERROR(__xludf.DUMMYFUNCTION("GOOGLEFINANCE(""NSE:"" &amp;$A146,""high"")"),36.1)</f>
        <v>36.1</v>
      </c>
      <c r="G146" s="11">
        <f>IFERROR(__xludf.DUMMYFUNCTION("GOOGLEFINANCE(""NSE:"" &amp;$A146,""low"")"),35.35)</f>
        <v>35.35</v>
      </c>
      <c r="H146" s="11">
        <f>IFERROR(__xludf.DUMMYFUNCTION("GOOGLEFINANCE(""NSE:"" &amp;$A146,""closeyest"")"),35.95)</f>
        <v>35.95</v>
      </c>
      <c r="I146" s="12">
        <f>IFERROR(__xludf.DUMMYFUNCTION("GOOGLEFINANCE(""NSE:"" &amp;$A146,""change"")"),-0.55)</f>
        <v>-0.55</v>
      </c>
      <c r="J146" s="13">
        <f>IFERROR(__xludf.DUMMYFUNCTION("GOOGLEFINANCE(""NSE:"" &amp;$A146,""changepct"")/100"),-0.015300000000000001)</f>
        <v>-0.0153</v>
      </c>
      <c r="K146" s="14">
        <f>IFERROR(__xludf.DUMMYFUNCTION("GOOGLEFINANCE(""NSE:"" &amp;$A146,""volume"")"),2.9060596E7)</f>
        <v>29060596</v>
      </c>
      <c r="L146" s="13">
        <f>IFERROR(__xludf.DUMMYFUNCTION("$D146/INDEX(GOOGLEFINANCE($A146,""PRICE"",WORKDAY(TODAY(),-L$2)),2,2)-1"),-0.02209944751381232)</f>
        <v>-0.02209944751</v>
      </c>
      <c r="M146" s="13">
        <f>IFERROR(__xludf.DUMMYFUNCTION("$D146/INDEX(GOOGLEFINANCE($A146,""PRICE"",WORKDAY(TODAY(),-M$2)),2,2)-1"),-0.05473965287049409)</f>
        <v>-0.05473965287</v>
      </c>
      <c r="N146" s="11">
        <f>IFERROR(__xludf.DUMMYFUNCTION("average(INDEX(GOOGLEFINANCE($A146,""PRICE"",WORKDAY(TODAY(),-N$2),today()),,2))"),35.8875)</f>
        <v>35.8875</v>
      </c>
      <c r="O146" s="11">
        <f>IFERROR(__xludf.DUMMYFUNCTION("average(INDEX(GOOGLEFINANCE($A146,""PRICE"",WORKDAY(TODAY(),-O$2),today()),,2))"),36.34285714285714)</f>
        <v>36.34285714</v>
      </c>
      <c r="P146" s="15">
        <f>IFERROR(__xludf.DUMMYFUNCTION("GOOGLEFINANCE($A146,""marketcap"")"),3.903403129E11)</f>
        <v>390340312900</v>
      </c>
      <c r="Q146" s="16">
        <f>IFERROR(__xludf.DUMMYFUNCTION("IFERROR(GOOGLEFINANCE($A146,""pe""),""-"")"),9.08)</f>
        <v>9.08</v>
      </c>
      <c r="R146" s="16" t="b">
        <f t="shared" si="1"/>
        <v>0</v>
      </c>
      <c r="S146" s="16" t="b">
        <f t="shared" si="2"/>
        <v>0</v>
      </c>
    </row>
    <row r="147">
      <c r="A147" s="17" t="s">
        <v>169</v>
      </c>
      <c r="B147" s="10" t="str">
        <f>IFERROR(__xludf.DUMMYFUNCTION("GOOGLEFINANCE($A147,""name"")"),"Polycab India Ltd")</f>
        <v>Polycab India Ltd</v>
      </c>
      <c r="C147" s="10" t="str">
        <f>IFERROR(__xludf.DUMMYFUNCTION("sparkline(index(GOOGLEFINANCE($A147,""price"",workday(today(),-C$2),today()),,2),{""charttype"",""column"";""color"",""green""})"),"")</f>
        <v/>
      </c>
      <c r="D147" s="11">
        <f>IFERROR(__xludf.DUMMYFUNCTION("GOOGLEFINANCE(""NSE:"" &amp;$A147,""price"")"),2533.0)</f>
        <v>2533</v>
      </c>
      <c r="E147" s="11">
        <f>IFERROR(__xludf.DUMMYFUNCTION("GOOGLEFINANCE(""NSE:"" &amp;$A147,""priceopen"")"),2758.8)</f>
        <v>2758.8</v>
      </c>
      <c r="F147" s="11">
        <f>IFERROR(__xludf.DUMMYFUNCTION("GOOGLEFINANCE(""NSE:"" &amp;$A147,""high"")"),2820.0)</f>
        <v>2820</v>
      </c>
      <c r="G147" s="11">
        <f>IFERROR(__xludf.DUMMYFUNCTION("GOOGLEFINANCE(""NSE:"" &amp;$A147,""low"")"),2476.25)</f>
        <v>2476.25</v>
      </c>
      <c r="H147" s="11">
        <f>IFERROR(__xludf.DUMMYFUNCTION("GOOGLEFINANCE(""NSE:"" &amp;$A147,""closeyest"")"),2743.9)</f>
        <v>2743.9</v>
      </c>
      <c r="I147" s="12">
        <f>IFERROR(__xludf.DUMMYFUNCTION("GOOGLEFINANCE(""NSE:"" &amp;$A147,""change"")"),-210.9)</f>
        <v>-210.9</v>
      </c>
      <c r="J147" s="13">
        <f>IFERROR(__xludf.DUMMYFUNCTION("GOOGLEFINANCE(""NSE:"" &amp;$A147,""changepct"")/100"),-0.07690000000000001)</f>
        <v>-0.0769</v>
      </c>
      <c r="K147" s="14">
        <f>IFERROR(__xludf.DUMMYFUNCTION("GOOGLEFINANCE(""NSE:"" &amp;$A147,""volume"")"),2371341.0)</f>
        <v>2371341</v>
      </c>
      <c r="L147" s="13">
        <f>IFERROR(__xludf.DUMMYFUNCTION("$D147/INDEX(GOOGLEFINANCE($A147,""PRICE"",WORKDAY(TODAY(),-L$2)),2,2)-1"),-0.013802098541922048)</f>
        <v>-0.01380209854</v>
      </c>
      <c r="M147" s="13">
        <f>IFERROR(__xludf.DUMMYFUNCTION("$D147/INDEX(GOOGLEFINANCE($A147,""PRICE"",WORKDAY(TODAY(),-M$2)),2,2)-1"),-0.04926339495167498)</f>
        <v>-0.04926339495</v>
      </c>
      <c r="N147" s="11">
        <f>IFERROR(__xludf.DUMMYFUNCTION("average(INDEX(GOOGLEFINANCE($A147,""PRICE"",WORKDAY(TODAY(),-N$2),today()),,2))"),2633.5874999999996)</f>
        <v>2633.5875</v>
      </c>
      <c r="O147" s="11" t="str">
        <f>IFERROR(__xludf.DUMMYFUNCTION("average(INDEX(GOOGLEFINANCE($A147,""PRICE"",WORKDAY(TODAY(),-O$2),today()),,2))"),"#N/A")</f>
        <v>#N/A</v>
      </c>
      <c r="P147" s="15">
        <f>IFERROR(__xludf.DUMMYFUNCTION("GOOGLEFINANCE($A147,""marketcap"")"),3.74478152787E11)</f>
        <v>374478152787</v>
      </c>
      <c r="Q147" s="16">
        <f>IFERROR(__xludf.DUMMYFUNCTION("IFERROR(GOOGLEFINANCE($A147,""pe""),""-"")"),43.69)</f>
        <v>43.69</v>
      </c>
      <c r="R147" s="16" t="b">
        <f t="shared" si="1"/>
        <v>0</v>
      </c>
      <c r="S147" s="16" t="b">
        <f t="shared" si="2"/>
        <v>0</v>
      </c>
    </row>
    <row r="148">
      <c r="A148" s="17" t="s">
        <v>170</v>
      </c>
      <c r="B148" s="10" t="str">
        <f>IFERROR(__xludf.DUMMYFUNCTION("GOOGLEFINANCE($A148,""name"")"),"Power Grid Corporation of India Limited")</f>
        <v>Power Grid Corporation of India Limited</v>
      </c>
      <c r="C148" s="10" t="str">
        <f>IFERROR(__xludf.DUMMYFUNCTION("sparkline(index(GOOGLEFINANCE($A148,""price"",workday(today(),-C$2),today()),,2),{""charttype"",""column"";""color"",""green""})"),"")</f>
        <v/>
      </c>
      <c r="D148" s="11">
        <f>IFERROR(__xludf.DUMMYFUNCTION("GOOGLEFINANCE(""NSE:"" &amp;$A148,""price"")"),226.0)</f>
        <v>226</v>
      </c>
      <c r="E148" s="11">
        <f>IFERROR(__xludf.DUMMYFUNCTION("GOOGLEFINANCE(""NSE:"" &amp;$A148,""priceopen"")"),225.05)</f>
        <v>225.05</v>
      </c>
      <c r="F148" s="11">
        <f>IFERROR(__xludf.DUMMYFUNCTION("GOOGLEFINANCE(""NSE:"" &amp;$A148,""high"")"),230.2)</f>
        <v>230.2</v>
      </c>
      <c r="G148" s="11">
        <f>IFERROR(__xludf.DUMMYFUNCTION("GOOGLEFINANCE(""NSE:"" &amp;$A148,""low"")"),224.7)</f>
        <v>224.7</v>
      </c>
      <c r="H148" s="11">
        <f>IFERROR(__xludf.DUMMYFUNCTION("GOOGLEFINANCE(""NSE:"" &amp;$A148,""closeyest"")"),227.25)</f>
        <v>227.25</v>
      </c>
      <c r="I148" s="12">
        <f>IFERROR(__xludf.DUMMYFUNCTION("GOOGLEFINANCE(""NSE:"" &amp;$A148,""change"")"),-1.25)</f>
        <v>-1.25</v>
      </c>
      <c r="J148" s="13">
        <f>IFERROR(__xludf.DUMMYFUNCTION("GOOGLEFINANCE(""NSE:"" &amp;$A148,""changepct"")/100"),-0.0055000000000000005)</f>
        <v>-0.0055</v>
      </c>
      <c r="K148" s="14">
        <f>IFERROR(__xludf.DUMMYFUNCTION("GOOGLEFINANCE(""NSE:"" &amp;$A148,""volume"")"),9024187.0)</f>
        <v>9024187</v>
      </c>
      <c r="L148" s="13" t="str">
        <f>IFERROR(__xludf.DUMMYFUNCTION("$D148/INDEX(GOOGLEFINANCE($A148,""PRICE"",WORKDAY(TODAY(),-L$2)),2,2)-1"),"#N/A")</f>
        <v>#N/A</v>
      </c>
      <c r="M148" s="13">
        <f>IFERROR(__xludf.DUMMYFUNCTION("$D148/INDEX(GOOGLEFINANCE($A148,""PRICE"",WORKDAY(TODAY(),-M$2)),2,2)-1"),-0.021221307925508914)</f>
        <v>-0.02122130793</v>
      </c>
      <c r="N148" s="11">
        <f>IFERROR(__xludf.DUMMYFUNCTION("average(INDEX(GOOGLEFINANCE($A148,""PRICE"",WORKDAY(TODAY(),-N$2),today()),,2))"),228.3)</f>
        <v>228.3</v>
      </c>
      <c r="O148" s="11">
        <f>IFERROR(__xludf.DUMMYFUNCTION("average(INDEX(GOOGLEFINANCE($A148,""PRICE"",WORKDAY(TODAY(),-O$2),today()),,2))"),229.52857142857144)</f>
        <v>229.5285714</v>
      </c>
      <c r="P148" s="15">
        <f>IFERROR(__xludf.DUMMYFUNCTION("GOOGLEFINANCE($A148,""marketcap"")"),1.582355272E12)</f>
        <v>1582355272000</v>
      </c>
      <c r="Q148" s="16">
        <f>IFERROR(__xludf.DUMMYFUNCTION("IFERROR(GOOGLEFINANCE($A148,""pe""),""-"")"),9.74)</f>
        <v>9.74</v>
      </c>
      <c r="R148" s="16" t="b">
        <f t="shared" si="1"/>
        <v>0</v>
      </c>
      <c r="S148" s="16" t="b">
        <f t="shared" si="2"/>
        <v>0</v>
      </c>
    </row>
    <row r="149">
      <c r="A149" s="17" t="s">
        <v>171</v>
      </c>
      <c r="B149" s="10" t="str">
        <f>IFERROR(__xludf.DUMMYFUNCTION("GOOGLEFINANCE($A149,""name"")"),"Providence Resources P.l.c.")</f>
        <v>Providence Resources P.l.c.</v>
      </c>
      <c r="C149" s="10" t="str">
        <f>IFERROR(__xludf.DUMMYFUNCTION("sparkline(index(GOOGLEFINANCE($A149,""price"",workday(today(),-C$2),today()),,2),{""charttype"",""column"";""color"",""green""})"),"")</f>
        <v/>
      </c>
      <c r="D149" s="11">
        <f>IFERROR(__xludf.DUMMYFUNCTION("GOOGLEFINANCE(""NSE:"" &amp;$A149,""price"")"),1777.0)</f>
        <v>1777</v>
      </c>
      <c r="E149" s="11">
        <f>IFERROR(__xludf.DUMMYFUNCTION("GOOGLEFINANCE(""NSE:"" &amp;$A149,""priceopen"")"),1771.0)</f>
        <v>1771</v>
      </c>
      <c r="F149" s="11">
        <f>IFERROR(__xludf.DUMMYFUNCTION("GOOGLEFINANCE(""NSE:"" &amp;$A149,""high"")"),1811.45)</f>
        <v>1811.45</v>
      </c>
      <c r="G149" s="11">
        <f>IFERROR(__xludf.DUMMYFUNCTION("GOOGLEFINANCE(""NSE:"" &amp;$A149,""low"")"),1761.3)</f>
        <v>1761.3</v>
      </c>
      <c r="H149" s="11">
        <f>IFERROR(__xludf.DUMMYFUNCTION("GOOGLEFINANCE(""NSE:"" &amp;$A149,""closeyest"")"),1780.95)</f>
        <v>1780.95</v>
      </c>
      <c r="I149" s="12">
        <f>IFERROR(__xludf.DUMMYFUNCTION("GOOGLEFINANCE(""NSE:"" &amp;$A149,""change"")"),-3.95)</f>
        <v>-3.95</v>
      </c>
      <c r="J149" s="13">
        <f>IFERROR(__xludf.DUMMYFUNCTION("GOOGLEFINANCE(""NSE:"" &amp;$A149,""changepct"")/100"),-0.0022)</f>
        <v>-0.0022</v>
      </c>
      <c r="K149" s="14">
        <f>IFERROR(__xludf.DUMMYFUNCTION("GOOGLEFINANCE(""NSE:"" &amp;$A149,""volume"")"),356037.0)</f>
        <v>356037</v>
      </c>
      <c r="L149" s="13">
        <f>IFERROR(__xludf.DUMMYFUNCTION("$D149/INDEX(GOOGLEFINANCE($A149,""PRICE"",WORKDAY(TODAY(),-L$2)),2,2)-1"),739.4166666666667)</f>
        <v>739.4166667</v>
      </c>
      <c r="M149" s="13" t="str">
        <f>IFERROR(__xludf.DUMMYFUNCTION("$D149/INDEX(GOOGLEFINANCE($A149,""PRICE"",WORKDAY(TODAY(),-M$2)),2,2)-1"),"#N/A")</f>
        <v>#N/A</v>
      </c>
      <c r="N149" s="11" t="str">
        <f>IFERROR(__xludf.DUMMYFUNCTION("average(INDEX(GOOGLEFINANCE($A149,""PRICE"",WORKDAY(TODAY(),-N$2),today()),,2))"),"#N/A")</f>
        <v>#N/A</v>
      </c>
      <c r="O149" s="11">
        <f>IFERROR(__xludf.DUMMYFUNCTION("average(INDEX(GOOGLEFINANCE($A149,""PRICE"",WORKDAY(TODAY(),-O$2),today()),,2))"),2.5)</f>
        <v>2.5</v>
      </c>
      <c r="P149" s="15">
        <f>IFERROR(__xludf.DUMMYFUNCTION("GOOGLEFINANCE($A149,""marketcap"")"),2.5005272E7)</f>
        <v>25005272</v>
      </c>
      <c r="Q149" s="16" t="str">
        <f>IFERROR(__xludf.DUMMYFUNCTION("IFERROR(GOOGLEFINANCE($A149,""pe""),""-"")"),"-")</f>
        <v>-</v>
      </c>
      <c r="R149" s="16" t="b">
        <f t="shared" si="1"/>
        <v>0</v>
      </c>
      <c r="S149" s="16" t="b">
        <f t="shared" si="2"/>
        <v>0</v>
      </c>
    </row>
    <row r="150">
      <c r="A150" s="17" t="s">
        <v>172</v>
      </c>
      <c r="B150" s="10" t="str">
        <f>IFERROR(__xludf.DUMMYFUNCTION("GOOGLEFINANCE($A150,""name"")"),"Ramco Cements Limited")</f>
        <v>Ramco Cements Limited</v>
      </c>
      <c r="C150" s="10" t="str">
        <f>IFERROR(__xludf.DUMMYFUNCTION("sparkline(index(GOOGLEFINANCE($A150,""price"",workday(today(),-C$2),today()),,2),{""charttype"",""column"";""color"",""green""})"),"")</f>
        <v/>
      </c>
      <c r="D150" s="11">
        <f>IFERROR(__xludf.DUMMYFUNCTION("GOOGLEFINANCE(""NSE:"" &amp;$A150,""price"")"),810.55)</f>
        <v>810.55</v>
      </c>
      <c r="E150" s="11">
        <f>IFERROR(__xludf.DUMMYFUNCTION("GOOGLEFINANCE(""NSE:"" &amp;$A150,""priceopen"")"),807.0)</f>
        <v>807</v>
      </c>
      <c r="F150" s="11">
        <f>IFERROR(__xludf.DUMMYFUNCTION("GOOGLEFINANCE(""NSE:"" &amp;$A150,""high"")"),814.0)</f>
        <v>814</v>
      </c>
      <c r="G150" s="11">
        <f>IFERROR(__xludf.DUMMYFUNCTION("GOOGLEFINANCE(""NSE:"" &amp;$A150,""low"")"),796.75)</f>
        <v>796.75</v>
      </c>
      <c r="H150" s="11">
        <f>IFERROR(__xludf.DUMMYFUNCTION("GOOGLEFINANCE(""NSE:"" &amp;$A150,""closeyest"")"),808.95)</f>
        <v>808.95</v>
      </c>
      <c r="I150" s="12">
        <f>IFERROR(__xludf.DUMMYFUNCTION("GOOGLEFINANCE(""NSE:"" &amp;$A150,""change"")"),1.6)</f>
        <v>1.6</v>
      </c>
      <c r="J150" s="13">
        <f>IFERROR(__xludf.DUMMYFUNCTION("GOOGLEFINANCE(""NSE:"" &amp;$A150,""changepct"")/100"),0.002)</f>
        <v>0.002</v>
      </c>
      <c r="K150" s="14">
        <f>IFERROR(__xludf.DUMMYFUNCTION("GOOGLEFINANCE(""NSE:"" &amp;$A150,""volume"")"),237013.0)</f>
        <v>237013</v>
      </c>
      <c r="L150" s="13">
        <f>IFERROR(__xludf.DUMMYFUNCTION("$D150/INDEX(GOOGLEFINANCE($A150,""PRICE"",WORKDAY(TODAY(),-L$2)),2,2)-1"),0.00802139037433136)</f>
        <v>0.008021390374</v>
      </c>
      <c r="M150" s="13">
        <f>IFERROR(__xludf.DUMMYFUNCTION("$D150/INDEX(GOOGLEFINANCE($A150,""PRICE"",WORKDAY(TODAY(),-M$2)),2,2)-1"),-0.005582137161084577)</f>
        <v>-0.005582137161</v>
      </c>
      <c r="N150" s="11">
        <f>IFERROR(__xludf.DUMMYFUNCTION("average(INDEX(GOOGLEFINANCE($A150,""PRICE"",WORKDAY(TODAY(),-N$2),today()),,2))"),801.5)</f>
        <v>801.5</v>
      </c>
      <c r="O150" s="11">
        <f>IFERROR(__xludf.DUMMYFUNCTION("average(INDEX(GOOGLEFINANCE($A150,""PRICE"",WORKDAY(TODAY(),-O$2),today()),,2))"),804.6999999999998)</f>
        <v>804.7</v>
      </c>
      <c r="P150" s="15">
        <f>IFERROR(__xludf.DUMMYFUNCTION("GOOGLEFINANCE($A150,""marketcap"")"),1.87282032704E11)</f>
        <v>187282032704</v>
      </c>
      <c r="Q150" s="16">
        <f>IFERROR(__xludf.DUMMYFUNCTION("IFERROR(GOOGLEFINANCE($A150,""pe""),""-"")"),19.31)</f>
        <v>19.31</v>
      </c>
      <c r="R150" s="16" t="b">
        <f t="shared" si="1"/>
        <v>0</v>
      </c>
      <c r="S150" s="16" t="b">
        <f t="shared" si="2"/>
        <v>0</v>
      </c>
    </row>
    <row r="151">
      <c r="A151" s="17" t="s">
        <v>173</v>
      </c>
      <c r="B151" s="10" t="str">
        <f>IFERROR(__xludf.DUMMYFUNCTION("GOOGLEFINANCE($A151,""name"")"),"RBL Bank Ltd")</f>
        <v>RBL Bank Ltd</v>
      </c>
      <c r="C151" s="10" t="str">
        <f>IFERROR(__xludf.DUMMYFUNCTION("sparkline(index(GOOGLEFINANCE($A151,""price"",workday(today(),-C$2),today()),,2),{""charttype"",""column"";""color"",""green""})"),"")</f>
        <v/>
      </c>
      <c r="D151" s="11">
        <f>IFERROR(__xludf.DUMMYFUNCTION("GOOGLEFINANCE(""NSE:"" &amp;$A151,""price"")"),124.0)</f>
        <v>124</v>
      </c>
      <c r="E151" s="11">
        <f>IFERROR(__xludf.DUMMYFUNCTION("GOOGLEFINANCE(""NSE:"" &amp;$A151,""priceopen"")"),125.5)</f>
        <v>125.5</v>
      </c>
      <c r="F151" s="11">
        <f>IFERROR(__xludf.DUMMYFUNCTION("GOOGLEFINANCE(""NSE:"" &amp;$A151,""high"")"),125.9)</f>
        <v>125.9</v>
      </c>
      <c r="G151" s="11">
        <f>IFERROR(__xludf.DUMMYFUNCTION("GOOGLEFINANCE(""NSE:"" &amp;$A151,""low"")"),123.15)</f>
        <v>123.15</v>
      </c>
      <c r="H151" s="11">
        <f>IFERROR(__xludf.DUMMYFUNCTION("GOOGLEFINANCE(""NSE:"" &amp;$A151,""closeyest"")"),126.55)</f>
        <v>126.55</v>
      </c>
      <c r="I151" s="12">
        <f>IFERROR(__xludf.DUMMYFUNCTION("GOOGLEFINANCE(""NSE:"" &amp;$A151,""change"")"),-2.55)</f>
        <v>-2.55</v>
      </c>
      <c r="J151" s="13">
        <f>IFERROR(__xludf.DUMMYFUNCTION("GOOGLEFINANCE(""NSE:"" &amp;$A151,""changepct"")/100"),-0.0202)</f>
        <v>-0.0202</v>
      </c>
      <c r="K151" s="14">
        <f>IFERROR(__xludf.DUMMYFUNCTION("GOOGLEFINANCE(""NSE:"" &amp;$A151,""volume"")"),1.6478136E7)</f>
        <v>16478136</v>
      </c>
      <c r="L151" s="13">
        <f>IFERROR(__xludf.DUMMYFUNCTION("$D151/INDEX(GOOGLEFINANCE($A151,""PRICE"",WORKDAY(TODAY(),-L$2)),2,2)-1"),-0.04761904761904756)</f>
        <v>-0.04761904762</v>
      </c>
      <c r="M151" s="13">
        <f>IFERROR(__xludf.DUMMYFUNCTION("$D151/INDEX(GOOGLEFINANCE($A151,""PRICE"",WORKDAY(TODAY(),-M$2)),2,2)-1"),-0.0552380952380952)</f>
        <v>-0.05523809524</v>
      </c>
      <c r="N151" s="11">
        <f>IFERROR(__xludf.DUMMYFUNCTION("average(INDEX(GOOGLEFINANCE($A151,""PRICE"",WORKDAY(TODAY(),-N$2),today()),,2))"),126.35)</f>
        <v>126.35</v>
      </c>
      <c r="O151" s="11">
        <f>IFERROR(__xludf.DUMMYFUNCTION("average(INDEX(GOOGLEFINANCE($A151,""PRICE"",WORKDAY(TODAY(),-O$2),today()),,2))"),128.47142857142856)</f>
        <v>128.4714286</v>
      </c>
      <c r="P151" s="15">
        <f>IFERROR(__xludf.DUMMYFUNCTION("GOOGLEFINANCE($A151,""marketcap"")"),7.478980724E10)</f>
        <v>74789807240</v>
      </c>
      <c r="Q151" s="16" t="str">
        <f>IFERROR(__xludf.DUMMYFUNCTION("IFERROR(GOOGLEFINANCE($A151,""pe""),""-"")"),"-")</f>
        <v>-</v>
      </c>
      <c r="R151" s="16" t="b">
        <f t="shared" si="1"/>
        <v>0</v>
      </c>
      <c r="S151" s="16" t="b">
        <f t="shared" si="2"/>
        <v>0</v>
      </c>
    </row>
    <row r="152">
      <c r="A152" s="17" t="s">
        <v>174</v>
      </c>
      <c r="B152" s="10" t="str">
        <f>IFERROR(__xludf.DUMMYFUNCTION("GOOGLEFINANCE($A152,""name"")"),"REC Limited")</f>
        <v>REC Limited</v>
      </c>
      <c r="C152" s="10" t="str">
        <f>IFERROR(__xludf.DUMMYFUNCTION("sparkline(index(GOOGLEFINANCE($A152,""price"",workday(today(),-C$2),today()),,2),{""charttype"",""column"";""color"",""green""})"),"")</f>
        <v/>
      </c>
      <c r="D152" s="11">
        <f>IFERROR(__xludf.DUMMYFUNCTION("GOOGLEFINANCE(""NSE:"" &amp;$A152,""price"")"),128.5)</f>
        <v>128.5</v>
      </c>
      <c r="E152" s="11">
        <f>IFERROR(__xludf.DUMMYFUNCTION("GOOGLEFINANCE(""NSE:"" &amp;$A152,""priceopen"")"),129.2)</f>
        <v>129.2</v>
      </c>
      <c r="F152" s="11">
        <f>IFERROR(__xludf.DUMMYFUNCTION("GOOGLEFINANCE(""NSE:"" &amp;$A152,""high"")"),130.1)</f>
        <v>130.1</v>
      </c>
      <c r="G152" s="11">
        <f>IFERROR(__xludf.DUMMYFUNCTION("GOOGLEFINANCE(""NSE:"" &amp;$A152,""low"")"),128.2)</f>
        <v>128.2</v>
      </c>
      <c r="H152" s="11">
        <f>IFERROR(__xludf.DUMMYFUNCTION("GOOGLEFINANCE(""NSE:"" &amp;$A152,""closeyest"")"),130.0)</f>
        <v>130</v>
      </c>
      <c r="I152" s="12">
        <f>IFERROR(__xludf.DUMMYFUNCTION("GOOGLEFINANCE(""NSE:"" &amp;$A152,""change"")"),-1.5)</f>
        <v>-1.5</v>
      </c>
      <c r="J152" s="13">
        <f>IFERROR(__xludf.DUMMYFUNCTION("GOOGLEFINANCE(""NSE:"" &amp;$A152,""changepct"")/100"),-0.0115)</f>
        <v>-0.0115</v>
      </c>
      <c r="K152" s="14">
        <f>IFERROR(__xludf.DUMMYFUNCTION("GOOGLEFINANCE(""NSE:"" &amp;$A152,""volume"")"),1504923.0)</f>
        <v>1504923</v>
      </c>
      <c r="L152" s="13" t="str">
        <f>IFERROR(__xludf.DUMMYFUNCTION("$D152/INDEX(GOOGLEFINANCE($A152,""PRICE"",WORKDAY(TODAY(),-L$2)),2,2)-1"),"#N/A")</f>
        <v>#N/A</v>
      </c>
      <c r="M152" s="13">
        <f>IFERROR(__xludf.DUMMYFUNCTION("$D152/INDEX(GOOGLEFINANCE($A152,""PRICE"",WORKDAY(TODAY(),-M$2)),2,2)-1"),-0.04032860343539957)</f>
        <v>-0.04032860344</v>
      </c>
      <c r="N152" s="11">
        <f>IFERROR(__xludf.DUMMYFUNCTION("average(INDEX(GOOGLEFINANCE($A152,""PRICE"",WORKDAY(TODAY(),-N$2),today()),,2))"),129.7)</f>
        <v>129.7</v>
      </c>
      <c r="O152" s="11">
        <f>IFERROR(__xludf.DUMMYFUNCTION("average(INDEX(GOOGLEFINANCE($A152,""PRICE"",WORKDAY(TODAY(),-O$2),today()),,2))"),130.57142857142858)</f>
        <v>130.5714286</v>
      </c>
      <c r="P152" s="15">
        <f>IFERROR(__xludf.DUMMYFUNCTION("GOOGLEFINANCE($A152,""marketcap"")"),2.55653010571E11)</f>
        <v>255653010571</v>
      </c>
      <c r="Q152" s="16">
        <f>IFERROR(__xludf.DUMMYFUNCTION("IFERROR(GOOGLEFINANCE($A152,""pe""),""-"")"),2.59)</f>
        <v>2.59</v>
      </c>
      <c r="R152" s="16" t="b">
        <f t="shared" si="1"/>
        <v>0</v>
      </c>
      <c r="S152" s="16" t="b">
        <f t="shared" si="2"/>
        <v>0</v>
      </c>
    </row>
    <row r="153">
      <c r="A153" s="17" t="s">
        <v>175</v>
      </c>
      <c r="B153" s="10" t="str">
        <f>IFERROR(__xludf.DUMMYFUNCTION("GOOGLEFINANCE($A153,""name"")"),"Reliance Industries Ltd")</f>
        <v>Reliance Industries Ltd</v>
      </c>
      <c r="C153" s="10" t="str">
        <f>IFERROR(__xludf.DUMMYFUNCTION("sparkline(index(GOOGLEFINANCE($A153,""price"",workday(today(),-C$2),today()),,2),{""charttype"",""column"";""color"",""green""})"),"")</f>
        <v/>
      </c>
      <c r="D153" s="11">
        <f>IFERROR(__xludf.DUMMYFUNCTION("GOOGLEFINANCE(""NSE:"" &amp;$A153,""price"")"),2762.0)</f>
        <v>2762</v>
      </c>
      <c r="E153" s="11">
        <f>IFERROR(__xludf.DUMMYFUNCTION("GOOGLEFINANCE(""NSE:"" &amp;$A153,""priceopen"")"),2758.9)</f>
        <v>2758.9</v>
      </c>
      <c r="F153" s="11">
        <f>IFERROR(__xludf.DUMMYFUNCTION("GOOGLEFINANCE(""NSE:"" &amp;$A153,""high"")"),2802.0)</f>
        <v>2802</v>
      </c>
      <c r="G153" s="11">
        <f>IFERROR(__xludf.DUMMYFUNCTION("GOOGLEFINANCE(""NSE:"" &amp;$A153,""low"")"),2744.2)</f>
        <v>2744.2</v>
      </c>
      <c r="H153" s="11">
        <f>IFERROR(__xludf.DUMMYFUNCTION("GOOGLEFINANCE(""NSE:"" &amp;$A153,""closeyest"")"),2782.1)</f>
        <v>2782.1</v>
      </c>
      <c r="I153" s="12">
        <f>IFERROR(__xludf.DUMMYFUNCTION("GOOGLEFINANCE(""NSE:"" &amp;$A153,""change"")"),-20.1)</f>
        <v>-20.1</v>
      </c>
      <c r="J153" s="13">
        <f>IFERROR(__xludf.DUMMYFUNCTION("GOOGLEFINANCE(""NSE:"" &amp;$A153,""changepct"")/100"),-0.0072)</f>
        <v>-0.0072</v>
      </c>
      <c r="K153" s="14">
        <f>IFERROR(__xludf.DUMMYFUNCTION("GOOGLEFINANCE(""NSE:"" &amp;$A153,""volume"")"),6947490.0)</f>
        <v>6947490</v>
      </c>
      <c r="L153" s="13" t="str">
        <f>IFERROR(__xludf.DUMMYFUNCTION("$D153/INDEX(GOOGLEFINANCE($A153,""PRICE"",WORKDAY(TODAY(),-L$2)),2,2)-1"),"#N/A")</f>
        <v>#N/A</v>
      </c>
      <c r="M153" s="13">
        <f>IFERROR(__xludf.DUMMYFUNCTION("$D153/INDEX(GOOGLEFINANCE($A153,""PRICE"",WORKDAY(TODAY(),-M$2)),2,2)-1"),0.058156463106275424)</f>
        <v>0.05815646311</v>
      </c>
      <c r="N153" s="11">
        <f>IFERROR(__xludf.DUMMYFUNCTION("average(INDEX(GOOGLEFINANCE($A153,""PRICE"",WORKDAY(TODAY(),-N$2),today()),,2))"),2671.2999999999997)</f>
        <v>2671.3</v>
      </c>
      <c r="O153" s="11">
        <f>IFERROR(__xludf.DUMMYFUNCTION("average(INDEX(GOOGLEFINANCE($A153,""PRICE"",WORKDAY(TODAY(),-O$2),today()),,2))"),2629.7285714285713)</f>
        <v>2629.728571</v>
      </c>
      <c r="P153" s="15">
        <f>IFERROR(__xludf.DUMMYFUNCTION("GOOGLEFINANCE($A153,""marketcap"")"),1.8134918890738E13)</f>
        <v>18134918890738</v>
      </c>
      <c r="Q153" s="16">
        <f>IFERROR(__xludf.DUMMYFUNCTION("IFERROR(GOOGLEFINANCE($A153,""pe""),""-"")"),31.79)</f>
        <v>31.79</v>
      </c>
      <c r="R153" s="16" t="b">
        <f t="shared" si="1"/>
        <v>0</v>
      </c>
      <c r="S153" s="16" t="b">
        <f t="shared" si="2"/>
        <v>0</v>
      </c>
    </row>
    <row r="154">
      <c r="A154" s="17" t="s">
        <v>176</v>
      </c>
      <c r="B154" s="10" t="str">
        <f>IFERROR(__xludf.DUMMYFUNCTION("GOOGLEFINANCE($A154,""name"")"),"Sailpoint Technologies Holdings Inc")</f>
        <v>Sailpoint Technologies Holdings Inc</v>
      </c>
      <c r="C154" s="10" t="str">
        <f>IFERROR(__xludf.DUMMYFUNCTION("sparkline(index(GOOGLEFINANCE($A154,""price"",workday(today(),-C$2),today()),,2),{""charttype"",""column"";""color"",""green""})"),"")</f>
        <v/>
      </c>
      <c r="D154" s="11">
        <f>IFERROR(__xludf.DUMMYFUNCTION("GOOGLEFINANCE(""NSE:"" &amp;$A154,""price"")"),101.7)</f>
        <v>101.7</v>
      </c>
      <c r="E154" s="11">
        <f>IFERROR(__xludf.DUMMYFUNCTION("GOOGLEFINANCE(""NSE:"" &amp;$A154,""priceopen"")"),101.8)</f>
        <v>101.8</v>
      </c>
      <c r="F154" s="11">
        <f>IFERROR(__xludf.DUMMYFUNCTION("GOOGLEFINANCE(""NSE:"" &amp;$A154,""high"")"),103.75)</f>
        <v>103.75</v>
      </c>
      <c r="G154" s="11">
        <f>IFERROR(__xludf.DUMMYFUNCTION("GOOGLEFINANCE(""NSE:"" &amp;$A154,""low"")"),101.15)</f>
        <v>101.15</v>
      </c>
      <c r="H154" s="11">
        <f>IFERROR(__xludf.DUMMYFUNCTION("GOOGLEFINANCE(""NSE:"" &amp;$A154,""closeyest"")"),103.1)</f>
        <v>103.1</v>
      </c>
      <c r="I154" s="12">
        <f>IFERROR(__xludf.DUMMYFUNCTION("GOOGLEFINANCE(""NSE:"" &amp;$A154,""change"")"),-1.4)</f>
        <v>-1.4</v>
      </c>
      <c r="J154" s="13">
        <f>IFERROR(__xludf.DUMMYFUNCTION("GOOGLEFINANCE(""NSE:"" &amp;$A154,""changepct"")/100"),-0.013600000000000001)</f>
        <v>-0.0136</v>
      </c>
      <c r="K154" s="14">
        <f>IFERROR(__xludf.DUMMYFUNCTION("GOOGLEFINANCE(""NSE:"" &amp;$A154,""volume"")"),1.8079494E7)</f>
        <v>18079494</v>
      </c>
      <c r="L154" s="13">
        <f>IFERROR(__xludf.DUMMYFUNCTION("$D154/INDEX(GOOGLEFINANCE($A154,""PRICE"",WORKDAY(TODAY(),-L$2)),2,2)-1"),0.5791925465838508)</f>
        <v>0.5791925466</v>
      </c>
      <c r="M154" s="13" t="str">
        <f>IFERROR(__xludf.DUMMYFUNCTION("$D154/INDEX(GOOGLEFINANCE($A154,""PRICE"",WORKDAY(TODAY(),-M$2)),2,2)-1"),"#N/A")</f>
        <v>#N/A</v>
      </c>
      <c r="N154" s="11">
        <f>IFERROR(__xludf.DUMMYFUNCTION("average(INDEX(GOOGLEFINANCE($A154,""PRICE"",WORKDAY(TODAY(),-N$2),today()),,2))"),64.2425)</f>
        <v>64.2425</v>
      </c>
      <c r="O154" s="11">
        <f>IFERROR(__xludf.DUMMYFUNCTION("average(INDEX(GOOGLEFINANCE($A154,""PRICE"",WORKDAY(TODAY(),-O$2),today()),,2))"),62.56444444444443)</f>
        <v>62.56444444</v>
      </c>
      <c r="P154" s="15">
        <f>IFERROR(__xludf.DUMMYFUNCTION("GOOGLEFINANCE($A154,""marketcap"")"),6.060314032E9)</f>
        <v>6060314032</v>
      </c>
      <c r="Q154" s="16" t="str">
        <f>IFERROR(__xludf.DUMMYFUNCTION("IFERROR(GOOGLEFINANCE($A154,""pe""),""-"")"),"-")</f>
        <v>-</v>
      </c>
      <c r="R154" s="16" t="b">
        <f t="shared" si="1"/>
        <v>0</v>
      </c>
      <c r="S154" s="16" t="b">
        <f t="shared" si="2"/>
        <v>0</v>
      </c>
    </row>
    <row r="155">
      <c r="A155" s="17" t="s">
        <v>177</v>
      </c>
      <c r="B155" s="10" t="str">
        <f>IFERROR(__xludf.DUMMYFUNCTION("GOOGLEFINANCE($A155,""name"")"),"Sbi Life Insurance Company Ltd")</f>
        <v>Sbi Life Insurance Company Ltd</v>
      </c>
      <c r="C155" s="10" t="str">
        <f>IFERROR(__xludf.DUMMYFUNCTION("sparkline(index(GOOGLEFINANCE($A155,""price"",workday(today(),-C$2),today()),,2),{""charttype"",""column"";""color"",""green""})"),"")</f>
        <v/>
      </c>
      <c r="D155" s="11">
        <f>IFERROR(__xludf.DUMMYFUNCTION("GOOGLEFINANCE(""NSE:"" &amp;$A155,""price"")"),1134.15)</f>
        <v>1134.15</v>
      </c>
      <c r="E155" s="11">
        <f>IFERROR(__xludf.DUMMYFUNCTION("GOOGLEFINANCE(""NSE:"" &amp;$A155,""priceopen"")"),1133.5)</f>
        <v>1133.5</v>
      </c>
      <c r="F155" s="11">
        <f>IFERROR(__xludf.DUMMYFUNCTION("GOOGLEFINANCE(""NSE:"" &amp;$A155,""high"")"),1140.0)</f>
        <v>1140</v>
      </c>
      <c r="G155" s="11">
        <f>IFERROR(__xludf.DUMMYFUNCTION("GOOGLEFINANCE(""NSE:"" &amp;$A155,""low"")"),1122.0)</f>
        <v>1122</v>
      </c>
      <c r="H155" s="11">
        <f>IFERROR(__xludf.DUMMYFUNCTION("GOOGLEFINANCE(""NSE:"" &amp;$A155,""closeyest"")"),1144.55)</f>
        <v>1144.55</v>
      </c>
      <c r="I155" s="12">
        <f>IFERROR(__xludf.DUMMYFUNCTION("GOOGLEFINANCE(""NSE:"" &amp;$A155,""change"")"),-10.4)</f>
        <v>-10.4</v>
      </c>
      <c r="J155" s="13">
        <f>IFERROR(__xludf.DUMMYFUNCTION("GOOGLEFINANCE(""NSE:"" &amp;$A155,""changepct"")/100"),-0.0091)</f>
        <v>-0.0091</v>
      </c>
      <c r="K155" s="14">
        <f>IFERROR(__xludf.DUMMYFUNCTION("GOOGLEFINANCE(""NSE:"" &amp;$A155,""volume"")"),824665.0)</f>
        <v>824665</v>
      </c>
      <c r="L155" s="13">
        <f>IFERROR(__xludf.DUMMYFUNCTION("$D155/INDEX(GOOGLEFINANCE($A155,""PRICE"",WORKDAY(TODAY(),-L$2)),2,2)-1"),-0.0334498039884098)</f>
        <v>-0.03344980399</v>
      </c>
      <c r="M155" s="13">
        <f>IFERROR(__xludf.DUMMYFUNCTION("$D155/INDEX(GOOGLEFINANCE($A155,""PRICE"",WORKDAY(TODAY(),-M$2)),2,2)-1"),-0.007308533916848936)</f>
        <v>-0.007308533917</v>
      </c>
      <c r="N155" s="11" t="str">
        <f>IFERROR(__xludf.DUMMYFUNCTION("average(INDEX(GOOGLEFINANCE($A155,""PRICE"",WORKDAY(TODAY(),-N$2),today()),,2))"),"#N/A")</f>
        <v>#N/A</v>
      </c>
      <c r="O155" s="11">
        <f>IFERROR(__xludf.DUMMYFUNCTION("average(INDEX(GOOGLEFINANCE($A155,""PRICE"",WORKDAY(TODAY(),-O$2),today()),,2))"),1144.2142857142856)</f>
        <v>1144.214286</v>
      </c>
      <c r="P155" s="15">
        <f>IFERROR(__xludf.DUMMYFUNCTION("GOOGLEFINANCE($A155,""marketcap"")"),1.13549911076E12)</f>
        <v>1135499110760</v>
      </c>
      <c r="Q155" s="16">
        <f>IFERROR(__xludf.DUMMYFUNCTION("IFERROR(GOOGLEFINANCE($A155,""pe""),""-"")"),83.02)</f>
        <v>83.02</v>
      </c>
      <c r="R155" s="16" t="b">
        <f t="shared" si="1"/>
        <v>0</v>
      </c>
      <c r="S155" s="16" t="b">
        <f t="shared" si="2"/>
        <v>0</v>
      </c>
    </row>
    <row r="156">
      <c r="A156" s="17" t="s">
        <v>16</v>
      </c>
      <c r="B156" s="10" t="str">
        <f>IFERROR(__xludf.DUMMYFUNCTION("GOOGLEFINANCE($A156,""name"")"),"State Bank of India")</f>
        <v>State Bank of India</v>
      </c>
      <c r="C156" s="10" t="str">
        <f>IFERROR(__xludf.DUMMYFUNCTION("sparkline(index(GOOGLEFINANCE($A156,""price"",workday(today(),-C$2),today()),,2),{""charttype"",""column"";""color"",""green""})"),"")</f>
        <v/>
      </c>
      <c r="D156" s="11">
        <f>IFERROR(__xludf.DUMMYFUNCTION("GOOGLEFINANCE(""NSE:"" &amp;$A156,""price"")"),499.5)</f>
        <v>499.5</v>
      </c>
      <c r="E156" s="11">
        <f>IFERROR(__xludf.DUMMYFUNCTION("GOOGLEFINANCE(""NSE:"" &amp;$A156,""priceopen"")"),512.9)</f>
        <v>512.9</v>
      </c>
      <c r="F156" s="11">
        <f>IFERROR(__xludf.DUMMYFUNCTION("GOOGLEFINANCE(""NSE:"" &amp;$A156,""high"")"),513.5)</f>
        <v>513.5</v>
      </c>
      <c r="G156" s="11">
        <f>IFERROR(__xludf.DUMMYFUNCTION("GOOGLEFINANCE(""NSE:"" &amp;$A156,""low"")"),499.0)</f>
        <v>499</v>
      </c>
      <c r="H156" s="11">
        <f>IFERROR(__xludf.DUMMYFUNCTION("GOOGLEFINANCE(""NSE:"" &amp;$A156,""closeyest"")"),516.3)</f>
        <v>516.3</v>
      </c>
      <c r="I156" s="12">
        <f>IFERROR(__xludf.DUMMYFUNCTION("GOOGLEFINANCE(""NSE:"" &amp;$A156,""change"")"),-16.8)</f>
        <v>-16.8</v>
      </c>
      <c r="J156" s="13">
        <f>IFERROR(__xludf.DUMMYFUNCTION("GOOGLEFINANCE(""NSE:"" &amp;$A156,""changepct"")/100"),-0.0325)</f>
        <v>-0.0325</v>
      </c>
      <c r="K156" s="14">
        <f>IFERROR(__xludf.DUMMYFUNCTION("GOOGLEFINANCE(""NSE:"" &amp;$A156,""volume"")"),1.6760456E7)</f>
        <v>16760456</v>
      </c>
      <c r="L156" s="13">
        <f>IFERROR(__xludf.DUMMYFUNCTION("$D156/INDEX(GOOGLEFINANCE($A156,""PRICE"",WORKDAY(TODAY(),-L$2)),2,2)-1"),-0.01962708537782143)</f>
        <v>-0.01962708538</v>
      </c>
      <c r="M156" s="13" t="str">
        <f>IFERROR(__xludf.DUMMYFUNCTION("$D156/INDEX(GOOGLEFINANCE($A156,""PRICE"",WORKDAY(TODAY(),-M$2)),2,2)-1"),"#N/A")</f>
        <v>#N/A</v>
      </c>
      <c r="N156" s="11">
        <f>IFERROR(__xludf.DUMMYFUNCTION("average(INDEX(GOOGLEFINANCE($A156,""PRICE"",WORKDAY(TODAY(),-N$2),today()),,2))"),511.72499999999997)</f>
        <v>511.725</v>
      </c>
      <c r="O156" s="11">
        <f>IFERROR(__xludf.DUMMYFUNCTION("average(INDEX(GOOGLEFINANCE($A156,""PRICE"",WORKDAY(TODAY(),-O$2),today()),,2))"),513.1928571428572)</f>
        <v>513.1928571</v>
      </c>
      <c r="P156" s="15">
        <f>IFERROR(__xludf.DUMMYFUNCTION("GOOGLEFINANCE($A156,""marketcap"")"),4.487356460866E12)</f>
        <v>4487356460866</v>
      </c>
      <c r="Q156" s="16">
        <f>IFERROR(__xludf.DUMMYFUNCTION("IFERROR(GOOGLEFINANCE($A156,""pe""),""-"")"),13.95)</f>
        <v>13.95</v>
      </c>
      <c r="R156" s="16" t="b">
        <f t="shared" si="1"/>
        <v>0</v>
      </c>
      <c r="S156" s="16" t="b">
        <f t="shared" si="2"/>
        <v>0</v>
      </c>
    </row>
    <row r="157">
      <c r="A157" s="17" t="s">
        <v>178</v>
      </c>
      <c r="B157" s="10" t="str">
        <f>IFERROR(__xludf.DUMMYFUNCTION("GOOGLEFINANCE($A157,""name"")"),"Shree Cement Limited")</f>
        <v>Shree Cement Limited</v>
      </c>
      <c r="C157" s="10" t="str">
        <f>IFERROR(__xludf.DUMMYFUNCTION("sparkline(index(GOOGLEFINANCE($A157,""price"",workday(today(),-C$2),today()),,2),{""charttype"",""column"";""color"",""green""})"),"")</f>
        <v/>
      </c>
      <c r="D157" s="11">
        <f>IFERROR(__xludf.DUMMYFUNCTION("GOOGLEFINANCE(""NSE:"" &amp;$A157,""price"")"),25901.05)</f>
        <v>25901.05</v>
      </c>
      <c r="E157" s="11">
        <f>IFERROR(__xludf.DUMMYFUNCTION("GOOGLEFINANCE(""NSE:"" &amp;$A157,""priceopen"")"),25801.1)</f>
        <v>25801.1</v>
      </c>
      <c r="F157" s="11">
        <f>IFERROR(__xludf.DUMMYFUNCTION("GOOGLEFINANCE(""NSE:"" &amp;$A157,""high"")"),26015.0)</f>
        <v>26015</v>
      </c>
      <c r="G157" s="11">
        <f>IFERROR(__xludf.DUMMYFUNCTION("GOOGLEFINANCE(""NSE:"" &amp;$A157,""low"")"),25605.85)</f>
        <v>25605.85</v>
      </c>
      <c r="H157" s="11">
        <f>IFERROR(__xludf.DUMMYFUNCTION("GOOGLEFINANCE(""NSE:"" &amp;$A157,""closeyest"")"),26056.55)</f>
        <v>26056.55</v>
      </c>
      <c r="I157" s="12">
        <f>IFERROR(__xludf.DUMMYFUNCTION("GOOGLEFINANCE(""NSE:"" &amp;$A157,""change"")"),-155.5)</f>
        <v>-155.5</v>
      </c>
      <c r="J157" s="13">
        <f>IFERROR(__xludf.DUMMYFUNCTION("GOOGLEFINANCE(""NSE:"" &amp;$A157,""changepct"")/100"),-0.006)</f>
        <v>-0.006</v>
      </c>
      <c r="K157" s="14">
        <f>IFERROR(__xludf.DUMMYFUNCTION("GOOGLEFINANCE(""NSE:"" &amp;$A157,""volume"")"),17334.0)</f>
        <v>17334</v>
      </c>
      <c r="L157" s="13" t="str">
        <f>IFERROR(__xludf.DUMMYFUNCTION("$D157/INDEX(GOOGLEFINANCE($A157,""PRICE"",WORKDAY(TODAY(),-L$2)),2,2)-1"),"#N/A")</f>
        <v>#N/A</v>
      </c>
      <c r="M157" s="13">
        <f>IFERROR(__xludf.DUMMYFUNCTION("$D157/INDEX(GOOGLEFINANCE($A157,""PRICE"",WORKDAY(TODAY(),-M$2)),2,2)-1"),0.02767059533043814)</f>
        <v>0.02767059533</v>
      </c>
      <c r="N157" s="11">
        <f>IFERROR(__xludf.DUMMYFUNCTION("average(INDEX(GOOGLEFINANCE($A157,""PRICE"",WORKDAY(TODAY(),-N$2),today()),,2))"),25516.662500000002)</f>
        <v>25516.6625</v>
      </c>
      <c r="O157" s="11">
        <f>IFERROR(__xludf.DUMMYFUNCTION("average(INDEX(GOOGLEFINANCE($A157,""PRICE"",WORKDAY(TODAY(),-O$2),today()),,2))"),25393.785714285714)</f>
        <v>25393.78571</v>
      </c>
      <c r="P157" s="15">
        <f>IFERROR(__xludf.DUMMYFUNCTION("GOOGLEFINANCE($A157,""marketcap"")"),9.025960216E11)</f>
        <v>902596021600</v>
      </c>
      <c r="Q157" s="16">
        <f>IFERROR(__xludf.DUMMYFUNCTION("IFERROR(GOOGLEFINANCE($A157,""pe""),""-"")"),37.79)</f>
        <v>37.79</v>
      </c>
      <c r="R157" s="16" t="b">
        <f t="shared" si="1"/>
        <v>0</v>
      </c>
      <c r="S157" s="16" t="b">
        <f t="shared" si="2"/>
        <v>0</v>
      </c>
    </row>
    <row r="158">
      <c r="A158" s="17" t="s">
        <v>179</v>
      </c>
      <c r="B158" s="10" t="str">
        <f>IFERROR(__xludf.DUMMYFUNCTION("GOOGLEFINANCE($A158,""name"")"),"Siemens Ltd")</f>
        <v>Siemens Ltd</v>
      </c>
      <c r="C158" s="10" t="str">
        <f>IFERROR(__xludf.DUMMYFUNCTION("sparkline(index(GOOGLEFINANCE($A158,""price"",workday(today(),-C$2),today()),,2),{""charttype"",""column"";""color"",""green""})"),"")</f>
        <v/>
      </c>
      <c r="D158" s="11">
        <f>IFERROR(__xludf.DUMMYFUNCTION("GOOGLEFINANCE(""NSE:"" &amp;$A158,""price"")"),2334.5)</f>
        <v>2334.5</v>
      </c>
      <c r="E158" s="11">
        <f>IFERROR(__xludf.DUMMYFUNCTION("GOOGLEFINANCE(""NSE:"" &amp;$A158,""priceopen"")"),2374.7)</f>
        <v>2374.7</v>
      </c>
      <c r="F158" s="11">
        <f>IFERROR(__xludf.DUMMYFUNCTION("GOOGLEFINANCE(""NSE:"" &amp;$A158,""high"")"),2374.7)</f>
        <v>2374.7</v>
      </c>
      <c r="G158" s="11">
        <f>IFERROR(__xludf.DUMMYFUNCTION("GOOGLEFINANCE(""NSE:"" &amp;$A158,""low"")"),2330.0)</f>
        <v>2330</v>
      </c>
      <c r="H158" s="11">
        <f>IFERROR(__xludf.DUMMYFUNCTION("GOOGLEFINANCE(""NSE:"" &amp;$A158,""closeyest"")"),2379.85)</f>
        <v>2379.85</v>
      </c>
      <c r="I158" s="12">
        <f>IFERROR(__xludf.DUMMYFUNCTION("GOOGLEFINANCE(""NSE:"" &amp;$A158,""change"")"),-45.35)</f>
        <v>-45.35</v>
      </c>
      <c r="J158" s="13">
        <f>IFERROR(__xludf.DUMMYFUNCTION("GOOGLEFINANCE(""NSE:"" &amp;$A158,""changepct"")/100"),-0.0191)</f>
        <v>-0.0191</v>
      </c>
      <c r="K158" s="14">
        <f>IFERROR(__xludf.DUMMYFUNCTION("GOOGLEFINANCE(""NSE:"" &amp;$A158,""volume"")"),101796.0)</f>
        <v>101796</v>
      </c>
      <c r="L158" s="13" t="str">
        <f>IFERROR(__xludf.DUMMYFUNCTION("$D158/INDEX(GOOGLEFINANCE($A158,""PRICE"",WORKDAY(TODAY(),-L$2)),2,2)-1"),"#N/A")</f>
        <v>#N/A</v>
      </c>
      <c r="M158" s="13">
        <f>IFERROR(__xludf.DUMMYFUNCTION("$D158/INDEX(GOOGLEFINANCE($A158,""PRICE"",WORKDAY(TODAY(),-M$2)),2,2)-1"),-0.0660318857394332)</f>
        <v>-0.06603188574</v>
      </c>
      <c r="N158" s="11">
        <f>IFERROR(__xludf.DUMMYFUNCTION("average(INDEX(GOOGLEFINANCE($A158,""PRICE"",WORKDAY(TODAY(),-N$2),today()),,2))"),2397.475)</f>
        <v>2397.475</v>
      </c>
      <c r="O158" s="11">
        <f>IFERROR(__xludf.DUMMYFUNCTION("average(INDEX(GOOGLEFINANCE($A158,""PRICE"",WORKDAY(TODAY(),-O$2),today()),,2))"),2429.5785714285707)</f>
        <v>2429.578571</v>
      </c>
      <c r="P158" s="15">
        <f>IFERROR(__xludf.DUMMYFUNCTION("GOOGLEFINANCE($A158,""marketcap"")"),8.32147387295E11)</f>
        <v>832147387295</v>
      </c>
      <c r="Q158" s="16">
        <f>IFERROR(__xludf.DUMMYFUNCTION("IFERROR(GOOGLEFINANCE($A158,""pe""),""-"")"),79.53)</f>
        <v>79.53</v>
      </c>
      <c r="R158" s="16" t="b">
        <f t="shared" si="1"/>
        <v>0</v>
      </c>
      <c r="S158" s="16" t="b">
        <f t="shared" si="2"/>
        <v>1</v>
      </c>
    </row>
    <row r="159">
      <c r="A159" s="17" t="s">
        <v>180</v>
      </c>
      <c r="B159" s="10" t="str">
        <f>IFERROR(__xludf.DUMMYFUNCTION("GOOGLEFINANCE($A159,""name"")"),"SRF Limited")</f>
        <v>SRF Limited</v>
      </c>
      <c r="C159" s="10" t="str">
        <f>IFERROR(__xludf.DUMMYFUNCTION("sparkline(index(GOOGLEFINANCE($A159,""price"",workday(today(),-C$2),today()),,2),{""charttype"",""column"";""color"",""green""})"),"")</f>
        <v/>
      </c>
      <c r="D159" s="11">
        <f>IFERROR(__xludf.DUMMYFUNCTION("GOOGLEFINANCE(""NSE:"" &amp;$A159,""price"")"),2483.0)</f>
        <v>2483</v>
      </c>
      <c r="E159" s="11">
        <f>IFERROR(__xludf.DUMMYFUNCTION("GOOGLEFINANCE(""NSE:"" &amp;$A159,""priceopen"")"),2510.0)</f>
        <v>2510</v>
      </c>
      <c r="F159" s="11">
        <f>IFERROR(__xludf.DUMMYFUNCTION("GOOGLEFINANCE(""NSE:"" &amp;$A159,""high"")"),2534.9)</f>
        <v>2534.9</v>
      </c>
      <c r="G159" s="11">
        <f>IFERROR(__xludf.DUMMYFUNCTION("GOOGLEFINANCE(""NSE:"" &amp;$A159,""low"")"),2475.0)</f>
        <v>2475</v>
      </c>
      <c r="H159" s="11">
        <f>IFERROR(__xludf.DUMMYFUNCTION("GOOGLEFINANCE(""NSE:"" &amp;$A159,""closeyest"")"),2547.4)</f>
        <v>2547.4</v>
      </c>
      <c r="I159" s="12">
        <f>IFERROR(__xludf.DUMMYFUNCTION("GOOGLEFINANCE(""NSE:"" &amp;$A159,""change"")"),-64.4)</f>
        <v>-64.4</v>
      </c>
      <c r="J159" s="13">
        <f>IFERROR(__xludf.DUMMYFUNCTION("GOOGLEFINANCE(""NSE:"" &amp;$A159,""changepct"")/100"),-0.0253)</f>
        <v>-0.0253</v>
      </c>
      <c r="K159" s="14">
        <f>IFERROR(__xludf.DUMMYFUNCTION("GOOGLEFINANCE(""NSE:"" &amp;$A159,""volume"")"),614298.0)</f>
        <v>614298</v>
      </c>
      <c r="L159" s="13">
        <f>IFERROR(__xludf.DUMMYFUNCTION("$D159/INDEX(GOOGLEFINANCE($A159,""PRICE"",WORKDAY(TODAY(),-L$2)),2,2)-1"),-0.050750262830927984)</f>
        <v>-0.05075026283</v>
      </c>
      <c r="M159" s="13">
        <f>IFERROR(__xludf.DUMMYFUNCTION("$D159/INDEX(GOOGLEFINANCE($A159,""PRICE"",WORKDAY(TODAY(),-M$2)),2,2)-1"),-0.07999555374411804)</f>
        <v>-0.07999555374</v>
      </c>
      <c r="N159" s="11">
        <f>IFERROR(__xludf.DUMMYFUNCTION("average(INDEX(GOOGLEFINANCE($A159,""PRICE"",WORKDAY(TODAY(),-N$2),today()),,2))"),2558.6875)</f>
        <v>2558.6875</v>
      </c>
      <c r="O159" s="11" t="str">
        <f>IFERROR(__xludf.DUMMYFUNCTION("average(INDEX(GOOGLEFINANCE($A159,""PRICE"",WORKDAY(TODAY(),-O$2),today()),,2))"),"#N/A")</f>
        <v>#N/A</v>
      </c>
      <c r="P159" s="15">
        <f>IFERROR(__xludf.DUMMYFUNCTION("GOOGLEFINANCE($A159,""marketcap"")"),7.34908290658E11)</f>
        <v>734908290658</v>
      </c>
      <c r="Q159" s="16">
        <f>IFERROR(__xludf.DUMMYFUNCTION("IFERROR(GOOGLEFINANCE($A159,""pe""),""-"")"),44.2)</f>
        <v>44.2</v>
      </c>
      <c r="R159" s="16" t="b">
        <f t="shared" si="1"/>
        <v>0</v>
      </c>
      <c r="S159" s="16" t="b">
        <f t="shared" si="2"/>
        <v>0</v>
      </c>
    </row>
    <row r="160">
      <c r="A160" s="17" t="s">
        <v>181</v>
      </c>
      <c r="B160" s="10" t="str">
        <f>IFERROR(__xludf.DUMMYFUNCTION("GOOGLEFINANCE($A160,""name"")"),"Shriram Transport Finance Company Ltd.")</f>
        <v>Shriram Transport Finance Company Ltd.</v>
      </c>
      <c r="C160" s="10" t="str">
        <f>IFERROR(__xludf.DUMMYFUNCTION("sparkline(index(GOOGLEFINANCE($A160,""price"",workday(today(),-C$2),today()),,2),{""charttype"",""column"";""color"",""green""})"),"")</f>
        <v/>
      </c>
      <c r="D160" s="11">
        <f>IFERROR(__xludf.DUMMYFUNCTION("GOOGLEFINANCE(""NSE:"" &amp;$A160,""price"")"),1108.75)</f>
        <v>1108.75</v>
      </c>
      <c r="E160" s="11">
        <f>IFERROR(__xludf.DUMMYFUNCTION("GOOGLEFINANCE(""NSE:"" &amp;$A160,""priceopen"")"),1140.0)</f>
        <v>1140</v>
      </c>
      <c r="F160" s="11">
        <f>IFERROR(__xludf.DUMMYFUNCTION("GOOGLEFINANCE(""NSE:"" &amp;$A160,""high"")"),1140.0)</f>
        <v>1140</v>
      </c>
      <c r="G160" s="11">
        <f>IFERROR(__xludf.DUMMYFUNCTION("GOOGLEFINANCE(""NSE:"" &amp;$A160,""low"")"),1100.45)</f>
        <v>1100.45</v>
      </c>
      <c r="H160" s="11">
        <f>IFERROR(__xludf.DUMMYFUNCTION("GOOGLEFINANCE(""NSE:"" &amp;$A160,""closeyest"")"),1150.85)</f>
        <v>1150.85</v>
      </c>
      <c r="I160" s="12">
        <f>IFERROR(__xludf.DUMMYFUNCTION("GOOGLEFINANCE(""NSE:"" &amp;$A160,""change"")"),-42.1)</f>
        <v>-42.1</v>
      </c>
      <c r="J160" s="13">
        <f>IFERROR(__xludf.DUMMYFUNCTION("GOOGLEFINANCE(""NSE:"" &amp;$A160,""changepct"")/100"),-0.0366)</f>
        <v>-0.0366</v>
      </c>
      <c r="K160" s="14">
        <f>IFERROR(__xludf.DUMMYFUNCTION("GOOGLEFINANCE(""NSE:"" &amp;$A160,""volume"")"),886477.0)</f>
        <v>886477</v>
      </c>
      <c r="L160" s="13">
        <f>IFERROR(__xludf.DUMMYFUNCTION("$D160/INDEX(GOOGLEFINANCE($A160,""PRICE"",WORKDAY(TODAY(),-L$2)),2,2)-1"),-0.04767017393171569)</f>
        <v>-0.04767017393</v>
      </c>
      <c r="M160" s="13">
        <f>IFERROR(__xludf.DUMMYFUNCTION("$D160/INDEX(GOOGLEFINANCE($A160,""PRICE"",WORKDAY(TODAY(),-M$2)),2,2)-1"),-0.09386237332461578)</f>
        <v>-0.09386237332</v>
      </c>
      <c r="N160" s="11" t="str">
        <f>IFERROR(__xludf.DUMMYFUNCTION("average(INDEX(GOOGLEFINANCE($A160,""PRICE"",WORKDAY(TODAY(),-N$2),today()),,2))"),"#N/A")</f>
        <v>#N/A</v>
      </c>
      <c r="O160" s="11">
        <f>IFERROR(__xludf.DUMMYFUNCTION("average(INDEX(GOOGLEFINANCE($A160,""PRICE"",WORKDAY(TODAY(),-O$2),today()),,2))"),1162.3428571428572)</f>
        <v>1162.342857</v>
      </c>
      <c r="P160" s="15">
        <f>IFERROR(__xludf.DUMMYFUNCTION("GOOGLEFINANCE($A160,""marketcap"")"),3.01516737E11)</f>
        <v>301516737000</v>
      </c>
      <c r="Q160" s="16">
        <f>IFERROR(__xludf.DUMMYFUNCTION("IFERROR(GOOGLEFINANCE($A160,""pe""),""-"")"),12.08)</f>
        <v>12.08</v>
      </c>
      <c r="R160" s="16" t="b">
        <f t="shared" si="1"/>
        <v>0</v>
      </c>
      <c r="S160" s="16" t="b">
        <f t="shared" si="2"/>
        <v>1</v>
      </c>
    </row>
    <row r="161">
      <c r="A161" s="17" t="s">
        <v>182</v>
      </c>
      <c r="B161" s="10" t="str">
        <f>IFERROR(__xludf.DUMMYFUNCTION("GOOGLEFINANCE($A161,""name"")"),"istar Inc")</f>
        <v>istar Inc</v>
      </c>
      <c r="C161" s="10" t="str">
        <f>IFERROR(__xludf.DUMMYFUNCTION("sparkline(index(GOOGLEFINANCE($A161,""price"",workday(today(),-C$2),today()),,2),{""charttype"",""column"";""color"",""green""})"),"")</f>
        <v/>
      </c>
      <c r="D161" s="11">
        <f>IFERROR(__xludf.DUMMYFUNCTION("GOOGLEFINANCE(""NSE:"" &amp;$A161,""price"")"),335.5)</f>
        <v>335.5</v>
      </c>
      <c r="E161" s="11">
        <f>IFERROR(__xludf.DUMMYFUNCTION("GOOGLEFINANCE(""NSE:"" &amp;$A161,""priceopen"")"),342.65)</f>
        <v>342.65</v>
      </c>
      <c r="F161" s="11">
        <f>IFERROR(__xludf.DUMMYFUNCTION("GOOGLEFINANCE(""NSE:"" &amp;$A161,""high"")"),348.6)</f>
        <v>348.6</v>
      </c>
      <c r="G161" s="11">
        <f>IFERROR(__xludf.DUMMYFUNCTION("GOOGLEFINANCE(""NSE:"" &amp;$A161,""low"")"),333.65)</f>
        <v>333.65</v>
      </c>
      <c r="H161" s="11">
        <f>IFERROR(__xludf.DUMMYFUNCTION("GOOGLEFINANCE(""NSE:"" &amp;$A161,""closeyest"")"),342.45)</f>
        <v>342.45</v>
      </c>
      <c r="I161" s="12">
        <f>IFERROR(__xludf.DUMMYFUNCTION("GOOGLEFINANCE(""NSE:"" &amp;$A161,""change"")"),-6.95)</f>
        <v>-6.95</v>
      </c>
      <c r="J161" s="13">
        <f>IFERROR(__xludf.DUMMYFUNCTION("GOOGLEFINANCE(""NSE:"" &amp;$A161,""changepct"")/100"),-0.0203)</f>
        <v>-0.0203</v>
      </c>
      <c r="K161" s="14">
        <f>IFERROR(__xludf.DUMMYFUNCTION("GOOGLEFINANCE(""NSE:"" &amp;$A161,""volume"")"),653347.0)</f>
        <v>653347</v>
      </c>
      <c r="L161" s="13">
        <f>IFERROR(__xludf.DUMMYFUNCTION("$D161/INDEX(GOOGLEFINANCE($A161,""PRICE"",WORKDAY(TODAY(),-L$2)),2,2)-1"),16.49217935349322)</f>
        <v>16.49217935</v>
      </c>
      <c r="M161" s="13">
        <f>IFERROR(__xludf.DUMMYFUNCTION("$D161/INDEX(GOOGLEFINANCE($A161,""PRICE"",WORKDAY(TODAY(),-M$2)),2,2)-1"),14.50369685767098)</f>
        <v>14.50369686</v>
      </c>
      <c r="N161" s="11" t="str">
        <f>IFERROR(__xludf.DUMMYFUNCTION("average(INDEX(GOOGLEFINANCE($A161,""PRICE"",WORKDAY(TODAY(),-N$2),today()),,2))"),"#N/A")</f>
        <v>#N/A</v>
      </c>
      <c r="O161" s="11">
        <f>IFERROR(__xludf.DUMMYFUNCTION("average(INDEX(GOOGLEFINANCE($A161,""PRICE"",WORKDAY(TODAY(),-O$2),today()),,2))"),19.928888888888892)</f>
        <v>19.92888889</v>
      </c>
      <c r="P161" s="15">
        <f>IFERROR(__xludf.DUMMYFUNCTION("GOOGLEFINANCE($A161,""marketcap"")"),1.412843945E9)</f>
        <v>1412843945</v>
      </c>
      <c r="Q161" s="16" t="str">
        <f>IFERROR(__xludf.DUMMYFUNCTION("IFERROR(GOOGLEFINANCE($A161,""pe""),""-"")"),"-")</f>
        <v>-</v>
      </c>
      <c r="R161" s="16" t="b">
        <f t="shared" si="1"/>
        <v>0</v>
      </c>
      <c r="S161" s="16" t="b">
        <f t="shared" si="2"/>
        <v>0</v>
      </c>
    </row>
    <row r="162">
      <c r="A162" s="17" t="s">
        <v>183</v>
      </c>
      <c r="B162" s="10" t="str">
        <f>IFERROR(__xludf.DUMMYFUNCTION("GOOGLEFINANCE($A162,""name"")"),"Sun Pharmaceutical Industries Limited")</f>
        <v>Sun Pharmaceutical Industries Limited</v>
      </c>
      <c r="C162" s="10" t="str">
        <f>IFERROR(__xludf.DUMMYFUNCTION("sparkline(index(GOOGLEFINANCE($A162,""price"",workday(today(),-C$2),today()),,2),{""charttype"",""column"";""color"",""green""})"),"")</f>
        <v/>
      </c>
      <c r="D162" s="11">
        <f>IFERROR(__xludf.DUMMYFUNCTION("GOOGLEFINANCE(""NSE:"" &amp;$A162,""price"")"),924.95)</f>
        <v>924.95</v>
      </c>
      <c r="E162" s="11">
        <f>IFERROR(__xludf.DUMMYFUNCTION("GOOGLEFINANCE(""NSE:"" &amp;$A162,""priceopen"")"),941.0)</f>
        <v>941</v>
      </c>
      <c r="F162" s="11">
        <f>IFERROR(__xludf.DUMMYFUNCTION("GOOGLEFINANCE(""NSE:"" &amp;$A162,""high"")"),942.25)</f>
        <v>942.25</v>
      </c>
      <c r="G162" s="11">
        <f>IFERROR(__xludf.DUMMYFUNCTION("GOOGLEFINANCE(""NSE:"" &amp;$A162,""low"")"),918.35)</f>
        <v>918.35</v>
      </c>
      <c r="H162" s="11">
        <f>IFERROR(__xludf.DUMMYFUNCTION("GOOGLEFINANCE(""NSE:"" &amp;$A162,""closeyest"")"),944.1)</f>
        <v>944.1</v>
      </c>
      <c r="I162" s="12">
        <f>IFERROR(__xludf.DUMMYFUNCTION("GOOGLEFINANCE(""NSE:"" &amp;$A162,""change"")"),-19.15)</f>
        <v>-19.15</v>
      </c>
      <c r="J162" s="13">
        <f>IFERROR(__xludf.DUMMYFUNCTION("GOOGLEFINANCE(""NSE:"" &amp;$A162,""changepct"")/100"),-0.0203)</f>
        <v>-0.0203</v>
      </c>
      <c r="K162" s="14">
        <f>IFERROR(__xludf.DUMMYFUNCTION("GOOGLEFINANCE(""NSE:"" &amp;$A162,""volume"")"),1745381.0)</f>
        <v>1745381</v>
      </c>
      <c r="L162" s="13">
        <f>IFERROR(__xludf.DUMMYFUNCTION("$D162/INDEX(GOOGLEFINANCE($A162,""PRICE"",WORKDAY(TODAY(),-L$2)),2,2)-1"),-0.0027493261455525664)</f>
        <v>-0.002749326146</v>
      </c>
      <c r="M162" s="13">
        <f>IFERROR(__xludf.DUMMYFUNCTION("$D162/INDEX(GOOGLEFINANCE($A162,""PRICE"",WORKDAY(TODAY(),-M$2)),2,2)-1"),-4.862762048842839E-4)</f>
        <v>-0.0004862762049</v>
      </c>
      <c r="N162" s="11">
        <f>IFERROR(__xludf.DUMMYFUNCTION("average(INDEX(GOOGLEFINANCE($A162,""PRICE"",WORKDAY(TODAY(),-N$2),today()),,2))"),929.275)</f>
        <v>929.275</v>
      </c>
      <c r="O162" s="11" t="str">
        <f>IFERROR(__xludf.DUMMYFUNCTION("average(INDEX(GOOGLEFINANCE($A162,""PRICE"",WORKDAY(TODAY(),-O$2),today()),,2))"),"#N/A")</f>
        <v>#N/A</v>
      </c>
      <c r="P162" s="15">
        <f>IFERROR(__xludf.DUMMYFUNCTION("GOOGLEFINANCE($A162,""marketcap"")"),2.215660407341E12)</f>
        <v>2215660407341</v>
      </c>
      <c r="Q162" s="16">
        <f>IFERROR(__xludf.DUMMYFUNCTION("IFERROR(GOOGLEFINANCE($A162,""pe""),""-"")"),34.49)</f>
        <v>34.49</v>
      </c>
      <c r="R162" s="16" t="b">
        <f t="shared" si="1"/>
        <v>0</v>
      </c>
      <c r="S162" s="16" t="b">
        <f t="shared" si="2"/>
        <v>0</v>
      </c>
    </row>
    <row r="163">
      <c r="A163" s="17" t="s">
        <v>184</v>
      </c>
      <c r="B163" s="10" t="str">
        <f>IFERROR(__xludf.DUMMYFUNCTION("GOOGLEFINANCE($A163,""name"")"),"Sun TV Network Ltd.")</f>
        <v>Sun TV Network Ltd.</v>
      </c>
      <c r="C163" s="10" t="str">
        <f>IFERROR(__xludf.DUMMYFUNCTION("sparkline(index(GOOGLEFINANCE($A163,""price"",workday(today(),-C$2),today()),,2),{""charttype"",""column"";""color"",""green""})"),"")</f>
        <v/>
      </c>
      <c r="D163" s="11">
        <f>IFERROR(__xludf.DUMMYFUNCTION("GOOGLEFINANCE(""NSE:"" &amp;$A163,""price"")"),498.0)</f>
        <v>498</v>
      </c>
      <c r="E163" s="11">
        <f>IFERROR(__xludf.DUMMYFUNCTION("GOOGLEFINANCE(""NSE:"" &amp;$A163,""priceopen"")"),499.9)</f>
        <v>499.9</v>
      </c>
      <c r="F163" s="11">
        <f>IFERROR(__xludf.DUMMYFUNCTION("GOOGLEFINANCE(""NSE:"" &amp;$A163,""high"")"),507.8)</f>
        <v>507.8</v>
      </c>
      <c r="G163" s="11">
        <f>IFERROR(__xludf.DUMMYFUNCTION("GOOGLEFINANCE(""NSE:"" &amp;$A163,""low"")"),495.5)</f>
        <v>495.5</v>
      </c>
      <c r="H163" s="11">
        <f>IFERROR(__xludf.DUMMYFUNCTION("GOOGLEFINANCE(""NSE:"" &amp;$A163,""closeyest"")"),503.55)</f>
        <v>503.55</v>
      </c>
      <c r="I163" s="12">
        <f>IFERROR(__xludf.DUMMYFUNCTION("GOOGLEFINANCE(""NSE:"" &amp;$A163,""change"")"),-5.55)</f>
        <v>-5.55</v>
      </c>
      <c r="J163" s="13">
        <f>IFERROR(__xludf.DUMMYFUNCTION("GOOGLEFINANCE(""NSE:"" &amp;$A163,""changepct"")/100"),-0.011000000000000001)</f>
        <v>-0.011</v>
      </c>
      <c r="K163" s="14">
        <f>IFERROR(__xludf.DUMMYFUNCTION("GOOGLEFINANCE(""NSE:"" &amp;$A163,""volume"")"),712962.0)</f>
        <v>712962</v>
      </c>
      <c r="L163" s="13">
        <f>IFERROR(__xludf.DUMMYFUNCTION("$D163/INDEX(GOOGLEFINANCE($A163,""PRICE"",WORKDAY(TODAY(),-L$2)),2,2)-1"),-0.015129041827350864)</f>
        <v>-0.01512904183</v>
      </c>
      <c r="M163" s="13">
        <f>IFERROR(__xludf.DUMMYFUNCTION("$D163/INDEX(GOOGLEFINANCE($A163,""PRICE"",WORKDAY(TODAY(),-M$2)),2,2)-1"),-0.0598451953936191)</f>
        <v>-0.05984519539</v>
      </c>
      <c r="N163" s="11">
        <f>IFERROR(__xludf.DUMMYFUNCTION("average(INDEX(GOOGLEFINANCE($A163,""PRICE"",WORKDAY(TODAY(),-N$2),today()),,2))"),501.375)</f>
        <v>501.375</v>
      </c>
      <c r="O163" s="11">
        <f>IFERROR(__xludf.DUMMYFUNCTION("average(INDEX(GOOGLEFINANCE($A163,""PRICE"",WORKDAY(TODAY(),-O$2),today()),,2))"),509.0071428571428)</f>
        <v>509.0071429</v>
      </c>
      <c r="P163" s="15">
        <f>IFERROR(__xludf.DUMMYFUNCTION("GOOGLEFINANCE($A163,""marketcap"")"),1.96687924126E11)</f>
        <v>196687924126</v>
      </c>
      <c r="Q163" s="16">
        <f>IFERROR(__xludf.DUMMYFUNCTION("IFERROR(GOOGLEFINANCE($A163,""pe""),""-"")"),11.41)</f>
        <v>11.41</v>
      </c>
      <c r="R163" s="16" t="b">
        <f t="shared" si="1"/>
        <v>0</v>
      </c>
      <c r="S163" s="16" t="b">
        <f t="shared" si="2"/>
        <v>0</v>
      </c>
    </row>
    <row r="164">
      <c r="A164" s="17" t="s">
        <v>185</v>
      </c>
      <c r="B164" s="10" t="str">
        <f>IFERROR(__xludf.DUMMYFUNCTION("GOOGLEFINANCE($A164,""name"")"),"Syngene International Ltd")</f>
        <v>Syngene International Ltd</v>
      </c>
      <c r="C164" s="10" t="str">
        <f>IFERROR(__xludf.DUMMYFUNCTION("sparkline(index(GOOGLEFINANCE($A164,""price"",workday(today(),-C$2),today()),,2),{""charttype"",""column"";""color"",""green""})"),"")</f>
        <v/>
      </c>
      <c r="D164" s="11">
        <f>IFERROR(__xludf.DUMMYFUNCTION("GOOGLEFINANCE(""NSE:"" &amp;$A164,""price"")"),624.1)</f>
        <v>624.1</v>
      </c>
      <c r="E164" s="11">
        <f>IFERROR(__xludf.DUMMYFUNCTION("GOOGLEFINANCE(""NSE:"" &amp;$A164,""priceopen"")"),625.65)</f>
        <v>625.65</v>
      </c>
      <c r="F164" s="11">
        <f>IFERROR(__xludf.DUMMYFUNCTION("GOOGLEFINANCE(""NSE:"" &amp;$A164,""high"")"),634.9)</f>
        <v>634.9</v>
      </c>
      <c r="G164" s="11">
        <f>IFERROR(__xludf.DUMMYFUNCTION("GOOGLEFINANCE(""NSE:"" &amp;$A164,""low"")"),623.5)</f>
        <v>623.5</v>
      </c>
      <c r="H164" s="11">
        <f>IFERROR(__xludf.DUMMYFUNCTION("GOOGLEFINANCE(""NSE:"" &amp;$A164,""closeyest"")"),630.05)</f>
        <v>630.05</v>
      </c>
      <c r="I164" s="12">
        <f>IFERROR(__xludf.DUMMYFUNCTION("GOOGLEFINANCE(""NSE:"" &amp;$A164,""change"")"),-5.95)</f>
        <v>-5.95</v>
      </c>
      <c r="J164" s="13">
        <f>IFERROR(__xludf.DUMMYFUNCTION("GOOGLEFINANCE(""NSE:"" &amp;$A164,""changepct"")/100"),-0.009399999999999999)</f>
        <v>-0.0094</v>
      </c>
      <c r="K164" s="14">
        <f>IFERROR(__xludf.DUMMYFUNCTION("GOOGLEFINANCE(""NSE:"" &amp;$A164,""volume"")"),147875.0)</f>
        <v>147875</v>
      </c>
      <c r="L164" s="13">
        <f>IFERROR(__xludf.DUMMYFUNCTION("$D164/INDEX(GOOGLEFINANCE($A164,""PRICE"",WORKDAY(TODAY(),-L$2)),2,2)-1"),-0.02392868314044405)</f>
        <v>-0.02392868314</v>
      </c>
      <c r="M164" s="13">
        <f>IFERROR(__xludf.DUMMYFUNCTION("$D164/INDEX(GOOGLEFINANCE($A164,""PRICE"",WORKDAY(TODAY(),-M$2)),2,2)-1"),-0.059523809523809534)</f>
        <v>-0.05952380952</v>
      </c>
      <c r="N164" s="11">
        <f>IFERROR(__xludf.DUMMYFUNCTION("average(INDEX(GOOGLEFINANCE($A164,""PRICE"",WORKDAY(TODAY(),-N$2),today()),,2))"),627.85)</f>
        <v>627.85</v>
      </c>
      <c r="O164" s="11">
        <f>IFERROR(__xludf.DUMMYFUNCTION("average(INDEX(GOOGLEFINANCE($A164,""PRICE"",WORKDAY(TODAY(),-O$2),today()),,2))"),636.9928571428572)</f>
        <v>636.9928571</v>
      </c>
      <c r="P164" s="15">
        <f>IFERROR(__xludf.DUMMYFUNCTION("GOOGLEFINANCE($A164,""marketcap"")"),2.43211885305E11)</f>
        <v>243211885305</v>
      </c>
      <c r="Q164" s="16">
        <f>IFERROR(__xludf.DUMMYFUNCTION("IFERROR(GOOGLEFINANCE($A164,""pe""),""-"")"),61.96)</f>
        <v>61.96</v>
      </c>
      <c r="R164" s="16" t="b">
        <f t="shared" si="1"/>
        <v>0</v>
      </c>
      <c r="S164" s="16" t="b">
        <f t="shared" si="2"/>
        <v>0</v>
      </c>
    </row>
    <row r="165">
      <c r="A165" s="17" t="s">
        <v>186</v>
      </c>
      <c r="B165" s="10" t="str">
        <f>IFERROR(__xludf.DUMMYFUNCTION("GOOGLEFINANCE($A165,""name"")"),"Tata Chemicals Limited")</f>
        <v>Tata Chemicals Limited</v>
      </c>
      <c r="C165" s="10" t="str">
        <f>IFERROR(__xludf.DUMMYFUNCTION("sparkline(index(GOOGLEFINANCE($A165,""price"",workday(today(),-C$2),today()),,2),{""charttype"",""column"";""color"",""green""})"),"")</f>
        <v/>
      </c>
      <c r="D165" s="11">
        <f>IFERROR(__xludf.DUMMYFUNCTION("GOOGLEFINANCE(""NSE:"" &amp;$A165,""price"")"),974.0)</f>
        <v>974</v>
      </c>
      <c r="E165" s="11">
        <f>IFERROR(__xludf.DUMMYFUNCTION("GOOGLEFINANCE(""NSE:"" &amp;$A165,""priceopen"")"),980.0)</f>
        <v>980</v>
      </c>
      <c r="F165" s="11">
        <f>IFERROR(__xludf.DUMMYFUNCTION("GOOGLEFINANCE(""NSE:"" &amp;$A165,""high"")"),989.0)</f>
        <v>989</v>
      </c>
      <c r="G165" s="11">
        <f>IFERROR(__xludf.DUMMYFUNCTION("GOOGLEFINANCE(""NSE:"" &amp;$A165,""low"")"),969.6)</f>
        <v>969.6</v>
      </c>
      <c r="H165" s="11">
        <f>IFERROR(__xludf.DUMMYFUNCTION("GOOGLEFINANCE(""NSE:"" &amp;$A165,""closeyest"")"),983.05)</f>
        <v>983.05</v>
      </c>
      <c r="I165" s="12">
        <f>IFERROR(__xludf.DUMMYFUNCTION("GOOGLEFINANCE(""NSE:"" &amp;$A165,""change"")"),-9.05)</f>
        <v>-9.05</v>
      </c>
      <c r="J165" s="13">
        <f>IFERROR(__xludf.DUMMYFUNCTION("GOOGLEFINANCE(""NSE:"" &amp;$A165,""changepct"")/100"),-0.0092)</f>
        <v>-0.0092</v>
      </c>
      <c r="K165" s="14">
        <f>IFERROR(__xludf.DUMMYFUNCTION("GOOGLEFINANCE(""NSE:"" &amp;$A165,""volume"")"),816473.0)</f>
        <v>816473</v>
      </c>
      <c r="L165" s="13">
        <f>IFERROR(__xludf.DUMMYFUNCTION("$D165/INDEX(GOOGLEFINANCE($A165,""PRICE"",WORKDAY(TODAY(),-L$2)),2,2)-1"),-0.014219928141288363)</f>
        <v>-0.01421992814</v>
      </c>
      <c r="M165" s="13">
        <f>IFERROR(__xludf.DUMMYFUNCTION("$D165/INDEX(GOOGLEFINANCE($A165,""PRICE"",WORKDAY(TODAY(),-M$2)),2,2)-1"),-0.0324343118263547)</f>
        <v>-0.03243431183</v>
      </c>
      <c r="N165" s="11">
        <f>IFERROR(__xludf.DUMMYFUNCTION("average(INDEX(GOOGLEFINANCE($A165,""PRICE"",WORKDAY(TODAY(),-N$2),today()),,2))"),977.5)</f>
        <v>977.5</v>
      </c>
      <c r="O165" s="11">
        <f>IFERROR(__xludf.DUMMYFUNCTION("average(INDEX(GOOGLEFINANCE($A165,""PRICE"",WORKDAY(TODAY(),-O$2),today()),,2))"),981.1785714285716)</f>
        <v>981.1785714</v>
      </c>
      <c r="P165" s="15">
        <f>IFERROR(__xludf.DUMMYFUNCTION("GOOGLEFINANCE($A165,""marketcap"")"),2.476723238E11)</f>
        <v>247672323800</v>
      </c>
      <c r="Q165" s="16">
        <f>IFERROR(__xludf.DUMMYFUNCTION("IFERROR(GOOGLEFINANCE($A165,""pe""),""-"")"),29.96)</f>
        <v>29.96</v>
      </c>
      <c r="R165" s="16" t="b">
        <f t="shared" si="1"/>
        <v>0</v>
      </c>
      <c r="S165" s="16" t="b">
        <f t="shared" si="2"/>
        <v>0</v>
      </c>
    </row>
    <row r="166">
      <c r="A166" s="17" t="s">
        <v>187</v>
      </c>
      <c r="B166" s="10" t="str">
        <f>IFERROR(__xludf.DUMMYFUNCTION("GOOGLEFINANCE($A166,""name"")"),"Tata Consumer Products Ltd")</f>
        <v>Tata Consumer Products Ltd</v>
      </c>
      <c r="C166" s="10" t="str">
        <f>IFERROR(__xludf.DUMMYFUNCTION("sparkline(index(GOOGLEFINANCE($A166,""price"",workday(today(),-C$2),today()),,2),{""charttype"",""column"";""color"",""green""})"),"")</f>
        <v/>
      </c>
      <c r="D166" s="11">
        <f>IFERROR(__xludf.DUMMYFUNCTION("GOOGLEFINANCE(""NSE:"" &amp;$A166,""price"")"),811.6)</f>
        <v>811.6</v>
      </c>
      <c r="E166" s="11">
        <f>IFERROR(__xludf.DUMMYFUNCTION("GOOGLEFINANCE(""NSE:"" &amp;$A166,""priceopen"")"),818.0)</f>
        <v>818</v>
      </c>
      <c r="F166" s="11">
        <f>IFERROR(__xludf.DUMMYFUNCTION("GOOGLEFINANCE(""NSE:"" &amp;$A166,""high"")"),821.6)</f>
        <v>821.6</v>
      </c>
      <c r="G166" s="11">
        <f>IFERROR(__xludf.DUMMYFUNCTION("GOOGLEFINANCE(""NSE:"" &amp;$A166,""low"")"),803.1)</f>
        <v>803.1</v>
      </c>
      <c r="H166" s="11">
        <f>IFERROR(__xludf.DUMMYFUNCTION("GOOGLEFINANCE(""NSE:"" &amp;$A166,""closeyest"")"),820.05)</f>
        <v>820.05</v>
      </c>
      <c r="I166" s="12">
        <f>IFERROR(__xludf.DUMMYFUNCTION("GOOGLEFINANCE(""NSE:"" &amp;$A166,""change"")"),-8.45)</f>
        <v>-8.45</v>
      </c>
      <c r="J166" s="13">
        <f>IFERROR(__xludf.DUMMYFUNCTION("GOOGLEFINANCE(""NSE:"" &amp;$A166,""changepct"")/100"),-0.0103)</f>
        <v>-0.0103</v>
      </c>
      <c r="K166" s="14">
        <f>IFERROR(__xludf.DUMMYFUNCTION("GOOGLEFINANCE(""NSE:"" &amp;$A166,""volume"")"),1880668.0)</f>
        <v>1880668</v>
      </c>
      <c r="L166" s="13">
        <f>IFERROR(__xludf.DUMMYFUNCTION("$D166/INDEX(GOOGLEFINANCE($A166,""PRICE"",WORKDAY(TODAY(),-L$2)),2,2)-1"),-0.013012282621914006)</f>
        <v>-0.01301228262</v>
      </c>
      <c r="M166" s="13" t="str">
        <f>IFERROR(__xludf.DUMMYFUNCTION("$D166/INDEX(GOOGLEFINANCE($A166,""PRICE"",WORKDAY(TODAY(),-M$2)),2,2)-1"),"#N/A")</f>
        <v>#N/A</v>
      </c>
      <c r="N166" s="11">
        <f>IFERROR(__xludf.DUMMYFUNCTION("average(INDEX(GOOGLEFINANCE($A166,""PRICE"",WORKDAY(TODAY(),-N$2),today()),,2))"),811.0375000000001)</f>
        <v>811.0375</v>
      </c>
      <c r="O166" s="11">
        <f>IFERROR(__xludf.DUMMYFUNCTION("average(INDEX(GOOGLEFINANCE($A166,""PRICE"",WORKDAY(TODAY(),-O$2),today()),,2))"),813.6214285714286)</f>
        <v>813.6214286</v>
      </c>
      <c r="P166" s="15">
        <f>IFERROR(__xludf.DUMMYFUNCTION("GOOGLEFINANCE($A166,""marketcap"")"),7.34172488131E11)</f>
        <v>734172488131</v>
      </c>
      <c r="Q166" s="16">
        <f>IFERROR(__xludf.DUMMYFUNCTION("IFERROR(GOOGLEFINANCE($A166,""pe""),""-"")"),96.79)</f>
        <v>96.79</v>
      </c>
      <c r="R166" s="16" t="b">
        <f t="shared" si="1"/>
        <v>0</v>
      </c>
      <c r="S166" s="16" t="b">
        <f t="shared" si="2"/>
        <v>0</v>
      </c>
    </row>
    <row r="167">
      <c r="A167" s="17" t="s">
        <v>188</v>
      </c>
      <c r="B167" s="10" t="str">
        <f>IFERROR(__xludf.DUMMYFUNCTION("GOOGLEFINANCE($A167,""name"")"),"Tata Motors Limited Fully Paid Ord. Shrs")</f>
        <v>Tata Motors Limited Fully Paid Ord. Shrs</v>
      </c>
      <c r="C167" s="10" t="str">
        <f>IFERROR(__xludf.DUMMYFUNCTION("sparkline(index(GOOGLEFINANCE($A167,""price"",workday(today(),-C$2),today()),,2),{""charttype"",""column"";""color"",""green""})"),"#N/A")</f>
        <v>#N/A</v>
      </c>
      <c r="D167" s="11">
        <f>IFERROR(__xludf.DUMMYFUNCTION("GOOGLEFINANCE(""NSE:"" &amp;$A167,""price"")"),438.8)</f>
        <v>438.8</v>
      </c>
      <c r="E167" s="11">
        <f>IFERROR(__xludf.DUMMYFUNCTION("GOOGLEFINANCE(""NSE:"" &amp;$A167,""priceopen"")"),442.05)</f>
        <v>442.05</v>
      </c>
      <c r="F167" s="11">
        <f>IFERROR(__xludf.DUMMYFUNCTION("GOOGLEFINANCE(""NSE:"" &amp;$A167,""high"")"),447.25)</f>
        <v>447.25</v>
      </c>
      <c r="G167" s="11">
        <f>IFERROR(__xludf.DUMMYFUNCTION("GOOGLEFINANCE(""NSE:"" &amp;$A167,""low"")"),438.0)</f>
        <v>438</v>
      </c>
      <c r="H167" s="11">
        <f>IFERROR(__xludf.DUMMYFUNCTION("GOOGLEFINANCE(""NSE:"" &amp;$A167,""closeyest"")"),448.05)</f>
        <v>448.05</v>
      </c>
      <c r="I167" s="12">
        <f>IFERROR(__xludf.DUMMYFUNCTION("GOOGLEFINANCE(""NSE:"" &amp;$A167,""change"")"),-9.25)</f>
        <v>-9.25</v>
      </c>
      <c r="J167" s="13">
        <f>IFERROR(__xludf.DUMMYFUNCTION("GOOGLEFINANCE(""NSE:"" &amp;$A167,""changepct"")/100"),-0.0206)</f>
        <v>-0.0206</v>
      </c>
      <c r="K167" s="14">
        <f>IFERROR(__xludf.DUMMYFUNCTION("GOOGLEFINANCE(""NSE:"" &amp;$A167,""volume"")"),1.4362036E7)</f>
        <v>14362036</v>
      </c>
      <c r="L167" s="13">
        <f>IFERROR(__xludf.DUMMYFUNCTION("$D167/INDEX(GOOGLEFINANCE($A167,""PRICE"",WORKDAY(TODAY(),-L$2)),2,2)-1"),0.01152604887044717)</f>
        <v>0.01152604887</v>
      </c>
      <c r="M167" s="13">
        <f>IFERROR(__xludf.DUMMYFUNCTION("$D167/INDEX(GOOGLEFINANCE($A167,""PRICE"",WORKDAY(TODAY(),-M$2)),2,2)-1"),-0.02931091693396748)</f>
        <v>-0.02931091693</v>
      </c>
      <c r="N167" s="11">
        <f>IFERROR(__xludf.DUMMYFUNCTION("average(INDEX(GOOGLEFINANCE($A167,""PRICE"",WORKDAY(TODAY(),-N$2),today()),,2))"),436.8375)</f>
        <v>436.8375</v>
      </c>
      <c r="O167" s="11">
        <f>IFERROR(__xludf.DUMMYFUNCTION("average(INDEX(GOOGLEFINANCE($A167,""PRICE"",WORKDAY(TODAY(),-O$2),today()),,2))"),438.3928571428572)</f>
        <v>438.3928571</v>
      </c>
      <c r="P167" s="15">
        <f>IFERROR(__xludf.DUMMYFUNCTION("GOOGLEFINANCE($A167,""marketcap"")"),2.0040519526E10)</f>
        <v>20040519526</v>
      </c>
      <c r="Q167" s="16" t="str">
        <f>IFERROR(__xludf.DUMMYFUNCTION("IFERROR(GOOGLEFINANCE($A167,""pe""),""-"")"),"-")</f>
        <v>-</v>
      </c>
      <c r="R167" s="16" t="b">
        <f t="shared" si="1"/>
        <v>0</v>
      </c>
      <c r="S167" s="16" t="b">
        <f t="shared" si="2"/>
        <v>0</v>
      </c>
    </row>
    <row r="168">
      <c r="A168" s="17" t="s">
        <v>189</v>
      </c>
      <c r="B168" s="10" t="str">
        <f>IFERROR(__xludf.DUMMYFUNCTION("GOOGLEFINANCE($A168,""name"")"),"Tata Power Company Limited")</f>
        <v>Tata Power Company Limited</v>
      </c>
      <c r="C168" s="10" t="str">
        <f>IFERROR(__xludf.DUMMYFUNCTION("sparkline(index(GOOGLEFINANCE($A168,""price"",workday(today(),-C$2),today()),,2),{""charttype"",""column"";""color"",""green""})"),"")</f>
        <v/>
      </c>
      <c r="D168" s="11">
        <f>IFERROR(__xludf.DUMMYFUNCTION("GOOGLEFINANCE(""NSE:"" &amp;$A168,""price"")"),253.5)</f>
        <v>253.5</v>
      </c>
      <c r="E168" s="11">
        <f>IFERROR(__xludf.DUMMYFUNCTION("GOOGLEFINANCE(""NSE:"" &amp;$A168,""priceopen"")"),258.0)</f>
        <v>258</v>
      </c>
      <c r="F168" s="11">
        <f>IFERROR(__xludf.DUMMYFUNCTION("GOOGLEFINANCE(""NSE:"" &amp;$A168,""high"")"),259.0)</f>
        <v>259</v>
      </c>
      <c r="G168" s="11">
        <f>IFERROR(__xludf.DUMMYFUNCTION("GOOGLEFINANCE(""NSE:"" &amp;$A168,""low"")"),252.3)</f>
        <v>252.3</v>
      </c>
      <c r="H168" s="11">
        <f>IFERROR(__xludf.DUMMYFUNCTION("GOOGLEFINANCE(""NSE:"" &amp;$A168,""closeyest"")"),258.85)</f>
        <v>258.85</v>
      </c>
      <c r="I168" s="12">
        <f>IFERROR(__xludf.DUMMYFUNCTION("GOOGLEFINANCE(""NSE:"" &amp;$A168,""change"")"),-5.35)</f>
        <v>-5.35</v>
      </c>
      <c r="J168" s="13">
        <f>IFERROR(__xludf.DUMMYFUNCTION("GOOGLEFINANCE(""NSE:"" &amp;$A168,""changepct"")/100"),-0.0207)</f>
        <v>-0.0207</v>
      </c>
      <c r="K168" s="14">
        <f>IFERROR(__xludf.DUMMYFUNCTION("GOOGLEFINANCE(""NSE:"" &amp;$A168,""volume"")"),3.0569068E7)</f>
        <v>30569068</v>
      </c>
      <c r="L168" s="13">
        <f>IFERROR(__xludf.DUMMYFUNCTION("$D168/INDEX(GOOGLEFINANCE($A168,""PRICE"",WORKDAY(TODAY(),-L$2)),2,2)-1"),-0.017060876308646722)</f>
        <v>-0.01706087631</v>
      </c>
      <c r="M168" s="13">
        <f>IFERROR(__xludf.DUMMYFUNCTION("$D168/INDEX(GOOGLEFINANCE($A168,""PRICE"",WORKDAY(TODAY(),-M$2)),2,2)-1"),-0.10392364793213138)</f>
        <v>-0.1039236479</v>
      </c>
      <c r="N168" s="11">
        <f>IFERROR(__xludf.DUMMYFUNCTION("average(INDEX(GOOGLEFINANCE($A168,""PRICE"",WORKDAY(TODAY(),-N$2),today()),,2))"),253.2125)</f>
        <v>253.2125</v>
      </c>
      <c r="O168" s="11">
        <f>IFERROR(__xludf.DUMMYFUNCTION("average(INDEX(GOOGLEFINANCE($A168,""PRICE"",WORKDAY(TODAY(),-O$2),today()),,2))"),263.42857142857144)</f>
        <v>263.4285714</v>
      </c>
      <c r="P168" s="15">
        <f>IFERROR(__xludf.DUMMYFUNCTION("GOOGLEFINANCE($A168,""marketcap"")"),7.986871875E11)</f>
        <v>798687187500</v>
      </c>
      <c r="Q168" s="16">
        <f>IFERROR(__xludf.DUMMYFUNCTION("IFERROR(GOOGLEFINANCE($A168,""pe""),""-"")"),46.46)</f>
        <v>46.46</v>
      </c>
      <c r="R168" s="16" t="b">
        <f t="shared" si="1"/>
        <v>0</v>
      </c>
      <c r="S168" s="16" t="b">
        <f t="shared" si="2"/>
        <v>0</v>
      </c>
    </row>
    <row r="169">
      <c r="A169" s="17" t="s">
        <v>190</v>
      </c>
      <c r="B169" s="10" t="str">
        <f>IFERROR(__xludf.DUMMYFUNCTION("GOOGLEFINANCE($A169,""name"")"),"Tata Steel Limited Fully Paid Ord. Shrs")</f>
        <v>Tata Steel Limited Fully Paid Ord. Shrs</v>
      </c>
      <c r="C169" s="10" t="str">
        <f>IFERROR(__xludf.DUMMYFUNCTION("sparkline(index(GOOGLEFINANCE($A169,""price"",workday(today(),-C$2),today()),,2),{""charttype"",""column"";""color"",""green""})"),"")</f>
        <v/>
      </c>
      <c r="D169" s="11">
        <f>IFERROR(__xludf.DUMMYFUNCTION("GOOGLEFINANCE(""NSE:"" &amp;$A169,""price"")"),1278.95)</f>
        <v>1278.95</v>
      </c>
      <c r="E169" s="11">
        <f>IFERROR(__xludf.DUMMYFUNCTION("GOOGLEFINANCE(""NSE:"" &amp;$A169,""priceopen"")"),1301.6)</f>
        <v>1301.6</v>
      </c>
      <c r="F169" s="11">
        <f>IFERROR(__xludf.DUMMYFUNCTION("GOOGLEFINANCE(""NSE:"" &amp;$A169,""high"")"),1311.55)</f>
        <v>1311.55</v>
      </c>
      <c r="G169" s="11">
        <f>IFERROR(__xludf.DUMMYFUNCTION("GOOGLEFINANCE(""NSE:"" &amp;$A169,""low"")"),1273.75)</f>
        <v>1273.75</v>
      </c>
      <c r="H169" s="11">
        <f>IFERROR(__xludf.DUMMYFUNCTION("GOOGLEFINANCE(""NSE:"" &amp;$A169,""closeyest"")"),1302.15)</f>
        <v>1302.15</v>
      </c>
      <c r="I169" s="12">
        <f>IFERROR(__xludf.DUMMYFUNCTION("GOOGLEFINANCE(""NSE:"" &amp;$A169,""change"")"),-23.2)</f>
        <v>-23.2</v>
      </c>
      <c r="J169" s="13">
        <f>IFERROR(__xludf.DUMMYFUNCTION("GOOGLEFINANCE(""NSE:"" &amp;$A169,""changepct"")/100"),-0.0178)</f>
        <v>-0.0178</v>
      </c>
      <c r="K169" s="14">
        <f>IFERROR(__xludf.DUMMYFUNCTION("GOOGLEFINANCE(""NSE:"" &amp;$A169,""volume"")"),5584823.0)</f>
        <v>5584823</v>
      </c>
      <c r="L169" s="13">
        <f>IFERROR(__xludf.DUMMYFUNCTION("$D169/INDEX(GOOGLEFINANCE($A169,""PRICE"",WORKDAY(TODAY(),-L$2)),2,2)-1"),-0.04491822866104089)</f>
        <v>-0.04491822866</v>
      </c>
      <c r="M169" s="13">
        <f>IFERROR(__xludf.DUMMYFUNCTION("$D169/INDEX(GOOGLEFINANCE($A169,""PRICE"",WORKDAY(TODAY(),-M$2)),2,2)-1"),-0.058141247514544525)</f>
        <v>-0.05814124751</v>
      </c>
      <c r="N169" s="11">
        <f>IFERROR(__xludf.DUMMYFUNCTION("average(INDEX(GOOGLEFINANCE($A169,""PRICE"",WORKDAY(TODAY(),-N$2),today()),,2))"),1320.525)</f>
        <v>1320.525</v>
      </c>
      <c r="O169" s="11">
        <f>IFERROR(__xludf.DUMMYFUNCTION("average(INDEX(GOOGLEFINANCE($A169,""PRICE"",WORKDAY(TODAY(),-O$2),today()),,2))"),1325.6785714285713)</f>
        <v>1325.678571</v>
      </c>
      <c r="P169" s="15">
        <f>IFERROR(__xludf.DUMMYFUNCTION("GOOGLEFINANCE($A169,""marketcap"")"),1.57195065975E12)</f>
        <v>1571950659750</v>
      </c>
      <c r="Q169" s="16">
        <f>IFERROR(__xludf.DUMMYFUNCTION("IFERROR(GOOGLEFINANCE($A169,""pe""),""-"")"),3.38)</f>
        <v>3.38</v>
      </c>
      <c r="R169" s="16" t="b">
        <f t="shared" si="1"/>
        <v>0</v>
      </c>
      <c r="S169" s="16" t="b">
        <f t="shared" si="2"/>
        <v>0</v>
      </c>
    </row>
    <row r="170">
      <c r="A170" s="17" t="s">
        <v>191</v>
      </c>
      <c r="B170" s="10" t="str">
        <f>IFERROR(__xludf.DUMMYFUNCTION("GOOGLEFINANCE($A170,""name"")"),"Container Store Group Inc")</f>
        <v>Container Store Group Inc</v>
      </c>
      <c r="C170" s="10" t="str">
        <f>IFERROR(__xludf.DUMMYFUNCTION("sparkline(index(GOOGLEFINANCE($A170,""price"",workday(today(),-C$2),today()),,2),{""charttype"",""column"";""color"",""green""})"),"")</f>
        <v/>
      </c>
      <c r="D170" s="11">
        <f>IFERROR(__xludf.DUMMYFUNCTION("GOOGLEFINANCE(""NSE:"" &amp;$A170,""price"")"),3613.0)</f>
        <v>3613</v>
      </c>
      <c r="E170" s="11">
        <f>IFERROR(__xludf.DUMMYFUNCTION("GOOGLEFINANCE(""NSE:"" &amp;$A170,""priceopen"")"),3581.1)</f>
        <v>3581.1</v>
      </c>
      <c r="F170" s="11">
        <f>IFERROR(__xludf.DUMMYFUNCTION("GOOGLEFINANCE(""NSE:"" &amp;$A170,""high"")"),3617.0)</f>
        <v>3617</v>
      </c>
      <c r="G170" s="11">
        <f>IFERROR(__xludf.DUMMYFUNCTION("GOOGLEFINANCE(""NSE:"" &amp;$A170,""low"")"),3571.5)</f>
        <v>3571.5</v>
      </c>
      <c r="H170" s="11">
        <f>IFERROR(__xludf.DUMMYFUNCTION("GOOGLEFINANCE(""NSE:"" &amp;$A170,""closeyest"")"),3628.65)</f>
        <v>3628.65</v>
      </c>
      <c r="I170" s="12">
        <f>IFERROR(__xludf.DUMMYFUNCTION("GOOGLEFINANCE(""NSE:"" &amp;$A170,""change"")"),-15.65)</f>
        <v>-15.65</v>
      </c>
      <c r="J170" s="13">
        <f>IFERROR(__xludf.DUMMYFUNCTION("GOOGLEFINANCE(""NSE:"" &amp;$A170,""changepct"")/100"),-0.0043)</f>
        <v>-0.0043</v>
      </c>
      <c r="K170" s="14">
        <f>IFERROR(__xludf.DUMMYFUNCTION("GOOGLEFINANCE(""NSE:"" &amp;$A170,""volume"")"),1581465.0)</f>
        <v>1581465</v>
      </c>
      <c r="L170" s="13">
        <f>IFERROR(__xludf.DUMMYFUNCTION("$D170/INDEX(GOOGLEFINANCE($A170,""PRICE"",WORKDAY(TODAY(),-L$2)),2,2)-1"),450.06117353308366)</f>
        <v>450.0611735</v>
      </c>
      <c r="M170" s="13">
        <f>IFERROR(__xludf.DUMMYFUNCTION("$D170/INDEX(GOOGLEFINANCE($A170,""PRICE"",WORKDAY(TODAY(),-M$2)),2,2)-1"),461.6120358514725)</f>
        <v>461.6120359</v>
      </c>
      <c r="N170" s="11">
        <f>IFERROR(__xludf.DUMMYFUNCTION("average(INDEX(GOOGLEFINANCE($A170,""PRICE"",WORKDAY(TODAY(),-N$2),today()),,2))"),8.015)</f>
        <v>8.015</v>
      </c>
      <c r="O170" s="11">
        <f>IFERROR(__xludf.DUMMYFUNCTION("average(INDEX(GOOGLEFINANCE($A170,""PRICE"",WORKDAY(TODAY(),-O$2),today()),,2))"),7.987777777777778)</f>
        <v>7.987777778</v>
      </c>
      <c r="P170" s="15">
        <f>IFERROR(__xludf.DUMMYFUNCTION("GOOGLEFINANCE($A170,""marketcap"")"),3.94417706E8)</f>
        <v>394417706</v>
      </c>
      <c r="Q170" s="16">
        <f>IFERROR(__xludf.DUMMYFUNCTION("IFERROR(GOOGLEFINANCE($A170,""pe""),""-"")"),4.19)</f>
        <v>4.19</v>
      </c>
      <c r="R170" s="16" t="b">
        <f t="shared" si="1"/>
        <v>0</v>
      </c>
      <c r="S170" s="16" t="b">
        <f t="shared" si="2"/>
        <v>0</v>
      </c>
    </row>
    <row r="171">
      <c r="A171" s="17" t="s">
        <v>192</v>
      </c>
      <c r="B171" s="10" t="str">
        <f>IFERROR(__xludf.DUMMYFUNCTION("GOOGLEFINANCE($A171,""name"")"),"Tech Mahindra Ltd")</f>
        <v>Tech Mahindra Ltd</v>
      </c>
      <c r="C171" s="10" t="str">
        <f>IFERROR(__xludf.DUMMYFUNCTION("sparkline(index(GOOGLEFINANCE($A171,""price"",workday(today(),-C$2),today()),,2),{""charttype"",""column"";""color"",""green""})"),"")</f>
        <v/>
      </c>
      <c r="D171" s="11">
        <f>IFERROR(__xludf.DUMMYFUNCTION("GOOGLEFINANCE(""NSE:"" &amp;$A171,""price"")"),1305.0)</f>
        <v>1305</v>
      </c>
      <c r="E171" s="11">
        <f>IFERROR(__xludf.DUMMYFUNCTION("GOOGLEFINANCE(""NSE:"" &amp;$A171,""priceopen"")"),1305.0)</f>
        <v>1305</v>
      </c>
      <c r="F171" s="11">
        <f>IFERROR(__xludf.DUMMYFUNCTION("GOOGLEFINANCE(""NSE:"" &amp;$A171,""high"")"),1324.0)</f>
        <v>1324</v>
      </c>
      <c r="G171" s="11">
        <f>IFERROR(__xludf.DUMMYFUNCTION("GOOGLEFINANCE(""NSE:"" &amp;$A171,""low"")"),1292.85)</f>
        <v>1292.85</v>
      </c>
      <c r="H171" s="11">
        <f>IFERROR(__xludf.DUMMYFUNCTION("GOOGLEFINANCE(""NSE:"" &amp;$A171,""closeyest"")"),1312.7)</f>
        <v>1312.7</v>
      </c>
      <c r="I171" s="12">
        <f>IFERROR(__xludf.DUMMYFUNCTION("GOOGLEFINANCE(""NSE:"" &amp;$A171,""change"")"),-7.7)</f>
        <v>-7.7</v>
      </c>
      <c r="J171" s="13">
        <f>IFERROR(__xludf.DUMMYFUNCTION("GOOGLEFINANCE(""NSE:"" &amp;$A171,""changepct"")/100"),-0.0059)</f>
        <v>-0.0059</v>
      </c>
      <c r="K171" s="14">
        <f>IFERROR(__xludf.DUMMYFUNCTION("GOOGLEFINANCE(""NSE:"" &amp;$A171,""volume"")"),1954666.0)</f>
        <v>1954666</v>
      </c>
      <c r="L171" s="13">
        <f>IFERROR(__xludf.DUMMYFUNCTION("$D171/INDEX(GOOGLEFINANCE($A171,""PRICE"",WORKDAY(TODAY(),-L$2)),2,2)-1"),-0.0294150459261463)</f>
        <v>-0.02941504593</v>
      </c>
      <c r="M171" s="13" t="str">
        <f>IFERROR(__xludf.DUMMYFUNCTION("$D171/INDEX(GOOGLEFINANCE($A171,""PRICE"",WORKDAY(TODAY(),-M$2)),2,2)-1"),"#N/A")</f>
        <v>#N/A</v>
      </c>
      <c r="N171" s="11" t="str">
        <f>IFERROR(__xludf.DUMMYFUNCTION("average(INDEX(GOOGLEFINANCE($A171,""PRICE"",WORKDAY(TODAY(),-N$2),today()),,2))"),"#N/A")</f>
        <v>#N/A</v>
      </c>
      <c r="O171" s="11">
        <f>IFERROR(__xludf.DUMMYFUNCTION("average(INDEX(GOOGLEFINANCE($A171,""PRICE"",WORKDAY(TODAY(),-O$2),today()),,2))"),1363.1857142857145)</f>
        <v>1363.185714</v>
      </c>
      <c r="P171" s="15">
        <f>IFERROR(__xludf.DUMMYFUNCTION("GOOGLEFINANCE($A171,""marketcap"")"),1.262082168243E12)</f>
        <v>1262082168243</v>
      </c>
      <c r="Q171" s="16">
        <f>IFERROR(__xludf.DUMMYFUNCTION("IFERROR(GOOGLEFINANCE($A171,""pe""),""-"")"),22.45)</f>
        <v>22.45</v>
      </c>
      <c r="R171" s="16" t="b">
        <f t="shared" si="1"/>
        <v>0</v>
      </c>
      <c r="S171" s="16" t="b">
        <f t="shared" si="2"/>
        <v>0</v>
      </c>
    </row>
    <row r="172">
      <c r="A172" s="17" t="s">
        <v>193</v>
      </c>
      <c r="B172" s="10" t="str">
        <f>IFERROR(__xludf.DUMMYFUNCTION("GOOGLEFINANCE($A172,""name"")"),"Titanium Oyj")</f>
        <v>Titanium Oyj</v>
      </c>
      <c r="C172" s="10" t="str">
        <f>IFERROR(__xludf.DUMMYFUNCTION("sparkline(index(GOOGLEFINANCE($A172,""price"",workday(today(),-C$2),today()),,2),{""charttype"",""column"";""color"",""green""})"),"")</f>
        <v/>
      </c>
      <c r="D172" s="11">
        <f>IFERROR(__xludf.DUMMYFUNCTION("GOOGLEFINANCE(""NSE:"" &amp;$A172,""price"")"),2504.8)</f>
        <v>2504.8</v>
      </c>
      <c r="E172" s="11">
        <f>IFERROR(__xludf.DUMMYFUNCTION("GOOGLEFINANCE(""NSE:"" &amp;$A172,""priceopen"")"),2515.0)</f>
        <v>2515</v>
      </c>
      <c r="F172" s="11">
        <f>IFERROR(__xludf.DUMMYFUNCTION("GOOGLEFINANCE(""NSE:"" &amp;$A172,""high"")"),2526.45)</f>
        <v>2526.45</v>
      </c>
      <c r="G172" s="11">
        <f>IFERROR(__xludf.DUMMYFUNCTION("GOOGLEFINANCE(""NSE:"" &amp;$A172,""low"")"),2476.5)</f>
        <v>2476.5</v>
      </c>
      <c r="H172" s="11">
        <f>IFERROR(__xludf.DUMMYFUNCTION("GOOGLEFINANCE(""NSE:"" &amp;$A172,""closeyest"")"),2521.0)</f>
        <v>2521</v>
      </c>
      <c r="I172" s="12">
        <f>IFERROR(__xludf.DUMMYFUNCTION("GOOGLEFINANCE(""NSE:"" &amp;$A172,""change"")"),-16.2)</f>
        <v>-16.2</v>
      </c>
      <c r="J172" s="13">
        <f>IFERROR(__xludf.DUMMYFUNCTION("GOOGLEFINANCE(""NSE:"" &amp;$A172,""changepct"")/100"),-0.0064)</f>
        <v>-0.0064</v>
      </c>
      <c r="K172" s="14">
        <f>IFERROR(__xludf.DUMMYFUNCTION("GOOGLEFINANCE(""NSE:"" &amp;$A172,""volume"")"),878780.0)</f>
        <v>878780</v>
      </c>
      <c r="L172" s="13">
        <f>IFERROR(__xludf.DUMMYFUNCTION("$D172/INDEX(GOOGLEFINANCE($A172,""PRICE"",WORKDAY(TODAY(),-L$2)),2,2)-1"),181.8321167883212)</f>
        <v>181.8321168</v>
      </c>
      <c r="M172" s="13">
        <f>IFERROR(__xludf.DUMMYFUNCTION("$D172/INDEX(GOOGLEFINANCE($A172,""PRICE"",WORKDAY(TODAY(),-M$2)),2,2)-1"),177.91428571428574)</f>
        <v>177.9142857</v>
      </c>
      <c r="N172" s="11">
        <f>IFERROR(__xludf.DUMMYFUNCTION("average(INDEX(GOOGLEFINANCE($A172,""PRICE"",WORKDAY(TODAY(),-N$2),today()),,2))"),13.766666666666666)</f>
        <v>13.76666667</v>
      </c>
      <c r="O172" s="11">
        <f>IFERROR(__xludf.DUMMYFUNCTION("average(INDEX(GOOGLEFINANCE($A172,""PRICE"",WORKDAY(TODAY(),-O$2),today()),,2))"),13.706250000000002)</f>
        <v>13.70625</v>
      </c>
      <c r="P172" s="15">
        <f>IFERROR(__xludf.DUMMYFUNCTION("GOOGLEFINANCE($A172,""marketcap"")"),1.41050077E8)</f>
        <v>141050077</v>
      </c>
      <c r="Q172" s="16">
        <f>IFERROR(__xludf.DUMMYFUNCTION("IFERROR(GOOGLEFINANCE($A172,""pe""),""-"")"),15.18)</f>
        <v>15.18</v>
      </c>
      <c r="R172" s="16" t="b">
        <f t="shared" si="1"/>
        <v>0</v>
      </c>
      <c r="S172" s="16" t="b">
        <f t="shared" si="2"/>
        <v>0</v>
      </c>
    </row>
    <row r="173">
      <c r="A173" s="17" t="s">
        <v>194</v>
      </c>
      <c r="B173" s="10" t="str">
        <f>IFERROR(__xludf.DUMMYFUNCTION("GOOGLEFINANCE($A173,""name"")"),"Torrent Pharmaceuticals Ltd")</f>
        <v>Torrent Pharmaceuticals Ltd</v>
      </c>
      <c r="C173" s="10" t="str">
        <f>IFERROR(__xludf.DUMMYFUNCTION("sparkline(index(GOOGLEFINANCE($A173,""price"",workday(today(),-C$2),today()),,2),{""charttype"",""column"";""color"",""green""})"),"")</f>
        <v/>
      </c>
      <c r="D173" s="11">
        <f>IFERROR(__xludf.DUMMYFUNCTION("GOOGLEFINANCE(""NSE:"" &amp;$A173,""price"")"),2749.0)</f>
        <v>2749</v>
      </c>
      <c r="E173" s="11">
        <f>IFERROR(__xludf.DUMMYFUNCTION("GOOGLEFINANCE(""NSE:"" &amp;$A173,""priceopen"")"),2820.0)</f>
        <v>2820</v>
      </c>
      <c r="F173" s="11">
        <f>IFERROR(__xludf.DUMMYFUNCTION("GOOGLEFINANCE(""NSE:"" &amp;$A173,""high"")"),2826.95)</f>
        <v>2826.95</v>
      </c>
      <c r="G173" s="11">
        <f>IFERROR(__xludf.DUMMYFUNCTION("GOOGLEFINANCE(""NSE:"" &amp;$A173,""low"")"),2713.95)</f>
        <v>2713.95</v>
      </c>
      <c r="H173" s="11">
        <f>IFERROR(__xludf.DUMMYFUNCTION("GOOGLEFINANCE(""NSE:"" &amp;$A173,""closeyest"")"),2829.95)</f>
        <v>2829.95</v>
      </c>
      <c r="I173" s="12">
        <f>IFERROR(__xludf.DUMMYFUNCTION("GOOGLEFINANCE(""NSE:"" &amp;$A173,""change"")"),-80.95)</f>
        <v>-80.95</v>
      </c>
      <c r="J173" s="13">
        <f>IFERROR(__xludf.DUMMYFUNCTION("GOOGLEFINANCE(""NSE:"" &amp;$A173,""changepct"")/100"),-0.0286)</f>
        <v>-0.0286</v>
      </c>
      <c r="K173" s="14">
        <f>IFERROR(__xludf.DUMMYFUNCTION("GOOGLEFINANCE(""NSE:"" &amp;$A173,""volume"")"),175983.0)</f>
        <v>175983</v>
      </c>
      <c r="L173" s="13">
        <f>IFERROR(__xludf.DUMMYFUNCTION("$D173/INDEX(GOOGLEFINANCE($A173,""PRICE"",WORKDAY(TODAY(),-L$2)),2,2)-1"),-0.036689210498650815)</f>
        <v>-0.0366892105</v>
      </c>
      <c r="M173" s="13">
        <f>IFERROR(__xludf.DUMMYFUNCTION("$D173/INDEX(GOOGLEFINANCE($A173,""PRICE"",WORKDAY(TODAY(),-M$2)),2,2)-1"),-0.01596506300114542)</f>
        <v>-0.015965063</v>
      </c>
      <c r="N173" s="11">
        <f>IFERROR(__xludf.DUMMYFUNCTION("average(INDEX(GOOGLEFINANCE($A173,""PRICE"",WORKDAY(TODAY(),-N$2),today()),,2))"),2845.9124999999995)</f>
        <v>2845.9125</v>
      </c>
      <c r="O173" s="11">
        <f>IFERROR(__xludf.DUMMYFUNCTION("average(INDEX(GOOGLEFINANCE($A173,""PRICE"",WORKDAY(TODAY(),-O$2),today()),,2))"),2833.3571428571427)</f>
        <v>2833.357143</v>
      </c>
      <c r="P173" s="15">
        <f>IFERROR(__xludf.DUMMYFUNCTION("GOOGLEFINANCE($A173,""marketcap"")"),4.59303979322E11)</f>
        <v>459303979322</v>
      </c>
      <c r="Q173" s="16">
        <f>IFERROR(__xludf.DUMMYFUNCTION("IFERROR(GOOGLEFINANCE($A173,""pe""),""-"")"),38.14)</f>
        <v>38.14</v>
      </c>
      <c r="R173" s="16" t="b">
        <f t="shared" si="1"/>
        <v>0</v>
      </c>
      <c r="S173" s="16" t="b">
        <f t="shared" si="2"/>
        <v>0</v>
      </c>
    </row>
    <row r="174">
      <c r="A174" s="17" t="s">
        <v>195</v>
      </c>
      <c r="B174" s="10" t="str">
        <f>IFERROR(__xludf.DUMMYFUNCTION("GOOGLEFINANCE($A174,""name"")"),"Torrent Power Ltd")</f>
        <v>Torrent Power Ltd</v>
      </c>
      <c r="C174" s="10" t="str">
        <f>IFERROR(__xludf.DUMMYFUNCTION("sparkline(index(GOOGLEFINANCE($A174,""price"",workday(today(),-C$2),today()),,2),{""charttype"",""column"";""color"",""green""})"),"")</f>
        <v/>
      </c>
      <c r="D174" s="11">
        <f>IFERROR(__xludf.DUMMYFUNCTION("GOOGLEFINANCE(""NSE:"" &amp;$A174,""price"")"),541.8)</f>
        <v>541.8</v>
      </c>
      <c r="E174" s="11">
        <f>IFERROR(__xludf.DUMMYFUNCTION("GOOGLEFINANCE(""NSE:"" &amp;$A174,""priceopen"")"),554.85)</f>
        <v>554.85</v>
      </c>
      <c r="F174" s="11">
        <f>IFERROR(__xludf.DUMMYFUNCTION("GOOGLEFINANCE(""NSE:"" &amp;$A174,""high"")"),556.45)</f>
        <v>556.45</v>
      </c>
      <c r="G174" s="11">
        <f>IFERROR(__xludf.DUMMYFUNCTION("GOOGLEFINANCE(""NSE:"" &amp;$A174,""low"")"),538.85)</f>
        <v>538.85</v>
      </c>
      <c r="H174" s="11">
        <f>IFERROR(__xludf.DUMMYFUNCTION("GOOGLEFINANCE(""NSE:"" &amp;$A174,""closeyest"")"),557.65)</f>
        <v>557.65</v>
      </c>
      <c r="I174" s="12">
        <f>IFERROR(__xludf.DUMMYFUNCTION("GOOGLEFINANCE(""NSE:"" &amp;$A174,""change"")"),-15.85)</f>
        <v>-15.85</v>
      </c>
      <c r="J174" s="13">
        <f>IFERROR(__xludf.DUMMYFUNCTION("GOOGLEFINANCE(""NSE:"" &amp;$A174,""changepct"")/100"),-0.028399999999999998)</f>
        <v>-0.0284</v>
      </c>
      <c r="K174" s="14">
        <f>IFERROR(__xludf.DUMMYFUNCTION("GOOGLEFINANCE(""NSE:"" &amp;$A174,""volume"")"),189865.0)</f>
        <v>189865</v>
      </c>
      <c r="L174" s="13">
        <f>IFERROR(__xludf.DUMMYFUNCTION("$D174/INDEX(GOOGLEFINANCE($A174,""PRICE"",WORKDAY(TODAY(),-L$2)),2,2)-1"),-0.05030674846625771)</f>
        <v>-0.05030674847</v>
      </c>
      <c r="M174" s="13">
        <f>IFERROR(__xludf.DUMMYFUNCTION("$D174/INDEX(GOOGLEFINANCE($A174,""PRICE"",WORKDAY(TODAY(),-M$2)),2,2)-1"),-0.032672737011248065)</f>
        <v>-0.03267273701</v>
      </c>
      <c r="N174" s="11">
        <f>IFERROR(__xludf.DUMMYFUNCTION("average(INDEX(GOOGLEFINANCE($A174,""PRICE"",WORKDAY(TODAY(),-N$2),today()),,2))"),556.6)</f>
        <v>556.6</v>
      </c>
      <c r="O174" s="11">
        <f>IFERROR(__xludf.DUMMYFUNCTION("average(INDEX(GOOGLEFINANCE($A174,""PRICE"",WORKDAY(TODAY(),-O$2),today()),,2))"),554.6571428571428)</f>
        <v>554.6571429</v>
      </c>
      <c r="P174" s="15">
        <f>IFERROR(__xludf.DUMMYFUNCTION("GOOGLEFINANCE($A174,""marketcap"")"),2.58697466211E11)</f>
        <v>258697466211</v>
      </c>
      <c r="Q174" s="16">
        <f>IFERROR(__xludf.DUMMYFUNCTION("IFERROR(GOOGLEFINANCE($A174,""pe""),""-"")"),19.45)</f>
        <v>19.45</v>
      </c>
      <c r="R174" s="16" t="b">
        <f t="shared" si="1"/>
        <v>0</v>
      </c>
      <c r="S174" s="16" t="b">
        <f t="shared" si="2"/>
        <v>0</v>
      </c>
    </row>
    <row r="175">
      <c r="A175" s="17" t="s">
        <v>196</v>
      </c>
      <c r="B175" s="10" t="str">
        <f>IFERROR(__xludf.DUMMYFUNCTION("GOOGLEFINANCE($A175,""name"")"),"Trent Ltd")</f>
        <v>Trent Ltd</v>
      </c>
      <c r="C175" s="10" t="str">
        <f>IFERROR(__xludf.DUMMYFUNCTION("sparkline(index(GOOGLEFINANCE($A175,""price"",workday(today(),-C$2),today()),,2),{""charttype"",""column"";""color"",""green""})"),"")</f>
        <v/>
      </c>
      <c r="D175" s="11">
        <f>IFERROR(__xludf.DUMMYFUNCTION("GOOGLEFINANCE(""NSE:"" &amp;$A175,""price"")"),1285.0)</f>
        <v>1285</v>
      </c>
      <c r="E175" s="11">
        <f>IFERROR(__xludf.DUMMYFUNCTION("GOOGLEFINANCE(""NSE:"" &amp;$A175,""priceopen"")"),1283.0)</f>
        <v>1283</v>
      </c>
      <c r="F175" s="11">
        <f>IFERROR(__xludf.DUMMYFUNCTION("GOOGLEFINANCE(""NSE:"" &amp;$A175,""high"")"),1294.0)</f>
        <v>1294</v>
      </c>
      <c r="G175" s="11">
        <f>IFERROR(__xludf.DUMMYFUNCTION("GOOGLEFINANCE(""NSE:"" &amp;$A175,""low"")"),1265.5)</f>
        <v>1265.5</v>
      </c>
      <c r="H175" s="11">
        <f>IFERROR(__xludf.DUMMYFUNCTION("GOOGLEFINANCE(""NSE:"" &amp;$A175,""closeyest"")"),1285.8)</f>
        <v>1285.8</v>
      </c>
      <c r="I175" s="12">
        <f>IFERROR(__xludf.DUMMYFUNCTION("GOOGLEFINANCE(""NSE:"" &amp;$A175,""change"")"),-0.8)</f>
        <v>-0.8</v>
      </c>
      <c r="J175" s="13">
        <f>IFERROR(__xludf.DUMMYFUNCTION("GOOGLEFINANCE(""NSE:"" &amp;$A175,""changepct"")/100"),-6.0E-4)</f>
        <v>-0.0006</v>
      </c>
      <c r="K175" s="14">
        <f>IFERROR(__xludf.DUMMYFUNCTION("GOOGLEFINANCE(""NSE:"" &amp;$A175,""volume"")"),481960.0)</f>
        <v>481960</v>
      </c>
      <c r="L175" s="13">
        <f>IFERROR(__xludf.DUMMYFUNCTION("$D175/INDEX(GOOGLEFINANCE($A175,""PRICE"",WORKDAY(TODAY(),-L$2)),2,2)-1"),0.05026563138536977)</f>
        <v>0.05026563139</v>
      </c>
      <c r="M175" s="13">
        <f>IFERROR(__xludf.DUMMYFUNCTION("$D175/INDEX(GOOGLEFINANCE($A175,""PRICE"",WORKDAY(TODAY(),-M$2)),2,2)-1"),0.003200874385197894)</f>
        <v>0.003200874385</v>
      </c>
      <c r="N175" s="11">
        <f>IFERROR(__xludf.DUMMYFUNCTION("average(INDEX(GOOGLEFINANCE($A175,""PRICE"",WORKDAY(TODAY(),-N$2),today()),,2))"),1255.9125)</f>
        <v>1255.9125</v>
      </c>
      <c r="O175" s="11">
        <f>IFERROR(__xludf.DUMMYFUNCTION("average(INDEX(GOOGLEFINANCE($A175,""PRICE"",WORKDAY(TODAY(),-O$2),today()),,2))"),1255.4071428571426)</f>
        <v>1255.407143</v>
      </c>
      <c r="P175" s="15">
        <f>IFERROR(__xludf.DUMMYFUNCTION("GOOGLEFINANCE($A175,""marketcap"")"),4.505044235E11)</f>
        <v>450504423500</v>
      </c>
      <c r="Q175" s="16">
        <f>IFERROR(__xludf.DUMMYFUNCTION("IFERROR(GOOGLEFINANCE($A175,""pe""),""-"")"),339.46)</f>
        <v>339.46</v>
      </c>
      <c r="R175" s="16" t="b">
        <f t="shared" si="1"/>
        <v>0</v>
      </c>
      <c r="S175" s="16" t="b">
        <f t="shared" si="2"/>
        <v>0</v>
      </c>
    </row>
    <row r="176">
      <c r="A176" s="17" t="s">
        <v>197</v>
      </c>
      <c r="B176" s="10" t="str">
        <f>IFERROR(__xludf.DUMMYFUNCTION("GOOGLEFINANCE($A176,""name"")"),"TVS Motor Company Limited")</f>
        <v>TVS Motor Company Limited</v>
      </c>
      <c r="C176" s="10" t="str">
        <f>IFERROR(__xludf.DUMMYFUNCTION("sparkline(index(GOOGLEFINANCE($A176,""price"",workday(today(),-C$2),today()),,2),{""charttype"",""column"";""color"",""green""})"),"")</f>
        <v/>
      </c>
      <c r="D176" s="11">
        <f>IFERROR(__xludf.DUMMYFUNCTION("GOOGLEFINANCE(""NSE:"" &amp;$A176,""price"")"),647.5)</f>
        <v>647.5</v>
      </c>
      <c r="E176" s="11">
        <f>IFERROR(__xludf.DUMMYFUNCTION("GOOGLEFINANCE(""NSE:"" &amp;$A176,""priceopen"")"),650.9)</f>
        <v>650.9</v>
      </c>
      <c r="F176" s="11">
        <f>IFERROR(__xludf.DUMMYFUNCTION("GOOGLEFINANCE(""NSE:"" &amp;$A176,""high"")"),661.65)</f>
        <v>661.65</v>
      </c>
      <c r="G176" s="11">
        <f>IFERROR(__xludf.DUMMYFUNCTION("GOOGLEFINANCE(""NSE:"" &amp;$A176,""low"")"),629.05)</f>
        <v>629.05</v>
      </c>
      <c r="H176" s="11">
        <f>IFERROR(__xludf.DUMMYFUNCTION("GOOGLEFINANCE(""NSE:"" &amp;$A176,""closeyest"")"),658.2)</f>
        <v>658.2</v>
      </c>
      <c r="I176" s="12">
        <f>IFERROR(__xludf.DUMMYFUNCTION("GOOGLEFINANCE(""NSE:"" &amp;$A176,""change"")"),-10.7)</f>
        <v>-10.7</v>
      </c>
      <c r="J176" s="13">
        <f>IFERROR(__xludf.DUMMYFUNCTION("GOOGLEFINANCE(""NSE:"" &amp;$A176,""changepct"")/100"),-0.0163)</f>
        <v>-0.0163</v>
      </c>
      <c r="K176" s="14">
        <f>IFERROR(__xludf.DUMMYFUNCTION("GOOGLEFINANCE(""NSE:"" &amp;$A176,""volume"")"),1266650.0)</f>
        <v>1266650</v>
      </c>
      <c r="L176" s="13">
        <f>IFERROR(__xludf.DUMMYFUNCTION("$D176/INDEX(GOOGLEFINANCE($A176,""PRICE"",WORKDAY(TODAY(),-L$2)),2,2)-1"),-0.012957317073170715)</f>
        <v>-0.01295731707</v>
      </c>
      <c r="M176" s="13">
        <f>IFERROR(__xludf.DUMMYFUNCTION("$D176/INDEX(GOOGLEFINANCE($A176,""PRICE"",WORKDAY(TODAY(),-M$2)),2,2)-1"),-0.005299946232429575)</f>
        <v>-0.005299946232</v>
      </c>
      <c r="N176" s="11">
        <f>IFERROR(__xludf.DUMMYFUNCTION("average(INDEX(GOOGLEFINANCE($A176,""PRICE"",WORKDAY(TODAY(),-N$2),today()),,2))"),651.625)</f>
        <v>651.625</v>
      </c>
      <c r="O176" s="11">
        <f>IFERROR(__xludf.DUMMYFUNCTION("average(INDEX(GOOGLEFINANCE($A176,""PRICE"",WORKDAY(TODAY(),-O$2),today()),,2))"),651.1071428571429)</f>
        <v>651.1071429</v>
      </c>
      <c r="P176" s="15">
        <f>IFERROR(__xludf.DUMMYFUNCTION("GOOGLEFINANCE($A176,""marketcap"")"),3.02379392E11)</f>
        <v>302379392000</v>
      </c>
      <c r="Q176" s="16">
        <f>IFERROR(__xludf.DUMMYFUNCTION("IFERROR(GOOGLEFINANCE($A176,""pe""),""-"")"),38.95)</f>
        <v>38.95</v>
      </c>
      <c r="R176" s="16" t="b">
        <f t="shared" si="1"/>
        <v>0</v>
      </c>
      <c r="S176" s="16" t="b">
        <f t="shared" si="2"/>
        <v>0</v>
      </c>
    </row>
    <row r="177">
      <c r="A177" s="17" t="s">
        <v>198</v>
      </c>
      <c r="B177" s="10" t="str">
        <f>IFERROR(__xludf.DUMMYFUNCTION("GOOGLEFINANCE($A177,""name"")"),"United Breweries Limited")</f>
        <v>United Breweries Limited</v>
      </c>
      <c r="C177" s="10" t="str">
        <f>IFERROR(__xludf.DUMMYFUNCTION("sparkline(index(GOOGLEFINANCE($A177,""price"",workday(today(),-C$2),today()),,2),{""charttype"",""column"";""color"",""green""})"),"#N/A")</f>
        <v>#N/A</v>
      </c>
      <c r="D177" s="11">
        <f>IFERROR(__xludf.DUMMYFUNCTION("GOOGLEFINANCE(""NSE:"" &amp;$A177,""price"")"),1543.0)</f>
        <v>1543</v>
      </c>
      <c r="E177" s="11">
        <f>IFERROR(__xludf.DUMMYFUNCTION("GOOGLEFINANCE(""NSE:"" &amp;$A177,""priceopen"")"),1483.6)</f>
        <v>1483.6</v>
      </c>
      <c r="F177" s="11">
        <f>IFERROR(__xludf.DUMMYFUNCTION("GOOGLEFINANCE(""NSE:"" &amp;$A177,""high"")"),1563.55)</f>
        <v>1563.55</v>
      </c>
      <c r="G177" s="11">
        <f>IFERROR(__xludf.DUMMYFUNCTION("GOOGLEFINANCE(""NSE:"" &amp;$A177,""low"")"),1467.2)</f>
        <v>1467.2</v>
      </c>
      <c r="H177" s="11">
        <f>IFERROR(__xludf.DUMMYFUNCTION("GOOGLEFINANCE(""NSE:"" &amp;$A177,""closeyest"")"),1483.6)</f>
        <v>1483.6</v>
      </c>
      <c r="I177" s="12">
        <f>IFERROR(__xludf.DUMMYFUNCTION("GOOGLEFINANCE(""NSE:"" &amp;$A177,""change"")"),59.4)</f>
        <v>59.4</v>
      </c>
      <c r="J177" s="13">
        <f>IFERROR(__xludf.DUMMYFUNCTION("GOOGLEFINANCE(""NSE:"" &amp;$A177,""changepct"")/100"),0.04)</f>
        <v>0.04</v>
      </c>
      <c r="K177" s="14">
        <f>IFERROR(__xludf.DUMMYFUNCTION("GOOGLEFINANCE(""NSE:"" &amp;$A177,""volume"")"),1153370.0)</f>
        <v>1153370</v>
      </c>
      <c r="L177" s="13">
        <f>IFERROR(__xludf.DUMMYFUNCTION("$D177/INDEX(GOOGLEFINANCE($A177,""PRICE"",WORKDAY(TODAY(),-L$2)),2,2)-1"),0.022836498624507096)</f>
        <v>0.02283649862</v>
      </c>
      <c r="M177" s="13">
        <f>IFERROR(__xludf.DUMMYFUNCTION("$D177/INDEX(GOOGLEFINANCE($A177,""PRICE"",WORKDAY(TODAY(),-M$2)),2,2)-1"),-0.020161930465153244)</f>
        <v>-0.02016193047</v>
      </c>
      <c r="N177" s="11">
        <f>IFERROR(__xludf.DUMMYFUNCTION("average(INDEX(GOOGLEFINANCE($A177,""PRICE"",WORKDAY(TODAY(),-N$2),today()),,2))"),1483.8375)</f>
        <v>1483.8375</v>
      </c>
      <c r="O177" s="11">
        <f>IFERROR(__xludf.DUMMYFUNCTION("average(INDEX(GOOGLEFINANCE($A177,""PRICE"",WORKDAY(TODAY(),-O$2),today()),,2))"),1511.2571428571428)</f>
        <v>1511.257143</v>
      </c>
      <c r="P177" s="15">
        <f>IFERROR(__xludf.DUMMYFUNCTION("GOOGLEFINANCE($A177,""marketcap"")"),4.02489680274E11)</f>
        <v>402489680274</v>
      </c>
      <c r="Q177" s="16">
        <f>IFERROR(__xludf.DUMMYFUNCTION("IFERROR(GOOGLEFINANCE($A177,""pe""),""-"")"),136.38)</f>
        <v>136.38</v>
      </c>
      <c r="R177" s="16" t="b">
        <f t="shared" si="1"/>
        <v>0</v>
      </c>
      <c r="S177" s="16" t="b">
        <f t="shared" si="2"/>
        <v>0</v>
      </c>
    </row>
    <row r="178">
      <c r="A178" s="17" t="s">
        <v>199</v>
      </c>
      <c r="B178" s="10" t="str">
        <f>IFERROR(__xludf.DUMMYFUNCTION("GOOGLEFINANCE($A178,""name"")"),"UltraTech Cement Ltd")</f>
        <v>UltraTech Cement Ltd</v>
      </c>
      <c r="C178" s="10" t="str">
        <f>IFERROR(__xludf.DUMMYFUNCTION("sparkline(index(GOOGLEFINANCE($A178,""price"",workday(today(),-C$2),today()),,2),{""charttype"",""column"";""color"",""green""})"),"#N/A")</f>
        <v>#N/A</v>
      </c>
      <c r="D178" s="11">
        <f>IFERROR(__xludf.DUMMYFUNCTION("GOOGLEFINANCE(""NSE:"" &amp;$A178,""price"")"),6740.95)</f>
        <v>6740.95</v>
      </c>
      <c r="E178" s="11">
        <f>IFERROR(__xludf.DUMMYFUNCTION("GOOGLEFINANCE(""NSE:"" &amp;$A178,""priceopen"")"),6800.0)</f>
        <v>6800</v>
      </c>
      <c r="F178" s="11">
        <f>IFERROR(__xludf.DUMMYFUNCTION("GOOGLEFINANCE(""NSE:"" &amp;$A178,""high"")"),6809.95)</f>
        <v>6809.95</v>
      </c>
      <c r="G178" s="11">
        <f>IFERROR(__xludf.DUMMYFUNCTION("GOOGLEFINANCE(""NSE:"" &amp;$A178,""low"")"),6710.1)</f>
        <v>6710.1</v>
      </c>
      <c r="H178" s="11">
        <f>IFERROR(__xludf.DUMMYFUNCTION("GOOGLEFINANCE(""NSE:"" &amp;$A178,""closeyest"")"),6846.5)</f>
        <v>6846.5</v>
      </c>
      <c r="I178" s="12">
        <f>IFERROR(__xludf.DUMMYFUNCTION("GOOGLEFINANCE(""NSE:"" &amp;$A178,""change"")"),-105.55)</f>
        <v>-105.55</v>
      </c>
      <c r="J178" s="13">
        <f>IFERROR(__xludf.DUMMYFUNCTION("GOOGLEFINANCE(""NSE:"" &amp;$A178,""changepct"")/100"),-0.0154)</f>
        <v>-0.0154</v>
      </c>
      <c r="K178" s="14">
        <f>IFERROR(__xludf.DUMMYFUNCTION("GOOGLEFINANCE(""NSE:"" &amp;$A178,""volume"")"),237385.0)</f>
        <v>237385</v>
      </c>
      <c r="L178" s="13">
        <f>IFERROR(__xludf.DUMMYFUNCTION("$D178/INDEX(GOOGLEFINANCE($A178,""PRICE"",WORKDAY(TODAY(),-L$2)),2,2)-1"),0.015264473763479725)</f>
        <v>0.01526447376</v>
      </c>
      <c r="M178" s="13">
        <f>IFERROR(__xludf.DUMMYFUNCTION("$D178/INDEX(GOOGLEFINANCE($A178,""PRICE"",WORKDAY(TODAY(),-M$2)),2,2)-1"),-0.01717514124293784)</f>
        <v>-0.01717514124</v>
      </c>
      <c r="N178" s="11" t="str">
        <f>IFERROR(__xludf.DUMMYFUNCTION("average(INDEX(GOOGLEFINANCE($A178,""PRICE"",WORKDAY(TODAY(),-N$2),today()),,2))"),"#N/A")</f>
        <v>#N/A</v>
      </c>
      <c r="O178" s="11">
        <f>IFERROR(__xludf.DUMMYFUNCTION("average(INDEX(GOOGLEFINANCE($A178,""PRICE"",WORKDAY(TODAY(),-O$2),today()),,2))"),6749.0428571428565)</f>
        <v>6749.042857</v>
      </c>
      <c r="P178" s="15">
        <f>IFERROR(__xludf.DUMMYFUNCTION("GOOGLEFINANCE($A178,""marketcap"")"),1.88181580558E12)</f>
        <v>1881815805580</v>
      </c>
      <c r="Q178" s="16">
        <f>IFERROR(__xludf.DUMMYFUNCTION("IFERROR(GOOGLEFINANCE($A178,""pe""),""-"")"),29.93)</f>
        <v>29.93</v>
      </c>
      <c r="R178" s="16" t="b">
        <f t="shared" si="1"/>
        <v>0</v>
      </c>
      <c r="S178" s="16" t="b">
        <f t="shared" si="2"/>
        <v>0</v>
      </c>
    </row>
    <row r="179">
      <c r="A179" s="17" t="s">
        <v>200</v>
      </c>
      <c r="B179" s="10" t="str">
        <f>IFERROR(__xludf.DUMMYFUNCTION("GOOGLEFINANCE($A179,""name"")"),"Upland Resources Ltd")</f>
        <v>Upland Resources Ltd</v>
      </c>
      <c r="C179" s="10" t="str">
        <f>IFERROR(__xludf.DUMMYFUNCTION("sparkline(index(GOOGLEFINANCE($A179,""price"",workday(today(),-C$2),today()),,2),{""charttype"",""column"";""color"",""green""})"),"")</f>
        <v/>
      </c>
      <c r="D179" s="11">
        <f>IFERROR(__xludf.DUMMYFUNCTION("GOOGLEFINANCE(""NSE:"" &amp;$A179,""price"")"),816.2)</f>
        <v>816.2</v>
      </c>
      <c r="E179" s="11">
        <f>IFERROR(__xludf.DUMMYFUNCTION("GOOGLEFINANCE(""NSE:"" &amp;$A179,""priceopen"")"),828.9)</f>
        <v>828.9</v>
      </c>
      <c r="F179" s="11">
        <f>IFERROR(__xludf.DUMMYFUNCTION("GOOGLEFINANCE(""NSE:"" &amp;$A179,""high"")"),828.9)</f>
        <v>828.9</v>
      </c>
      <c r="G179" s="11">
        <f>IFERROR(__xludf.DUMMYFUNCTION("GOOGLEFINANCE(""NSE:"" &amp;$A179,""low"")"),811.3)</f>
        <v>811.3</v>
      </c>
      <c r="H179" s="11">
        <f>IFERROR(__xludf.DUMMYFUNCTION("GOOGLEFINANCE(""NSE:"" &amp;$A179,""closeyest"")"),829.15)</f>
        <v>829.15</v>
      </c>
      <c r="I179" s="12">
        <f>IFERROR(__xludf.DUMMYFUNCTION("GOOGLEFINANCE(""NSE:"" &amp;$A179,""change"")"),-12.95)</f>
        <v>-12.95</v>
      </c>
      <c r="J179" s="13">
        <f>IFERROR(__xludf.DUMMYFUNCTION("GOOGLEFINANCE(""NSE:"" &amp;$A179,""changepct"")/100"),-0.015600000000000001)</f>
        <v>-0.0156</v>
      </c>
      <c r="K179" s="14">
        <f>IFERROR(__xludf.DUMMYFUNCTION("GOOGLEFINANCE(""NSE:"" &amp;$A179,""volume"")"),3147260.0)</f>
        <v>3147260</v>
      </c>
      <c r="L179" s="13" t="str">
        <f>IFERROR(__xludf.DUMMYFUNCTION("$D179/INDEX(GOOGLEFINANCE($A179,""PRICE"",WORKDAY(TODAY(),-L$2)),2,2)-1"),"#N/A")</f>
        <v>#N/A</v>
      </c>
      <c r="M179" s="13" t="str">
        <f>IFERROR(__xludf.DUMMYFUNCTION("$D179/INDEX(GOOGLEFINANCE($A179,""PRICE"",WORKDAY(TODAY(),-M$2)),2,2)-1"),"#N/A")</f>
        <v>#N/A</v>
      </c>
      <c r="N179" s="11" t="str">
        <f>IFERROR(__xludf.DUMMYFUNCTION("average(INDEX(GOOGLEFINANCE($A179,""PRICE"",WORKDAY(TODAY(),-N$2),today()),,2))"),"#N/A")</f>
        <v>#N/A</v>
      </c>
      <c r="O179" s="11" t="str">
        <f>IFERROR(__xludf.DUMMYFUNCTION("average(INDEX(GOOGLEFINANCE($A179,""PRICE"",WORKDAY(TODAY(),-O$2),today()),,2))"),"#N/A")</f>
        <v>#N/A</v>
      </c>
      <c r="P179" s="15">
        <f>IFERROR(__xludf.DUMMYFUNCTION("GOOGLEFINANCE($A179,""marketcap"")"),1878500.0)</f>
        <v>1878500</v>
      </c>
      <c r="Q179" s="16" t="str">
        <f>IFERROR(__xludf.DUMMYFUNCTION("IFERROR(GOOGLEFINANCE($A179,""pe""),""-"")"),"-")</f>
        <v>-</v>
      </c>
      <c r="R179" s="16" t="b">
        <f t="shared" si="1"/>
        <v>0</v>
      </c>
      <c r="S179" s="16" t="b">
        <f t="shared" si="2"/>
        <v>1</v>
      </c>
    </row>
    <row r="180">
      <c r="A180" s="17" t="s">
        <v>201</v>
      </c>
      <c r="B180" s="10" t="str">
        <f>IFERROR(__xludf.DUMMYFUNCTION("GOOGLEFINANCE($A180,""name"")"),"Vedanta Ltd")</f>
        <v>Vedanta Ltd</v>
      </c>
      <c r="C180" s="10" t="str">
        <f>IFERROR(__xludf.DUMMYFUNCTION("sparkline(index(GOOGLEFINANCE($A180,""price"",workday(today(),-C$2),today()),,2),{""charttype"",""column"";""color"",""green""})"),"")</f>
        <v/>
      </c>
      <c r="D180" s="11">
        <f>IFERROR(__xludf.DUMMYFUNCTION("GOOGLEFINANCE(""NSE:"" &amp;$A180,""price"")"),417.75)</f>
        <v>417.75</v>
      </c>
      <c r="E180" s="11">
        <f>IFERROR(__xludf.DUMMYFUNCTION("GOOGLEFINANCE(""NSE:"" &amp;$A180,""priceopen"")"),419.9)</f>
        <v>419.9</v>
      </c>
      <c r="F180" s="11">
        <f>IFERROR(__xludf.DUMMYFUNCTION("GOOGLEFINANCE(""NSE:"" &amp;$A180,""high"")"),424.95)</f>
        <v>424.95</v>
      </c>
      <c r="G180" s="11">
        <f>IFERROR(__xludf.DUMMYFUNCTION("GOOGLEFINANCE(""NSE:"" &amp;$A180,""low"")"),414.8)</f>
        <v>414.8</v>
      </c>
      <c r="H180" s="11">
        <f>IFERROR(__xludf.DUMMYFUNCTION("GOOGLEFINANCE(""NSE:"" &amp;$A180,""closeyest"")"),424.95)</f>
        <v>424.95</v>
      </c>
      <c r="I180" s="12">
        <f>IFERROR(__xludf.DUMMYFUNCTION("GOOGLEFINANCE(""NSE:"" &amp;$A180,""change"")"),-7.2)</f>
        <v>-7.2</v>
      </c>
      <c r="J180" s="13">
        <f>IFERROR(__xludf.DUMMYFUNCTION("GOOGLEFINANCE(""NSE:"" &amp;$A180,""changepct"")/100"),-0.0169)</f>
        <v>-0.0169</v>
      </c>
      <c r="K180" s="14">
        <f>IFERROR(__xludf.DUMMYFUNCTION("GOOGLEFINANCE(""NSE:"" &amp;$A180,""volume"")"),4288543.0)</f>
        <v>4288543</v>
      </c>
      <c r="L180" s="13">
        <f>IFERROR(__xludf.DUMMYFUNCTION("$D180/INDEX(GOOGLEFINANCE($A180,""PRICE"",WORKDAY(TODAY(),-L$2)),2,2)-1"),-0.01508900153247672)</f>
        <v>-0.01508900153</v>
      </c>
      <c r="M180" s="13">
        <f>IFERROR(__xludf.DUMMYFUNCTION("$D180/INDEX(GOOGLEFINANCE($A180,""PRICE"",WORKDAY(TODAY(),-M$2)),2,2)-1"),-0.04568817818389492)</f>
        <v>-0.04568817818</v>
      </c>
      <c r="N180" s="11">
        <f>IFERROR(__xludf.DUMMYFUNCTION("average(INDEX(GOOGLEFINANCE($A180,""PRICE"",WORKDAY(TODAY(),-N$2),today()),,2))"),424.6375)</f>
        <v>424.6375</v>
      </c>
      <c r="O180" s="11">
        <f>IFERROR(__xludf.DUMMYFUNCTION("average(INDEX(GOOGLEFINANCE($A180,""PRICE"",WORKDAY(TODAY(),-O$2),today()),,2))"),425.5857142857143)</f>
        <v>425.5857143</v>
      </c>
      <c r="P180" s="15">
        <f>IFERROR(__xludf.DUMMYFUNCTION("GOOGLEFINANCE($A180,""marketcap"")"),1.563103958222E12)</f>
        <v>1563103958222</v>
      </c>
      <c r="Q180" s="16">
        <f>IFERROR(__xludf.DUMMYFUNCTION("IFERROR(GOOGLEFINANCE($A180,""pe""),""-"")"),8.07)</f>
        <v>8.07</v>
      </c>
      <c r="R180" s="16" t="b">
        <f t="shared" si="1"/>
        <v>0</v>
      </c>
      <c r="S180" s="16" t="b">
        <f t="shared" si="2"/>
        <v>0</v>
      </c>
    </row>
    <row r="181">
      <c r="A181" s="17" t="s">
        <v>202</v>
      </c>
      <c r="B181" s="10" t="str">
        <f>IFERROR(__xludf.DUMMYFUNCTION("GOOGLEFINANCE($A181,""name"")"),"Voltas Limited")</f>
        <v>Voltas Limited</v>
      </c>
      <c r="C181" s="10" t="str">
        <f>IFERROR(__xludf.DUMMYFUNCTION("sparkline(index(GOOGLEFINANCE($A181,""price"",workday(today(),-C$2),today()),,2),{""charttype"",""column"";""color"",""green""})"),"")</f>
        <v/>
      </c>
      <c r="D181" s="11">
        <f>IFERROR(__xludf.DUMMYFUNCTION("GOOGLEFINANCE(""NSE:"" &amp;$A181,""price"")"),1250.0)</f>
        <v>1250</v>
      </c>
      <c r="E181" s="11">
        <f>IFERROR(__xludf.DUMMYFUNCTION("GOOGLEFINANCE(""NSE:"" &amp;$A181,""priceopen"")"),1254.05)</f>
        <v>1254.05</v>
      </c>
      <c r="F181" s="11">
        <f>IFERROR(__xludf.DUMMYFUNCTION("GOOGLEFINANCE(""NSE:"" &amp;$A181,""high"")"),1271.45)</f>
        <v>1271.45</v>
      </c>
      <c r="G181" s="11">
        <f>IFERROR(__xludf.DUMMYFUNCTION("GOOGLEFINANCE(""NSE:"" &amp;$A181,""low"")"),1249.0)</f>
        <v>1249</v>
      </c>
      <c r="H181" s="11">
        <f>IFERROR(__xludf.DUMMYFUNCTION("GOOGLEFINANCE(""NSE:"" &amp;$A181,""closeyest"")"),1265.95)</f>
        <v>1265.95</v>
      </c>
      <c r="I181" s="12">
        <f>IFERROR(__xludf.DUMMYFUNCTION("GOOGLEFINANCE(""NSE:"" &amp;$A181,""change"")"),-15.95)</f>
        <v>-15.95</v>
      </c>
      <c r="J181" s="13">
        <f>IFERROR(__xludf.DUMMYFUNCTION("GOOGLEFINANCE(""NSE:"" &amp;$A181,""changepct"")/100"),-0.0126)</f>
        <v>-0.0126</v>
      </c>
      <c r="K181" s="14">
        <f>IFERROR(__xludf.DUMMYFUNCTION("GOOGLEFINANCE(""NSE:"" &amp;$A181,""volume"")"),876987.0)</f>
        <v>876987</v>
      </c>
      <c r="L181" s="13">
        <f>IFERROR(__xludf.DUMMYFUNCTION("$D181/INDEX(GOOGLEFINANCE($A181,""PRICE"",WORKDAY(TODAY(),-L$2)),2,2)-1"),0.002204850671477354)</f>
        <v>0.002204850671</v>
      </c>
      <c r="M181" s="13">
        <f>IFERROR(__xludf.DUMMYFUNCTION("$D181/INDEX(GOOGLEFINANCE($A181,""PRICE"",WORKDAY(TODAY(),-M$2)),2,2)-1"),-0.040712175281071294)</f>
        <v>-0.04071217528</v>
      </c>
      <c r="N181" s="11" t="str">
        <f>IFERROR(__xludf.DUMMYFUNCTION("average(INDEX(GOOGLEFINANCE($A181,""PRICE"",WORKDAY(TODAY(),-N$2),today()),,2))"),"#N/A")</f>
        <v>#N/A</v>
      </c>
      <c r="O181" s="11">
        <f>IFERROR(__xludf.DUMMYFUNCTION("average(INDEX(GOOGLEFINANCE($A181,""PRICE"",WORKDAY(TODAY(),-O$2),today()),,2))"),1274.2)</f>
        <v>1274.2</v>
      </c>
      <c r="P181" s="15">
        <f>IFERROR(__xludf.DUMMYFUNCTION("GOOGLEFINANCE($A181,""marketcap"")"),4.12347368912E11)</f>
        <v>412347368912</v>
      </c>
      <c r="Q181" s="16">
        <f>IFERROR(__xludf.DUMMYFUNCTION("IFERROR(GOOGLEFINANCE($A181,""pe""),""-"")"),74.03)</f>
        <v>74.03</v>
      </c>
      <c r="R181" s="16" t="b">
        <f t="shared" si="1"/>
        <v>0</v>
      </c>
      <c r="S181" s="16" t="b">
        <f t="shared" si="2"/>
        <v>0</v>
      </c>
    </row>
    <row r="182">
      <c r="A182" s="17" t="s">
        <v>203</v>
      </c>
      <c r="B182" s="10" t="str">
        <f>IFERROR(__xludf.DUMMYFUNCTION("GOOGLEFINANCE($A182,""name"")"),"Wipro Limited")</f>
        <v>Wipro Limited</v>
      </c>
      <c r="C182" s="10" t="str">
        <f>IFERROR(__xludf.DUMMYFUNCTION("sparkline(index(GOOGLEFINANCE($A182,""price"",workday(today(),-C$2),today()),,2),{""charttype"",""column"";""color"",""green""})"),"")</f>
        <v/>
      </c>
      <c r="D182" s="11">
        <f>IFERROR(__xludf.DUMMYFUNCTION("GOOGLEFINANCE(""NSE:"" &amp;$A182,""price"")"),537.8)</f>
        <v>537.8</v>
      </c>
      <c r="E182" s="11">
        <f>IFERROR(__xludf.DUMMYFUNCTION("GOOGLEFINANCE(""NSE:"" &amp;$A182,""priceopen"")"),535.0)</f>
        <v>535</v>
      </c>
      <c r="F182" s="11">
        <f>IFERROR(__xludf.DUMMYFUNCTION("GOOGLEFINANCE(""NSE:"" &amp;$A182,""high"")"),540.85)</f>
        <v>540.85</v>
      </c>
      <c r="G182" s="11">
        <f>IFERROR(__xludf.DUMMYFUNCTION("GOOGLEFINANCE(""NSE:"" &amp;$A182,""low"")"),530.65)</f>
        <v>530.65</v>
      </c>
      <c r="H182" s="11">
        <f>IFERROR(__xludf.DUMMYFUNCTION("GOOGLEFINANCE(""NSE:"" &amp;$A182,""closeyest"")"),539.2)</f>
        <v>539.2</v>
      </c>
      <c r="I182" s="12">
        <f>IFERROR(__xludf.DUMMYFUNCTION("GOOGLEFINANCE(""NSE:"" &amp;$A182,""change"")"),-1.4)</f>
        <v>-1.4</v>
      </c>
      <c r="J182" s="13">
        <f>IFERROR(__xludf.DUMMYFUNCTION("GOOGLEFINANCE(""NSE:"" &amp;$A182,""changepct"")/100"),-0.0026)</f>
        <v>-0.0026</v>
      </c>
      <c r="K182" s="14">
        <f>IFERROR(__xludf.DUMMYFUNCTION("GOOGLEFINANCE(""NSE:"" &amp;$A182,""volume"")"),4891212.0)</f>
        <v>4891212</v>
      </c>
      <c r="L182" s="13">
        <f>IFERROR(__xludf.DUMMYFUNCTION("$D182/INDEX(GOOGLEFINANCE($A182,""PRICE"",WORKDAY(TODAY(),-L$2)),2,2)-1"),-0.0014853323431118781)</f>
        <v>-0.001485332343</v>
      </c>
      <c r="M182" s="13">
        <f>IFERROR(__xludf.DUMMYFUNCTION("$D182/INDEX(GOOGLEFINANCE($A182,""PRICE"",WORKDAY(TODAY(),-M$2)),2,2)-1"),-0.05830852740325698)</f>
        <v>-0.0583085274</v>
      </c>
      <c r="N182" s="11">
        <f>IFERROR(__xludf.DUMMYFUNCTION("average(INDEX(GOOGLEFINANCE($A182,""PRICE"",WORKDAY(TODAY(),-N$2),today()),,2))"),536.1875)</f>
        <v>536.1875</v>
      </c>
      <c r="O182" s="11">
        <f>IFERROR(__xludf.DUMMYFUNCTION("average(INDEX(GOOGLEFINANCE($A182,""PRICE"",WORKDAY(TODAY(),-O$2),today()),,2))"),547.6785714285714)</f>
        <v>547.6785714</v>
      </c>
      <c r="P182" s="15">
        <f>IFERROR(__xludf.DUMMYFUNCTION("GOOGLEFINANCE($A182,""marketcap"")"),3.817507372E10)</f>
        <v>38175073720</v>
      </c>
      <c r="Q182" s="16">
        <f>IFERROR(__xludf.DUMMYFUNCTION("IFERROR(GOOGLEFINANCE($A182,""pe""),""-"")"),24.4)</f>
        <v>24.4</v>
      </c>
      <c r="R182" s="16" t="b">
        <f t="shared" si="1"/>
        <v>0</v>
      </c>
      <c r="S182" s="16" t="b">
        <f t="shared" si="2"/>
        <v>0</v>
      </c>
    </row>
    <row r="183">
      <c r="A183" s="17" t="s">
        <v>204</v>
      </c>
      <c r="B183" s="10" t="str">
        <f>IFERROR(__xludf.DUMMYFUNCTION("GOOGLEFINANCE($A183,""name"")"),"Zee Entertainment Enterprises Limited Fully Paid Ord. Shrs")</f>
        <v>Zee Entertainment Enterprises Limited Fully Paid Ord. Shrs</v>
      </c>
      <c r="C183" s="10" t="str">
        <f>IFERROR(__xludf.DUMMYFUNCTION("sparkline(index(GOOGLEFINANCE($A183,""price"",workday(today(),-C$2),today()),,2),{""charttype"",""column"";""color"",""green""})"),"")</f>
        <v/>
      </c>
      <c r="D183" s="11">
        <f>IFERROR(__xludf.DUMMYFUNCTION("GOOGLEFINANCE(""NSE:"" &amp;$A183,""price"")"),270.4)</f>
        <v>270.4</v>
      </c>
      <c r="E183" s="11">
        <f>IFERROR(__xludf.DUMMYFUNCTION("GOOGLEFINANCE(""NSE:"" &amp;$A183,""priceopen"")"),265.1)</f>
        <v>265.1</v>
      </c>
      <c r="F183" s="11">
        <f>IFERROR(__xludf.DUMMYFUNCTION("GOOGLEFINANCE(""NSE:"" &amp;$A183,""high"")"),276.45)</f>
        <v>276.45</v>
      </c>
      <c r="G183" s="11">
        <f>IFERROR(__xludf.DUMMYFUNCTION("GOOGLEFINANCE(""NSE:"" &amp;$A183,""low"")"),264.0)</f>
        <v>264</v>
      </c>
      <c r="H183" s="11">
        <f>IFERROR(__xludf.DUMMYFUNCTION("GOOGLEFINANCE(""NSE:"" &amp;$A183,""closeyest"")"),266.95)</f>
        <v>266.95</v>
      </c>
      <c r="I183" s="12">
        <f>IFERROR(__xludf.DUMMYFUNCTION("GOOGLEFINANCE(""NSE:"" &amp;$A183,""change"")"),3.45)</f>
        <v>3.45</v>
      </c>
      <c r="J183" s="13">
        <f>IFERROR(__xludf.DUMMYFUNCTION("GOOGLEFINANCE(""NSE:"" &amp;$A183,""changepct"")/100"),0.0129)</f>
        <v>0.0129</v>
      </c>
      <c r="K183" s="14">
        <f>IFERROR(__xludf.DUMMYFUNCTION("GOOGLEFINANCE(""NSE:"" &amp;$A183,""volume"")"),1.2008805E7)</f>
        <v>12008805</v>
      </c>
      <c r="L183" s="13">
        <f>IFERROR(__xludf.DUMMYFUNCTION("$D183/INDEX(GOOGLEFINANCE($A183,""PRICE"",WORKDAY(TODAY(),-L$2)),2,2)-1"),-0.013678643078606556)</f>
        <v>-0.01367864308</v>
      </c>
      <c r="M183" s="13" t="str">
        <f>IFERROR(__xludf.DUMMYFUNCTION("$D183/INDEX(GOOGLEFINANCE($A183,""PRICE"",WORKDAY(TODAY(),-M$2)),2,2)-1"),"#N/A")</f>
        <v>#N/A</v>
      </c>
      <c r="N183" s="11">
        <f>IFERROR(__xludf.DUMMYFUNCTION("average(INDEX(GOOGLEFINANCE($A183,""PRICE"",WORKDAY(TODAY(),-N$2),today()),,2))"),268.59999999999997)</f>
        <v>268.6</v>
      </c>
      <c r="O183" s="11">
        <f>IFERROR(__xludf.DUMMYFUNCTION("average(INDEX(GOOGLEFINANCE($A183,""PRICE"",WORKDAY(TODAY(),-O$2),today()),,2))"),275.2571428571429)</f>
        <v>275.2571429</v>
      </c>
      <c r="P183" s="15">
        <f>IFERROR(__xludf.DUMMYFUNCTION("GOOGLEFINANCE($A183,""marketcap"")"),2.61679783373E11)</f>
        <v>261679783373</v>
      </c>
      <c r="Q183" s="16">
        <f>IFERROR(__xludf.DUMMYFUNCTION("IFERROR(GOOGLEFINANCE($A183,""pe""),""-"")"),24.54)</f>
        <v>24.54</v>
      </c>
      <c r="R183" s="16" t="b">
        <f t="shared" si="1"/>
        <v>0</v>
      </c>
      <c r="S183" s="16" t="b">
        <f t="shared" si="2"/>
        <v>0</v>
      </c>
    </row>
  </sheetData>
  <autoFilter ref="$A$1:$S$183"/>
  <mergeCells count="2">
    <mergeCell ref="L1:M1"/>
    <mergeCell ref="N1:O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63"/>
    <col customWidth="1" min="2" max="2" width="7.5"/>
    <col customWidth="1" min="3" max="3" width="10.25"/>
    <col customWidth="1" min="4" max="5" width="18.63"/>
    <col customWidth="1" min="6" max="6" width="8.38"/>
  </cols>
  <sheetData>
    <row r="1">
      <c r="A1" s="18" t="s">
        <v>205</v>
      </c>
    </row>
    <row r="2">
      <c r="B2" s="19"/>
      <c r="C2" s="20" t="s">
        <v>206</v>
      </c>
      <c r="D2" s="20" t="s">
        <v>207</v>
      </c>
      <c r="E2" s="20" t="s">
        <v>208</v>
      </c>
      <c r="F2" s="19"/>
    </row>
    <row r="3">
      <c r="B3" s="19"/>
      <c r="C3" s="19"/>
      <c r="D3" s="21" t="s">
        <v>209</v>
      </c>
      <c r="E3" s="21" t="s">
        <v>209</v>
      </c>
      <c r="F3" s="19"/>
    </row>
    <row r="4">
      <c r="B4" s="19"/>
      <c r="C4" s="22" t="s">
        <v>86</v>
      </c>
      <c r="D4" s="23">
        <f>E4-20</f>
        <v>44653</v>
      </c>
      <c r="E4" s="23">
        <f>today()</f>
        <v>44673</v>
      </c>
      <c r="F4" s="19"/>
    </row>
    <row r="5">
      <c r="A5" s="24" t="str">
        <f>IFERROR(__xludf.DUMMYFUNCTION("GOOGLEFINANCE($C$4,""all"",$D$4,$E$4,""daily"")"),"Date")</f>
        <v>Date</v>
      </c>
      <c r="B5" s="24" t="str">
        <f>IFERROR(__xludf.DUMMYFUNCTION("""COMPUTED_VALUE"""),"Open")</f>
        <v>Open</v>
      </c>
      <c r="C5" s="24" t="str">
        <f>IFERROR(__xludf.DUMMYFUNCTION("""COMPUTED_VALUE"""),"High")</f>
        <v>High</v>
      </c>
      <c r="D5" s="24" t="str">
        <f>IFERROR(__xludf.DUMMYFUNCTION("""COMPUTED_VALUE"""),"Low")</f>
        <v>Low</v>
      </c>
      <c r="E5" s="24" t="str">
        <f>IFERROR(__xludf.DUMMYFUNCTION("""COMPUTED_VALUE"""),"Close")</f>
        <v>Close</v>
      </c>
      <c r="F5" s="24" t="str">
        <f>IFERROR(__xludf.DUMMYFUNCTION("""COMPUTED_VALUE"""),"Volume")</f>
        <v>Volume</v>
      </c>
    </row>
    <row r="6">
      <c r="A6" s="25">
        <f>IFERROR(__xludf.DUMMYFUNCTION("""COMPUTED_VALUE"""),44655.64583333333)</f>
        <v>44655.64583</v>
      </c>
      <c r="B6" s="19">
        <f>IFERROR(__xludf.DUMMYFUNCTION("""COMPUTED_VALUE"""),452.0)</f>
        <v>452</v>
      </c>
      <c r="C6" s="19">
        <f>IFERROR(__xludf.DUMMYFUNCTION("""COMPUTED_VALUE"""),462.0)</f>
        <v>462</v>
      </c>
      <c r="D6" s="19">
        <f>IFERROR(__xludf.DUMMYFUNCTION("""COMPUTED_VALUE"""),450.85)</f>
        <v>450.85</v>
      </c>
      <c r="E6" s="19">
        <f>IFERROR(__xludf.DUMMYFUNCTION("""COMPUTED_VALUE"""),460.25)</f>
        <v>460.25</v>
      </c>
      <c r="F6" s="19">
        <f>IFERROR(__xludf.DUMMYFUNCTION("""COMPUTED_VALUE"""),527875.0)</f>
        <v>527875</v>
      </c>
    </row>
    <row r="7">
      <c r="A7" s="25">
        <f>IFERROR(__xludf.DUMMYFUNCTION("""COMPUTED_VALUE"""),44656.64583333333)</f>
        <v>44656.64583</v>
      </c>
      <c r="B7" s="19">
        <f>IFERROR(__xludf.DUMMYFUNCTION("""COMPUTED_VALUE"""),464.25)</f>
        <v>464.25</v>
      </c>
      <c r="C7" s="19">
        <f>IFERROR(__xludf.DUMMYFUNCTION("""COMPUTED_VALUE"""),477.2)</f>
        <v>477.2</v>
      </c>
      <c r="D7" s="19">
        <f>IFERROR(__xludf.DUMMYFUNCTION("""COMPUTED_VALUE"""),464.0)</f>
        <v>464</v>
      </c>
      <c r="E7" s="19">
        <f>IFERROR(__xludf.DUMMYFUNCTION("""COMPUTED_VALUE"""),470.15)</f>
        <v>470.15</v>
      </c>
      <c r="F7" s="19">
        <f>IFERROR(__xludf.DUMMYFUNCTION("""COMPUTED_VALUE"""),1658676.0)</f>
        <v>1658676</v>
      </c>
    </row>
    <row r="8">
      <c r="A8" s="25">
        <f>IFERROR(__xludf.DUMMYFUNCTION("""COMPUTED_VALUE"""),44657.64583333333)</f>
        <v>44657.64583</v>
      </c>
      <c r="B8" s="19">
        <f>IFERROR(__xludf.DUMMYFUNCTION("""COMPUTED_VALUE"""),470.1)</f>
        <v>470.1</v>
      </c>
      <c r="C8" s="19">
        <f>IFERROR(__xludf.DUMMYFUNCTION("""COMPUTED_VALUE"""),479.3)</f>
        <v>479.3</v>
      </c>
      <c r="D8" s="19">
        <f>IFERROR(__xludf.DUMMYFUNCTION("""COMPUTED_VALUE"""),469.1)</f>
        <v>469.1</v>
      </c>
      <c r="E8" s="19">
        <f>IFERROR(__xludf.DUMMYFUNCTION("""COMPUTED_VALUE"""),475.1)</f>
        <v>475.1</v>
      </c>
      <c r="F8" s="19">
        <f>IFERROR(__xludf.DUMMYFUNCTION("""COMPUTED_VALUE"""),1010358.0)</f>
        <v>1010358</v>
      </c>
    </row>
    <row r="9">
      <c r="A9" s="25">
        <f>IFERROR(__xludf.DUMMYFUNCTION("""COMPUTED_VALUE"""),44658.64583333333)</f>
        <v>44658.64583</v>
      </c>
      <c r="B9" s="19">
        <f>IFERROR(__xludf.DUMMYFUNCTION("""COMPUTED_VALUE"""),476.05)</f>
        <v>476.05</v>
      </c>
      <c r="C9" s="19">
        <f>IFERROR(__xludf.DUMMYFUNCTION("""COMPUTED_VALUE"""),484.5)</f>
        <v>484.5</v>
      </c>
      <c r="D9" s="19">
        <f>IFERROR(__xludf.DUMMYFUNCTION("""COMPUTED_VALUE"""),474.5)</f>
        <v>474.5</v>
      </c>
      <c r="E9" s="19">
        <f>IFERROR(__xludf.DUMMYFUNCTION("""COMPUTED_VALUE"""),477.1)</f>
        <v>477.1</v>
      </c>
      <c r="F9" s="19">
        <f>IFERROR(__xludf.DUMMYFUNCTION("""COMPUTED_VALUE"""),856330.0)</f>
        <v>856330</v>
      </c>
    </row>
    <row r="10">
      <c r="A10" s="25">
        <f>IFERROR(__xludf.DUMMYFUNCTION("""COMPUTED_VALUE"""),44659.64583333333)</f>
        <v>44659.64583</v>
      </c>
      <c r="B10" s="19">
        <f>IFERROR(__xludf.DUMMYFUNCTION("""COMPUTED_VALUE"""),479.5)</f>
        <v>479.5</v>
      </c>
      <c r="C10" s="19">
        <f>IFERROR(__xludf.DUMMYFUNCTION("""COMPUTED_VALUE"""),482.2)</f>
        <v>482.2</v>
      </c>
      <c r="D10" s="19">
        <f>IFERROR(__xludf.DUMMYFUNCTION("""COMPUTED_VALUE"""),474.05)</f>
        <v>474.05</v>
      </c>
      <c r="E10" s="19">
        <f>IFERROR(__xludf.DUMMYFUNCTION("""COMPUTED_VALUE"""),479.15)</f>
        <v>479.15</v>
      </c>
      <c r="F10" s="19">
        <f>IFERROR(__xludf.DUMMYFUNCTION("""COMPUTED_VALUE"""),411284.0)</f>
        <v>411284</v>
      </c>
    </row>
    <row r="11">
      <c r="A11" s="25">
        <f>IFERROR(__xludf.DUMMYFUNCTION("""COMPUTED_VALUE"""),44662.64583333333)</f>
        <v>44662.64583</v>
      </c>
      <c r="B11" s="19">
        <f>IFERROR(__xludf.DUMMYFUNCTION("""COMPUTED_VALUE"""),480.0)</f>
        <v>480</v>
      </c>
      <c r="C11" s="19">
        <f>IFERROR(__xludf.DUMMYFUNCTION("""COMPUTED_VALUE"""),487.55)</f>
        <v>487.55</v>
      </c>
      <c r="D11" s="19">
        <f>IFERROR(__xludf.DUMMYFUNCTION("""COMPUTED_VALUE"""),475.1)</f>
        <v>475.1</v>
      </c>
      <c r="E11" s="19">
        <f>IFERROR(__xludf.DUMMYFUNCTION("""COMPUTED_VALUE"""),478.05)</f>
        <v>478.05</v>
      </c>
      <c r="F11" s="19">
        <f>IFERROR(__xludf.DUMMYFUNCTION("""COMPUTED_VALUE"""),721944.0)</f>
        <v>721944</v>
      </c>
    </row>
    <row r="12">
      <c r="A12" s="25">
        <f>IFERROR(__xludf.DUMMYFUNCTION("""COMPUTED_VALUE"""),44663.64583333333)</f>
        <v>44663.64583</v>
      </c>
      <c r="B12" s="19">
        <f>IFERROR(__xludf.DUMMYFUNCTION("""COMPUTED_VALUE"""),477.55)</f>
        <v>477.55</v>
      </c>
      <c r="C12" s="19">
        <f>IFERROR(__xludf.DUMMYFUNCTION("""COMPUTED_VALUE"""),480.4)</f>
        <v>480.4</v>
      </c>
      <c r="D12" s="19">
        <f>IFERROR(__xludf.DUMMYFUNCTION("""COMPUTED_VALUE"""),468.4)</f>
        <v>468.4</v>
      </c>
      <c r="E12" s="19">
        <f>IFERROR(__xludf.DUMMYFUNCTION("""COMPUTED_VALUE"""),475.2)</f>
        <v>475.2</v>
      </c>
      <c r="F12" s="19">
        <f>IFERROR(__xludf.DUMMYFUNCTION("""COMPUTED_VALUE"""),540513.0)</f>
        <v>540513</v>
      </c>
    </row>
    <row r="13">
      <c r="A13" s="25">
        <f>IFERROR(__xludf.DUMMYFUNCTION("""COMPUTED_VALUE"""),44664.64583333333)</f>
        <v>44664.64583</v>
      </c>
      <c r="B13" s="19">
        <f>IFERROR(__xludf.DUMMYFUNCTION("""COMPUTED_VALUE"""),477.65)</f>
        <v>477.65</v>
      </c>
      <c r="C13" s="19">
        <f>IFERROR(__xludf.DUMMYFUNCTION("""COMPUTED_VALUE"""),482.5)</f>
        <v>482.5</v>
      </c>
      <c r="D13" s="19">
        <f>IFERROR(__xludf.DUMMYFUNCTION("""COMPUTED_VALUE"""),472.5)</f>
        <v>472.5</v>
      </c>
      <c r="E13" s="19">
        <f>IFERROR(__xludf.DUMMYFUNCTION("""COMPUTED_VALUE"""),477.8)</f>
        <v>477.8</v>
      </c>
      <c r="F13" s="19">
        <f>IFERROR(__xludf.DUMMYFUNCTION("""COMPUTED_VALUE"""),402633.0)</f>
        <v>402633</v>
      </c>
    </row>
    <row r="14">
      <c r="A14" s="25">
        <f>IFERROR(__xludf.DUMMYFUNCTION("""COMPUTED_VALUE"""),44669.64583333333)</f>
        <v>44669.64583</v>
      </c>
      <c r="B14" s="19">
        <f>IFERROR(__xludf.DUMMYFUNCTION("""COMPUTED_VALUE"""),477.8)</f>
        <v>477.8</v>
      </c>
      <c r="C14" s="19">
        <f>IFERROR(__xludf.DUMMYFUNCTION("""COMPUTED_VALUE"""),478.55)</f>
        <v>478.55</v>
      </c>
      <c r="D14" s="19">
        <f>IFERROR(__xludf.DUMMYFUNCTION("""COMPUTED_VALUE"""),466.1)</f>
        <v>466.1</v>
      </c>
      <c r="E14" s="19">
        <f>IFERROR(__xludf.DUMMYFUNCTION("""COMPUTED_VALUE"""),467.95)</f>
        <v>467.95</v>
      </c>
      <c r="F14" s="19">
        <f>IFERROR(__xludf.DUMMYFUNCTION("""COMPUTED_VALUE"""),561005.0)</f>
        <v>561005</v>
      </c>
    </row>
    <row r="15">
      <c r="A15" s="25">
        <f>IFERROR(__xludf.DUMMYFUNCTION("""COMPUTED_VALUE"""),44670.64583333333)</f>
        <v>44670.64583</v>
      </c>
      <c r="B15" s="19">
        <f>IFERROR(__xludf.DUMMYFUNCTION("""COMPUTED_VALUE"""),468.0)</f>
        <v>468</v>
      </c>
      <c r="C15" s="19">
        <f>IFERROR(__xludf.DUMMYFUNCTION("""COMPUTED_VALUE"""),473.1)</f>
        <v>473.1</v>
      </c>
      <c r="D15" s="19">
        <f>IFERROR(__xludf.DUMMYFUNCTION("""COMPUTED_VALUE"""),455.0)</f>
        <v>455</v>
      </c>
      <c r="E15" s="19">
        <f>IFERROR(__xludf.DUMMYFUNCTION("""COMPUTED_VALUE"""),459.45)</f>
        <v>459.45</v>
      </c>
      <c r="F15" s="19">
        <f>IFERROR(__xludf.DUMMYFUNCTION("""COMPUTED_VALUE"""),344571.0)</f>
        <v>344571</v>
      </c>
    </row>
    <row r="16">
      <c r="A16" s="25">
        <f>IFERROR(__xludf.DUMMYFUNCTION("""COMPUTED_VALUE"""),44671.64583333333)</f>
        <v>44671.64583</v>
      </c>
      <c r="B16" s="19">
        <f>IFERROR(__xludf.DUMMYFUNCTION("""COMPUTED_VALUE"""),462.0)</f>
        <v>462</v>
      </c>
      <c r="C16" s="19">
        <f>IFERROR(__xludf.DUMMYFUNCTION("""COMPUTED_VALUE"""),468.55)</f>
        <v>468.55</v>
      </c>
      <c r="D16" s="19">
        <f>IFERROR(__xludf.DUMMYFUNCTION("""COMPUTED_VALUE"""),456.15)</f>
        <v>456.15</v>
      </c>
      <c r="E16" s="19">
        <f>IFERROR(__xludf.DUMMYFUNCTION("""COMPUTED_VALUE"""),457.25)</f>
        <v>457.25</v>
      </c>
      <c r="F16" s="19">
        <f>IFERROR(__xludf.DUMMYFUNCTION("""COMPUTED_VALUE"""),328562.0)</f>
        <v>328562</v>
      </c>
    </row>
    <row r="17">
      <c r="A17" s="25">
        <f>IFERROR(__xludf.DUMMYFUNCTION("""COMPUTED_VALUE"""),44672.64583333333)</f>
        <v>44672.64583</v>
      </c>
      <c r="B17" s="19">
        <f>IFERROR(__xludf.DUMMYFUNCTION("""COMPUTED_VALUE"""),459.0)</f>
        <v>459</v>
      </c>
      <c r="C17" s="19">
        <f>IFERROR(__xludf.DUMMYFUNCTION("""COMPUTED_VALUE"""),462.5)</f>
        <v>462.5</v>
      </c>
      <c r="D17" s="19">
        <f>IFERROR(__xludf.DUMMYFUNCTION("""COMPUTED_VALUE"""),452.3)</f>
        <v>452.3</v>
      </c>
      <c r="E17" s="19">
        <f>IFERROR(__xludf.DUMMYFUNCTION("""COMPUTED_VALUE"""),453.6)</f>
        <v>453.6</v>
      </c>
      <c r="F17" s="19">
        <f>IFERROR(__xludf.DUMMYFUNCTION("""COMPUTED_VALUE"""),508412.0)</f>
        <v>508412</v>
      </c>
    </row>
    <row r="18">
      <c r="B18" s="19"/>
      <c r="C18" s="19"/>
      <c r="D18" s="19"/>
      <c r="E18" s="19"/>
      <c r="F18" s="19"/>
    </row>
    <row r="19">
      <c r="B19" s="19"/>
      <c r="C19" s="19"/>
      <c r="D19" s="19"/>
      <c r="E19" s="19"/>
      <c r="F19" s="19"/>
    </row>
    <row r="20">
      <c r="B20" s="19"/>
      <c r="C20" s="19"/>
      <c r="D20" s="19"/>
      <c r="E20" s="19"/>
      <c r="F20" s="19"/>
    </row>
    <row r="21">
      <c r="B21" s="19"/>
      <c r="C21" s="19"/>
      <c r="D21" s="19"/>
      <c r="E21" s="19"/>
      <c r="F21" s="19"/>
    </row>
    <row r="22">
      <c r="B22" s="19"/>
      <c r="C22" s="19"/>
      <c r="D22" s="19"/>
      <c r="E22" s="19"/>
      <c r="F22" s="19"/>
    </row>
    <row r="23">
      <c r="B23" s="19"/>
      <c r="C23" s="19"/>
      <c r="D23" s="19"/>
      <c r="E23" s="19"/>
      <c r="F23" s="19"/>
    </row>
    <row r="24">
      <c r="B24" s="19"/>
      <c r="C24" s="19"/>
      <c r="D24" s="19"/>
      <c r="E24" s="19"/>
      <c r="F24" s="19"/>
    </row>
    <row r="25">
      <c r="B25" s="19"/>
      <c r="C25" s="19"/>
      <c r="D25" s="19"/>
      <c r="E25" s="19"/>
      <c r="F25" s="19"/>
    </row>
    <row r="26">
      <c r="B26" s="19"/>
      <c r="C26" s="19"/>
      <c r="D26" s="19"/>
      <c r="E26" s="19"/>
      <c r="F26" s="19"/>
    </row>
    <row r="27">
      <c r="B27" s="19"/>
      <c r="C27" s="19"/>
      <c r="D27" s="19"/>
      <c r="E27" s="19"/>
      <c r="F27" s="19"/>
    </row>
    <row r="28">
      <c r="B28" s="19"/>
      <c r="C28" s="19"/>
      <c r="D28" s="19"/>
      <c r="E28" s="19"/>
      <c r="F28" s="19"/>
    </row>
    <row r="29">
      <c r="B29" s="19"/>
      <c r="C29" s="19"/>
      <c r="D29" s="19"/>
      <c r="E29" s="19"/>
      <c r="F29" s="19"/>
    </row>
    <row r="30">
      <c r="B30" s="19"/>
      <c r="C30" s="19"/>
      <c r="D30" s="19"/>
      <c r="E30" s="19"/>
      <c r="F30" s="19"/>
    </row>
    <row r="31">
      <c r="B31" s="19"/>
      <c r="C31" s="19"/>
      <c r="D31" s="19"/>
      <c r="E31" s="19"/>
      <c r="F31" s="19"/>
    </row>
    <row r="32">
      <c r="B32" s="19"/>
      <c r="C32" s="19"/>
      <c r="D32" s="19"/>
      <c r="E32" s="19"/>
      <c r="F32" s="19"/>
    </row>
    <row r="33">
      <c r="B33" s="19"/>
      <c r="C33" s="19"/>
      <c r="D33" s="19"/>
      <c r="E33" s="19"/>
      <c r="F33" s="19"/>
    </row>
    <row r="34">
      <c r="B34" s="19"/>
      <c r="C34" s="19"/>
      <c r="D34" s="19"/>
      <c r="E34" s="19"/>
      <c r="F34" s="19"/>
    </row>
    <row r="35">
      <c r="B35" s="19"/>
      <c r="C35" s="19"/>
      <c r="D35" s="19"/>
      <c r="E35" s="19"/>
      <c r="F35" s="19"/>
    </row>
    <row r="36">
      <c r="B36" s="19"/>
      <c r="C36" s="19"/>
      <c r="D36" s="19"/>
      <c r="E36" s="19"/>
      <c r="F36" s="19"/>
    </row>
    <row r="37">
      <c r="B37" s="19"/>
      <c r="C37" s="19"/>
      <c r="D37" s="19"/>
      <c r="E37" s="19"/>
      <c r="F37" s="19"/>
    </row>
    <row r="38">
      <c r="B38" s="19"/>
      <c r="C38" s="19"/>
      <c r="D38" s="19"/>
      <c r="E38" s="19"/>
      <c r="F38" s="19"/>
    </row>
    <row r="39">
      <c r="B39" s="19"/>
      <c r="C39" s="19"/>
      <c r="D39" s="19"/>
      <c r="E39" s="19"/>
      <c r="F39" s="19"/>
    </row>
    <row r="40">
      <c r="B40" s="19"/>
      <c r="C40" s="19"/>
      <c r="D40" s="19"/>
      <c r="E40" s="19"/>
      <c r="F40" s="19"/>
    </row>
    <row r="41">
      <c r="B41" s="19"/>
      <c r="C41" s="19"/>
      <c r="D41" s="19"/>
      <c r="E41" s="19"/>
      <c r="F41" s="19"/>
    </row>
    <row r="42">
      <c r="B42" s="19"/>
      <c r="C42" s="19"/>
      <c r="D42" s="19"/>
      <c r="E42" s="19"/>
      <c r="F42" s="19"/>
    </row>
    <row r="43">
      <c r="B43" s="19"/>
      <c r="C43" s="19"/>
      <c r="D43" s="19"/>
      <c r="E43" s="19"/>
      <c r="F43" s="19"/>
    </row>
    <row r="44">
      <c r="B44" s="19"/>
      <c r="C44" s="19"/>
      <c r="D44" s="19"/>
      <c r="E44" s="19"/>
      <c r="F44" s="19"/>
    </row>
    <row r="45">
      <c r="B45" s="19"/>
      <c r="C45" s="19"/>
      <c r="D45" s="19"/>
      <c r="E45" s="19"/>
      <c r="F45" s="19"/>
    </row>
    <row r="46">
      <c r="B46" s="19"/>
      <c r="C46" s="19"/>
      <c r="D46" s="19"/>
      <c r="E46" s="19"/>
      <c r="F46" s="19"/>
    </row>
    <row r="47">
      <c r="B47" s="19"/>
      <c r="C47" s="19"/>
      <c r="D47" s="19"/>
      <c r="E47" s="19"/>
      <c r="F47" s="19"/>
    </row>
    <row r="48">
      <c r="B48" s="19"/>
      <c r="C48" s="19"/>
      <c r="D48" s="19"/>
      <c r="E48" s="19"/>
      <c r="F48" s="19"/>
    </row>
    <row r="49">
      <c r="B49" s="19"/>
      <c r="C49" s="19"/>
      <c r="D49" s="19"/>
      <c r="E49" s="19"/>
      <c r="F49" s="19"/>
    </row>
    <row r="50">
      <c r="B50" s="19"/>
      <c r="C50" s="19"/>
      <c r="D50" s="19"/>
      <c r="E50" s="19"/>
      <c r="F50" s="19"/>
    </row>
    <row r="51">
      <c r="B51" s="19"/>
      <c r="C51" s="19"/>
      <c r="D51" s="19"/>
      <c r="E51" s="19"/>
      <c r="F51" s="19"/>
    </row>
    <row r="52">
      <c r="B52" s="19"/>
      <c r="C52" s="19"/>
      <c r="D52" s="19"/>
      <c r="E52" s="19"/>
      <c r="F52" s="19"/>
    </row>
    <row r="53">
      <c r="B53" s="19"/>
      <c r="C53" s="19"/>
      <c r="D53" s="19"/>
      <c r="E53" s="19"/>
      <c r="F53" s="19"/>
    </row>
    <row r="54">
      <c r="B54" s="19"/>
      <c r="C54" s="19"/>
      <c r="D54" s="19"/>
      <c r="E54" s="19"/>
      <c r="F54" s="19"/>
    </row>
    <row r="55">
      <c r="B55" s="19"/>
      <c r="C55" s="19"/>
      <c r="D55" s="19"/>
      <c r="E55" s="19"/>
      <c r="F55" s="19"/>
    </row>
    <row r="56">
      <c r="B56" s="19"/>
      <c r="C56" s="19"/>
      <c r="D56" s="19"/>
      <c r="E56" s="19"/>
      <c r="F56" s="19"/>
    </row>
    <row r="57">
      <c r="B57" s="19"/>
      <c r="C57" s="19"/>
      <c r="D57" s="19"/>
      <c r="E57" s="19"/>
      <c r="F57" s="19"/>
    </row>
    <row r="58">
      <c r="B58" s="19"/>
      <c r="C58" s="19"/>
      <c r="D58" s="19"/>
      <c r="E58" s="19"/>
      <c r="F58" s="19"/>
    </row>
    <row r="59">
      <c r="B59" s="19"/>
      <c r="C59" s="19"/>
      <c r="D59" s="19"/>
      <c r="E59" s="19"/>
      <c r="F59" s="19"/>
    </row>
    <row r="60">
      <c r="B60" s="19"/>
      <c r="C60" s="19"/>
      <c r="D60" s="19"/>
      <c r="E60" s="19"/>
      <c r="F60" s="19"/>
    </row>
    <row r="61">
      <c r="B61" s="19"/>
      <c r="C61" s="19"/>
      <c r="D61" s="19"/>
      <c r="E61" s="19"/>
      <c r="F61" s="19"/>
    </row>
    <row r="62">
      <c r="B62" s="19"/>
      <c r="C62" s="19"/>
      <c r="D62" s="19"/>
      <c r="E62" s="19"/>
      <c r="F62" s="19"/>
    </row>
    <row r="63">
      <c r="B63" s="19"/>
      <c r="C63" s="19"/>
      <c r="D63" s="19"/>
      <c r="E63" s="19"/>
      <c r="F63" s="19"/>
    </row>
    <row r="64">
      <c r="B64" s="19"/>
      <c r="C64" s="19"/>
      <c r="D64" s="19"/>
      <c r="E64" s="19"/>
      <c r="F64" s="19"/>
    </row>
    <row r="65">
      <c r="B65" s="19"/>
      <c r="C65" s="19"/>
      <c r="D65" s="19"/>
      <c r="E65" s="19"/>
      <c r="F65" s="19"/>
    </row>
    <row r="66">
      <c r="B66" s="19"/>
      <c r="C66" s="19"/>
      <c r="D66" s="19"/>
      <c r="E66" s="19"/>
      <c r="F66" s="19"/>
    </row>
    <row r="67">
      <c r="B67" s="19"/>
      <c r="C67" s="19"/>
      <c r="D67" s="19"/>
      <c r="E67" s="19"/>
      <c r="F67" s="19"/>
    </row>
    <row r="68">
      <c r="B68" s="19"/>
      <c r="C68" s="19"/>
      <c r="D68" s="19"/>
      <c r="E68" s="19"/>
      <c r="F68" s="19"/>
    </row>
    <row r="69">
      <c r="B69" s="19"/>
      <c r="C69" s="19"/>
      <c r="D69" s="19"/>
      <c r="E69" s="19"/>
      <c r="F69" s="19"/>
    </row>
    <row r="70">
      <c r="B70" s="19"/>
      <c r="C70" s="19"/>
      <c r="D70" s="19"/>
      <c r="E70" s="19"/>
      <c r="F70" s="19"/>
    </row>
    <row r="71">
      <c r="B71" s="19"/>
      <c r="C71" s="19"/>
      <c r="D71" s="19"/>
      <c r="E71" s="19"/>
      <c r="F71" s="19"/>
    </row>
    <row r="72">
      <c r="B72" s="19"/>
      <c r="C72" s="19"/>
      <c r="D72" s="19"/>
      <c r="E72" s="19"/>
      <c r="F72" s="19"/>
    </row>
    <row r="73">
      <c r="B73" s="19"/>
      <c r="C73" s="19"/>
      <c r="D73" s="19"/>
      <c r="E73" s="19"/>
      <c r="F73" s="19"/>
    </row>
    <row r="74">
      <c r="B74" s="19"/>
      <c r="C74" s="19"/>
      <c r="D74" s="19"/>
      <c r="E74" s="19"/>
      <c r="F74" s="19"/>
    </row>
    <row r="75">
      <c r="B75" s="19"/>
      <c r="C75" s="19"/>
      <c r="D75" s="19"/>
      <c r="E75" s="19"/>
      <c r="F75" s="19"/>
    </row>
    <row r="76">
      <c r="B76" s="19"/>
      <c r="C76" s="19"/>
      <c r="D76" s="19"/>
      <c r="E76" s="19"/>
      <c r="F76" s="19"/>
    </row>
    <row r="77">
      <c r="B77" s="19"/>
      <c r="C77" s="19"/>
      <c r="D77" s="19"/>
      <c r="E77" s="19"/>
      <c r="F77" s="19"/>
    </row>
    <row r="78">
      <c r="B78" s="19"/>
      <c r="C78" s="19"/>
      <c r="D78" s="19"/>
      <c r="E78" s="19"/>
      <c r="F78" s="19"/>
    </row>
    <row r="79">
      <c r="B79" s="19"/>
      <c r="C79" s="19"/>
      <c r="D79" s="19"/>
      <c r="E79" s="19"/>
      <c r="F79" s="19"/>
    </row>
    <row r="80">
      <c r="B80" s="19"/>
      <c r="C80" s="19"/>
      <c r="D80" s="19"/>
      <c r="E80" s="19"/>
      <c r="F80" s="19"/>
    </row>
    <row r="81">
      <c r="B81" s="19"/>
      <c r="C81" s="19"/>
      <c r="D81" s="19"/>
      <c r="E81" s="19"/>
      <c r="F81" s="19"/>
    </row>
    <row r="82">
      <c r="B82" s="19"/>
      <c r="C82" s="19"/>
      <c r="D82" s="19"/>
      <c r="E82" s="19"/>
      <c r="F82" s="19"/>
    </row>
    <row r="83">
      <c r="B83" s="19"/>
      <c r="C83" s="19"/>
      <c r="D83" s="19"/>
      <c r="E83" s="19"/>
      <c r="F83" s="19"/>
    </row>
    <row r="84">
      <c r="B84" s="19"/>
      <c r="C84" s="19"/>
      <c r="D84" s="19"/>
      <c r="E84" s="19"/>
      <c r="F84" s="19"/>
    </row>
    <row r="85">
      <c r="B85" s="19"/>
      <c r="C85" s="19"/>
      <c r="D85" s="19"/>
      <c r="E85" s="19"/>
      <c r="F85" s="19"/>
    </row>
    <row r="86">
      <c r="B86" s="19"/>
      <c r="C86" s="19"/>
      <c r="D86" s="19"/>
      <c r="E86" s="19"/>
      <c r="F86" s="19"/>
    </row>
    <row r="87">
      <c r="B87" s="19"/>
      <c r="C87" s="19"/>
      <c r="D87" s="19"/>
      <c r="E87" s="19"/>
      <c r="F87" s="19"/>
    </row>
    <row r="88">
      <c r="B88" s="19"/>
      <c r="C88" s="19"/>
      <c r="D88" s="19"/>
      <c r="E88" s="19"/>
      <c r="F88" s="19"/>
    </row>
    <row r="89">
      <c r="B89" s="19"/>
      <c r="C89" s="19"/>
      <c r="D89" s="19"/>
      <c r="E89" s="19"/>
      <c r="F89" s="19"/>
    </row>
    <row r="90">
      <c r="B90" s="19"/>
      <c r="C90" s="19"/>
      <c r="D90" s="19"/>
      <c r="E90" s="19"/>
      <c r="F90" s="19"/>
    </row>
    <row r="91">
      <c r="B91" s="19"/>
      <c r="C91" s="19"/>
      <c r="D91" s="19"/>
      <c r="E91" s="19"/>
      <c r="F91" s="19"/>
    </row>
    <row r="92">
      <c r="B92" s="19"/>
      <c r="C92" s="19"/>
      <c r="D92" s="19"/>
      <c r="E92" s="19"/>
      <c r="F92" s="19"/>
    </row>
    <row r="93">
      <c r="B93" s="19"/>
      <c r="C93" s="19"/>
      <c r="D93" s="19"/>
      <c r="E93" s="19"/>
      <c r="F93" s="19"/>
    </row>
    <row r="94">
      <c r="B94" s="19"/>
      <c r="C94" s="19"/>
      <c r="D94" s="19"/>
      <c r="E94" s="19"/>
      <c r="F94" s="19"/>
    </row>
    <row r="95">
      <c r="B95" s="19"/>
      <c r="C95" s="19"/>
      <c r="D95" s="19"/>
      <c r="E95" s="19"/>
      <c r="F95" s="19"/>
    </row>
    <row r="96">
      <c r="B96" s="19"/>
      <c r="C96" s="19"/>
      <c r="D96" s="19"/>
      <c r="E96" s="19"/>
      <c r="F96" s="19"/>
    </row>
    <row r="97">
      <c r="B97" s="19"/>
      <c r="C97" s="19"/>
      <c r="D97" s="19"/>
      <c r="E97" s="19"/>
      <c r="F97" s="19"/>
    </row>
    <row r="98">
      <c r="B98" s="19"/>
      <c r="C98" s="19"/>
      <c r="D98" s="19"/>
      <c r="E98" s="19"/>
      <c r="F98" s="19"/>
    </row>
    <row r="99">
      <c r="B99" s="19"/>
      <c r="C99" s="19"/>
      <c r="D99" s="19"/>
      <c r="E99" s="19"/>
      <c r="F99" s="19"/>
    </row>
    <row r="100">
      <c r="B100" s="19"/>
      <c r="C100" s="19"/>
      <c r="D100" s="19"/>
      <c r="E100" s="19"/>
      <c r="F100" s="19"/>
    </row>
    <row r="101">
      <c r="B101" s="19"/>
      <c r="C101" s="19"/>
      <c r="D101" s="19"/>
      <c r="E101" s="19"/>
      <c r="F101" s="19"/>
    </row>
    <row r="102">
      <c r="B102" s="19"/>
      <c r="C102" s="19"/>
      <c r="D102" s="19"/>
      <c r="E102" s="19"/>
      <c r="F102" s="19"/>
    </row>
    <row r="103">
      <c r="B103" s="19"/>
      <c r="C103" s="19"/>
      <c r="D103" s="19"/>
      <c r="E103" s="19"/>
      <c r="F103" s="19"/>
    </row>
    <row r="104">
      <c r="B104" s="19"/>
      <c r="C104" s="19"/>
      <c r="D104" s="19"/>
      <c r="E104" s="19"/>
      <c r="F104" s="19"/>
    </row>
    <row r="105">
      <c r="B105" s="19"/>
      <c r="C105" s="19"/>
      <c r="D105" s="19"/>
      <c r="E105" s="19"/>
      <c r="F105" s="19"/>
    </row>
    <row r="106">
      <c r="B106" s="19"/>
      <c r="C106" s="19"/>
      <c r="D106" s="19"/>
      <c r="E106" s="19"/>
      <c r="F106" s="19"/>
    </row>
    <row r="107">
      <c r="B107" s="19"/>
      <c r="C107" s="19"/>
      <c r="D107" s="19"/>
      <c r="E107" s="19"/>
      <c r="F107" s="19"/>
    </row>
    <row r="108">
      <c r="B108" s="19"/>
      <c r="C108" s="19"/>
      <c r="D108" s="19"/>
      <c r="E108" s="19"/>
      <c r="F108" s="19"/>
    </row>
    <row r="109">
      <c r="B109" s="19"/>
      <c r="C109" s="19"/>
      <c r="D109" s="19"/>
      <c r="E109" s="19"/>
      <c r="F109" s="19"/>
    </row>
    <row r="110">
      <c r="B110" s="19"/>
      <c r="C110" s="19"/>
      <c r="D110" s="19"/>
      <c r="E110" s="19"/>
      <c r="F110" s="19"/>
    </row>
    <row r="111">
      <c r="B111" s="19"/>
      <c r="C111" s="19"/>
      <c r="D111" s="19"/>
      <c r="E111" s="19"/>
      <c r="F111" s="19"/>
    </row>
    <row r="112">
      <c r="B112" s="19"/>
      <c r="C112" s="19"/>
      <c r="D112" s="19"/>
      <c r="E112" s="19"/>
      <c r="F112" s="19"/>
    </row>
    <row r="113">
      <c r="B113" s="19"/>
      <c r="C113" s="19"/>
      <c r="D113" s="19"/>
      <c r="E113" s="19"/>
      <c r="F113" s="19"/>
    </row>
    <row r="114">
      <c r="B114" s="19"/>
      <c r="C114" s="19"/>
      <c r="D114" s="19"/>
      <c r="E114" s="19"/>
      <c r="F114" s="19"/>
    </row>
    <row r="115">
      <c r="B115" s="19"/>
      <c r="C115" s="19"/>
      <c r="D115" s="19"/>
      <c r="E115" s="19"/>
      <c r="F115" s="19"/>
    </row>
    <row r="116">
      <c r="B116" s="19"/>
      <c r="C116" s="19"/>
      <c r="D116" s="19"/>
      <c r="E116" s="19"/>
      <c r="F116" s="19"/>
    </row>
    <row r="117">
      <c r="B117" s="19"/>
      <c r="C117" s="19"/>
      <c r="D117" s="19"/>
      <c r="E117" s="19"/>
      <c r="F117" s="19"/>
    </row>
    <row r="118">
      <c r="B118" s="19"/>
      <c r="C118" s="19"/>
      <c r="D118" s="19"/>
      <c r="E118" s="19"/>
      <c r="F118" s="19"/>
    </row>
    <row r="119">
      <c r="B119" s="19"/>
      <c r="C119" s="19"/>
      <c r="D119" s="19"/>
      <c r="E119" s="19"/>
      <c r="F119" s="19"/>
    </row>
    <row r="120">
      <c r="B120" s="19"/>
      <c r="C120" s="19"/>
      <c r="D120" s="19"/>
      <c r="E120" s="19"/>
      <c r="F120" s="19"/>
    </row>
    <row r="121">
      <c r="B121" s="19"/>
      <c r="C121" s="19"/>
      <c r="D121" s="19"/>
      <c r="E121" s="19"/>
      <c r="F121" s="19"/>
    </row>
    <row r="122">
      <c r="B122" s="19"/>
      <c r="C122" s="19"/>
      <c r="D122" s="19"/>
      <c r="E122" s="19"/>
      <c r="F122" s="19"/>
    </row>
    <row r="123">
      <c r="B123" s="19"/>
      <c r="C123" s="19"/>
      <c r="D123" s="19"/>
      <c r="E123" s="19"/>
      <c r="F123" s="19"/>
    </row>
    <row r="124">
      <c r="B124" s="19"/>
      <c r="C124" s="19"/>
      <c r="D124" s="19"/>
      <c r="E124" s="19"/>
      <c r="F124" s="19"/>
    </row>
    <row r="125">
      <c r="B125" s="19"/>
      <c r="C125" s="19"/>
      <c r="D125" s="19"/>
      <c r="E125" s="19"/>
      <c r="F125" s="19"/>
    </row>
    <row r="126">
      <c r="B126" s="19"/>
      <c r="C126" s="19"/>
      <c r="D126" s="19"/>
      <c r="E126" s="19"/>
      <c r="F126" s="19"/>
    </row>
    <row r="127">
      <c r="B127" s="19"/>
      <c r="C127" s="19"/>
      <c r="D127" s="19"/>
      <c r="E127" s="19"/>
      <c r="F127" s="19"/>
    </row>
    <row r="128">
      <c r="B128" s="19"/>
      <c r="C128" s="19"/>
      <c r="D128" s="19"/>
      <c r="E128" s="19"/>
      <c r="F128" s="19"/>
    </row>
    <row r="129">
      <c r="B129" s="19"/>
      <c r="C129" s="19"/>
      <c r="D129" s="19"/>
      <c r="E129" s="19"/>
      <c r="F129" s="19"/>
    </row>
    <row r="130">
      <c r="B130" s="19"/>
      <c r="C130" s="19"/>
      <c r="D130" s="19"/>
      <c r="E130" s="19"/>
      <c r="F130" s="19"/>
    </row>
    <row r="131">
      <c r="B131" s="19"/>
      <c r="C131" s="19"/>
      <c r="D131" s="19"/>
      <c r="E131" s="19"/>
      <c r="F131" s="19"/>
    </row>
    <row r="132">
      <c r="B132" s="19"/>
      <c r="C132" s="19"/>
      <c r="D132" s="19"/>
      <c r="E132" s="19"/>
      <c r="F132" s="19"/>
    </row>
    <row r="133">
      <c r="B133" s="19"/>
      <c r="C133" s="19"/>
      <c r="D133" s="19"/>
      <c r="E133" s="19"/>
      <c r="F133" s="19"/>
    </row>
    <row r="134">
      <c r="B134" s="19"/>
      <c r="C134" s="19"/>
      <c r="D134" s="19"/>
      <c r="E134" s="19"/>
      <c r="F134" s="19"/>
    </row>
    <row r="135">
      <c r="B135" s="19"/>
      <c r="C135" s="19"/>
      <c r="D135" s="19"/>
      <c r="E135" s="19"/>
      <c r="F135" s="19"/>
    </row>
    <row r="136">
      <c r="B136" s="19"/>
      <c r="C136" s="19"/>
      <c r="D136" s="19"/>
      <c r="E136" s="19"/>
      <c r="F136" s="19"/>
    </row>
    <row r="137">
      <c r="B137" s="19"/>
      <c r="C137" s="19"/>
      <c r="D137" s="19"/>
      <c r="E137" s="19"/>
      <c r="F137" s="19"/>
    </row>
    <row r="138">
      <c r="B138" s="19"/>
      <c r="C138" s="19"/>
      <c r="D138" s="19"/>
      <c r="E138" s="19"/>
      <c r="F138" s="19"/>
    </row>
    <row r="139">
      <c r="B139" s="19"/>
      <c r="C139" s="19"/>
      <c r="D139" s="19"/>
      <c r="E139" s="19"/>
      <c r="F139" s="19"/>
    </row>
    <row r="140">
      <c r="B140" s="19"/>
      <c r="C140" s="19"/>
      <c r="D140" s="19"/>
      <c r="E140" s="19"/>
      <c r="F140" s="19"/>
    </row>
    <row r="141">
      <c r="B141" s="19"/>
      <c r="C141" s="19"/>
      <c r="D141" s="19"/>
      <c r="E141" s="19"/>
      <c r="F141" s="19"/>
    </row>
    <row r="142">
      <c r="B142" s="19"/>
      <c r="C142" s="19"/>
      <c r="D142" s="19"/>
      <c r="E142" s="19"/>
      <c r="F142" s="19"/>
    </row>
    <row r="143">
      <c r="B143" s="19"/>
      <c r="C143" s="19"/>
      <c r="D143" s="19"/>
      <c r="E143" s="19"/>
      <c r="F143" s="19"/>
    </row>
    <row r="144">
      <c r="B144" s="19"/>
      <c r="C144" s="19"/>
      <c r="D144" s="19"/>
      <c r="E144" s="19"/>
      <c r="F144" s="19"/>
    </row>
    <row r="145">
      <c r="B145" s="19"/>
      <c r="C145" s="19"/>
      <c r="D145" s="19"/>
      <c r="E145" s="19"/>
      <c r="F145" s="19"/>
    </row>
    <row r="146">
      <c r="B146" s="19"/>
      <c r="C146" s="19"/>
      <c r="D146" s="19"/>
      <c r="E146" s="19"/>
      <c r="F146" s="19"/>
    </row>
    <row r="147">
      <c r="B147" s="19"/>
      <c r="C147" s="19"/>
      <c r="D147" s="19"/>
      <c r="E147" s="19"/>
      <c r="F147" s="19"/>
    </row>
    <row r="148">
      <c r="B148" s="19"/>
      <c r="C148" s="19"/>
      <c r="D148" s="19"/>
      <c r="E148" s="19"/>
      <c r="F148" s="19"/>
    </row>
    <row r="149">
      <c r="B149" s="19"/>
      <c r="C149" s="19"/>
      <c r="D149" s="19"/>
      <c r="E149" s="19"/>
      <c r="F149" s="19"/>
    </row>
    <row r="150">
      <c r="B150" s="19"/>
      <c r="C150" s="19"/>
      <c r="D150" s="19"/>
      <c r="E150" s="19"/>
      <c r="F150" s="19"/>
    </row>
    <row r="151">
      <c r="B151" s="19"/>
      <c r="C151" s="19"/>
      <c r="D151" s="19"/>
      <c r="E151" s="19"/>
      <c r="F151" s="19"/>
    </row>
    <row r="152">
      <c r="B152" s="19"/>
      <c r="C152" s="19"/>
      <c r="D152" s="19"/>
      <c r="E152" s="19"/>
      <c r="F152" s="19"/>
    </row>
    <row r="153">
      <c r="B153" s="19"/>
      <c r="C153" s="19"/>
      <c r="D153" s="19"/>
      <c r="E153" s="19"/>
      <c r="F153" s="19"/>
    </row>
    <row r="154">
      <c r="B154" s="19"/>
      <c r="C154" s="19"/>
      <c r="D154" s="19"/>
      <c r="E154" s="19"/>
      <c r="F154" s="19"/>
    </row>
    <row r="155">
      <c r="B155" s="19"/>
      <c r="C155" s="19"/>
      <c r="D155" s="19"/>
      <c r="E155" s="19"/>
      <c r="F155" s="19"/>
    </row>
    <row r="156">
      <c r="B156" s="19"/>
      <c r="C156" s="19"/>
      <c r="D156" s="19"/>
      <c r="E156" s="19"/>
      <c r="F156" s="19"/>
    </row>
    <row r="157">
      <c r="B157" s="19"/>
      <c r="C157" s="19"/>
      <c r="D157" s="19"/>
      <c r="E157" s="19"/>
      <c r="F157" s="19"/>
    </row>
    <row r="158">
      <c r="B158" s="19"/>
      <c r="C158" s="19"/>
      <c r="D158" s="19"/>
      <c r="E158" s="19"/>
      <c r="F158" s="19"/>
    </row>
    <row r="159">
      <c r="B159" s="19"/>
      <c r="C159" s="19"/>
      <c r="D159" s="19"/>
      <c r="E159" s="19"/>
      <c r="F159" s="19"/>
    </row>
    <row r="160">
      <c r="B160" s="19"/>
      <c r="C160" s="19"/>
      <c r="D160" s="19"/>
      <c r="E160" s="19"/>
      <c r="F160" s="19"/>
    </row>
    <row r="161">
      <c r="B161" s="19"/>
      <c r="C161" s="19"/>
      <c r="D161" s="19"/>
      <c r="E161" s="19"/>
      <c r="F161" s="19"/>
    </row>
    <row r="162">
      <c r="B162" s="19"/>
      <c r="C162" s="19"/>
      <c r="D162" s="19"/>
      <c r="E162" s="19"/>
      <c r="F162" s="19"/>
    </row>
    <row r="163">
      <c r="B163" s="19"/>
      <c r="C163" s="19"/>
      <c r="D163" s="19"/>
      <c r="E163" s="19"/>
      <c r="F163" s="19"/>
    </row>
    <row r="164">
      <c r="B164" s="19"/>
      <c r="C164" s="19"/>
      <c r="D164" s="19"/>
      <c r="E164" s="19"/>
      <c r="F164" s="19"/>
    </row>
    <row r="165">
      <c r="B165" s="19"/>
      <c r="C165" s="19"/>
      <c r="D165" s="19"/>
      <c r="E165" s="19"/>
      <c r="F165" s="19"/>
    </row>
    <row r="166">
      <c r="B166" s="19"/>
      <c r="C166" s="19"/>
      <c r="D166" s="19"/>
      <c r="E166" s="19"/>
      <c r="F166" s="19"/>
    </row>
    <row r="167">
      <c r="B167" s="19"/>
      <c r="C167" s="19"/>
      <c r="D167" s="19"/>
      <c r="E167" s="19"/>
      <c r="F167" s="19"/>
    </row>
    <row r="168">
      <c r="B168" s="19"/>
      <c r="C168" s="19"/>
      <c r="D168" s="19"/>
      <c r="E168" s="19"/>
      <c r="F168" s="19"/>
    </row>
    <row r="169">
      <c r="B169" s="19"/>
      <c r="C169" s="19"/>
      <c r="D169" s="19"/>
      <c r="E169" s="19"/>
      <c r="F169" s="19"/>
    </row>
    <row r="170">
      <c r="B170" s="19"/>
      <c r="C170" s="19"/>
      <c r="D170" s="19"/>
      <c r="E170" s="19"/>
      <c r="F170" s="19"/>
    </row>
    <row r="171">
      <c r="B171" s="19"/>
      <c r="C171" s="19"/>
      <c r="D171" s="19"/>
      <c r="E171" s="19"/>
      <c r="F171" s="19"/>
    </row>
    <row r="172">
      <c r="B172" s="19"/>
      <c r="C172" s="19"/>
      <c r="D172" s="19"/>
      <c r="E172" s="19"/>
      <c r="F172" s="19"/>
    </row>
    <row r="173">
      <c r="B173" s="19"/>
      <c r="C173" s="19"/>
      <c r="D173" s="19"/>
      <c r="E173" s="19"/>
      <c r="F173" s="19"/>
    </row>
    <row r="174">
      <c r="B174" s="19"/>
      <c r="C174" s="19"/>
      <c r="D174" s="19"/>
      <c r="E174" s="19"/>
      <c r="F174" s="19"/>
    </row>
    <row r="175">
      <c r="B175" s="19"/>
      <c r="C175" s="19"/>
      <c r="D175" s="19"/>
      <c r="E175" s="19"/>
      <c r="F175" s="19"/>
    </row>
    <row r="176">
      <c r="B176" s="19"/>
      <c r="C176" s="19"/>
      <c r="D176" s="19"/>
      <c r="E176" s="19"/>
      <c r="F176" s="19"/>
    </row>
    <row r="177">
      <c r="B177" s="19"/>
      <c r="C177" s="19"/>
      <c r="D177" s="19"/>
      <c r="E177" s="19"/>
      <c r="F177" s="19"/>
    </row>
    <row r="178">
      <c r="B178" s="19"/>
      <c r="C178" s="19"/>
      <c r="D178" s="19"/>
      <c r="E178" s="19"/>
      <c r="F178" s="19"/>
    </row>
    <row r="179">
      <c r="B179" s="19"/>
      <c r="C179" s="19"/>
      <c r="D179" s="19"/>
      <c r="E179" s="19"/>
      <c r="F179" s="19"/>
    </row>
    <row r="180">
      <c r="B180" s="19"/>
      <c r="C180" s="19"/>
      <c r="D180" s="19"/>
      <c r="E180" s="19"/>
      <c r="F180" s="19"/>
    </row>
    <row r="181">
      <c r="B181" s="19"/>
      <c r="C181" s="19"/>
      <c r="D181" s="19"/>
      <c r="E181" s="19"/>
      <c r="F181" s="19"/>
    </row>
    <row r="182">
      <c r="B182" s="19"/>
      <c r="C182" s="19"/>
      <c r="D182" s="19"/>
      <c r="E182" s="19"/>
      <c r="F182" s="19"/>
    </row>
    <row r="183">
      <c r="B183" s="19"/>
      <c r="C183" s="19"/>
      <c r="D183" s="19"/>
      <c r="E183" s="19"/>
      <c r="F183" s="19"/>
    </row>
    <row r="184">
      <c r="B184" s="19"/>
      <c r="C184" s="19"/>
      <c r="D184" s="19"/>
      <c r="E184" s="19"/>
      <c r="F184" s="19"/>
    </row>
    <row r="185">
      <c r="B185" s="19"/>
      <c r="C185" s="19"/>
      <c r="D185" s="19"/>
      <c r="E185" s="19"/>
      <c r="F185" s="19"/>
    </row>
    <row r="186">
      <c r="B186" s="19"/>
      <c r="C186" s="19"/>
      <c r="D186" s="19"/>
      <c r="E186" s="19"/>
      <c r="F186" s="19"/>
    </row>
    <row r="187">
      <c r="B187" s="19"/>
      <c r="C187" s="19"/>
      <c r="D187" s="19"/>
      <c r="E187" s="19"/>
      <c r="F187" s="19"/>
    </row>
    <row r="188">
      <c r="B188" s="19"/>
      <c r="C188" s="19"/>
      <c r="D188" s="19"/>
      <c r="E188" s="19"/>
      <c r="F188" s="19"/>
    </row>
    <row r="189">
      <c r="B189" s="19"/>
      <c r="C189" s="19"/>
      <c r="D189" s="19"/>
      <c r="E189" s="19"/>
      <c r="F189" s="19"/>
    </row>
    <row r="190">
      <c r="B190" s="19"/>
      <c r="C190" s="19"/>
      <c r="D190" s="19"/>
      <c r="E190" s="19"/>
      <c r="F190" s="19"/>
    </row>
    <row r="191">
      <c r="B191" s="19"/>
      <c r="C191" s="19"/>
      <c r="D191" s="19"/>
      <c r="E191" s="19"/>
      <c r="F191" s="19"/>
    </row>
    <row r="192">
      <c r="B192" s="19"/>
      <c r="C192" s="19"/>
      <c r="D192" s="19"/>
      <c r="E192" s="19"/>
      <c r="F192" s="19"/>
    </row>
    <row r="193">
      <c r="B193" s="19"/>
      <c r="C193" s="19"/>
      <c r="D193" s="19"/>
      <c r="E193" s="19"/>
      <c r="F193" s="19"/>
    </row>
    <row r="194">
      <c r="B194" s="19"/>
      <c r="C194" s="19"/>
      <c r="D194" s="19"/>
      <c r="E194" s="19"/>
      <c r="F194" s="19"/>
    </row>
    <row r="195">
      <c r="B195" s="19"/>
      <c r="C195" s="19"/>
      <c r="D195" s="19"/>
      <c r="E195" s="19"/>
      <c r="F195" s="19"/>
    </row>
    <row r="196">
      <c r="B196" s="19"/>
      <c r="C196" s="19"/>
      <c r="D196" s="19"/>
      <c r="E196" s="19"/>
      <c r="F196" s="19"/>
    </row>
    <row r="197">
      <c r="B197" s="19"/>
      <c r="C197" s="19"/>
      <c r="D197" s="19"/>
      <c r="E197" s="19"/>
      <c r="F197" s="19"/>
    </row>
    <row r="198">
      <c r="B198" s="19"/>
      <c r="C198" s="19"/>
      <c r="D198" s="19"/>
      <c r="E198" s="19"/>
      <c r="F198" s="19"/>
    </row>
    <row r="199">
      <c r="B199" s="19"/>
      <c r="C199" s="19"/>
      <c r="D199" s="19"/>
      <c r="E199" s="19"/>
      <c r="F199" s="19"/>
    </row>
    <row r="200">
      <c r="B200" s="19"/>
      <c r="C200" s="19"/>
      <c r="D200" s="19"/>
      <c r="E200" s="19"/>
      <c r="F200" s="19"/>
    </row>
    <row r="201">
      <c r="B201" s="19"/>
      <c r="C201" s="19"/>
      <c r="D201" s="19"/>
      <c r="E201" s="19"/>
      <c r="F201" s="19"/>
    </row>
    <row r="202">
      <c r="B202" s="19"/>
      <c r="C202" s="19"/>
      <c r="D202" s="19"/>
      <c r="E202" s="19"/>
      <c r="F202" s="19"/>
    </row>
    <row r="203">
      <c r="B203" s="19"/>
      <c r="C203" s="19"/>
      <c r="D203" s="19"/>
      <c r="E203" s="19"/>
      <c r="F203" s="19"/>
    </row>
    <row r="204">
      <c r="B204" s="19"/>
      <c r="C204" s="19"/>
      <c r="D204" s="19"/>
      <c r="E204" s="19"/>
      <c r="F204" s="19"/>
    </row>
    <row r="205">
      <c r="B205" s="19"/>
      <c r="C205" s="19"/>
      <c r="D205" s="19"/>
      <c r="E205" s="19"/>
      <c r="F205" s="19"/>
    </row>
    <row r="206">
      <c r="B206" s="19"/>
      <c r="C206" s="19"/>
      <c r="D206" s="19"/>
      <c r="E206" s="19"/>
      <c r="F206" s="19"/>
    </row>
    <row r="207">
      <c r="B207" s="19"/>
      <c r="C207" s="19"/>
      <c r="D207" s="19"/>
      <c r="E207" s="19"/>
      <c r="F207" s="19"/>
    </row>
    <row r="208">
      <c r="B208" s="19"/>
      <c r="C208" s="19"/>
      <c r="D208" s="19"/>
      <c r="E208" s="19"/>
      <c r="F208" s="19"/>
    </row>
    <row r="209">
      <c r="B209" s="19"/>
      <c r="C209" s="19"/>
      <c r="D209" s="19"/>
      <c r="E209" s="19"/>
      <c r="F209" s="19"/>
    </row>
    <row r="210">
      <c r="B210" s="19"/>
      <c r="C210" s="19"/>
      <c r="D210" s="19"/>
      <c r="E210" s="19"/>
      <c r="F210" s="19"/>
    </row>
    <row r="211">
      <c r="B211" s="19"/>
      <c r="C211" s="19"/>
      <c r="D211" s="19"/>
      <c r="E211" s="19"/>
      <c r="F211" s="19"/>
    </row>
    <row r="212">
      <c r="B212" s="19"/>
      <c r="C212" s="19"/>
      <c r="D212" s="19"/>
      <c r="E212" s="19"/>
      <c r="F212" s="19"/>
    </row>
    <row r="213">
      <c r="B213" s="19"/>
      <c r="C213" s="19"/>
      <c r="D213" s="19"/>
      <c r="E213" s="19"/>
      <c r="F213" s="19"/>
    </row>
    <row r="214">
      <c r="B214" s="19"/>
      <c r="C214" s="19"/>
      <c r="D214" s="19"/>
      <c r="E214" s="19"/>
      <c r="F214" s="19"/>
    </row>
    <row r="215">
      <c r="B215" s="19"/>
      <c r="C215" s="19"/>
      <c r="D215" s="19"/>
      <c r="E215" s="19"/>
      <c r="F215" s="19"/>
    </row>
    <row r="216">
      <c r="B216" s="19"/>
      <c r="C216" s="19"/>
      <c r="D216" s="19"/>
      <c r="E216" s="19"/>
      <c r="F216" s="19"/>
    </row>
    <row r="217">
      <c r="B217" s="19"/>
      <c r="C217" s="19"/>
      <c r="D217" s="19"/>
      <c r="E217" s="19"/>
      <c r="F217" s="19"/>
    </row>
    <row r="218">
      <c r="B218" s="19"/>
      <c r="C218" s="19"/>
      <c r="D218" s="19"/>
      <c r="E218" s="19"/>
      <c r="F218" s="19"/>
    </row>
    <row r="219">
      <c r="B219" s="19"/>
      <c r="C219" s="19"/>
      <c r="D219" s="19"/>
      <c r="E219" s="19"/>
      <c r="F219" s="19"/>
    </row>
    <row r="220">
      <c r="B220" s="19"/>
      <c r="C220" s="19"/>
      <c r="D220" s="19"/>
      <c r="E220" s="19"/>
      <c r="F220" s="19"/>
    </row>
    <row r="221">
      <c r="B221" s="19"/>
      <c r="C221" s="19"/>
      <c r="D221" s="19"/>
      <c r="E221" s="19"/>
      <c r="F221" s="19"/>
    </row>
    <row r="222">
      <c r="B222" s="19"/>
      <c r="C222" s="19"/>
      <c r="D222" s="19"/>
      <c r="E222" s="19"/>
      <c r="F222" s="19"/>
    </row>
    <row r="223">
      <c r="B223" s="19"/>
      <c r="C223" s="19"/>
      <c r="D223" s="19"/>
      <c r="E223" s="19"/>
      <c r="F223" s="19"/>
    </row>
    <row r="224">
      <c r="B224" s="19"/>
      <c r="C224" s="19"/>
      <c r="D224" s="19"/>
      <c r="E224" s="19"/>
      <c r="F224" s="19"/>
    </row>
    <row r="225">
      <c r="B225" s="19"/>
      <c r="C225" s="19"/>
      <c r="D225" s="19"/>
      <c r="E225" s="19"/>
      <c r="F225" s="19"/>
    </row>
    <row r="226">
      <c r="B226" s="19"/>
      <c r="C226" s="19"/>
      <c r="D226" s="19"/>
      <c r="E226" s="19"/>
      <c r="F226" s="19"/>
    </row>
    <row r="227">
      <c r="B227" s="19"/>
      <c r="C227" s="19"/>
      <c r="D227" s="19"/>
      <c r="E227" s="19"/>
      <c r="F227" s="19"/>
    </row>
    <row r="228">
      <c r="B228" s="19"/>
      <c r="C228" s="19"/>
      <c r="D228" s="19"/>
      <c r="E228" s="19"/>
      <c r="F228" s="19"/>
    </row>
    <row r="229">
      <c r="B229" s="19"/>
      <c r="C229" s="19"/>
      <c r="D229" s="19"/>
      <c r="E229" s="19"/>
      <c r="F229" s="19"/>
    </row>
    <row r="230">
      <c r="B230" s="19"/>
      <c r="C230" s="19"/>
      <c r="D230" s="19"/>
      <c r="E230" s="19"/>
      <c r="F230" s="19"/>
    </row>
    <row r="231">
      <c r="B231" s="19"/>
      <c r="C231" s="19"/>
      <c r="D231" s="19"/>
      <c r="E231" s="19"/>
      <c r="F231" s="19"/>
    </row>
    <row r="232">
      <c r="B232" s="19"/>
      <c r="C232" s="19"/>
      <c r="D232" s="19"/>
      <c r="E232" s="19"/>
      <c r="F232" s="19"/>
    </row>
    <row r="233">
      <c r="B233" s="19"/>
      <c r="C233" s="19"/>
      <c r="D233" s="19"/>
      <c r="E233" s="19"/>
      <c r="F233" s="19"/>
    </row>
    <row r="234">
      <c r="B234" s="19"/>
      <c r="C234" s="19"/>
      <c r="D234" s="19"/>
      <c r="E234" s="19"/>
      <c r="F234" s="19"/>
    </row>
    <row r="235">
      <c r="B235" s="19"/>
      <c r="C235" s="19"/>
      <c r="D235" s="19"/>
      <c r="E235" s="19"/>
      <c r="F235" s="19"/>
    </row>
    <row r="236">
      <c r="B236" s="19"/>
      <c r="C236" s="19"/>
      <c r="D236" s="19"/>
      <c r="E236" s="19"/>
      <c r="F236" s="19"/>
    </row>
    <row r="237">
      <c r="B237" s="19"/>
      <c r="C237" s="19"/>
      <c r="D237" s="19"/>
      <c r="E237" s="19"/>
      <c r="F237" s="19"/>
    </row>
    <row r="238">
      <c r="B238" s="19"/>
      <c r="C238" s="19"/>
      <c r="D238" s="19"/>
      <c r="E238" s="19"/>
      <c r="F238" s="19"/>
    </row>
    <row r="239">
      <c r="B239" s="19"/>
      <c r="C239" s="19"/>
      <c r="D239" s="19"/>
      <c r="E239" s="19"/>
      <c r="F239" s="19"/>
    </row>
    <row r="240">
      <c r="B240" s="19"/>
      <c r="C240" s="19"/>
      <c r="D240" s="19"/>
      <c r="E240" s="19"/>
      <c r="F240" s="19"/>
    </row>
    <row r="241">
      <c r="B241" s="19"/>
      <c r="C241" s="19"/>
      <c r="D241" s="19"/>
      <c r="E241" s="19"/>
      <c r="F241" s="19"/>
    </row>
    <row r="242">
      <c r="B242" s="19"/>
      <c r="C242" s="19"/>
      <c r="D242" s="19"/>
      <c r="E242" s="19"/>
      <c r="F242" s="19"/>
    </row>
    <row r="243">
      <c r="B243" s="19"/>
      <c r="C243" s="19"/>
      <c r="D243" s="19"/>
      <c r="E243" s="19"/>
      <c r="F243" s="19"/>
    </row>
    <row r="244">
      <c r="B244" s="19"/>
      <c r="C244" s="19"/>
      <c r="D244" s="19"/>
      <c r="E244" s="19"/>
      <c r="F244" s="19"/>
    </row>
    <row r="245">
      <c r="B245" s="19"/>
      <c r="C245" s="19"/>
      <c r="D245" s="19"/>
      <c r="E245" s="19"/>
      <c r="F245" s="19"/>
    </row>
    <row r="246">
      <c r="B246" s="19"/>
      <c r="C246" s="19"/>
      <c r="D246" s="19"/>
      <c r="E246" s="19"/>
      <c r="F246" s="19"/>
    </row>
    <row r="247">
      <c r="B247" s="19"/>
      <c r="C247" s="19"/>
      <c r="D247" s="19"/>
      <c r="E247" s="19"/>
      <c r="F247" s="19"/>
    </row>
    <row r="248">
      <c r="B248" s="19"/>
      <c r="C248" s="19"/>
      <c r="D248" s="19"/>
      <c r="E248" s="19"/>
      <c r="F248" s="19"/>
    </row>
    <row r="249">
      <c r="B249" s="19"/>
      <c r="C249" s="19"/>
      <c r="D249" s="19"/>
      <c r="E249" s="19"/>
      <c r="F249" s="19"/>
    </row>
    <row r="250">
      <c r="B250" s="19"/>
      <c r="C250" s="19"/>
      <c r="D250" s="19"/>
      <c r="E250" s="19"/>
      <c r="F250" s="19"/>
    </row>
    <row r="251">
      <c r="B251" s="19"/>
      <c r="C251" s="19"/>
      <c r="D251" s="19"/>
      <c r="E251" s="19"/>
      <c r="F251" s="19"/>
    </row>
    <row r="252">
      <c r="B252" s="19"/>
      <c r="C252" s="19"/>
      <c r="D252" s="19"/>
      <c r="E252" s="19"/>
      <c r="F252" s="19"/>
    </row>
    <row r="253">
      <c r="B253" s="19"/>
      <c r="C253" s="19"/>
      <c r="D253" s="19"/>
      <c r="E253" s="19"/>
      <c r="F253" s="19"/>
    </row>
    <row r="254">
      <c r="B254" s="19"/>
      <c r="C254" s="19"/>
      <c r="D254" s="19"/>
      <c r="E254" s="19"/>
      <c r="F254" s="19"/>
    </row>
    <row r="255">
      <c r="B255" s="19"/>
      <c r="C255" s="19"/>
      <c r="D255" s="19"/>
      <c r="E255" s="19"/>
      <c r="F255" s="19"/>
    </row>
    <row r="256">
      <c r="B256" s="19"/>
      <c r="C256" s="19"/>
      <c r="D256" s="19"/>
      <c r="E256" s="19"/>
      <c r="F256" s="19"/>
    </row>
    <row r="257">
      <c r="B257" s="19"/>
      <c r="C257" s="19"/>
      <c r="D257" s="19"/>
      <c r="E257" s="19"/>
      <c r="F257" s="19"/>
    </row>
    <row r="258">
      <c r="B258" s="19"/>
      <c r="C258" s="19"/>
      <c r="D258" s="19"/>
      <c r="E258" s="19"/>
      <c r="F258" s="19"/>
    </row>
    <row r="259">
      <c r="B259" s="19"/>
      <c r="C259" s="19"/>
      <c r="D259" s="19"/>
      <c r="E259" s="19"/>
      <c r="F259" s="19"/>
    </row>
    <row r="260">
      <c r="B260" s="19"/>
      <c r="C260" s="19"/>
      <c r="D260" s="19"/>
      <c r="E260" s="19"/>
      <c r="F260" s="19"/>
    </row>
    <row r="261">
      <c r="B261" s="19"/>
      <c r="C261" s="19"/>
      <c r="D261" s="19"/>
      <c r="E261" s="19"/>
      <c r="F261" s="19"/>
    </row>
    <row r="262">
      <c r="B262" s="19"/>
      <c r="C262" s="19"/>
      <c r="D262" s="19"/>
      <c r="E262" s="19"/>
      <c r="F262" s="19"/>
    </row>
    <row r="263">
      <c r="B263" s="19"/>
      <c r="C263" s="19"/>
      <c r="D263" s="19"/>
      <c r="E263" s="19"/>
      <c r="F263" s="19"/>
    </row>
    <row r="264">
      <c r="B264" s="19"/>
      <c r="C264" s="19"/>
      <c r="D264" s="19"/>
      <c r="E264" s="19"/>
      <c r="F264" s="19"/>
    </row>
    <row r="265">
      <c r="B265" s="19"/>
      <c r="C265" s="19"/>
      <c r="D265" s="19"/>
      <c r="E265" s="19"/>
      <c r="F265" s="19"/>
    </row>
    <row r="266">
      <c r="B266" s="19"/>
      <c r="C266" s="19"/>
      <c r="D266" s="19"/>
      <c r="E266" s="19"/>
      <c r="F266" s="19"/>
    </row>
    <row r="267">
      <c r="B267" s="19"/>
      <c r="C267" s="19"/>
      <c r="D267" s="19"/>
      <c r="E267" s="19"/>
      <c r="F267" s="19"/>
    </row>
    <row r="268">
      <c r="B268" s="19"/>
      <c r="C268" s="19"/>
      <c r="D268" s="19"/>
      <c r="E268" s="19"/>
      <c r="F268" s="19"/>
    </row>
    <row r="269">
      <c r="B269" s="19"/>
      <c r="C269" s="19"/>
      <c r="D269" s="19"/>
      <c r="E269" s="19"/>
      <c r="F269" s="19"/>
    </row>
    <row r="270">
      <c r="B270" s="19"/>
      <c r="C270" s="19"/>
      <c r="D270" s="19"/>
      <c r="E270" s="19"/>
      <c r="F270" s="19"/>
    </row>
    <row r="271">
      <c r="B271" s="19"/>
      <c r="C271" s="19"/>
      <c r="D271" s="19"/>
      <c r="E271" s="19"/>
      <c r="F271" s="19"/>
    </row>
    <row r="272">
      <c r="B272" s="19"/>
      <c r="C272" s="19"/>
      <c r="D272" s="19"/>
      <c r="E272" s="19"/>
      <c r="F272" s="19"/>
    </row>
    <row r="273">
      <c r="B273" s="19"/>
      <c r="C273" s="19"/>
      <c r="D273" s="19"/>
      <c r="E273" s="19"/>
      <c r="F273" s="19"/>
    </row>
    <row r="274">
      <c r="B274" s="19"/>
      <c r="C274" s="19"/>
      <c r="D274" s="19"/>
      <c r="E274" s="19"/>
      <c r="F274" s="19"/>
    </row>
    <row r="275">
      <c r="B275" s="19"/>
      <c r="C275" s="19"/>
      <c r="D275" s="19"/>
      <c r="E275" s="19"/>
      <c r="F275" s="19"/>
    </row>
    <row r="276">
      <c r="B276" s="19"/>
      <c r="C276" s="19"/>
      <c r="D276" s="19"/>
      <c r="E276" s="19"/>
      <c r="F276" s="19"/>
    </row>
    <row r="277">
      <c r="B277" s="19"/>
      <c r="C277" s="19"/>
      <c r="D277" s="19"/>
      <c r="E277" s="19"/>
      <c r="F277" s="19"/>
    </row>
    <row r="278">
      <c r="B278" s="19"/>
      <c r="C278" s="19"/>
      <c r="D278" s="19"/>
      <c r="E278" s="19"/>
      <c r="F278" s="19"/>
    </row>
    <row r="279">
      <c r="B279" s="19"/>
      <c r="C279" s="19"/>
      <c r="D279" s="19"/>
      <c r="E279" s="19"/>
      <c r="F279" s="19"/>
    </row>
    <row r="280">
      <c r="B280" s="19"/>
      <c r="C280" s="19"/>
      <c r="D280" s="19"/>
      <c r="E280" s="19"/>
      <c r="F280" s="19"/>
    </row>
    <row r="281">
      <c r="B281" s="19"/>
      <c r="C281" s="19"/>
      <c r="D281" s="19"/>
      <c r="E281" s="19"/>
      <c r="F281" s="19"/>
    </row>
    <row r="282">
      <c r="B282" s="19"/>
      <c r="C282" s="19"/>
      <c r="D282" s="19"/>
      <c r="E282" s="19"/>
      <c r="F282" s="19"/>
    </row>
    <row r="283">
      <c r="B283" s="19"/>
      <c r="C283" s="19"/>
      <c r="D283" s="19"/>
      <c r="E283" s="19"/>
      <c r="F283" s="19"/>
    </row>
    <row r="284">
      <c r="B284" s="19"/>
      <c r="C284" s="19"/>
      <c r="D284" s="19"/>
      <c r="E284" s="19"/>
      <c r="F284" s="19"/>
    </row>
    <row r="285">
      <c r="B285" s="19"/>
      <c r="C285" s="19"/>
      <c r="D285" s="19"/>
      <c r="E285" s="19"/>
      <c r="F285" s="19"/>
    </row>
    <row r="286">
      <c r="B286" s="19"/>
      <c r="C286" s="19"/>
      <c r="D286" s="19"/>
      <c r="E286" s="19"/>
      <c r="F286" s="19"/>
    </row>
    <row r="287">
      <c r="B287" s="19"/>
      <c r="C287" s="19"/>
      <c r="D287" s="19"/>
      <c r="E287" s="19"/>
      <c r="F287" s="19"/>
    </row>
    <row r="288">
      <c r="B288" s="19"/>
      <c r="C288" s="19"/>
      <c r="D288" s="19"/>
      <c r="E288" s="19"/>
      <c r="F288" s="19"/>
    </row>
    <row r="289">
      <c r="B289" s="19"/>
      <c r="C289" s="19"/>
      <c r="D289" s="19"/>
      <c r="E289" s="19"/>
      <c r="F289" s="19"/>
    </row>
    <row r="290">
      <c r="B290" s="19"/>
      <c r="C290" s="19"/>
      <c r="D290" s="19"/>
      <c r="E290" s="19"/>
      <c r="F290" s="19"/>
    </row>
    <row r="291">
      <c r="B291" s="19"/>
      <c r="C291" s="19"/>
      <c r="D291" s="19"/>
      <c r="E291" s="19"/>
      <c r="F291" s="19"/>
    </row>
    <row r="292">
      <c r="B292" s="19"/>
      <c r="C292" s="19"/>
      <c r="D292" s="19"/>
      <c r="E292" s="19"/>
      <c r="F292" s="19"/>
    </row>
    <row r="293">
      <c r="B293" s="19"/>
      <c r="C293" s="19"/>
      <c r="D293" s="19"/>
      <c r="E293" s="19"/>
      <c r="F293" s="19"/>
    </row>
    <row r="294">
      <c r="B294" s="19"/>
      <c r="C294" s="19"/>
      <c r="D294" s="19"/>
      <c r="E294" s="19"/>
      <c r="F294" s="19"/>
    </row>
    <row r="295">
      <c r="B295" s="19"/>
      <c r="C295" s="19"/>
      <c r="D295" s="19"/>
      <c r="E295" s="19"/>
      <c r="F295" s="19"/>
    </row>
    <row r="296">
      <c r="B296" s="19"/>
      <c r="C296" s="19"/>
      <c r="D296" s="19"/>
      <c r="E296" s="19"/>
      <c r="F296" s="19"/>
    </row>
    <row r="297">
      <c r="B297" s="19"/>
      <c r="C297" s="19"/>
      <c r="D297" s="19"/>
      <c r="E297" s="19"/>
      <c r="F297" s="19"/>
    </row>
    <row r="298">
      <c r="B298" s="19"/>
      <c r="C298" s="19"/>
      <c r="D298" s="19"/>
      <c r="E298" s="19"/>
      <c r="F298" s="19"/>
    </row>
    <row r="299">
      <c r="B299" s="19"/>
      <c r="C299" s="19"/>
      <c r="D299" s="19"/>
      <c r="E299" s="19"/>
      <c r="F299" s="19"/>
    </row>
    <row r="300">
      <c r="B300" s="19"/>
      <c r="C300" s="19"/>
      <c r="D300" s="19"/>
      <c r="E300" s="19"/>
      <c r="F300" s="19"/>
    </row>
    <row r="301">
      <c r="B301" s="19"/>
      <c r="C301" s="19"/>
      <c r="D301" s="19"/>
      <c r="E301" s="19"/>
      <c r="F301" s="19"/>
    </row>
    <row r="302">
      <c r="B302" s="19"/>
      <c r="C302" s="19"/>
      <c r="D302" s="19"/>
      <c r="E302" s="19"/>
      <c r="F302" s="19"/>
    </row>
    <row r="303">
      <c r="B303" s="19"/>
      <c r="C303" s="19"/>
      <c r="D303" s="19"/>
      <c r="E303" s="19"/>
      <c r="F303" s="19"/>
    </row>
    <row r="304">
      <c r="B304" s="19"/>
      <c r="C304" s="19"/>
      <c r="D304" s="19"/>
      <c r="E304" s="19"/>
      <c r="F304" s="19"/>
    </row>
    <row r="305">
      <c r="B305" s="19"/>
      <c r="C305" s="19"/>
      <c r="D305" s="19"/>
      <c r="E305" s="19"/>
      <c r="F305" s="19"/>
    </row>
    <row r="306">
      <c r="B306" s="19"/>
      <c r="C306" s="19"/>
      <c r="D306" s="19"/>
      <c r="E306" s="19"/>
      <c r="F306" s="19"/>
    </row>
    <row r="307">
      <c r="B307" s="19"/>
      <c r="C307" s="19"/>
      <c r="D307" s="19"/>
      <c r="E307" s="19"/>
      <c r="F307" s="19"/>
    </row>
    <row r="308">
      <c r="B308" s="19"/>
      <c r="C308" s="19"/>
      <c r="D308" s="19"/>
      <c r="E308" s="19"/>
      <c r="F308" s="19"/>
    </row>
    <row r="309">
      <c r="B309" s="19"/>
      <c r="C309" s="19"/>
      <c r="D309" s="19"/>
      <c r="E309" s="19"/>
      <c r="F309" s="19"/>
    </row>
    <row r="310">
      <c r="B310" s="19"/>
      <c r="C310" s="19"/>
      <c r="D310" s="19"/>
      <c r="E310" s="19"/>
      <c r="F310" s="19"/>
    </row>
    <row r="311">
      <c r="B311" s="19"/>
      <c r="C311" s="19"/>
      <c r="D311" s="19"/>
      <c r="E311" s="19"/>
      <c r="F311" s="19"/>
    </row>
    <row r="312">
      <c r="B312" s="19"/>
      <c r="C312" s="19"/>
      <c r="D312" s="19"/>
      <c r="E312" s="19"/>
      <c r="F312" s="19"/>
    </row>
    <row r="313">
      <c r="B313" s="19"/>
      <c r="C313" s="19"/>
      <c r="D313" s="19"/>
      <c r="E313" s="19"/>
      <c r="F313" s="19"/>
    </row>
    <row r="314">
      <c r="B314" s="19"/>
      <c r="C314" s="19"/>
      <c r="D314" s="19"/>
      <c r="E314" s="19"/>
      <c r="F314" s="19"/>
    </row>
    <row r="315">
      <c r="B315" s="19"/>
      <c r="C315" s="19"/>
      <c r="D315" s="19"/>
      <c r="E315" s="19"/>
      <c r="F315" s="19"/>
    </row>
    <row r="316">
      <c r="B316" s="19"/>
      <c r="C316" s="19"/>
      <c r="D316" s="19"/>
      <c r="E316" s="19"/>
      <c r="F316" s="19"/>
    </row>
    <row r="317">
      <c r="B317" s="19"/>
      <c r="C317" s="19"/>
      <c r="D317" s="19"/>
      <c r="E317" s="19"/>
      <c r="F317" s="19"/>
    </row>
    <row r="318">
      <c r="B318" s="19"/>
      <c r="C318" s="19"/>
      <c r="D318" s="19"/>
      <c r="E318" s="19"/>
      <c r="F318" s="19"/>
    </row>
    <row r="319">
      <c r="B319" s="19"/>
      <c r="C319" s="19"/>
      <c r="D319" s="19"/>
      <c r="E319" s="19"/>
      <c r="F319" s="19"/>
    </row>
    <row r="320">
      <c r="B320" s="19"/>
      <c r="C320" s="19"/>
      <c r="D320" s="19"/>
      <c r="E320" s="19"/>
      <c r="F320" s="19"/>
    </row>
    <row r="321">
      <c r="B321" s="19"/>
      <c r="C321" s="19"/>
      <c r="D321" s="19"/>
      <c r="E321" s="19"/>
      <c r="F321" s="19"/>
    </row>
    <row r="322">
      <c r="B322" s="19"/>
      <c r="C322" s="19"/>
      <c r="D322" s="19"/>
      <c r="E322" s="19"/>
      <c r="F322" s="19"/>
    </row>
    <row r="323">
      <c r="B323" s="19"/>
      <c r="C323" s="19"/>
      <c r="D323" s="19"/>
      <c r="E323" s="19"/>
      <c r="F323" s="19"/>
    </row>
    <row r="324">
      <c r="B324" s="19"/>
      <c r="C324" s="19"/>
      <c r="D324" s="19"/>
      <c r="E324" s="19"/>
      <c r="F324" s="19"/>
    </row>
    <row r="325">
      <c r="B325" s="19"/>
      <c r="C325" s="19"/>
      <c r="D325" s="19"/>
      <c r="E325" s="19"/>
      <c r="F325" s="19"/>
    </row>
    <row r="326">
      <c r="B326" s="19"/>
      <c r="C326" s="19"/>
      <c r="D326" s="19"/>
      <c r="E326" s="19"/>
      <c r="F326" s="19"/>
    </row>
    <row r="327">
      <c r="B327" s="19"/>
      <c r="C327" s="19"/>
      <c r="D327" s="19"/>
      <c r="E327" s="19"/>
      <c r="F327" s="19"/>
    </row>
    <row r="328">
      <c r="B328" s="19"/>
      <c r="C328" s="19"/>
      <c r="D328" s="19"/>
      <c r="E328" s="19"/>
      <c r="F328" s="19"/>
    </row>
    <row r="329">
      <c r="B329" s="19"/>
      <c r="C329" s="19"/>
      <c r="D329" s="19"/>
      <c r="E329" s="19"/>
      <c r="F329" s="19"/>
    </row>
    <row r="330">
      <c r="B330" s="19"/>
      <c r="C330" s="19"/>
      <c r="D330" s="19"/>
      <c r="E330" s="19"/>
      <c r="F330" s="19"/>
    </row>
    <row r="331">
      <c r="B331" s="19"/>
      <c r="C331" s="19"/>
      <c r="D331" s="19"/>
      <c r="E331" s="19"/>
      <c r="F331" s="19"/>
    </row>
    <row r="332">
      <c r="B332" s="19"/>
      <c r="C332" s="19"/>
      <c r="D332" s="19"/>
      <c r="E332" s="19"/>
      <c r="F332" s="19"/>
    </row>
    <row r="333">
      <c r="B333" s="19"/>
      <c r="C333" s="19"/>
      <c r="D333" s="19"/>
      <c r="E333" s="19"/>
      <c r="F333" s="19"/>
    </row>
    <row r="334">
      <c r="B334" s="19"/>
      <c r="C334" s="19"/>
      <c r="D334" s="19"/>
      <c r="E334" s="19"/>
      <c r="F334" s="19"/>
    </row>
    <row r="335">
      <c r="B335" s="19"/>
      <c r="C335" s="19"/>
      <c r="D335" s="19"/>
      <c r="E335" s="19"/>
      <c r="F335" s="19"/>
    </row>
    <row r="336">
      <c r="B336" s="19"/>
      <c r="C336" s="19"/>
      <c r="D336" s="19"/>
      <c r="E336" s="19"/>
      <c r="F336" s="19"/>
    </row>
    <row r="337">
      <c r="B337" s="19"/>
      <c r="C337" s="19"/>
      <c r="D337" s="19"/>
      <c r="E337" s="19"/>
      <c r="F337" s="19"/>
    </row>
    <row r="338">
      <c r="B338" s="19"/>
      <c r="C338" s="19"/>
      <c r="D338" s="19"/>
      <c r="E338" s="19"/>
      <c r="F338" s="19"/>
    </row>
    <row r="339">
      <c r="B339" s="19"/>
      <c r="C339" s="19"/>
      <c r="D339" s="19"/>
      <c r="E339" s="19"/>
      <c r="F339" s="19"/>
    </row>
    <row r="340">
      <c r="B340" s="19"/>
      <c r="C340" s="19"/>
      <c r="D340" s="19"/>
      <c r="E340" s="19"/>
      <c r="F340" s="19"/>
    </row>
    <row r="341">
      <c r="B341" s="19"/>
      <c r="C341" s="19"/>
      <c r="D341" s="19"/>
      <c r="E341" s="19"/>
      <c r="F341" s="19"/>
    </row>
    <row r="342">
      <c r="B342" s="19"/>
      <c r="C342" s="19"/>
      <c r="D342" s="19"/>
      <c r="E342" s="19"/>
      <c r="F342" s="19"/>
    </row>
    <row r="343">
      <c r="B343" s="19"/>
      <c r="C343" s="19"/>
      <c r="D343" s="19"/>
      <c r="E343" s="19"/>
      <c r="F343" s="19"/>
    </row>
    <row r="344">
      <c r="B344" s="19"/>
      <c r="C344" s="19"/>
      <c r="D344" s="19"/>
      <c r="E344" s="19"/>
      <c r="F344" s="19"/>
    </row>
    <row r="345">
      <c r="B345" s="19"/>
      <c r="C345" s="19"/>
      <c r="D345" s="19"/>
      <c r="E345" s="19"/>
      <c r="F345" s="19"/>
    </row>
    <row r="346">
      <c r="B346" s="19"/>
      <c r="C346" s="19"/>
      <c r="D346" s="19"/>
      <c r="E346" s="19"/>
      <c r="F346" s="19"/>
    </row>
    <row r="347">
      <c r="B347" s="19"/>
      <c r="C347" s="19"/>
      <c r="D347" s="19"/>
      <c r="E347" s="19"/>
      <c r="F347" s="19"/>
    </row>
    <row r="348">
      <c r="B348" s="19"/>
      <c r="C348" s="19"/>
      <c r="D348" s="19"/>
      <c r="E348" s="19"/>
      <c r="F348" s="19"/>
    </row>
    <row r="349">
      <c r="B349" s="19"/>
      <c r="C349" s="19"/>
      <c r="D349" s="19"/>
      <c r="E349" s="19"/>
      <c r="F349" s="19"/>
    </row>
    <row r="350">
      <c r="B350" s="19"/>
      <c r="C350" s="19"/>
      <c r="D350" s="19"/>
      <c r="E350" s="19"/>
      <c r="F350" s="19"/>
    </row>
    <row r="351">
      <c r="B351" s="19"/>
      <c r="C351" s="19"/>
      <c r="D351" s="19"/>
      <c r="E351" s="19"/>
      <c r="F351" s="19"/>
    </row>
    <row r="352">
      <c r="B352" s="19"/>
      <c r="C352" s="19"/>
      <c r="D352" s="19"/>
      <c r="E352" s="19"/>
      <c r="F352" s="19"/>
    </row>
    <row r="353">
      <c r="B353" s="19"/>
      <c r="C353" s="19"/>
      <c r="D353" s="19"/>
      <c r="E353" s="19"/>
      <c r="F353" s="19"/>
    </row>
    <row r="354">
      <c r="B354" s="19"/>
      <c r="C354" s="19"/>
      <c r="D354" s="19"/>
      <c r="E354" s="19"/>
      <c r="F354" s="19"/>
    </row>
    <row r="355">
      <c r="B355" s="19"/>
      <c r="C355" s="19"/>
      <c r="D355" s="19"/>
      <c r="E355" s="19"/>
      <c r="F355" s="19"/>
    </row>
    <row r="356">
      <c r="B356" s="19"/>
      <c r="C356" s="19"/>
      <c r="D356" s="19"/>
      <c r="E356" s="19"/>
      <c r="F356" s="19"/>
    </row>
    <row r="357">
      <c r="B357" s="19"/>
      <c r="C357" s="19"/>
      <c r="D357" s="19"/>
      <c r="E357" s="19"/>
      <c r="F357" s="19"/>
    </row>
    <row r="358">
      <c r="B358" s="19"/>
      <c r="C358" s="19"/>
      <c r="D358" s="19"/>
      <c r="E358" s="19"/>
      <c r="F358" s="19"/>
    </row>
    <row r="359">
      <c r="B359" s="19"/>
      <c r="C359" s="19"/>
      <c r="D359" s="19"/>
      <c r="E359" s="19"/>
      <c r="F359" s="19"/>
    </row>
    <row r="360">
      <c r="B360" s="19"/>
      <c r="C360" s="19"/>
      <c r="D360" s="19"/>
      <c r="E360" s="19"/>
      <c r="F360" s="19"/>
    </row>
    <row r="361">
      <c r="B361" s="19"/>
      <c r="C361" s="19"/>
      <c r="D361" s="19"/>
      <c r="E361" s="19"/>
      <c r="F361" s="19"/>
    </row>
    <row r="362">
      <c r="B362" s="19"/>
      <c r="C362" s="19"/>
      <c r="D362" s="19"/>
      <c r="E362" s="19"/>
      <c r="F362" s="19"/>
    </row>
    <row r="363">
      <c r="B363" s="19"/>
      <c r="C363" s="19"/>
      <c r="D363" s="19"/>
      <c r="E363" s="19"/>
      <c r="F363" s="19"/>
    </row>
    <row r="364">
      <c r="B364" s="19"/>
      <c r="C364" s="19"/>
      <c r="D364" s="19"/>
      <c r="E364" s="19"/>
      <c r="F364" s="19"/>
    </row>
    <row r="365">
      <c r="B365" s="19"/>
      <c r="C365" s="19"/>
      <c r="D365" s="19"/>
      <c r="E365" s="19"/>
      <c r="F365" s="19"/>
    </row>
    <row r="366">
      <c r="B366" s="19"/>
      <c r="C366" s="19"/>
      <c r="D366" s="19"/>
      <c r="E366" s="19"/>
      <c r="F366" s="19"/>
    </row>
    <row r="367">
      <c r="B367" s="19"/>
      <c r="C367" s="19"/>
      <c r="D367" s="19"/>
      <c r="E367" s="19"/>
      <c r="F367" s="19"/>
    </row>
    <row r="368">
      <c r="B368" s="19"/>
      <c r="C368" s="19"/>
      <c r="D368" s="19"/>
      <c r="E368" s="19"/>
      <c r="F368" s="19"/>
    </row>
    <row r="369">
      <c r="B369" s="19"/>
      <c r="C369" s="19"/>
      <c r="D369" s="19"/>
      <c r="E369" s="19"/>
      <c r="F369" s="19"/>
    </row>
    <row r="370">
      <c r="B370" s="19"/>
      <c r="C370" s="19"/>
      <c r="D370" s="19"/>
      <c r="E370" s="19"/>
      <c r="F370" s="19"/>
    </row>
    <row r="371">
      <c r="B371" s="19"/>
      <c r="C371" s="19"/>
      <c r="D371" s="19"/>
      <c r="E371" s="19"/>
      <c r="F371" s="19"/>
    </row>
    <row r="372">
      <c r="B372" s="19"/>
      <c r="C372" s="19"/>
      <c r="D372" s="19"/>
      <c r="E372" s="19"/>
      <c r="F372" s="19"/>
    </row>
    <row r="373">
      <c r="B373" s="19"/>
      <c r="C373" s="19"/>
      <c r="D373" s="19"/>
      <c r="E373" s="19"/>
      <c r="F373" s="19"/>
    </row>
    <row r="374">
      <c r="B374" s="19"/>
      <c r="C374" s="19"/>
      <c r="D374" s="19"/>
      <c r="E374" s="19"/>
      <c r="F374" s="19"/>
    </row>
    <row r="375">
      <c r="B375" s="19"/>
      <c r="C375" s="19"/>
      <c r="D375" s="19"/>
      <c r="E375" s="19"/>
      <c r="F375" s="19"/>
    </row>
    <row r="376">
      <c r="B376" s="19"/>
      <c r="C376" s="19"/>
      <c r="D376" s="19"/>
      <c r="E376" s="19"/>
      <c r="F376" s="19"/>
    </row>
    <row r="377">
      <c r="B377" s="19"/>
      <c r="C377" s="19"/>
      <c r="D377" s="19"/>
      <c r="E377" s="19"/>
      <c r="F377" s="19"/>
    </row>
    <row r="378">
      <c r="B378" s="19"/>
      <c r="C378" s="19"/>
      <c r="D378" s="19"/>
      <c r="E378" s="19"/>
      <c r="F378" s="19"/>
    </row>
    <row r="379">
      <c r="B379" s="19"/>
      <c r="C379" s="19"/>
      <c r="D379" s="19"/>
      <c r="E379" s="19"/>
      <c r="F379" s="19"/>
    </row>
    <row r="380">
      <c r="B380" s="19"/>
      <c r="C380" s="19"/>
      <c r="D380" s="19"/>
      <c r="E380" s="19"/>
      <c r="F380" s="19"/>
    </row>
    <row r="381">
      <c r="B381" s="19"/>
      <c r="C381" s="19"/>
      <c r="D381" s="19"/>
      <c r="E381" s="19"/>
      <c r="F381" s="19"/>
    </row>
    <row r="382">
      <c r="B382" s="19"/>
      <c r="C382" s="19"/>
      <c r="D382" s="19"/>
      <c r="E382" s="19"/>
      <c r="F382" s="19"/>
    </row>
    <row r="383">
      <c r="B383" s="19"/>
      <c r="C383" s="19"/>
      <c r="D383" s="19"/>
      <c r="E383" s="19"/>
      <c r="F383" s="19"/>
    </row>
    <row r="384">
      <c r="B384" s="19"/>
      <c r="C384" s="19"/>
      <c r="D384" s="19"/>
      <c r="E384" s="19"/>
      <c r="F384" s="19"/>
    </row>
    <row r="385">
      <c r="B385" s="19"/>
      <c r="C385" s="19"/>
      <c r="D385" s="19"/>
      <c r="E385" s="19"/>
      <c r="F385" s="19"/>
    </row>
    <row r="386">
      <c r="B386" s="19"/>
      <c r="C386" s="19"/>
      <c r="D386" s="19"/>
      <c r="E386" s="19"/>
      <c r="F386" s="19"/>
    </row>
    <row r="387">
      <c r="B387" s="19"/>
      <c r="C387" s="19"/>
      <c r="D387" s="19"/>
      <c r="E387" s="19"/>
      <c r="F387" s="19"/>
    </row>
    <row r="388">
      <c r="B388" s="19"/>
      <c r="C388" s="19"/>
      <c r="D388" s="19"/>
      <c r="E388" s="19"/>
      <c r="F388" s="19"/>
    </row>
    <row r="389">
      <c r="B389" s="19"/>
      <c r="C389" s="19"/>
      <c r="D389" s="19"/>
      <c r="E389" s="19"/>
      <c r="F389" s="19"/>
    </row>
    <row r="390">
      <c r="B390" s="19"/>
      <c r="C390" s="19"/>
      <c r="D390" s="19"/>
      <c r="E390" s="19"/>
      <c r="F390" s="19"/>
    </row>
    <row r="391">
      <c r="B391" s="19"/>
      <c r="C391" s="19"/>
      <c r="D391" s="19"/>
      <c r="E391" s="19"/>
      <c r="F391" s="19"/>
    </row>
    <row r="392">
      <c r="B392" s="19"/>
      <c r="C392" s="19"/>
      <c r="D392" s="19"/>
      <c r="E392" s="19"/>
      <c r="F392" s="19"/>
    </row>
    <row r="393">
      <c r="B393" s="19"/>
      <c r="C393" s="19"/>
      <c r="D393" s="19"/>
      <c r="E393" s="19"/>
      <c r="F393" s="19"/>
    </row>
    <row r="394">
      <c r="B394" s="19"/>
      <c r="C394" s="19"/>
      <c r="D394" s="19"/>
      <c r="E394" s="19"/>
      <c r="F394" s="19"/>
    </row>
    <row r="395">
      <c r="B395" s="19"/>
      <c r="C395" s="19"/>
      <c r="D395" s="19"/>
      <c r="E395" s="19"/>
      <c r="F395" s="19"/>
    </row>
    <row r="396">
      <c r="B396" s="19"/>
      <c r="C396" s="19"/>
      <c r="D396" s="19"/>
      <c r="E396" s="19"/>
      <c r="F396" s="19"/>
    </row>
    <row r="397">
      <c r="B397" s="19"/>
      <c r="C397" s="19"/>
      <c r="D397" s="19"/>
      <c r="E397" s="19"/>
      <c r="F397" s="19"/>
    </row>
    <row r="398">
      <c r="B398" s="19"/>
      <c r="C398" s="19"/>
      <c r="D398" s="19"/>
      <c r="E398" s="19"/>
      <c r="F398" s="19"/>
    </row>
    <row r="399">
      <c r="B399" s="19"/>
      <c r="C399" s="19"/>
      <c r="D399" s="19"/>
      <c r="E399" s="19"/>
      <c r="F399" s="19"/>
    </row>
    <row r="400">
      <c r="B400" s="19"/>
      <c r="C400" s="19"/>
      <c r="D400" s="19"/>
      <c r="E400" s="19"/>
      <c r="F400" s="19"/>
    </row>
    <row r="401">
      <c r="B401" s="19"/>
      <c r="C401" s="19"/>
      <c r="D401" s="19"/>
      <c r="E401" s="19"/>
      <c r="F401" s="19"/>
    </row>
    <row r="402">
      <c r="B402" s="19"/>
      <c r="C402" s="19"/>
      <c r="D402" s="19"/>
      <c r="E402" s="19"/>
      <c r="F402" s="19"/>
    </row>
    <row r="403">
      <c r="B403" s="19"/>
      <c r="C403" s="19"/>
      <c r="D403" s="19"/>
      <c r="E403" s="19"/>
      <c r="F403" s="19"/>
    </row>
    <row r="404">
      <c r="B404" s="19"/>
      <c r="C404" s="19"/>
      <c r="D404" s="19"/>
      <c r="E404" s="19"/>
      <c r="F404" s="19"/>
    </row>
    <row r="405">
      <c r="B405" s="19"/>
      <c r="C405" s="19"/>
      <c r="D405" s="19"/>
      <c r="E405" s="19"/>
      <c r="F405" s="19"/>
    </row>
    <row r="406">
      <c r="B406" s="19"/>
      <c r="C406" s="19"/>
      <c r="D406" s="19"/>
      <c r="E406" s="19"/>
      <c r="F406" s="19"/>
    </row>
    <row r="407">
      <c r="B407" s="19"/>
      <c r="C407" s="19"/>
      <c r="D407" s="19"/>
      <c r="E407" s="19"/>
      <c r="F407" s="19"/>
    </row>
    <row r="408">
      <c r="B408" s="19"/>
      <c r="C408" s="19"/>
      <c r="D408" s="19"/>
      <c r="E408" s="19"/>
      <c r="F408" s="19"/>
    </row>
    <row r="409">
      <c r="B409" s="19"/>
      <c r="C409" s="19"/>
      <c r="D409" s="19"/>
      <c r="E409" s="19"/>
      <c r="F409" s="19"/>
    </row>
    <row r="410">
      <c r="B410" s="19"/>
      <c r="C410" s="19"/>
      <c r="D410" s="19"/>
      <c r="E410" s="19"/>
      <c r="F410" s="19"/>
    </row>
    <row r="411">
      <c r="B411" s="19"/>
      <c r="C411" s="19"/>
      <c r="D411" s="19"/>
      <c r="E411" s="19"/>
      <c r="F411" s="19"/>
    </row>
    <row r="412">
      <c r="B412" s="19"/>
      <c r="C412" s="19"/>
      <c r="D412" s="19"/>
      <c r="E412" s="19"/>
      <c r="F412" s="19"/>
    </row>
    <row r="413">
      <c r="B413" s="19"/>
      <c r="C413" s="19"/>
      <c r="D413" s="19"/>
      <c r="E413" s="19"/>
      <c r="F413" s="19"/>
    </row>
    <row r="414">
      <c r="B414" s="19"/>
      <c r="C414" s="19"/>
      <c r="D414" s="19"/>
      <c r="E414" s="19"/>
      <c r="F414" s="19"/>
    </row>
    <row r="415">
      <c r="B415" s="19"/>
      <c r="C415" s="19"/>
      <c r="D415" s="19"/>
      <c r="E415" s="19"/>
      <c r="F415" s="19"/>
    </row>
    <row r="416">
      <c r="B416" s="19"/>
      <c r="C416" s="19"/>
      <c r="D416" s="19"/>
      <c r="E416" s="19"/>
      <c r="F416" s="19"/>
    </row>
    <row r="417">
      <c r="B417" s="19"/>
      <c r="C417" s="19"/>
      <c r="D417" s="19"/>
      <c r="E417" s="19"/>
      <c r="F417" s="19"/>
    </row>
    <row r="418">
      <c r="B418" s="19"/>
      <c r="C418" s="19"/>
      <c r="D418" s="19"/>
      <c r="E418" s="19"/>
      <c r="F418" s="19"/>
    </row>
    <row r="419">
      <c r="B419" s="19"/>
      <c r="C419" s="19"/>
      <c r="D419" s="19"/>
      <c r="E419" s="19"/>
      <c r="F419" s="19"/>
    </row>
    <row r="420">
      <c r="B420" s="19"/>
      <c r="C420" s="19"/>
      <c r="D420" s="19"/>
      <c r="E420" s="19"/>
      <c r="F420" s="19"/>
    </row>
    <row r="421">
      <c r="B421" s="19"/>
      <c r="C421" s="19"/>
      <c r="D421" s="19"/>
      <c r="E421" s="19"/>
      <c r="F421" s="19"/>
    </row>
    <row r="422">
      <c r="B422" s="19"/>
      <c r="C422" s="19"/>
      <c r="D422" s="19"/>
      <c r="E422" s="19"/>
      <c r="F422" s="19"/>
    </row>
    <row r="423">
      <c r="B423" s="19"/>
      <c r="C423" s="19"/>
      <c r="D423" s="19"/>
      <c r="E423" s="19"/>
      <c r="F423" s="19"/>
    </row>
    <row r="424">
      <c r="B424" s="19"/>
      <c r="C424" s="19"/>
      <c r="D424" s="19"/>
      <c r="E424" s="19"/>
      <c r="F424" s="19"/>
    </row>
    <row r="425">
      <c r="B425" s="19"/>
      <c r="C425" s="19"/>
      <c r="D425" s="19"/>
      <c r="E425" s="19"/>
      <c r="F425" s="19"/>
    </row>
    <row r="426">
      <c r="B426" s="19"/>
      <c r="C426" s="19"/>
      <c r="D426" s="19"/>
      <c r="E426" s="19"/>
      <c r="F426" s="19"/>
    </row>
    <row r="427">
      <c r="B427" s="19"/>
      <c r="C427" s="19"/>
      <c r="D427" s="19"/>
      <c r="E427" s="19"/>
      <c r="F427" s="19"/>
    </row>
    <row r="428">
      <c r="B428" s="19"/>
      <c r="C428" s="19"/>
      <c r="D428" s="19"/>
      <c r="E428" s="19"/>
      <c r="F428" s="19"/>
    </row>
    <row r="429">
      <c r="B429" s="19"/>
      <c r="C429" s="19"/>
      <c r="D429" s="19"/>
      <c r="E429" s="19"/>
      <c r="F429" s="19"/>
    </row>
    <row r="430">
      <c r="B430" s="19"/>
      <c r="C430" s="19"/>
      <c r="D430" s="19"/>
      <c r="E430" s="19"/>
      <c r="F430" s="19"/>
    </row>
    <row r="431">
      <c r="B431" s="19"/>
      <c r="C431" s="19"/>
      <c r="D431" s="19"/>
      <c r="E431" s="19"/>
      <c r="F431" s="19"/>
    </row>
    <row r="432">
      <c r="B432" s="19"/>
      <c r="C432" s="19"/>
      <c r="D432" s="19"/>
      <c r="E432" s="19"/>
      <c r="F432" s="19"/>
    </row>
    <row r="433">
      <c r="B433" s="19"/>
      <c r="C433" s="19"/>
      <c r="D433" s="19"/>
      <c r="E433" s="19"/>
      <c r="F433" s="19"/>
    </row>
    <row r="434">
      <c r="B434" s="19"/>
      <c r="C434" s="19"/>
      <c r="D434" s="19"/>
      <c r="E434" s="19"/>
      <c r="F434" s="19"/>
    </row>
    <row r="435">
      <c r="B435" s="19"/>
      <c r="C435" s="19"/>
      <c r="D435" s="19"/>
      <c r="E435" s="19"/>
      <c r="F435" s="19"/>
    </row>
    <row r="436">
      <c r="B436" s="19"/>
      <c r="C436" s="19"/>
      <c r="D436" s="19"/>
      <c r="E436" s="19"/>
      <c r="F436" s="19"/>
    </row>
    <row r="437">
      <c r="B437" s="19"/>
      <c r="C437" s="19"/>
      <c r="D437" s="19"/>
      <c r="E437" s="19"/>
      <c r="F437" s="19"/>
    </row>
    <row r="438">
      <c r="B438" s="19"/>
      <c r="C438" s="19"/>
      <c r="D438" s="19"/>
      <c r="E438" s="19"/>
      <c r="F438" s="19"/>
    </row>
    <row r="439">
      <c r="B439" s="19"/>
      <c r="C439" s="19"/>
      <c r="D439" s="19"/>
      <c r="E439" s="19"/>
      <c r="F439" s="19"/>
    </row>
    <row r="440">
      <c r="B440" s="19"/>
      <c r="C440" s="19"/>
      <c r="D440" s="19"/>
      <c r="E440" s="19"/>
      <c r="F440" s="19"/>
    </row>
    <row r="441">
      <c r="B441" s="19"/>
      <c r="C441" s="19"/>
      <c r="D441" s="19"/>
      <c r="E441" s="19"/>
      <c r="F441" s="19"/>
    </row>
    <row r="442">
      <c r="B442" s="19"/>
      <c r="C442" s="19"/>
      <c r="D442" s="19"/>
      <c r="E442" s="19"/>
      <c r="F442" s="19"/>
    </row>
    <row r="443">
      <c r="B443" s="19"/>
      <c r="C443" s="19"/>
      <c r="D443" s="19"/>
      <c r="E443" s="19"/>
      <c r="F443" s="19"/>
    </row>
    <row r="444">
      <c r="B444" s="19"/>
      <c r="C444" s="19"/>
      <c r="D444" s="19"/>
      <c r="E444" s="19"/>
      <c r="F444" s="19"/>
    </row>
    <row r="445">
      <c r="B445" s="19"/>
      <c r="C445" s="19"/>
      <c r="D445" s="19"/>
      <c r="E445" s="19"/>
      <c r="F445" s="19"/>
    </row>
    <row r="446">
      <c r="B446" s="19"/>
      <c r="C446" s="19"/>
      <c r="D446" s="19"/>
      <c r="E446" s="19"/>
      <c r="F446" s="19"/>
    </row>
    <row r="447">
      <c r="B447" s="19"/>
      <c r="C447" s="19"/>
      <c r="D447" s="19"/>
      <c r="E447" s="19"/>
      <c r="F447" s="19"/>
    </row>
    <row r="448">
      <c r="B448" s="19"/>
      <c r="C448" s="19"/>
      <c r="D448" s="19"/>
      <c r="E448" s="19"/>
      <c r="F448" s="19"/>
    </row>
    <row r="449">
      <c r="B449" s="19"/>
      <c r="C449" s="19"/>
      <c r="D449" s="19"/>
      <c r="E449" s="19"/>
      <c r="F449" s="19"/>
    </row>
    <row r="450">
      <c r="B450" s="19"/>
      <c r="C450" s="19"/>
      <c r="D450" s="19"/>
      <c r="E450" s="19"/>
      <c r="F450" s="19"/>
    </row>
    <row r="451">
      <c r="B451" s="19"/>
      <c r="C451" s="19"/>
      <c r="D451" s="19"/>
      <c r="E451" s="19"/>
      <c r="F451" s="19"/>
    </row>
    <row r="452">
      <c r="B452" s="19"/>
      <c r="C452" s="19"/>
      <c r="D452" s="19"/>
      <c r="E452" s="19"/>
      <c r="F452" s="19"/>
    </row>
    <row r="453">
      <c r="B453" s="19"/>
      <c r="C453" s="19"/>
      <c r="D453" s="19"/>
      <c r="E453" s="19"/>
      <c r="F453" s="19"/>
    </row>
    <row r="454">
      <c r="B454" s="19"/>
      <c r="C454" s="19"/>
      <c r="D454" s="19"/>
      <c r="E454" s="19"/>
      <c r="F454" s="19"/>
    </row>
    <row r="455">
      <c r="B455" s="19"/>
      <c r="C455" s="19"/>
      <c r="D455" s="19"/>
      <c r="E455" s="19"/>
      <c r="F455" s="19"/>
    </row>
    <row r="456">
      <c r="B456" s="19"/>
      <c r="C456" s="19"/>
      <c r="D456" s="19"/>
      <c r="E456" s="19"/>
      <c r="F456" s="19"/>
    </row>
    <row r="457">
      <c r="B457" s="19"/>
      <c r="C457" s="19"/>
      <c r="D457" s="19"/>
      <c r="E457" s="19"/>
      <c r="F457" s="19"/>
    </row>
    <row r="458">
      <c r="B458" s="19"/>
      <c r="C458" s="19"/>
      <c r="D458" s="19"/>
      <c r="E458" s="19"/>
      <c r="F458" s="19"/>
    </row>
    <row r="459">
      <c r="B459" s="19"/>
      <c r="C459" s="19"/>
      <c r="D459" s="19"/>
      <c r="E459" s="19"/>
      <c r="F459" s="19"/>
    </row>
    <row r="460">
      <c r="B460" s="19"/>
      <c r="C460" s="19"/>
      <c r="D460" s="19"/>
      <c r="E460" s="19"/>
      <c r="F460" s="19"/>
    </row>
    <row r="461">
      <c r="B461" s="19"/>
      <c r="C461" s="19"/>
      <c r="D461" s="19"/>
      <c r="E461" s="19"/>
      <c r="F461" s="19"/>
    </row>
    <row r="462">
      <c r="B462" s="19"/>
      <c r="C462" s="19"/>
      <c r="D462" s="19"/>
      <c r="E462" s="19"/>
      <c r="F462" s="19"/>
    </row>
    <row r="463">
      <c r="B463" s="19"/>
      <c r="C463" s="19"/>
      <c r="D463" s="19"/>
      <c r="E463" s="19"/>
      <c r="F463" s="19"/>
    </row>
    <row r="464">
      <c r="B464" s="19"/>
      <c r="C464" s="19"/>
      <c r="D464" s="19"/>
      <c r="E464" s="19"/>
      <c r="F464" s="19"/>
    </row>
    <row r="465">
      <c r="B465" s="19"/>
      <c r="C465" s="19"/>
      <c r="D465" s="19"/>
      <c r="E465" s="19"/>
      <c r="F465" s="19"/>
    </row>
    <row r="466">
      <c r="B466" s="19"/>
      <c r="C466" s="19"/>
      <c r="D466" s="19"/>
      <c r="E466" s="19"/>
      <c r="F466" s="19"/>
    </row>
    <row r="467">
      <c r="B467" s="19"/>
      <c r="C467" s="19"/>
      <c r="D467" s="19"/>
      <c r="E467" s="19"/>
      <c r="F467" s="19"/>
    </row>
    <row r="468">
      <c r="B468" s="19"/>
      <c r="C468" s="19"/>
      <c r="D468" s="19"/>
      <c r="E468" s="19"/>
      <c r="F468" s="19"/>
    </row>
    <row r="469">
      <c r="B469" s="19"/>
      <c r="C469" s="19"/>
      <c r="D469" s="19"/>
      <c r="E469" s="19"/>
      <c r="F469" s="19"/>
    </row>
    <row r="470">
      <c r="B470" s="19"/>
      <c r="C470" s="19"/>
      <c r="D470" s="19"/>
      <c r="E470" s="19"/>
      <c r="F470" s="19"/>
    </row>
    <row r="471">
      <c r="B471" s="19"/>
      <c r="C471" s="19"/>
      <c r="D471" s="19"/>
      <c r="E471" s="19"/>
      <c r="F471" s="19"/>
    </row>
    <row r="472">
      <c r="B472" s="19"/>
      <c r="C472" s="19"/>
      <c r="D472" s="19"/>
      <c r="E472" s="19"/>
      <c r="F472" s="19"/>
    </row>
    <row r="473">
      <c r="B473" s="19"/>
      <c r="C473" s="19"/>
      <c r="D473" s="19"/>
      <c r="E473" s="19"/>
      <c r="F473" s="19"/>
    </row>
    <row r="474">
      <c r="B474" s="19"/>
      <c r="C474" s="19"/>
      <c r="D474" s="19"/>
      <c r="E474" s="19"/>
      <c r="F474" s="19"/>
    </row>
    <row r="475">
      <c r="B475" s="19"/>
      <c r="C475" s="19"/>
      <c r="D475" s="19"/>
      <c r="E475" s="19"/>
      <c r="F475" s="19"/>
    </row>
    <row r="476">
      <c r="B476" s="19"/>
      <c r="C476" s="19"/>
      <c r="D476" s="19"/>
      <c r="E476" s="19"/>
      <c r="F476" s="19"/>
    </row>
    <row r="477">
      <c r="B477" s="19"/>
      <c r="C477" s="19"/>
      <c r="D477" s="19"/>
      <c r="E477" s="19"/>
      <c r="F477" s="19"/>
    </row>
    <row r="478">
      <c r="B478" s="19"/>
      <c r="C478" s="19"/>
      <c r="D478" s="19"/>
      <c r="E478" s="19"/>
      <c r="F478" s="19"/>
    </row>
    <row r="479">
      <c r="B479" s="19"/>
      <c r="C479" s="19"/>
      <c r="D479" s="19"/>
      <c r="E479" s="19"/>
      <c r="F479" s="19"/>
    </row>
    <row r="480">
      <c r="B480" s="19"/>
      <c r="C480" s="19"/>
      <c r="D480" s="19"/>
      <c r="E480" s="19"/>
      <c r="F480" s="19"/>
    </row>
    <row r="481">
      <c r="B481" s="19"/>
      <c r="C481" s="19"/>
      <c r="D481" s="19"/>
      <c r="E481" s="19"/>
      <c r="F481" s="19"/>
    </row>
    <row r="482">
      <c r="B482" s="19"/>
      <c r="C482" s="19"/>
      <c r="D482" s="19"/>
      <c r="E482" s="19"/>
      <c r="F482" s="19"/>
    </row>
    <row r="483">
      <c r="B483" s="19"/>
      <c r="C483" s="19"/>
      <c r="D483" s="19"/>
      <c r="E483" s="19"/>
      <c r="F483" s="19"/>
    </row>
    <row r="484">
      <c r="B484" s="19"/>
      <c r="C484" s="19"/>
      <c r="D484" s="19"/>
      <c r="E484" s="19"/>
      <c r="F484" s="19"/>
    </row>
    <row r="485">
      <c r="B485" s="19"/>
      <c r="C485" s="19"/>
      <c r="D485" s="19"/>
      <c r="E485" s="19"/>
      <c r="F485" s="19"/>
    </row>
    <row r="486">
      <c r="B486" s="19"/>
      <c r="C486" s="19"/>
      <c r="D486" s="19"/>
      <c r="E486" s="19"/>
      <c r="F486" s="19"/>
    </row>
    <row r="487">
      <c r="B487" s="19"/>
      <c r="C487" s="19"/>
      <c r="D487" s="19"/>
      <c r="E487" s="19"/>
      <c r="F487" s="19"/>
    </row>
    <row r="488">
      <c r="B488" s="19"/>
      <c r="C488" s="19"/>
      <c r="D488" s="19"/>
      <c r="E488" s="19"/>
      <c r="F488" s="19"/>
    </row>
    <row r="489">
      <c r="B489" s="19"/>
      <c r="C489" s="19"/>
      <c r="D489" s="19"/>
      <c r="E489" s="19"/>
      <c r="F489" s="19"/>
    </row>
    <row r="490">
      <c r="B490" s="19"/>
      <c r="C490" s="19"/>
      <c r="D490" s="19"/>
      <c r="E490" s="19"/>
      <c r="F490" s="19"/>
    </row>
    <row r="491">
      <c r="B491" s="19"/>
      <c r="C491" s="19"/>
      <c r="D491" s="19"/>
      <c r="E491" s="19"/>
      <c r="F491" s="19"/>
    </row>
    <row r="492">
      <c r="B492" s="19"/>
      <c r="C492" s="19"/>
      <c r="D492" s="19"/>
      <c r="E492" s="19"/>
      <c r="F492" s="19"/>
    </row>
    <row r="493">
      <c r="B493" s="19"/>
      <c r="C493" s="19"/>
      <c r="D493" s="19"/>
      <c r="E493" s="19"/>
      <c r="F493" s="19"/>
    </row>
    <row r="494">
      <c r="B494" s="19"/>
      <c r="C494" s="19"/>
      <c r="D494" s="19"/>
      <c r="E494" s="19"/>
      <c r="F494" s="19"/>
    </row>
    <row r="495">
      <c r="B495" s="19"/>
      <c r="C495" s="19"/>
      <c r="D495" s="19"/>
      <c r="E495" s="19"/>
      <c r="F495" s="19"/>
    </row>
    <row r="496">
      <c r="B496" s="19"/>
      <c r="C496" s="19"/>
      <c r="D496" s="19"/>
      <c r="E496" s="19"/>
      <c r="F496" s="19"/>
    </row>
    <row r="497">
      <c r="B497" s="19"/>
      <c r="C497" s="19"/>
      <c r="D497" s="19"/>
      <c r="E497" s="19"/>
      <c r="F497" s="19"/>
    </row>
    <row r="498">
      <c r="B498" s="19"/>
      <c r="C498" s="19"/>
      <c r="D498" s="19"/>
      <c r="E498" s="19"/>
      <c r="F498" s="19"/>
    </row>
    <row r="499">
      <c r="B499" s="19"/>
      <c r="C499" s="19"/>
      <c r="D499" s="19"/>
      <c r="E499" s="19"/>
      <c r="F499" s="19"/>
    </row>
    <row r="500">
      <c r="B500" s="19"/>
      <c r="C500" s="19"/>
      <c r="D500" s="19"/>
      <c r="E500" s="19"/>
      <c r="F500" s="19"/>
    </row>
    <row r="501">
      <c r="B501" s="19"/>
      <c r="C501" s="19"/>
      <c r="D501" s="19"/>
      <c r="E501" s="19"/>
      <c r="F501" s="19"/>
    </row>
    <row r="502">
      <c r="B502" s="19"/>
      <c r="C502" s="19"/>
      <c r="D502" s="19"/>
      <c r="E502" s="19"/>
      <c r="F502" s="19"/>
    </row>
    <row r="503">
      <c r="B503" s="19"/>
      <c r="C503" s="19"/>
      <c r="D503" s="19"/>
      <c r="E503" s="19"/>
      <c r="F503" s="19"/>
    </row>
    <row r="504">
      <c r="B504" s="19"/>
      <c r="C504" s="19"/>
      <c r="D504" s="19"/>
      <c r="E504" s="19"/>
      <c r="F504" s="19"/>
    </row>
    <row r="505">
      <c r="B505" s="19"/>
      <c r="C505" s="19"/>
      <c r="D505" s="19"/>
      <c r="E505" s="19"/>
      <c r="F505" s="19"/>
    </row>
    <row r="506">
      <c r="B506" s="19"/>
      <c r="C506" s="19"/>
      <c r="D506" s="19"/>
      <c r="E506" s="19"/>
      <c r="F506" s="19"/>
    </row>
    <row r="507">
      <c r="B507" s="19"/>
      <c r="C507" s="19"/>
      <c r="D507" s="19"/>
      <c r="E507" s="19"/>
      <c r="F507" s="19"/>
    </row>
    <row r="508">
      <c r="B508" s="19"/>
      <c r="C508" s="19"/>
      <c r="D508" s="19"/>
      <c r="E508" s="19"/>
      <c r="F508" s="19"/>
    </row>
    <row r="509">
      <c r="B509" s="19"/>
      <c r="C509" s="19"/>
      <c r="D509" s="19"/>
      <c r="E509" s="19"/>
      <c r="F509" s="19"/>
    </row>
    <row r="510">
      <c r="B510" s="19"/>
      <c r="C510" s="19"/>
      <c r="D510" s="19"/>
      <c r="E510" s="19"/>
      <c r="F510" s="19"/>
    </row>
    <row r="511">
      <c r="B511" s="19"/>
      <c r="C511" s="19"/>
      <c r="D511" s="19"/>
      <c r="E511" s="19"/>
      <c r="F511" s="19"/>
    </row>
    <row r="512">
      <c r="B512" s="19"/>
      <c r="C512" s="19"/>
      <c r="D512" s="19"/>
      <c r="E512" s="19"/>
      <c r="F512" s="19"/>
    </row>
    <row r="513">
      <c r="B513" s="19"/>
      <c r="C513" s="19"/>
      <c r="D513" s="19"/>
      <c r="E513" s="19"/>
      <c r="F513" s="19"/>
    </row>
    <row r="514">
      <c r="B514" s="19"/>
      <c r="C514" s="19"/>
      <c r="D514" s="19"/>
      <c r="E514" s="19"/>
      <c r="F514" s="19"/>
    </row>
    <row r="515">
      <c r="B515" s="19"/>
      <c r="C515" s="19"/>
      <c r="D515" s="19"/>
      <c r="E515" s="19"/>
      <c r="F515" s="19"/>
    </row>
    <row r="516">
      <c r="B516" s="19"/>
      <c r="C516" s="19"/>
      <c r="D516" s="19"/>
      <c r="E516" s="19"/>
      <c r="F516" s="19"/>
    </row>
    <row r="517">
      <c r="B517" s="19"/>
      <c r="C517" s="19"/>
      <c r="D517" s="19"/>
      <c r="E517" s="19"/>
      <c r="F517" s="19"/>
    </row>
    <row r="518">
      <c r="B518" s="19"/>
      <c r="C518" s="19"/>
      <c r="D518" s="19"/>
      <c r="E518" s="19"/>
      <c r="F518" s="19"/>
    </row>
    <row r="519">
      <c r="B519" s="19"/>
      <c r="C519" s="19"/>
      <c r="D519" s="19"/>
      <c r="E519" s="19"/>
      <c r="F519" s="19"/>
    </row>
    <row r="520">
      <c r="B520" s="19"/>
      <c r="C520" s="19"/>
      <c r="D520" s="19"/>
      <c r="E520" s="19"/>
      <c r="F520" s="19"/>
    </row>
    <row r="521">
      <c r="B521" s="19"/>
      <c r="C521" s="19"/>
      <c r="D521" s="19"/>
      <c r="E521" s="19"/>
      <c r="F521" s="19"/>
    </row>
    <row r="522">
      <c r="B522" s="19"/>
      <c r="C522" s="19"/>
      <c r="D522" s="19"/>
      <c r="E522" s="19"/>
      <c r="F522" s="19"/>
    </row>
    <row r="523">
      <c r="B523" s="19"/>
      <c r="C523" s="19"/>
      <c r="D523" s="19"/>
      <c r="E523" s="19"/>
      <c r="F523" s="19"/>
    </row>
    <row r="524">
      <c r="B524" s="19"/>
      <c r="C524" s="19"/>
      <c r="D524" s="19"/>
      <c r="E524" s="19"/>
      <c r="F524" s="19"/>
    </row>
    <row r="525">
      <c r="B525" s="19"/>
      <c r="C525" s="19"/>
      <c r="D525" s="19"/>
      <c r="E525" s="19"/>
      <c r="F525" s="19"/>
    </row>
    <row r="526">
      <c r="B526" s="19"/>
      <c r="C526" s="19"/>
      <c r="D526" s="19"/>
      <c r="E526" s="19"/>
      <c r="F526" s="19"/>
    </row>
    <row r="527">
      <c r="B527" s="19"/>
      <c r="C527" s="19"/>
      <c r="D527" s="19"/>
      <c r="E527" s="19"/>
      <c r="F527" s="19"/>
    </row>
    <row r="528">
      <c r="B528" s="19"/>
      <c r="C528" s="19"/>
      <c r="D528" s="19"/>
      <c r="E528" s="19"/>
      <c r="F528" s="19"/>
    </row>
    <row r="529">
      <c r="B529" s="19"/>
      <c r="C529" s="19"/>
      <c r="D529" s="19"/>
      <c r="E529" s="19"/>
      <c r="F529" s="19"/>
    </row>
    <row r="530">
      <c r="B530" s="19"/>
      <c r="C530" s="19"/>
      <c r="D530" s="19"/>
      <c r="E530" s="19"/>
      <c r="F530" s="19"/>
    </row>
    <row r="531">
      <c r="B531" s="19"/>
      <c r="C531" s="19"/>
      <c r="D531" s="19"/>
      <c r="E531" s="19"/>
      <c r="F531" s="19"/>
    </row>
    <row r="532">
      <c r="B532" s="19"/>
      <c r="C532" s="19"/>
      <c r="D532" s="19"/>
      <c r="E532" s="19"/>
      <c r="F532" s="19"/>
    </row>
    <row r="533">
      <c r="B533" s="19"/>
      <c r="C533" s="19"/>
      <c r="D533" s="19"/>
      <c r="E533" s="19"/>
      <c r="F533" s="19"/>
    </row>
    <row r="534">
      <c r="B534" s="19"/>
      <c r="C534" s="19"/>
      <c r="D534" s="19"/>
      <c r="E534" s="19"/>
      <c r="F534" s="19"/>
    </row>
    <row r="535">
      <c r="B535" s="19"/>
      <c r="C535" s="19"/>
      <c r="D535" s="19"/>
      <c r="E535" s="19"/>
      <c r="F535" s="19"/>
    </row>
    <row r="536">
      <c r="B536" s="19"/>
      <c r="C536" s="19"/>
      <c r="D536" s="19"/>
      <c r="E536" s="19"/>
      <c r="F536" s="19"/>
    </row>
    <row r="537">
      <c r="B537" s="19"/>
      <c r="C537" s="19"/>
      <c r="D537" s="19"/>
      <c r="E537" s="19"/>
      <c r="F537" s="19"/>
    </row>
    <row r="538">
      <c r="B538" s="19"/>
      <c r="C538" s="19"/>
      <c r="D538" s="19"/>
      <c r="E538" s="19"/>
      <c r="F538" s="19"/>
    </row>
    <row r="539">
      <c r="B539" s="19"/>
      <c r="C539" s="19"/>
      <c r="D539" s="19"/>
      <c r="E539" s="19"/>
      <c r="F539" s="19"/>
    </row>
    <row r="540">
      <c r="B540" s="19"/>
      <c r="C540" s="19"/>
      <c r="D540" s="19"/>
      <c r="E540" s="19"/>
      <c r="F540" s="19"/>
    </row>
    <row r="541">
      <c r="B541" s="19"/>
      <c r="C541" s="19"/>
      <c r="D541" s="19"/>
      <c r="E541" s="19"/>
      <c r="F541" s="19"/>
    </row>
    <row r="542">
      <c r="B542" s="19"/>
      <c r="C542" s="19"/>
      <c r="D542" s="19"/>
      <c r="E542" s="19"/>
      <c r="F542" s="19"/>
    </row>
    <row r="543">
      <c r="B543" s="19"/>
      <c r="C543" s="19"/>
      <c r="D543" s="19"/>
      <c r="E543" s="19"/>
      <c r="F543" s="19"/>
    </row>
    <row r="544">
      <c r="B544" s="19"/>
      <c r="C544" s="19"/>
      <c r="D544" s="19"/>
      <c r="E544" s="19"/>
      <c r="F544" s="19"/>
    </row>
    <row r="545">
      <c r="B545" s="19"/>
      <c r="C545" s="19"/>
      <c r="D545" s="19"/>
      <c r="E545" s="19"/>
      <c r="F545" s="19"/>
    </row>
    <row r="546">
      <c r="B546" s="19"/>
      <c r="C546" s="19"/>
      <c r="D546" s="19"/>
      <c r="E546" s="19"/>
      <c r="F546" s="19"/>
    </row>
    <row r="547">
      <c r="B547" s="19"/>
      <c r="C547" s="19"/>
      <c r="D547" s="19"/>
      <c r="E547" s="19"/>
      <c r="F547" s="19"/>
    </row>
    <row r="548">
      <c r="B548" s="19"/>
      <c r="C548" s="19"/>
      <c r="D548" s="19"/>
      <c r="E548" s="19"/>
      <c r="F548" s="19"/>
    </row>
    <row r="549">
      <c r="B549" s="19"/>
      <c r="C549" s="19"/>
      <c r="D549" s="19"/>
      <c r="E549" s="19"/>
      <c r="F549" s="19"/>
    </row>
    <row r="550">
      <c r="B550" s="19"/>
      <c r="C550" s="19"/>
      <c r="D550" s="19"/>
      <c r="E550" s="19"/>
      <c r="F550" s="19"/>
    </row>
    <row r="551">
      <c r="B551" s="19"/>
      <c r="C551" s="19"/>
      <c r="D551" s="19"/>
      <c r="E551" s="19"/>
      <c r="F551" s="19"/>
    </row>
    <row r="552">
      <c r="B552" s="19"/>
      <c r="C552" s="19"/>
      <c r="D552" s="19"/>
      <c r="E552" s="19"/>
      <c r="F552" s="19"/>
    </row>
    <row r="553">
      <c r="B553" s="19"/>
      <c r="C553" s="19"/>
      <c r="D553" s="19"/>
      <c r="E553" s="19"/>
      <c r="F553" s="19"/>
    </row>
    <row r="554">
      <c r="B554" s="19"/>
      <c r="C554" s="19"/>
      <c r="D554" s="19"/>
      <c r="E554" s="19"/>
      <c r="F554" s="19"/>
    </row>
    <row r="555">
      <c r="B555" s="19"/>
      <c r="C555" s="19"/>
      <c r="D555" s="19"/>
      <c r="E555" s="19"/>
      <c r="F555" s="19"/>
    </row>
    <row r="556">
      <c r="B556" s="19"/>
      <c r="C556" s="19"/>
      <c r="D556" s="19"/>
      <c r="E556" s="19"/>
      <c r="F556" s="19"/>
    </row>
    <row r="557">
      <c r="B557" s="19"/>
      <c r="C557" s="19"/>
      <c r="D557" s="19"/>
      <c r="E557" s="19"/>
      <c r="F557" s="19"/>
    </row>
    <row r="558">
      <c r="B558" s="19"/>
      <c r="C558" s="19"/>
      <c r="D558" s="19"/>
      <c r="E558" s="19"/>
      <c r="F558" s="19"/>
    </row>
    <row r="559">
      <c r="B559" s="19"/>
      <c r="C559" s="19"/>
      <c r="D559" s="19"/>
      <c r="E559" s="19"/>
      <c r="F559" s="19"/>
    </row>
    <row r="560">
      <c r="B560" s="19"/>
      <c r="C560" s="19"/>
      <c r="D560" s="19"/>
      <c r="E560" s="19"/>
      <c r="F560" s="19"/>
    </row>
    <row r="561">
      <c r="B561" s="19"/>
      <c r="C561" s="19"/>
      <c r="D561" s="19"/>
      <c r="E561" s="19"/>
      <c r="F561" s="19"/>
    </row>
    <row r="562">
      <c r="B562" s="19"/>
      <c r="C562" s="19"/>
      <c r="D562" s="19"/>
      <c r="E562" s="19"/>
      <c r="F562" s="19"/>
    </row>
    <row r="563">
      <c r="B563" s="19"/>
      <c r="C563" s="19"/>
      <c r="D563" s="19"/>
      <c r="E563" s="19"/>
      <c r="F563" s="19"/>
    </row>
    <row r="564">
      <c r="B564" s="19"/>
      <c r="C564" s="19"/>
      <c r="D564" s="19"/>
      <c r="E564" s="19"/>
      <c r="F564" s="19"/>
    </row>
    <row r="565">
      <c r="B565" s="19"/>
      <c r="C565" s="19"/>
      <c r="D565" s="19"/>
      <c r="E565" s="19"/>
      <c r="F565" s="19"/>
    </row>
    <row r="566">
      <c r="B566" s="19"/>
      <c r="C566" s="19"/>
      <c r="D566" s="19"/>
      <c r="E566" s="19"/>
      <c r="F566" s="19"/>
    </row>
    <row r="567">
      <c r="B567" s="19"/>
      <c r="C567" s="19"/>
      <c r="D567" s="19"/>
      <c r="E567" s="19"/>
      <c r="F567" s="19"/>
    </row>
    <row r="568">
      <c r="B568" s="19"/>
      <c r="C568" s="19"/>
      <c r="D568" s="19"/>
      <c r="E568" s="19"/>
      <c r="F568" s="19"/>
    </row>
    <row r="569">
      <c r="B569" s="19"/>
      <c r="C569" s="19"/>
      <c r="D569" s="19"/>
      <c r="E569" s="19"/>
      <c r="F569" s="19"/>
    </row>
    <row r="570">
      <c r="B570" s="19"/>
      <c r="C570" s="19"/>
      <c r="D570" s="19"/>
      <c r="E570" s="19"/>
      <c r="F570" s="19"/>
    </row>
    <row r="571">
      <c r="B571" s="19"/>
      <c r="C571" s="19"/>
      <c r="D571" s="19"/>
      <c r="E571" s="19"/>
      <c r="F571" s="19"/>
    </row>
    <row r="572">
      <c r="B572" s="19"/>
      <c r="C572" s="19"/>
      <c r="D572" s="19"/>
      <c r="E572" s="19"/>
      <c r="F572" s="19"/>
    </row>
    <row r="573">
      <c r="B573" s="19"/>
      <c r="C573" s="19"/>
      <c r="D573" s="19"/>
      <c r="E573" s="19"/>
      <c r="F573" s="19"/>
    </row>
    <row r="574">
      <c r="B574" s="19"/>
      <c r="C574" s="19"/>
      <c r="D574" s="19"/>
      <c r="E574" s="19"/>
      <c r="F574" s="19"/>
    </row>
    <row r="575">
      <c r="B575" s="19"/>
      <c r="C575" s="19"/>
      <c r="D575" s="19"/>
      <c r="E575" s="19"/>
      <c r="F575" s="19"/>
    </row>
    <row r="576">
      <c r="B576" s="19"/>
      <c r="C576" s="19"/>
      <c r="D576" s="19"/>
      <c r="E576" s="19"/>
      <c r="F576" s="19"/>
    </row>
    <row r="577">
      <c r="B577" s="19"/>
      <c r="C577" s="19"/>
      <c r="D577" s="19"/>
      <c r="E577" s="19"/>
      <c r="F577" s="19"/>
    </row>
    <row r="578">
      <c r="B578" s="19"/>
      <c r="C578" s="19"/>
      <c r="D578" s="19"/>
      <c r="E578" s="19"/>
      <c r="F578" s="19"/>
    </row>
    <row r="579">
      <c r="B579" s="19"/>
      <c r="C579" s="19"/>
      <c r="D579" s="19"/>
      <c r="E579" s="19"/>
      <c r="F579" s="19"/>
    </row>
    <row r="580">
      <c r="B580" s="19"/>
      <c r="C580" s="19"/>
      <c r="D580" s="19"/>
      <c r="E580" s="19"/>
      <c r="F580" s="19"/>
    </row>
    <row r="581">
      <c r="B581" s="19"/>
      <c r="C581" s="19"/>
      <c r="D581" s="19"/>
      <c r="E581" s="19"/>
      <c r="F581" s="19"/>
    </row>
    <row r="582">
      <c r="B582" s="19"/>
      <c r="C582" s="19"/>
      <c r="D582" s="19"/>
      <c r="E582" s="19"/>
      <c r="F582" s="19"/>
    </row>
    <row r="583">
      <c r="B583" s="19"/>
      <c r="C583" s="19"/>
      <c r="D583" s="19"/>
      <c r="E583" s="19"/>
      <c r="F583" s="19"/>
    </row>
    <row r="584">
      <c r="B584" s="19"/>
      <c r="C584" s="19"/>
      <c r="D584" s="19"/>
      <c r="E584" s="19"/>
      <c r="F584" s="19"/>
    </row>
    <row r="585">
      <c r="B585" s="19"/>
      <c r="C585" s="19"/>
      <c r="D585" s="19"/>
      <c r="E585" s="19"/>
      <c r="F585" s="19"/>
    </row>
    <row r="586">
      <c r="B586" s="19"/>
      <c r="C586" s="19"/>
      <c r="D586" s="19"/>
      <c r="E586" s="19"/>
      <c r="F586" s="19"/>
    </row>
    <row r="587">
      <c r="B587" s="19"/>
      <c r="C587" s="19"/>
      <c r="D587" s="19"/>
      <c r="E587" s="19"/>
      <c r="F587" s="19"/>
    </row>
    <row r="588">
      <c r="B588" s="19"/>
      <c r="C588" s="19"/>
      <c r="D588" s="19"/>
      <c r="E588" s="19"/>
      <c r="F588" s="19"/>
    </row>
    <row r="589">
      <c r="B589" s="19"/>
      <c r="C589" s="19"/>
      <c r="D589" s="19"/>
      <c r="E589" s="19"/>
      <c r="F589" s="19"/>
    </row>
    <row r="590">
      <c r="B590" s="19"/>
      <c r="C590" s="19"/>
      <c r="D590" s="19"/>
      <c r="E590" s="19"/>
      <c r="F590" s="19"/>
    </row>
    <row r="591">
      <c r="B591" s="19"/>
      <c r="C591" s="19"/>
      <c r="D591" s="19"/>
      <c r="E591" s="19"/>
      <c r="F591" s="19"/>
    </row>
    <row r="592">
      <c r="B592" s="19"/>
      <c r="C592" s="19"/>
      <c r="D592" s="19"/>
      <c r="E592" s="19"/>
      <c r="F592" s="19"/>
    </row>
    <row r="593">
      <c r="B593" s="19"/>
      <c r="C593" s="19"/>
      <c r="D593" s="19"/>
      <c r="E593" s="19"/>
      <c r="F593" s="19"/>
    </row>
    <row r="594">
      <c r="B594" s="19"/>
      <c r="C594" s="19"/>
      <c r="D594" s="19"/>
      <c r="E594" s="19"/>
      <c r="F594" s="19"/>
    </row>
    <row r="595">
      <c r="B595" s="19"/>
      <c r="C595" s="19"/>
      <c r="D595" s="19"/>
      <c r="E595" s="19"/>
      <c r="F595" s="19"/>
    </row>
    <row r="596">
      <c r="B596" s="19"/>
      <c r="C596" s="19"/>
      <c r="D596" s="19"/>
      <c r="E596" s="19"/>
      <c r="F596" s="19"/>
    </row>
    <row r="597">
      <c r="B597" s="19"/>
      <c r="C597" s="19"/>
      <c r="D597" s="19"/>
      <c r="E597" s="19"/>
      <c r="F597" s="19"/>
    </row>
    <row r="598">
      <c r="B598" s="19"/>
      <c r="C598" s="19"/>
      <c r="D598" s="19"/>
      <c r="E598" s="19"/>
      <c r="F598" s="19"/>
    </row>
    <row r="599">
      <c r="B599" s="19"/>
      <c r="C599" s="19"/>
      <c r="D599" s="19"/>
      <c r="E599" s="19"/>
      <c r="F599" s="19"/>
    </row>
    <row r="600">
      <c r="B600" s="19"/>
      <c r="C600" s="19"/>
      <c r="D600" s="19"/>
      <c r="E600" s="19"/>
      <c r="F600" s="19"/>
    </row>
    <row r="601">
      <c r="B601" s="19"/>
      <c r="C601" s="19"/>
      <c r="D601" s="19"/>
      <c r="E601" s="19"/>
      <c r="F601" s="19"/>
    </row>
    <row r="602">
      <c r="B602" s="19"/>
      <c r="C602" s="19"/>
      <c r="D602" s="19"/>
      <c r="E602" s="19"/>
      <c r="F602" s="19"/>
    </row>
    <row r="603">
      <c r="B603" s="19"/>
      <c r="C603" s="19"/>
      <c r="D603" s="19"/>
      <c r="E603" s="19"/>
      <c r="F603" s="19"/>
    </row>
    <row r="604">
      <c r="B604" s="19"/>
      <c r="C604" s="19"/>
      <c r="D604" s="19"/>
      <c r="E604" s="19"/>
      <c r="F604" s="19"/>
    </row>
    <row r="605">
      <c r="B605" s="19"/>
      <c r="C605" s="19"/>
      <c r="D605" s="19"/>
      <c r="E605" s="19"/>
      <c r="F605" s="19"/>
    </row>
    <row r="606">
      <c r="B606" s="19"/>
      <c r="C606" s="19"/>
      <c r="D606" s="19"/>
      <c r="E606" s="19"/>
      <c r="F606" s="19"/>
    </row>
    <row r="607">
      <c r="B607" s="19"/>
      <c r="C607" s="19"/>
      <c r="D607" s="19"/>
      <c r="E607" s="19"/>
      <c r="F607" s="19"/>
    </row>
    <row r="608">
      <c r="B608" s="19"/>
      <c r="C608" s="19"/>
      <c r="D608" s="19"/>
      <c r="E608" s="19"/>
      <c r="F608" s="19"/>
    </row>
    <row r="609">
      <c r="B609" s="19"/>
      <c r="C609" s="19"/>
      <c r="D609" s="19"/>
      <c r="E609" s="19"/>
      <c r="F609" s="19"/>
    </row>
    <row r="610">
      <c r="B610" s="19"/>
      <c r="C610" s="19"/>
      <c r="D610" s="19"/>
      <c r="E610" s="19"/>
      <c r="F610" s="19"/>
    </row>
    <row r="611">
      <c r="B611" s="19"/>
      <c r="C611" s="19"/>
      <c r="D611" s="19"/>
      <c r="E611" s="19"/>
      <c r="F611" s="19"/>
    </row>
    <row r="612">
      <c r="B612" s="19"/>
      <c r="C612" s="19"/>
      <c r="D612" s="19"/>
      <c r="E612" s="19"/>
      <c r="F612" s="19"/>
    </row>
    <row r="613">
      <c r="B613" s="19"/>
      <c r="C613" s="19"/>
      <c r="D613" s="19"/>
      <c r="E613" s="19"/>
      <c r="F613" s="19"/>
    </row>
    <row r="614">
      <c r="B614" s="19"/>
      <c r="C614" s="19"/>
      <c r="D614" s="19"/>
      <c r="E614" s="19"/>
      <c r="F614" s="19"/>
    </row>
    <row r="615">
      <c r="B615" s="19"/>
      <c r="C615" s="19"/>
      <c r="D615" s="19"/>
      <c r="E615" s="19"/>
      <c r="F615" s="19"/>
    </row>
    <row r="616">
      <c r="B616" s="19"/>
      <c r="C616" s="19"/>
      <c r="D616" s="19"/>
      <c r="E616" s="19"/>
      <c r="F616" s="19"/>
    </row>
    <row r="617">
      <c r="B617" s="19"/>
      <c r="C617" s="19"/>
      <c r="D617" s="19"/>
      <c r="E617" s="19"/>
      <c r="F617" s="19"/>
    </row>
    <row r="618">
      <c r="B618" s="19"/>
      <c r="C618" s="19"/>
      <c r="D618" s="19"/>
      <c r="E618" s="19"/>
      <c r="F618" s="19"/>
    </row>
    <row r="619">
      <c r="B619" s="19"/>
      <c r="C619" s="19"/>
      <c r="D619" s="19"/>
      <c r="E619" s="19"/>
      <c r="F619" s="19"/>
    </row>
    <row r="620">
      <c r="B620" s="19"/>
      <c r="C620" s="19"/>
      <c r="D620" s="19"/>
      <c r="E620" s="19"/>
      <c r="F620" s="19"/>
    </row>
    <row r="621">
      <c r="B621" s="19"/>
      <c r="C621" s="19"/>
      <c r="D621" s="19"/>
      <c r="E621" s="19"/>
      <c r="F621" s="19"/>
    </row>
    <row r="622">
      <c r="B622" s="19"/>
      <c r="C622" s="19"/>
      <c r="D622" s="19"/>
      <c r="E622" s="19"/>
      <c r="F622" s="19"/>
    </row>
    <row r="623">
      <c r="B623" s="19"/>
      <c r="C623" s="19"/>
      <c r="D623" s="19"/>
      <c r="E623" s="19"/>
      <c r="F623" s="19"/>
    </row>
    <row r="624">
      <c r="B624" s="19"/>
      <c r="C624" s="19"/>
      <c r="D624" s="19"/>
      <c r="E624" s="19"/>
      <c r="F624" s="19"/>
    </row>
    <row r="625">
      <c r="B625" s="19"/>
      <c r="C625" s="19"/>
      <c r="D625" s="19"/>
      <c r="E625" s="19"/>
      <c r="F625" s="19"/>
    </row>
    <row r="626">
      <c r="B626" s="19"/>
      <c r="C626" s="19"/>
      <c r="D626" s="19"/>
      <c r="E626" s="19"/>
      <c r="F626" s="19"/>
    </row>
    <row r="627">
      <c r="B627" s="19"/>
      <c r="C627" s="19"/>
      <c r="D627" s="19"/>
      <c r="E627" s="19"/>
      <c r="F627" s="19"/>
    </row>
    <row r="628">
      <c r="B628" s="19"/>
      <c r="C628" s="19"/>
      <c r="D628" s="19"/>
      <c r="E628" s="19"/>
      <c r="F628" s="19"/>
    </row>
    <row r="629">
      <c r="B629" s="19"/>
      <c r="C629" s="19"/>
      <c r="D629" s="19"/>
      <c r="E629" s="19"/>
      <c r="F629" s="19"/>
    </row>
    <row r="630">
      <c r="B630" s="19"/>
      <c r="C630" s="19"/>
      <c r="D630" s="19"/>
      <c r="E630" s="19"/>
      <c r="F630" s="19"/>
    </row>
    <row r="631">
      <c r="B631" s="19"/>
      <c r="C631" s="19"/>
      <c r="D631" s="19"/>
      <c r="E631" s="19"/>
      <c r="F631" s="19"/>
    </row>
    <row r="632">
      <c r="B632" s="19"/>
      <c r="C632" s="19"/>
      <c r="D632" s="19"/>
      <c r="E632" s="19"/>
      <c r="F632" s="19"/>
    </row>
    <row r="633">
      <c r="B633" s="19"/>
      <c r="C633" s="19"/>
      <c r="D633" s="19"/>
      <c r="E633" s="19"/>
      <c r="F633" s="19"/>
    </row>
    <row r="634">
      <c r="B634" s="19"/>
      <c r="C634" s="19"/>
      <c r="D634" s="19"/>
      <c r="E634" s="19"/>
      <c r="F634" s="19"/>
    </row>
    <row r="635">
      <c r="B635" s="19"/>
      <c r="C635" s="19"/>
      <c r="D635" s="19"/>
      <c r="E635" s="19"/>
      <c r="F635" s="19"/>
    </row>
    <row r="636">
      <c r="B636" s="19"/>
      <c r="C636" s="19"/>
      <c r="D636" s="19"/>
      <c r="E636" s="19"/>
      <c r="F636" s="19"/>
    </row>
    <row r="637">
      <c r="B637" s="19"/>
      <c r="C637" s="19"/>
      <c r="D637" s="19"/>
      <c r="E637" s="19"/>
      <c r="F637" s="19"/>
    </row>
    <row r="638">
      <c r="B638" s="19"/>
      <c r="C638" s="19"/>
      <c r="D638" s="19"/>
      <c r="E638" s="19"/>
      <c r="F638" s="19"/>
    </row>
    <row r="639">
      <c r="B639" s="19"/>
      <c r="C639" s="19"/>
      <c r="D639" s="19"/>
      <c r="E639" s="19"/>
      <c r="F639" s="19"/>
    </row>
    <row r="640">
      <c r="B640" s="19"/>
      <c r="C640" s="19"/>
      <c r="D640" s="19"/>
      <c r="E640" s="19"/>
      <c r="F640" s="19"/>
    </row>
    <row r="641">
      <c r="B641" s="19"/>
      <c r="C641" s="19"/>
      <c r="D641" s="19"/>
      <c r="E641" s="19"/>
      <c r="F641" s="19"/>
    </row>
    <row r="642">
      <c r="B642" s="19"/>
      <c r="C642" s="19"/>
      <c r="D642" s="19"/>
      <c r="E642" s="19"/>
      <c r="F642" s="19"/>
    </row>
    <row r="643">
      <c r="B643" s="19"/>
      <c r="C643" s="19"/>
      <c r="D643" s="19"/>
      <c r="E643" s="19"/>
      <c r="F643" s="19"/>
    </row>
    <row r="644">
      <c r="B644" s="19"/>
      <c r="C644" s="19"/>
      <c r="D644" s="19"/>
      <c r="E644" s="19"/>
      <c r="F644" s="19"/>
    </row>
    <row r="645">
      <c r="B645" s="19"/>
      <c r="C645" s="19"/>
      <c r="D645" s="19"/>
      <c r="E645" s="19"/>
      <c r="F645" s="19"/>
    </row>
    <row r="646">
      <c r="B646" s="19"/>
      <c r="C646" s="19"/>
      <c r="D646" s="19"/>
      <c r="E646" s="19"/>
      <c r="F646" s="19"/>
    </row>
    <row r="647">
      <c r="B647" s="19"/>
      <c r="C647" s="19"/>
      <c r="D647" s="19"/>
      <c r="E647" s="19"/>
      <c r="F647" s="19"/>
    </row>
    <row r="648">
      <c r="B648" s="19"/>
      <c r="C648" s="19"/>
      <c r="D648" s="19"/>
      <c r="E648" s="19"/>
      <c r="F648" s="19"/>
    </row>
    <row r="649">
      <c r="B649" s="19"/>
      <c r="C649" s="19"/>
      <c r="D649" s="19"/>
      <c r="E649" s="19"/>
      <c r="F649" s="19"/>
    </row>
    <row r="650">
      <c r="B650" s="19"/>
      <c r="C650" s="19"/>
      <c r="D650" s="19"/>
      <c r="E650" s="19"/>
      <c r="F650" s="19"/>
    </row>
    <row r="651">
      <c r="B651" s="19"/>
      <c r="C651" s="19"/>
      <c r="D651" s="19"/>
      <c r="E651" s="19"/>
      <c r="F651" s="19"/>
    </row>
    <row r="652">
      <c r="B652" s="19"/>
      <c r="C652" s="19"/>
      <c r="D652" s="19"/>
      <c r="E652" s="19"/>
      <c r="F652" s="19"/>
    </row>
    <row r="653">
      <c r="B653" s="19"/>
      <c r="C653" s="19"/>
      <c r="D653" s="19"/>
      <c r="E653" s="19"/>
      <c r="F653" s="19"/>
    </row>
    <row r="654">
      <c r="B654" s="19"/>
      <c r="C654" s="19"/>
      <c r="D654" s="19"/>
      <c r="E654" s="19"/>
      <c r="F654" s="19"/>
    </row>
    <row r="655">
      <c r="B655" s="19"/>
      <c r="C655" s="19"/>
      <c r="D655" s="19"/>
      <c r="E655" s="19"/>
      <c r="F655" s="19"/>
    </row>
    <row r="656">
      <c r="B656" s="19"/>
      <c r="C656" s="19"/>
      <c r="D656" s="19"/>
      <c r="E656" s="19"/>
      <c r="F656" s="19"/>
    </row>
    <row r="657">
      <c r="B657" s="19"/>
      <c r="C657" s="19"/>
      <c r="D657" s="19"/>
      <c r="E657" s="19"/>
      <c r="F657" s="19"/>
    </row>
    <row r="658">
      <c r="B658" s="19"/>
      <c r="C658" s="19"/>
      <c r="D658" s="19"/>
      <c r="E658" s="19"/>
      <c r="F658" s="19"/>
    </row>
    <row r="659">
      <c r="B659" s="19"/>
      <c r="C659" s="19"/>
      <c r="D659" s="19"/>
      <c r="E659" s="19"/>
      <c r="F659" s="19"/>
    </row>
    <row r="660">
      <c r="B660" s="19"/>
      <c r="C660" s="19"/>
      <c r="D660" s="19"/>
      <c r="E660" s="19"/>
      <c r="F660" s="19"/>
    </row>
    <row r="661">
      <c r="B661" s="19"/>
      <c r="C661" s="19"/>
      <c r="D661" s="19"/>
      <c r="E661" s="19"/>
      <c r="F661" s="19"/>
    </row>
    <row r="662">
      <c r="B662" s="19"/>
      <c r="C662" s="19"/>
      <c r="D662" s="19"/>
      <c r="E662" s="19"/>
      <c r="F662" s="19"/>
    </row>
    <row r="663">
      <c r="B663" s="19"/>
      <c r="C663" s="19"/>
      <c r="D663" s="19"/>
      <c r="E663" s="19"/>
      <c r="F663" s="19"/>
    </row>
    <row r="664">
      <c r="B664" s="19"/>
      <c r="C664" s="19"/>
      <c r="D664" s="19"/>
      <c r="E664" s="19"/>
      <c r="F664" s="19"/>
    </row>
    <row r="665">
      <c r="B665" s="19"/>
      <c r="C665" s="19"/>
      <c r="D665" s="19"/>
      <c r="E665" s="19"/>
      <c r="F665" s="19"/>
    </row>
    <row r="666">
      <c r="B666" s="19"/>
      <c r="C666" s="19"/>
      <c r="D666" s="19"/>
      <c r="E666" s="19"/>
      <c r="F666" s="19"/>
    </row>
    <row r="667">
      <c r="B667" s="19"/>
      <c r="C667" s="19"/>
      <c r="D667" s="19"/>
      <c r="E667" s="19"/>
      <c r="F667" s="19"/>
    </row>
    <row r="668">
      <c r="B668" s="19"/>
      <c r="C668" s="19"/>
      <c r="D668" s="19"/>
      <c r="E668" s="19"/>
      <c r="F668" s="19"/>
    </row>
    <row r="669">
      <c r="B669" s="19"/>
      <c r="C669" s="19"/>
      <c r="D669" s="19"/>
      <c r="E669" s="19"/>
      <c r="F669" s="19"/>
    </row>
    <row r="670">
      <c r="B670" s="19"/>
      <c r="C670" s="19"/>
      <c r="D670" s="19"/>
      <c r="E670" s="19"/>
      <c r="F670" s="19"/>
    </row>
    <row r="671">
      <c r="B671" s="19"/>
      <c r="C671" s="19"/>
      <c r="D671" s="19"/>
      <c r="E671" s="19"/>
      <c r="F671" s="19"/>
    </row>
    <row r="672">
      <c r="B672" s="19"/>
      <c r="C672" s="19"/>
      <c r="D672" s="19"/>
      <c r="E672" s="19"/>
      <c r="F672" s="19"/>
    </row>
    <row r="673">
      <c r="B673" s="19"/>
      <c r="C673" s="19"/>
      <c r="D673" s="19"/>
      <c r="E673" s="19"/>
      <c r="F673" s="19"/>
    </row>
    <row r="674">
      <c r="B674" s="19"/>
      <c r="C674" s="19"/>
      <c r="D674" s="19"/>
      <c r="E674" s="19"/>
      <c r="F674" s="19"/>
    </row>
    <row r="675">
      <c r="B675" s="19"/>
      <c r="C675" s="19"/>
      <c r="D675" s="19"/>
      <c r="E675" s="19"/>
      <c r="F675" s="19"/>
    </row>
    <row r="676">
      <c r="B676" s="19"/>
      <c r="C676" s="19"/>
      <c r="D676" s="19"/>
      <c r="E676" s="19"/>
      <c r="F676" s="19"/>
    </row>
    <row r="677">
      <c r="B677" s="19"/>
      <c r="C677" s="19"/>
      <c r="D677" s="19"/>
      <c r="E677" s="19"/>
      <c r="F677" s="19"/>
    </row>
    <row r="678">
      <c r="B678" s="19"/>
      <c r="C678" s="19"/>
      <c r="D678" s="19"/>
      <c r="E678" s="19"/>
      <c r="F678" s="19"/>
    </row>
    <row r="679">
      <c r="B679" s="19"/>
      <c r="C679" s="19"/>
      <c r="D679" s="19"/>
      <c r="E679" s="19"/>
      <c r="F679" s="19"/>
    </row>
    <row r="680">
      <c r="B680" s="19"/>
      <c r="C680" s="19"/>
      <c r="D680" s="19"/>
      <c r="E680" s="19"/>
      <c r="F680" s="19"/>
    </row>
    <row r="681">
      <c r="B681" s="19"/>
      <c r="C681" s="19"/>
      <c r="D681" s="19"/>
      <c r="E681" s="19"/>
      <c r="F681" s="19"/>
    </row>
    <row r="682">
      <c r="B682" s="19"/>
      <c r="C682" s="19"/>
      <c r="D682" s="19"/>
      <c r="E682" s="19"/>
      <c r="F682" s="19"/>
    </row>
    <row r="683">
      <c r="B683" s="19"/>
      <c r="C683" s="19"/>
      <c r="D683" s="19"/>
      <c r="E683" s="19"/>
      <c r="F683" s="19"/>
    </row>
    <row r="684">
      <c r="B684" s="19"/>
      <c r="C684" s="19"/>
      <c r="D684" s="19"/>
      <c r="E684" s="19"/>
      <c r="F684" s="19"/>
    </row>
    <row r="685">
      <c r="B685" s="19"/>
      <c r="C685" s="19"/>
      <c r="D685" s="19"/>
      <c r="E685" s="19"/>
      <c r="F685" s="19"/>
    </row>
    <row r="686">
      <c r="B686" s="19"/>
      <c r="C686" s="19"/>
      <c r="D686" s="19"/>
      <c r="E686" s="19"/>
      <c r="F686" s="19"/>
    </row>
    <row r="687">
      <c r="B687" s="19"/>
      <c r="C687" s="19"/>
      <c r="D687" s="19"/>
      <c r="E687" s="19"/>
      <c r="F687" s="19"/>
    </row>
    <row r="688">
      <c r="B688" s="19"/>
      <c r="C688" s="19"/>
      <c r="D688" s="19"/>
      <c r="E688" s="19"/>
      <c r="F688" s="19"/>
    </row>
    <row r="689">
      <c r="B689" s="19"/>
      <c r="C689" s="19"/>
      <c r="D689" s="19"/>
      <c r="E689" s="19"/>
      <c r="F689" s="19"/>
    </row>
    <row r="690">
      <c r="B690" s="19"/>
      <c r="C690" s="19"/>
      <c r="D690" s="19"/>
      <c r="E690" s="19"/>
      <c r="F690" s="19"/>
    </row>
    <row r="691">
      <c r="B691" s="19"/>
      <c r="C691" s="19"/>
      <c r="D691" s="19"/>
      <c r="E691" s="19"/>
      <c r="F691" s="19"/>
    </row>
    <row r="692">
      <c r="B692" s="19"/>
      <c r="C692" s="19"/>
      <c r="D692" s="19"/>
      <c r="E692" s="19"/>
      <c r="F692" s="19"/>
    </row>
    <row r="693">
      <c r="B693" s="19"/>
      <c r="C693" s="19"/>
      <c r="D693" s="19"/>
      <c r="E693" s="19"/>
      <c r="F693" s="19"/>
    </row>
    <row r="694">
      <c r="B694" s="19"/>
      <c r="C694" s="19"/>
      <c r="D694" s="19"/>
      <c r="E694" s="19"/>
      <c r="F694" s="19"/>
    </row>
    <row r="695">
      <c r="B695" s="19"/>
      <c r="C695" s="19"/>
      <c r="D695" s="19"/>
      <c r="E695" s="19"/>
      <c r="F695" s="19"/>
    </row>
    <row r="696">
      <c r="B696" s="19"/>
      <c r="C696" s="19"/>
      <c r="D696" s="19"/>
      <c r="E696" s="19"/>
      <c r="F696" s="19"/>
    </row>
    <row r="697">
      <c r="B697" s="19"/>
      <c r="C697" s="19"/>
      <c r="D697" s="19"/>
      <c r="E697" s="19"/>
      <c r="F697" s="19"/>
    </row>
    <row r="698">
      <c r="B698" s="19"/>
      <c r="C698" s="19"/>
      <c r="D698" s="19"/>
      <c r="E698" s="19"/>
      <c r="F698" s="19"/>
    </row>
    <row r="699">
      <c r="B699" s="19"/>
      <c r="C699" s="19"/>
      <c r="D699" s="19"/>
      <c r="E699" s="19"/>
      <c r="F699" s="19"/>
    </row>
    <row r="700">
      <c r="B700" s="19"/>
      <c r="C700" s="19"/>
      <c r="D700" s="19"/>
      <c r="E700" s="19"/>
      <c r="F700" s="19"/>
    </row>
    <row r="701">
      <c r="B701" s="19"/>
      <c r="C701" s="19"/>
      <c r="D701" s="19"/>
      <c r="E701" s="19"/>
      <c r="F701" s="19"/>
    </row>
    <row r="702">
      <c r="B702" s="19"/>
      <c r="C702" s="19"/>
      <c r="D702" s="19"/>
      <c r="E702" s="19"/>
      <c r="F702" s="19"/>
    </row>
    <row r="703">
      <c r="B703" s="19"/>
      <c r="C703" s="19"/>
      <c r="D703" s="19"/>
      <c r="E703" s="19"/>
      <c r="F703" s="19"/>
    </row>
    <row r="704">
      <c r="B704" s="19"/>
      <c r="C704" s="19"/>
      <c r="D704" s="19"/>
      <c r="E704" s="19"/>
      <c r="F704" s="19"/>
    </row>
    <row r="705">
      <c r="B705" s="19"/>
      <c r="C705" s="19"/>
      <c r="D705" s="19"/>
      <c r="E705" s="19"/>
      <c r="F705" s="19"/>
    </row>
    <row r="706">
      <c r="B706" s="19"/>
      <c r="C706" s="19"/>
      <c r="D706" s="19"/>
      <c r="E706" s="19"/>
      <c r="F706" s="19"/>
    </row>
    <row r="707">
      <c r="B707" s="19"/>
      <c r="C707" s="19"/>
      <c r="D707" s="19"/>
      <c r="E707" s="19"/>
      <c r="F707" s="19"/>
    </row>
    <row r="708">
      <c r="B708" s="19"/>
      <c r="C708" s="19"/>
      <c r="D708" s="19"/>
      <c r="E708" s="19"/>
      <c r="F708" s="19"/>
    </row>
    <row r="709">
      <c r="B709" s="19"/>
      <c r="C709" s="19"/>
      <c r="D709" s="19"/>
      <c r="E709" s="19"/>
      <c r="F709" s="19"/>
    </row>
    <row r="710">
      <c r="B710" s="19"/>
      <c r="C710" s="19"/>
      <c r="D710" s="19"/>
      <c r="E710" s="19"/>
      <c r="F710" s="19"/>
    </row>
    <row r="711">
      <c r="B711" s="19"/>
      <c r="C711" s="19"/>
      <c r="D711" s="19"/>
      <c r="E711" s="19"/>
      <c r="F711" s="19"/>
    </row>
    <row r="712">
      <c r="B712" s="19"/>
      <c r="C712" s="19"/>
      <c r="D712" s="19"/>
      <c r="E712" s="19"/>
      <c r="F712" s="19"/>
    </row>
    <row r="713">
      <c r="B713" s="19"/>
      <c r="C713" s="19"/>
      <c r="D713" s="19"/>
      <c r="E713" s="19"/>
      <c r="F713" s="19"/>
    </row>
    <row r="714">
      <c r="B714" s="19"/>
      <c r="C714" s="19"/>
      <c r="D714" s="19"/>
      <c r="E714" s="19"/>
      <c r="F714" s="19"/>
    </row>
    <row r="715">
      <c r="B715" s="19"/>
      <c r="C715" s="19"/>
      <c r="D715" s="19"/>
      <c r="E715" s="19"/>
      <c r="F715" s="19"/>
    </row>
    <row r="716">
      <c r="B716" s="19"/>
      <c r="C716" s="19"/>
      <c r="D716" s="19"/>
      <c r="E716" s="19"/>
      <c r="F716" s="19"/>
    </row>
    <row r="717">
      <c r="B717" s="19"/>
      <c r="C717" s="19"/>
      <c r="D717" s="19"/>
      <c r="E717" s="19"/>
      <c r="F717" s="19"/>
    </row>
    <row r="718">
      <c r="B718" s="19"/>
      <c r="C718" s="19"/>
      <c r="D718" s="19"/>
      <c r="E718" s="19"/>
      <c r="F718" s="19"/>
    </row>
    <row r="719">
      <c r="B719" s="19"/>
      <c r="C719" s="19"/>
      <c r="D719" s="19"/>
      <c r="E719" s="19"/>
      <c r="F719" s="19"/>
    </row>
    <row r="720">
      <c r="B720" s="19"/>
      <c r="C720" s="19"/>
      <c r="D720" s="19"/>
      <c r="E720" s="19"/>
      <c r="F720" s="19"/>
    </row>
    <row r="721">
      <c r="B721" s="19"/>
      <c r="C721" s="19"/>
      <c r="D721" s="19"/>
      <c r="E721" s="19"/>
      <c r="F721" s="19"/>
    </row>
    <row r="722">
      <c r="B722" s="19"/>
      <c r="C722" s="19"/>
      <c r="D722" s="19"/>
      <c r="E722" s="19"/>
      <c r="F722" s="19"/>
    </row>
    <row r="723">
      <c r="B723" s="19"/>
      <c r="C723" s="19"/>
      <c r="D723" s="19"/>
      <c r="E723" s="19"/>
      <c r="F723" s="19"/>
    </row>
    <row r="724">
      <c r="B724" s="19"/>
      <c r="C724" s="19"/>
      <c r="D724" s="19"/>
      <c r="E724" s="19"/>
      <c r="F724" s="19"/>
    </row>
    <row r="725">
      <c r="B725" s="19"/>
      <c r="C725" s="19"/>
      <c r="D725" s="19"/>
      <c r="E725" s="19"/>
      <c r="F725" s="19"/>
    </row>
    <row r="726">
      <c r="B726" s="19"/>
      <c r="C726" s="19"/>
      <c r="D726" s="19"/>
      <c r="E726" s="19"/>
      <c r="F726" s="19"/>
    </row>
    <row r="727">
      <c r="B727" s="19"/>
      <c r="C727" s="19"/>
      <c r="D727" s="19"/>
      <c r="E727" s="19"/>
      <c r="F727" s="19"/>
    </row>
    <row r="728">
      <c r="B728" s="19"/>
      <c r="C728" s="19"/>
      <c r="D728" s="19"/>
      <c r="E728" s="19"/>
      <c r="F728" s="19"/>
    </row>
    <row r="729">
      <c r="B729" s="19"/>
      <c r="C729" s="19"/>
      <c r="D729" s="19"/>
      <c r="E729" s="19"/>
      <c r="F729" s="19"/>
    </row>
    <row r="730">
      <c r="B730" s="19"/>
      <c r="C730" s="19"/>
      <c r="D730" s="19"/>
      <c r="E730" s="19"/>
      <c r="F730" s="19"/>
    </row>
    <row r="731">
      <c r="B731" s="19"/>
      <c r="C731" s="19"/>
      <c r="D731" s="19"/>
      <c r="E731" s="19"/>
      <c r="F731" s="19"/>
    </row>
    <row r="732">
      <c r="B732" s="19"/>
      <c r="C732" s="19"/>
      <c r="D732" s="19"/>
      <c r="E732" s="19"/>
      <c r="F732" s="19"/>
    </row>
    <row r="733">
      <c r="B733" s="19"/>
      <c r="C733" s="19"/>
      <c r="D733" s="19"/>
      <c r="E733" s="19"/>
      <c r="F733" s="19"/>
    </row>
    <row r="734">
      <c r="B734" s="19"/>
      <c r="C734" s="19"/>
      <c r="D734" s="19"/>
      <c r="E734" s="19"/>
      <c r="F734" s="19"/>
    </row>
    <row r="735">
      <c r="B735" s="19"/>
      <c r="C735" s="19"/>
      <c r="D735" s="19"/>
      <c r="E735" s="19"/>
      <c r="F735" s="19"/>
    </row>
    <row r="736">
      <c r="B736" s="19"/>
      <c r="C736" s="19"/>
      <c r="D736" s="19"/>
      <c r="E736" s="19"/>
      <c r="F736" s="19"/>
    </row>
    <row r="737">
      <c r="B737" s="19"/>
      <c r="C737" s="19"/>
      <c r="D737" s="19"/>
      <c r="E737" s="19"/>
      <c r="F737" s="19"/>
    </row>
    <row r="738">
      <c r="B738" s="19"/>
      <c r="C738" s="19"/>
      <c r="D738" s="19"/>
      <c r="E738" s="19"/>
      <c r="F738" s="19"/>
    </row>
    <row r="739">
      <c r="B739" s="19"/>
      <c r="C739" s="19"/>
      <c r="D739" s="19"/>
      <c r="E739" s="19"/>
      <c r="F739" s="19"/>
    </row>
    <row r="740">
      <c r="B740" s="19"/>
      <c r="C740" s="19"/>
      <c r="D740" s="19"/>
      <c r="E740" s="19"/>
      <c r="F740" s="19"/>
    </row>
    <row r="741">
      <c r="B741" s="19"/>
      <c r="C741" s="19"/>
      <c r="D741" s="19"/>
      <c r="E741" s="19"/>
      <c r="F741" s="19"/>
    </row>
    <row r="742">
      <c r="B742" s="19"/>
      <c r="C742" s="19"/>
      <c r="D742" s="19"/>
      <c r="E742" s="19"/>
      <c r="F742" s="19"/>
    </row>
    <row r="743">
      <c r="B743" s="19"/>
      <c r="C743" s="19"/>
      <c r="D743" s="19"/>
      <c r="E743" s="19"/>
      <c r="F743" s="19"/>
    </row>
    <row r="744">
      <c r="B744" s="19"/>
      <c r="C744" s="19"/>
      <c r="D744" s="19"/>
      <c r="E744" s="19"/>
      <c r="F744" s="19"/>
    </row>
    <row r="745">
      <c r="B745" s="19"/>
      <c r="C745" s="19"/>
      <c r="D745" s="19"/>
      <c r="E745" s="19"/>
      <c r="F745" s="19"/>
    </row>
    <row r="746">
      <c r="B746" s="19"/>
      <c r="C746" s="19"/>
      <c r="D746" s="19"/>
      <c r="E746" s="19"/>
      <c r="F746" s="19"/>
    </row>
    <row r="747">
      <c r="B747" s="19"/>
      <c r="C747" s="19"/>
      <c r="D747" s="19"/>
      <c r="E747" s="19"/>
      <c r="F747" s="19"/>
    </row>
    <row r="748">
      <c r="B748" s="19"/>
      <c r="C748" s="19"/>
      <c r="D748" s="19"/>
      <c r="E748" s="19"/>
      <c r="F748" s="19"/>
    </row>
    <row r="749">
      <c r="B749" s="19"/>
      <c r="C749" s="19"/>
      <c r="D749" s="19"/>
      <c r="E749" s="19"/>
      <c r="F749" s="19"/>
    </row>
    <row r="750">
      <c r="B750" s="19"/>
      <c r="C750" s="19"/>
      <c r="D750" s="19"/>
      <c r="E750" s="19"/>
      <c r="F750" s="19"/>
    </row>
    <row r="751">
      <c r="B751" s="19"/>
      <c r="C751" s="19"/>
      <c r="D751" s="19"/>
      <c r="E751" s="19"/>
      <c r="F751" s="19"/>
    </row>
    <row r="752">
      <c r="B752" s="19"/>
      <c r="C752" s="19"/>
      <c r="D752" s="19"/>
      <c r="E752" s="19"/>
      <c r="F752" s="19"/>
    </row>
    <row r="753">
      <c r="B753" s="19"/>
      <c r="C753" s="19"/>
      <c r="D753" s="19"/>
      <c r="E753" s="19"/>
      <c r="F753" s="19"/>
    </row>
    <row r="754">
      <c r="B754" s="19"/>
      <c r="C754" s="19"/>
      <c r="D754" s="19"/>
      <c r="E754" s="19"/>
      <c r="F754" s="19"/>
    </row>
    <row r="755">
      <c r="B755" s="19"/>
      <c r="C755" s="19"/>
      <c r="D755" s="19"/>
      <c r="E755" s="19"/>
      <c r="F755" s="19"/>
    </row>
    <row r="756">
      <c r="B756" s="19"/>
      <c r="C756" s="19"/>
      <c r="D756" s="19"/>
      <c r="E756" s="19"/>
      <c r="F756" s="19"/>
    </row>
    <row r="757">
      <c r="B757" s="19"/>
      <c r="C757" s="19"/>
      <c r="D757" s="19"/>
      <c r="E757" s="19"/>
      <c r="F757" s="19"/>
    </row>
    <row r="758">
      <c r="B758" s="19"/>
      <c r="C758" s="19"/>
      <c r="D758" s="19"/>
      <c r="E758" s="19"/>
      <c r="F758" s="19"/>
    </row>
    <row r="759">
      <c r="B759" s="19"/>
      <c r="C759" s="19"/>
      <c r="D759" s="19"/>
      <c r="E759" s="19"/>
      <c r="F759" s="19"/>
    </row>
    <row r="760">
      <c r="B760" s="19"/>
      <c r="C760" s="19"/>
      <c r="D760" s="19"/>
      <c r="E760" s="19"/>
      <c r="F760" s="19"/>
    </row>
    <row r="761">
      <c r="B761" s="19"/>
      <c r="C761" s="19"/>
      <c r="D761" s="19"/>
      <c r="E761" s="19"/>
      <c r="F761" s="19"/>
    </row>
    <row r="762">
      <c r="B762" s="19"/>
      <c r="C762" s="19"/>
      <c r="D762" s="19"/>
      <c r="E762" s="19"/>
      <c r="F762" s="19"/>
    </row>
    <row r="763">
      <c r="B763" s="19"/>
      <c r="C763" s="19"/>
      <c r="D763" s="19"/>
      <c r="E763" s="19"/>
      <c r="F763" s="19"/>
    </row>
    <row r="764">
      <c r="B764" s="19"/>
      <c r="C764" s="19"/>
      <c r="D764" s="19"/>
      <c r="E764" s="19"/>
      <c r="F764" s="19"/>
    </row>
    <row r="765">
      <c r="B765" s="19"/>
      <c r="C765" s="19"/>
      <c r="D765" s="19"/>
      <c r="E765" s="19"/>
      <c r="F765" s="19"/>
    </row>
    <row r="766">
      <c r="B766" s="19"/>
      <c r="C766" s="19"/>
      <c r="D766" s="19"/>
      <c r="E766" s="19"/>
      <c r="F766" s="19"/>
    </row>
    <row r="767">
      <c r="B767" s="19"/>
      <c r="C767" s="19"/>
      <c r="D767" s="19"/>
      <c r="E767" s="19"/>
      <c r="F767" s="19"/>
    </row>
    <row r="768">
      <c r="B768" s="19"/>
      <c r="C768" s="19"/>
      <c r="D768" s="19"/>
      <c r="E768" s="19"/>
      <c r="F768" s="19"/>
    </row>
    <row r="769">
      <c r="B769" s="19"/>
      <c r="C769" s="19"/>
      <c r="D769" s="19"/>
      <c r="E769" s="19"/>
      <c r="F769" s="19"/>
    </row>
    <row r="770">
      <c r="B770" s="19"/>
      <c r="C770" s="19"/>
      <c r="D770" s="19"/>
      <c r="E770" s="19"/>
      <c r="F770" s="19"/>
    </row>
    <row r="771">
      <c r="B771" s="19"/>
      <c r="C771" s="19"/>
      <c r="D771" s="19"/>
      <c r="E771" s="19"/>
      <c r="F771" s="19"/>
    </row>
    <row r="772">
      <c r="B772" s="19"/>
      <c r="C772" s="19"/>
      <c r="D772" s="19"/>
      <c r="E772" s="19"/>
      <c r="F772" s="19"/>
    </row>
    <row r="773">
      <c r="B773" s="19"/>
      <c r="C773" s="19"/>
      <c r="D773" s="19"/>
      <c r="E773" s="19"/>
      <c r="F773" s="19"/>
    </row>
    <row r="774">
      <c r="B774" s="19"/>
      <c r="C774" s="19"/>
      <c r="D774" s="19"/>
      <c r="E774" s="19"/>
      <c r="F774" s="19"/>
    </row>
    <row r="775">
      <c r="B775" s="19"/>
      <c r="C775" s="19"/>
      <c r="D775" s="19"/>
      <c r="E775" s="19"/>
      <c r="F775" s="19"/>
    </row>
    <row r="776">
      <c r="B776" s="19"/>
      <c r="C776" s="19"/>
      <c r="D776" s="19"/>
      <c r="E776" s="19"/>
      <c r="F776" s="19"/>
    </row>
    <row r="777">
      <c r="B777" s="19"/>
      <c r="C777" s="19"/>
      <c r="D777" s="19"/>
      <c r="E777" s="19"/>
      <c r="F777" s="19"/>
    </row>
    <row r="778">
      <c r="B778" s="19"/>
      <c r="C778" s="19"/>
      <c r="D778" s="19"/>
      <c r="E778" s="19"/>
      <c r="F778" s="19"/>
    </row>
    <row r="779">
      <c r="B779" s="19"/>
      <c r="C779" s="19"/>
      <c r="D779" s="19"/>
      <c r="E779" s="19"/>
      <c r="F779" s="19"/>
    </row>
    <row r="780">
      <c r="B780" s="19"/>
      <c r="C780" s="19"/>
      <c r="D780" s="19"/>
      <c r="E780" s="19"/>
      <c r="F780" s="19"/>
    </row>
    <row r="781">
      <c r="B781" s="19"/>
      <c r="C781" s="19"/>
      <c r="D781" s="19"/>
      <c r="E781" s="19"/>
      <c r="F781" s="19"/>
    </row>
    <row r="782">
      <c r="B782" s="19"/>
      <c r="C782" s="19"/>
      <c r="D782" s="19"/>
      <c r="E782" s="19"/>
      <c r="F782" s="19"/>
    </row>
    <row r="783">
      <c r="B783" s="19"/>
      <c r="C783" s="19"/>
      <c r="D783" s="19"/>
      <c r="E783" s="19"/>
      <c r="F783" s="19"/>
    </row>
    <row r="784">
      <c r="B784" s="19"/>
      <c r="C784" s="19"/>
      <c r="D784" s="19"/>
      <c r="E784" s="19"/>
      <c r="F784" s="19"/>
    </row>
    <row r="785">
      <c r="B785" s="19"/>
      <c r="C785" s="19"/>
      <c r="D785" s="19"/>
      <c r="E785" s="19"/>
      <c r="F785" s="19"/>
    </row>
    <row r="786">
      <c r="B786" s="19"/>
      <c r="C786" s="19"/>
      <c r="D786" s="19"/>
      <c r="E786" s="19"/>
      <c r="F786" s="19"/>
    </row>
    <row r="787">
      <c r="B787" s="19"/>
      <c r="C787" s="19"/>
      <c r="D787" s="19"/>
      <c r="E787" s="19"/>
      <c r="F787" s="19"/>
    </row>
    <row r="788">
      <c r="B788" s="19"/>
      <c r="C788" s="19"/>
      <c r="D788" s="19"/>
      <c r="E788" s="19"/>
      <c r="F788" s="19"/>
    </row>
    <row r="789">
      <c r="B789" s="19"/>
      <c r="C789" s="19"/>
      <c r="D789" s="19"/>
      <c r="E789" s="19"/>
      <c r="F789" s="19"/>
    </row>
    <row r="790">
      <c r="B790" s="19"/>
      <c r="C790" s="19"/>
      <c r="D790" s="19"/>
      <c r="E790" s="19"/>
      <c r="F790" s="19"/>
    </row>
    <row r="791">
      <c r="B791" s="19"/>
      <c r="C791" s="19"/>
      <c r="D791" s="19"/>
      <c r="E791" s="19"/>
      <c r="F791" s="19"/>
    </row>
    <row r="792">
      <c r="B792" s="19"/>
      <c r="C792" s="19"/>
      <c r="D792" s="19"/>
      <c r="E792" s="19"/>
      <c r="F792" s="19"/>
    </row>
    <row r="793">
      <c r="B793" s="19"/>
      <c r="C793" s="19"/>
      <c r="D793" s="19"/>
      <c r="E793" s="19"/>
      <c r="F793" s="19"/>
    </row>
    <row r="794">
      <c r="B794" s="19"/>
      <c r="C794" s="19"/>
      <c r="D794" s="19"/>
      <c r="E794" s="19"/>
      <c r="F794" s="19"/>
    </row>
    <row r="795">
      <c r="B795" s="19"/>
      <c r="C795" s="19"/>
      <c r="D795" s="19"/>
      <c r="E795" s="19"/>
      <c r="F795" s="19"/>
    </row>
    <row r="796">
      <c r="B796" s="19"/>
      <c r="C796" s="19"/>
      <c r="D796" s="19"/>
      <c r="E796" s="19"/>
      <c r="F796" s="19"/>
    </row>
    <row r="797">
      <c r="B797" s="19"/>
      <c r="C797" s="19"/>
      <c r="D797" s="19"/>
      <c r="E797" s="19"/>
      <c r="F797" s="19"/>
    </row>
    <row r="798">
      <c r="B798" s="19"/>
      <c r="C798" s="19"/>
      <c r="D798" s="19"/>
      <c r="E798" s="19"/>
      <c r="F798" s="19"/>
    </row>
    <row r="799">
      <c r="B799" s="19"/>
      <c r="C799" s="19"/>
      <c r="D799" s="19"/>
      <c r="E799" s="19"/>
      <c r="F799" s="19"/>
    </row>
    <row r="800">
      <c r="B800" s="19"/>
      <c r="C800" s="19"/>
      <c r="D800" s="19"/>
      <c r="E800" s="19"/>
      <c r="F800" s="19"/>
    </row>
    <row r="801">
      <c r="B801" s="19"/>
      <c r="C801" s="19"/>
      <c r="D801" s="19"/>
      <c r="E801" s="19"/>
      <c r="F801" s="19"/>
    </row>
    <row r="802">
      <c r="B802" s="19"/>
      <c r="C802" s="19"/>
      <c r="D802" s="19"/>
      <c r="E802" s="19"/>
      <c r="F802" s="19"/>
    </row>
    <row r="803">
      <c r="B803" s="19"/>
      <c r="C803" s="19"/>
      <c r="D803" s="19"/>
      <c r="E803" s="19"/>
      <c r="F803" s="19"/>
    </row>
    <row r="804">
      <c r="B804" s="19"/>
      <c r="C804" s="19"/>
      <c r="D804" s="19"/>
      <c r="E804" s="19"/>
      <c r="F804" s="19"/>
    </row>
    <row r="805">
      <c r="B805" s="19"/>
      <c r="C805" s="19"/>
      <c r="D805" s="19"/>
      <c r="E805" s="19"/>
      <c r="F805" s="19"/>
    </row>
    <row r="806">
      <c r="B806" s="19"/>
      <c r="C806" s="19"/>
      <c r="D806" s="19"/>
      <c r="E806" s="19"/>
      <c r="F806" s="19"/>
    </row>
    <row r="807">
      <c r="B807" s="19"/>
      <c r="C807" s="19"/>
      <c r="D807" s="19"/>
      <c r="E807" s="19"/>
      <c r="F807" s="19"/>
    </row>
    <row r="808">
      <c r="B808" s="19"/>
      <c r="C808" s="19"/>
      <c r="D808" s="19"/>
      <c r="E808" s="19"/>
      <c r="F808" s="19"/>
    </row>
    <row r="809">
      <c r="B809" s="19"/>
      <c r="C809" s="19"/>
      <c r="D809" s="19"/>
      <c r="E809" s="19"/>
      <c r="F809" s="19"/>
    </row>
    <row r="810">
      <c r="B810" s="19"/>
      <c r="C810" s="19"/>
      <c r="D810" s="19"/>
      <c r="E810" s="19"/>
      <c r="F810" s="19"/>
    </row>
    <row r="811">
      <c r="B811" s="19"/>
      <c r="C811" s="19"/>
      <c r="D811" s="19"/>
      <c r="E811" s="19"/>
      <c r="F811" s="19"/>
    </row>
    <row r="812">
      <c r="B812" s="19"/>
      <c r="C812" s="19"/>
      <c r="D812" s="19"/>
      <c r="E812" s="19"/>
      <c r="F812" s="19"/>
    </row>
    <row r="813">
      <c r="B813" s="19"/>
      <c r="C813" s="19"/>
      <c r="D813" s="19"/>
      <c r="E813" s="19"/>
      <c r="F813" s="19"/>
    </row>
    <row r="814">
      <c r="B814" s="19"/>
      <c r="C814" s="19"/>
      <c r="D814" s="19"/>
      <c r="E814" s="19"/>
      <c r="F814" s="19"/>
    </row>
    <row r="815">
      <c r="B815" s="19"/>
      <c r="C815" s="19"/>
      <c r="D815" s="19"/>
      <c r="E815" s="19"/>
      <c r="F815" s="19"/>
    </row>
    <row r="816">
      <c r="B816" s="19"/>
      <c r="C816" s="19"/>
      <c r="D816" s="19"/>
      <c r="E816" s="19"/>
      <c r="F816" s="19"/>
    </row>
    <row r="817">
      <c r="B817" s="19"/>
      <c r="C817" s="19"/>
      <c r="D817" s="19"/>
      <c r="E817" s="19"/>
      <c r="F817" s="19"/>
    </row>
    <row r="818">
      <c r="B818" s="19"/>
      <c r="C818" s="19"/>
      <c r="D818" s="19"/>
      <c r="E818" s="19"/>
      <c r="F818" s="19"/>
    </row>
    <row r="819">
      <c r="B819" s="19"/>
      <c r="C819" s="19"/>
      <c r="D819" s="19"/>
      <c r="E819" s="19"/>
      <c r="F819" s="19"/>
    </row>
    <row r="820">
      <c r="B820" s="19"/>
      <c r="C820" s="19"/>
      <c r="D820" s="19"/>
      <c r="E820" s="19"/>
      <c r="F820" s="19"/>
    </row>
    <row r="821">
      <c r="B821" s="19"/>
      <c r="C821" s="19"/>
      <c r="D821" s="19"/>
      <c r="E821" s="19"/>
      <c r="F821" s="19"/>
    </row>
    <row r="822">
      <c r="B822" s="19"/>
      <c r="C822" s="19"/>
      <c r="D822" s="19"/>
      <c r="E822" s="19"/>
      <c r="F822" s="19"/>
    </row>
    <row r="823">
      <c r="B823" s="19"/>
      <c r="C823" s="19"/>
      <c r="D823" s="19"/>
      <c r="E823" s="19"/>
      <c r="F823" s="19"/>
    </row>
    <row r="824">
      <c r="B824" s="19"/>
      <c r="C824" s="19"/>
      <c r="D824" s="19"/>
      <c r="E824" s="19"/>
      <c r="F824" s="19"/>
    </row>
    <row r="825">
      <c r="B825" s="19"/>
      <c r="C825" s="19"/>
      <c r="D825" s="19"/>
      <c r="E825" s="19"/>
      <c r="F825" s="19"/>
    </row>
    <row r="826">
      <c r="B826" s="19"/>
      <c r="C826" s="19"/>
      <c r="D826" s="19"/>
      <c r="E826" s="19"/>
      <c r="F826" s="19"/>
    </row>
    <row r="827">
      <c r="B827" s="19"/>
      <c r="C827" s="19"/>
      <c r="D827" s="19"/>
      <c r="E827" s="19"/>
      <c r="F827" s="19"/>
    </row>
    <row r="828">
      <c r="B828" s="19"/>
      <c r="C828" s="19"/>
      <c r="D828" s="19"/>
      <c r="E828" s="19"/>
      <c r="F828" s="19"/>
    </row>
    <row r="829">
      <c r="B829" s="19"/>
      <c r="C829" s="19"/>
      <c r="D829" s="19"/>
      <c r="E829" s="19"/>
      <c r="F829" s="19"/>
    </row>
    <row r="830">
      <c r="B830" s="19"/>
      <c r="C830" s="19"/>
      <c r="D830" s="19"/>
      <c r="E830" s="19"/>
      <c r="F830" s="19"/>
    </row>
    <row r="831">
      <c r="B831" s="19"/>
      <c r="C831" s="19"/>
      <c r="D831" s="19"/>
      <c r="E831" s="19"/>
      <c r="F831" s="19"/>
    </row>
    <row r="832">
      <c r="B832" s="19"/>
      <c r="C832" s="19"/>
      <c r="D832" s="19"/>
      <c r="E832" s="19"/>
      <c r="F832" s="19"/>
    </row>
    <row r="833">
      <c r="B833" s="19"/>
      <c r="C833" s="19"/>
      <c r="D833" s="19"/>
      <c r="E833" s="19"/>
      <c r="F833" s="19"/>
    </row>
    <row r="834">
      <c r="B834" s="19"/>
      <c r="C834" s="19"/>
      <c r="D834" s="19"/>
      <c r="E834" s="19"/>
      <c r="F834" s="19"/>
    </row>
    <row r="835">
      <c r="B835" s="19"/>
      <c r="C835" s="19"/>
      <c r="D835" s="19"/>
      <c r="E835" s="19"/>
      <c r="F835" s="19"/>
    </row>
    <row r="836">
      <c r="B836" s="19"/>
      <c r="C836" s="19"/>
      <c r="D836" s="19"/>
      <c r="E836" s="19"/>
      <c r="F836" s="19"/>
    </row>
    <row r="837">
      <c r="B837" s="19"/>
      <c r="C837" s="19"/>
      <c r="D837" s="19"/>
      <c r="E837" s="19"/>
      <c r="F837" s="19"/>
    </row>
    <row r="838">
      <c r="B838" s="19"/>
      <c r="C838" s="19"/>
      <c r="D838" s="19"/>
      <c r="E838" s="19"/>
      <c r="F838" s="19"/>
    </row>
    <row r="839">
      <c r="B839" s="19"/>
      <c r="C839" s="19"/>
      <c r="D839" s="19"/>
      <c r="E839" s="19"/>
      <c r="F839" s="19"/>
    </row>
    <row r="840">
      <c r="B840" s="19"/>
      <c r="C840" s="19"/>
      <c r="D840" s="19"/>
      <c r="E840" s="19"/>
      <c r="F840" s="19"/>
    </row>
    <row r="841">
      <c r="B841" s="19"/>
      <c r="C841" s="19"/>
      <c r="D841" s="19"/>
      <c r="E841" s="19"/>
      <c r="F841" s="19"/>
    </row>
    <row r="842">
      <c r="B842" s="19"/>
      <c r="C842" s="19"/>
      <c r="D842" s="19"/>
      <c r="E842" s="19"/>
      <c r="F842" s="19"/>
    </row>
    <row r="843">
      <c r="B843" s="19"/>
      <c r="C843" s="19"/>
      <c r="D843" s="19"/>
      <c r="E843" s="19"/>
      <c r="F843" s="19"/>
    </row>
    <row r="844">
      <c r="B844" s="19"/>
      <c r="C844" s="19"/>
      <c r="D844" s="19"/>
      <c r="E844" s="19"/>
      <c r="F844" s="19"/>
    </row>
    <row r="845">
      <c r="B845" s="19"/>
      <c r="C845" s="19"/>
      <c r="D845" s="19"/>
      <c r="E845" s="19"/>
      <c r="F845" s="19"/>
    </row>
    <row r="846">
      <c r="B846" s="19"/>
      <c r="C846" s="19"/>
      <c r="D846" s="19"/>
      <c r="E846" s="19"/>
      <c r="F846" s="19"/>
    </row>
    <row r="847">
      <c r="B847" s="19"/>
      <c r="C847" s="19"/>
      <c r="D847" s="19"/>
      <c r="E847" s="19"/>
      <c r="F847" s="19"/>
    </row>
    <row r="848">
      <c r="B848" s="19"/>
      <c r="C848" s="19"/>
      <c r="D848" s="19"/>
      <c r="E848" s="19"/>
      <c r="F848" s="19"/>
    </row>
    <row r="849">
      <c r="B849" s="19"/>
      <c r="C849" s="19"/>
      <c r="D849" s="19"/>
      <c r="E849" s="19"/>
      <c r="F849" s="19"/>
    </row>
    <row r="850">
      <c r="B850" s="19"/>
      <c r="C850" s="19"/>
      <c r="D850" s="19"/>
      <c r="E850" s="19"/>
      <c r="F850" s="19"/>
    </row>
    <row r="851">
      <c r="B851" s="19"/>
      <c r="C851" s="19"/>
      <c r="D851" s="19"/>
      <c r="E851" s="19"/>
      <c r="F851" s="19"/>
    </row>
    <row r="852">
      <c r="B852" s="19"/>
      <c r="C852" s="19"/>
      <c r="D852" s="19"/>
      <c r="E852" s="19"/>
      <c r="F852" s="19"/>
    </row>
    <row r="853">
      <c r="B853" s="19"/>
      <c r="C853" s="19"/>
      <c r="D853" s="19"/>
      <c r="E853" s="19"/>
      <c r="F853" s="19"/>
    </row>
    <row r="854">
      <c r="B854" s="19"/>
      <c r="C854" s="19"/>
      <c r="D854" s="19"/>
      <c r="E854" s="19"/>
      <c r="F854" s="19"/>
    </row>
    <row r="855">
      <c r="B855" s="19"/>
      <c r="C855" s="19"/>
      <c r="D855" s="19"/>
      <c r="E855" s="19"/>
      <c r="F855" s="19"/>
    </row>
    <row r="856">
      <c r="B856" s="19"/>
      <c r="C856" s="19"/>
      <c r="D856" s="19"/>
      <c r="E856" s="19"/>
      <c r="F856" s="19"/>
    </row>
    <row r="857">
      <c r="B857" s="19"/>
      <c r="C857" s="19"/>
      <c r="D857" s="19"/>
      <c r="E857" s="19"/>
      <c r="F857" s="19"/>
    </row>
    <row r="858">
      <c r="B858" s="19"/>
      <c r="C858" s="19"/>
      <c r="D858" s="19"/>
      <c r="E858" s="19"/>
      <c r="F858" s="19"/>
    </row>
    <row r="859">
      <c r="B859" s="19"/>
      <c r="C859" s="19"/>
      <c r="D859" s="19"/>
      <c r="E859" s="19"/>
      <c r="F859" s="19"/>
    </row>
    <row r="860">
      <c r="B860" s="19"/>
      <c r="C860" s="19"/>
      <c r="D860" s="19"/>
      <c r="E860" s="19"/>
      <c r="F860" s="19"/>
    </row>
    <row r="861">
      <c r="B861" s="19"/>
      <c r="C861" s="19"/>
      <c r="D861" s="19"/>
      <c r="E861" s="19"/>
      <c r="F861" s="19"/>
    </row>
    <row r="862">
      <c r="B862" s="19"/>
      <c r="C862" s="19"/>
      <c r="D862" s="19"/>
      <c r="E862" s="19"/>
      <c r="F862" s="19"/>
    </row>
    <row r="863">
      <c r="B863" s="19"/>
      <c r="C863" s="19"/>
      <c r="D863" s="19"/>
      <c r="E863" s="19"/>
      <c r="F863" s="19"/>
    </row>
    <row r="864">
      <c r="B864" s="19"/>
      <c r="C864" s="19"/>
      <c r="D864" s="19"/>
      <c r="E864" s="19"/>
      <c r="F864" s="19"/>
    </row>
    <row r="865">
      <c r="B865" s="19"/>
      <c r="C865" s="19"/>
      <c r="D865" s="19"/>
      <c r="E865" s="19"/>
      <c r="F865" s="19"/>
    </row>
    <row r="866">
      <c r="B866" s="19"/>
      <c r="C866" s="19"/>
      <c r="D866" s="19"/>
      <c r="E866" s="19"/>
      <c r="F866" s="19"/>
    </row>
    <row r="867">
      <c r="B867" s="19"/>
      <c r="C867" s="19"/>
      <c r="D867" s="19"/>
      <c r="E867" s="19"/>
      <c r="F867" s="19"/>
    </row>
    <row r="868">
      <c r="B868" s="19"/>
      <c r="C868" s="19"/>
      <c r="D868" s="19"/>
      <c r="E868" s="19"/>
      <c r="F868" s="19"/>
    </row>
    <row r="869">
      <c r="B869" s="19"/>
      <c r="C869" s="19"/>
      <c r="D869" s="19"/>
      <c r="E869" s="19"/>
      <c r="F869" s="19"/>
    </row>
    <row r="870">
      <c r="B870" s="19"/>
      <c r="C870" s="19"/>
      <c r="D870" s="19"/>
      <c r="E870" s="19"/>
      <c r="F870" s="19"/>
    </row>
    <row r="871">
      <c r="B871" s="19"/>
      <c r="C871" s="19"/>
      <c r="D871" s="19"/>
      <c r="E871" s="19"/>
      <c r="F871" s="19"/>
    </row>
    <row r="872">
      <c r="B872" s="19"/>
      <c r="C872" s="19"/>
      <c r="D872" s="19"/>
      <c r="E872" s="19"/>
      <c r="F872" s="19"/>
    </row>
    <row r="873">
      <c r="B873" s="19"/>
      <c r="C873" s="19"/>
      <c r="D873" s="19"/>
      <c r="E873" s="19"/>
      <c r="F873" s="19"/>
    </row>
    <row r="874">
      <c r="B874" s="19"/>
      <c r="C874" s="19"/>
      <c r="D874" s="19"/>
      <c r="E874" s="19"/>
      <c r="F874" s="19"/>
    </row>
    <row r="875">
      <c r="B875" s="19"/>
      <c r="C875" s="19"/>
      <c r="D875" s="19"/>
      <c r="E875" s="19"/>
      <c r="F875" s="19"/>
    </row>
    <row r="876">
      <c r="B876" s="19"/>
      <c r="C876" s="19"/>
      <c r="D876" s="19"/>
      <c r="E876" s="19"/>
      <c r="F876" s="19"/>
    </row>
    <row r="877">
      <c r="B877" s="19"/>
      <c r="C877" s="19"/>
      <c r="D877" s="19"/>
      <c r="E877" s="19"/>
      <c r="F877" s="19"/>
    </row>
    <row r="878">
      <c r="B878" s="19"/>
      <c r="C878" s="19"/>
      <c r="D878" s="19"/>
      <c r="E878" s="19"/>
      <c r="F878" s="19"/>
    </row>
    <row r="879">
      <c r="B879" s="19"/>
      <c r="C879" s="19"/>
      <c r="D879" s="19"/>
      <c r="E879" s="19"/>
      <c r="F879" s="19"/>
    </row>
    <row r="880">
      <c r="B880" s="19"/>
      <c r="C880" s="19"/>
      <c r="D880" s="19"/>
      <c r="E880" s="19"/>
      <c r="F880" s="19"/>
    </row>
    <row r="881">
      <c r="B881" s="19"/>
      <c r="C881" s="19"/>
      <c r="D881" s="19"/>
      <c r="E881" s="19"/>
      <c r="F881" s="19"/>
    </row>
    <row r="882">
      <c r="B882" s="19"/>
      <c r="C882" s="19"/>
      <c r="D882" s="19"/>
      <c r="E882" s="19"/>
      <c r="F882" s="19"/>
    </row>
    <row r="883">
      <c r="B883" s="19"/>
      <c r="C883" s="19"/>
      <c r="D883" s="19"/>
      <c r="E883" s="19"/>
      <c r="F883" s="19"/>
    </row>
    <row r="884">
      <c r="B884" s="19"/>
      <c r="C884" s="19"/>
      <c r="D884" s="19"/>
      <c r="E884" s="19"/>
      <c r="F884" s="19"/>
    </row>
    <row r="885">
      <c r="B885" s="19"/>
      <c r="C885" s="19"/>
      <c r="D885" s="19"/>
      <c r="E885" s="19"/>
      <c r="F885" s="19"/>
    </row>
    <row r="886">
      <c r="B886" s="19"/>
      <c r="C886" s="19"/>
      <c r="D886" s="19"/>
      <c r="E886" s="19"/>
      <c r="F886" s="19"/>
    </row>
    <row r="887">
      <c r="B887" s="19"/>
      <c r="C887" s="19"/>
      <c r="D887" s="19"/>
      <c r="E887" s="19"/>
      <c r="F887" s="19"/>
    </row>
    <row r="888">
      <c r="B888" s="19"/>
      <c r="C888" s="19"/>
      <c r="D888" s="19"/>
      <c r="E888" s="19"/>
      <c r="F888" s="19"/>
    </row>
    <row r="889">
      <c r="B889" s="19"/>
      <c r="C889" s="19"/>
      <c r="D889" s="19"/>
      <c r="E889" s="19"/>
      <c r="F889" s="19"/>
    </row>
    <row r="890">
      <c r="B890" s="19"/>
      <c r="C890" s="19"/>
      <c r="D890" s="19"/>
      <c r="E890" s="19"/>
      <c r="F890" s="19"/>
    </row>
    <row r="891">
      <c r="B891" s="19"/>
      <c r="C891" s="19"/>
      <c r="D891" s="19"/>
      <c r="E891" s="19"/>
      <c r="F891" s="19"/>
    </row>
    <row r="892">
      <c r="B892" s="19"/>
      <c r="C892" s="19"/>
      <c r="D892" s="19"/>
      <c r="E892" s="19"/>
      <c r="F892" s="19"/>
    </row>
    <row r="893">
      <c r="B893" s="19"/>
      <c r="C893" s="19"/>
      <c r="D893" s="19"/>
      <c r="E893" s="19"/>
      <c r="F893" s="19"/>
    </row>
    <row r="894">
      <c r="B894" s="19"/>
      <c r="C894" s="19"/>
      <c r="D894" s="19"/>
      <c r="E894" s="19"/>
      <c r="F894" s="19"/>
    </row>
    <row r="895">
      <c r="B895" s="19"/>
      <c r="C895" s="19"/>
      <c r="D895" s="19"/>
      <c r="E895" s="19"/>
      <c r="F895" s="19"/>
    </row>
    <row r="896">
      <c r="B896" s="19"/>
      <c r="C896" s="19"/>
      <c r="D896" s="19"/>
      <c r="E896" s="19"/>
      <c r="F896" s="19"/>
    </row>
    <row r="897">
      <c r="B897" s="19"/>
      <c r="C897" s="19"/>
      <c r="D897" s="19"/>
      <c r="E897" s="19"/>
      <c r="F897" s="19"/>
    </row>
    <row r="898">
      <c r="B898" s="19"/>
      <c r="C898" s="19"/>
      <c r="D898" s="19"/>
      <c r="E898" s="19"/>
      <c r="F898" s="19"/>
    </row>
    <row r="899">
      <c r="B899" s="19"/>
      <c r="C899" s="19"/>
      <c r="D899" s="19"/>
      <c r="E899" s="19"/>
      <c r="F899" s="19"/>
    </row>
    <row r="900">
      <c r="B900" s="19"/>
      <c r="C900" s="19"/>
      <c r="D900" s="19"/>
      <c r="E900" s="19"/>
      <c r="F900" s="19"/>
    </row>
    <row r="901">
      <c r="B901" s="19"/>
      <c r="C901" s="19"/>
      <c r="D901" s="19"/>
      <c r="E901" s="19"/>
      <c r="F901" s="19"/>
    </row>
    <row r="902">
      <c r="B902" s="19"/>
      <c r="C902" s="19"/>
      <c r="D902" s="19"/>
      <c r="E902" s="19"/>
      <c r="F902" s="19"/>
    </row>
    <row r="903">
      <c r="B903" s="19"/>
      <c r="C903" s="19"/>
      <c r="D903" s="19"/>
      <c r="E903" s="19"/>
      <c r="F903" s="19"/>
    </row>
    <row r="904">
      <c r="B904" s="19"/>
      <c r="C904" s="19"/>
      <c r="D904" s="19"/>
      <c r="E904" s="19"/>
      <c r="F904" s="19"/>
    </row>
    <row r="905">
      <c r="B905" s="19"/>
      <c r="C905" s="19"/>
      <c r="D905" s="19"/>
      <c r="E905" s="19"/>
      <c r="F905" s="19"/>
    </row>
    <row r="906">
      <c r="B906" s="19"/>
      <c r="C906" s="19"/>
      <c r="D906" s="19"/>
      <c r="E906" s="19"/>
      <c r="F906" s="19"/>
    </row>
    <row r="907">
      <c r="B907" s="19"/>
      <c r="C907" s="19"/>
      <c r="D907" s="19"/>
      <c r="E907" s="19"/>
      <c r="F907" s="19"/>
    </row>
    <row r="908">
      <c r="B908" s="19"/>
      <c r="C908" s="19"/>
      <c r="D908" s="19"/>
      <c r="E908" s="19"/>
      <c r="F908" s="19"/>
    </row>
    <row r="909">
      <c r="B909" s="19"/>
      <c r="C909" s="19"/>
      <c r="D909" s="19"/>
      <c r="E909" s="19"/>
      <c r="F909" s="19"/>
    </row>
    <row r="910">
      <c r="B910" s="19"/>
      <c r="C910" s="19"/>
      <c r="D910" s="19"/>
      <c r="E910" s="19"/>
      <c r="F910" s="19"/>
    </row>
    <row r="911">
      <c r="B911" s="19"/>
      <c r="C911" s="19"/>
      <c r="D911" s="19"/>
      <c r="E911" s="19"/>
      <c r="F911" s="19"/>
    </row>
    <row r="912">
      <c r="B912" s="19"/>
      <c r="C912" s="19"/>
      <c r="D912" s="19"/>
      <c r="E912" s="19"/>
      <c r="F912" s="19"/>
    </row>
    <row r="913">
      <c r="B913" s="19"/>
      <c r="C913" s="19"/>
      <c r="D913" s="19"/>
      <c r="E913" s="19"/>
      <c r="F913" s="19"/>
    </row>
    <row r="914">
      <c r="B914" s="19"/>
      <c r="C914" s="19"/>
      <c r="D914" s="19"/>
      <c r="E914" s="19"/>
      <c r="F914" s="19"/>
    </row>
    <row r="915">
      <c r="B915" s="19"/>
      <c r="C915" s="19"/>
      <c r="D915" s="19"/>
      <c r="E915" s="19"/>
      <c r="F915" s="19"/>
    </row>
    <row r="916">
      <c r="B916" s="19"/>
      <c r="C916" s="19"/>
      <c r="D916" s="19"/>
      <c r="E916" s="19"/>
      <c r="F916" s="19"/>
    </row>
    <row r="917">
      <c r="B917" s="19"/>
      <c r="C917" s="19"/>
      <c r="D917" s="19"/>
      <c r="E917" s="19"/>
      <c r="F917" s="19"/>
    </row>
    <row r="918">
      <c r="B918" s="19"/>
      <c r="C918" s="19"/>
      <c r="D918" s="19"/>
      <c r="E918" s="19"/>
      <c r="F918" s="19"/>
    </row>
    <row r="919">
      <c r="B919" s="19"/>
      <c r="C919" s="19"/>
      <c r="D919" s="19"/>
      <c r="E919" s="19"/>
      <c r="F919" s="19"/>
    </row>
    <row r="920">
      <c r="B920" s="19"/>
      <c r="C920" s="19"/>
      <c r="D920" s="19"/>
      <c r="E920" s="19"/>
      <c r="F920" s="19"/>
    </row>
    <row r="921">
      <c r="B921" s="19"/>
      <c r="C921" s="19"/>
      <c r="D921" s="19"/>
      <c r="E921" s="19"/>
      <c r="F921" s="19"/>
    </row>
    <row r="922">
      <c r="B922" s="19"/>
      <c r="C922" s="19"/>
      <c r="D922" s="19"/>
      <c r="E922" s="19"/>
      <c r="F922" s="19"/>
    </row>
    <row r="923">
      <c r="B923" s="19"/>
      <c r="C923" s="19"/>
      <c r="D923" s="19"/>
      <c r="E923" s="19"/>
      <c r="F923" s="19"/>
    </row>
    <row r="924">
      <c r="B924" s="19"/>
      <c r="C924" s="19"/>
      <c r="D924" s="19"/>
      <c r="E924" s="19"/>
      <c r="F924" s="19"/>
    </row>
    <row r="925">
      <c r="B925" s="19"/>
      <c r="C925" s="19"/>
      <c r="D925" s="19"/>
      <c r="E925" s="19"/>
      <c r="F925" s="19"/>
    </row>
    <row r="926">
      <c r="B926" s="19"/>
      <c r="C926" s="19"/>
      <c r="D926" s="19"/>
      <c r="E926" s="19"/>
      <c r="F926" s="19"/>
    </row>
    <row r="927">
      <c r="B927" s="19"/>
      <c r="C927" s="19"/>
      <c r="D927" s="19"/>
      <c r="E927" s="19"/>
      <c r="F927" s="19"/>
    </row>
    <row r="928">
      <c r="B928" s="19"/>
      <c r="C928" s="19"/>
      <c r="D928" s="19"/>
      <c r="E928" s="19"/>
      <c r="F928" s="19"/>
    </row>
    <row r="929">
      <c r="B929" s="19"/>
      <c r="C929" s="19"/>
      <c r="D929" s="19"/>
      <c r="E929" s="19"/>
      <c r="F929" s="19"/>
    </row>
    <row r="930">
      <c r="B930" s="19"/>
      <c r="C930" s="19"/>
      <c r="D930" s="19"/>
      <c r="E930" s="19"/>
      <c r="F930" s="19"/>
    </row>
    <row r="931">
      <c r="B931" s="19"/>
      <c r="C931" s="19"/>
      <c r="D931" s="19"/>
      <c r="E931" s="19"/>
      <c r="F931" s="19"/>
    </row>
    <row r="932">
      <c r="B932" s="19"/>
      <c r="C932" s="19"/>
      <c r="D932" s="19"/>
      <c r="E932" s="19"/>
      <c r="F932" s="19"/>
    </row>
    <row r="933">
      <c r="B933" s="19"/>
      <c r="C933" s="19"/>
      <c r="D933" s="19"/>
      <c r="E933" s="19"/>
      <c r="F933" s="19"/>
    </row>
    <row r="934">
      <c r="B934" s="19"/>
      <c r="C934" s="19"/>
      <c r="D934" s="19"/>
      <c r="E934" s="19"/>
      <c r="F934" s="19"/>
    </row>
    <row r="935">
      <c r="B935" s="19"/>
      <c r="C935" s="19"/>
      <c r="D935" s="19"/>
      <c r="E935" s="19"/>
      <c r="F935" s="19"/>
    </row>
    <row r="936">
      <c r="B936" s="19"/>
      <c r="C936" s="19"/>
      <c r="D936" s="19"/>
      <c r="E936" s="19"/>
      <c r="F936" s="19"/>
    </row>
    <row r="937">
      <c r="B937" s="19"/>
      <c r="C937" s="19"/>
      <c r="D937" s="19"/>
      <c r="E937" s="19"/>
      <c r="F937" s="19"/>
    </row>
    <row r="938">
      <c r="B938" s="19"/>
      <c r="C938" s="19"/>
      <c r="D938" s="19"/>
      <c r="E938" s="19"/>
      <c r="F938" s="19"/>
    </row>
    <row r="939">
      <c r="B939" s="19"/>
      <c r="C939" s="19"/>
      <c r="D939" s="19"/>
      <c r="E939" s="19"/>
      <c r="F939" s="19"/>
    </row>
    <row r="940">
      <c r="B940" s="19"/>
      <c r="C940" s="19"/>
      <c r="D940" s="19"/>
      <c r="E940" s="19"/>
      <c r="F940" s="19"/>
    </row>
    <row r="941">
      <c r="B941" s="19"/>
      <c r="C941" s="19"/>
      <c r="D941" s="19"/>
      <c r="E941" s="19"/>
      <c r="F941" s="19"/>
    </row>
    <row r="942">
      <c r="B942" s="19"/>
      <c r="C942" s="19"/>
      <c r="D942" s="19"/>
      <c r="E942" s="19"/>
      <c r="F942" s="19"/>
    </row>
    <row r="943">
      <c r="B943" s="19"/>
      <c r="C943" s="19"/>
      <c r="D943" s="19"/>
      <c r="E943" s="19"/>
      <c r="F943" s="19"/>
    </row>
    <row r="944">
      <c r="B944" s="19"/>
      <c r="C944" s="19"/>
      <c r="D944" s="19"/>
      <c r="E944" s="19"/>
      <c r="F944" s="19"/>
    </row>
    <row r="945">
      <c r="B945" s="19"/>
      <c r="C945" s="19"/>
      <c r="D945" s="19"/>
      <c r="E945" s="19"/>
      <c r="F945" s="19"/>
    </row>
    <row r="946">
      <c r="B946" s="19"/>
      <c r="C946" s="19"/>
      <c r="D946" s="19"/>
      <c r="E946" s="19"/>
      <c r="F946" s="19"/>
    </row>
    <row r="947">
      <c r="B947" s="19"/>
      <c r="C947" s="19"/>
      <c r="D947" s="19"/>
      <c r="E947" s="19"/>
      <c r="F947" s="19"/>
    </row>
    <row r="948">
      <c r="B948" s="19"/>
      <c r="C948" s="19"/>
      <c r="D948" s="19"/>
      <c r="E948" s="19"/>
      <c r="F948" s="19"/>
    </row>
    <row r="949">
      <c r="B949" s="19"/>
      <c r="C949" s="19"/>
      <c r="D949" s="19"/>
      <c r="E949" s="19"/>
      <c r="F949" s="19"/>
    </row>
    <row r="950">
      <c r="B950" s="19"/>
      <c r="C950" s="19"/>
      <c r="D950" s="19"/>
      <c r="E950" s="19"/>
      <c r="F950" s="19"/>
    </row>
    <row r="951">
      <c r="B951" s="19"/>
      <c r="C951" s="19"/>
      <c r="D951" s="19"/>
      <c r="E951" s="19"/>
      <c r="F951" s="19"/>
    </row>
    <row r="952">
      <c r="B952" s="19"/>
      <c r="C952" s="19"/>
      <c r="D952" s="19"/>
      <c r="E952" s="19"/>
      <c r="F952" s="19"/>
    </row>
    <row r="953">
      <c r="B953" s="19"/>
      <c r="C953" s="19"/>
      <c r="D953" s="19"/>
      <c r="E953" s="19"/>
      <c r="F953" s="19"/>
    </row>
    <row r="954">
      <c r="B954" s="19"/>
      <c r="C954" s="19"/>
      <c r="D954" s="19"/>
      <c r="E954" s="19"/>
      <c r="F954" s="19"/>
    </row>
    <row r="955">
      <c r="B955" s="19"/>
      <c r="C955" s="19"/>
      <c r="D955" s="19"/>
      <c r="E955" s="19"/>
      <c r="F955" s="19"/>
    </row>
    <row r="956">
      <c r="B956" s="19"/>
      <c r="C956" s="19"/>
      <c r="D956" s="19"/>
      <c r="E956" s="19"/>
      <c r="F956" s="19"/>
    </row>
    <row r="957">
      <c r="B957" s="19"/>
      <c r="C957" s="19"/>
      <c r="D957" s="19"/>
      <c r="E957" s="19"/>
      <c r="F957" s="19"/>
    </row>
    <row r="958">
      <c r="B958" s="19"/>
      <c r="C958" s="19"/>
      <c r="D958" s="19"/>
      <c r="E958" s="19"/>
      <c r="F958" s="19"/>
    </row>
    <row r="959">
      <c r="B959" s="19"/>
      <c r="C959" s="19"/>
      <c r="D959" s="19"/>
      <c r="E959" s="19"/>
      <c r="F959" s="19"/>
    </row>
    <row r="960">
      <c r="B960" s="19"/>
      <c r="C960" s="19"/>
      <c r="D960" s="19"/>
      <c r="E960" s="19"/>
      <c r="F960" s="19"/>
    </row>
    <row r="961">
      <c r="B961" s="19"/>
      <c r="C961" s="19"/>
      <c r="D961" s="19"/>
      <c r="E961" s="19"/>
      <c r="F961" s="19"/>
    </row>
    <row r="962">
      <c r="B962" s="19"/>
      <c r="C962" s="19"/>
      <c r="D962" s="19"/>
      <c r="E962" s="19"/>
      <c r="F962" s="19"/>
    </row>
    <row r="963">
      <c r="B963" s="19"/>
      <c r="C963" s="19"/>
      <c r="D963" s="19"/>
      <c r="E963" s="19"/>
      <c r="F963" s="19"/>
    </row>
    <row r="964">
      <c r="B964" s="19"/>
      <c r="C964" s="19"/>
      <c r="D964" s="19"/>
      <c r="E964" s="19"/>
      <c r="F964" s="19"/>
    </row>
    <row r="965">
      <c r="B965" s="19"/>
      <c r="C965" s="19"/>
      <c r="D965" s="19"/>
      <c r="E965" s="19"/>
      <c r="F965" s="19"/>
    </row>
    <row r="966">
      <c r="B966" s="19"/>
      <c r="C966" s="19"/>
      <c r="D966" s="19"/>
      <c r="E966" s="19"/>
      <c r="F966" s="19"/>
    </row>
    <row r="967">
      <c r="B967" s="19"/>
      <c r="C967" s="19"/>
      <c r="D967" s="19"/>
      <c r="E967" s="19"/>
      <c r="F967" s="19"/>
    </row>
    <row r="968">
      <c r="B968" s="19"/>
      <c r="C968" s="19"/>
      <c r="D968" s="19"/>
      <c r="E968" s="19"/>
      <c r="F968" s="19"/>
    </row>
    <row r="969">
      <c r="B969" s="19"/>
      <c r="C969" s="19"/>
      <c r="D969" s="19"/>
      <c r="E969" s="19"/>
      <c r="F969" s="19"/>
    </row>
    <row r="970">
      <c r="B970" s="19"/>
      <c r="C970" s="19"/>
      <c r="D970" s="19"/>
      <c r="E970" s="19"/>
      <c r="F970" s="19"/>
    </row>
    <row r="971">
      <c r="B971" s="19"/>
      <c r="C971" s="19"/>
      <c r="D971" s="19"/>
      <c r="E971" s="19"/>
      <c r="F971" s="19"/>
    </row>
    <row r="972">
      <c r="B972" s="19"/>
      <c r="C972" s="19"/>
      <c r="D972" s="19"/>
      <c r="E972" s="19"/>
      <c r="F972" s="19"/>
    </row>
    <row r="973">
      <c r="B973" s="19"/>
      <c r="C973" s="19"/>
      <c r="D973" s="19"/>
      <c r="E973" s="19"/>
      <c r="F973" s="19"/>
    </row>
    <row r="974">
      <c r="B974" s="19"/>
      <c r="C974" s="19"/>
      <c r="D974" s="19"/>
      <c r="E974" s="19"/>
      <c r="F974" s="19"/>
    </row>
    <row r="975">
      <c r="B975" s="19"/>
      <c r="C975" s="19"/>
      <c r="D975" s="19"/>
      <c r="E975" s="19"/>
      <c r="F975" s="19"/>
    </row>
    <row r="976">
      <c r="B976" s="19"/>
      <c r="C976" s="19"/>
      <c r="D976" s="19"/>
      <c r="E976" s="19"/>
      <c r="F976" s="19"/>
    </row>
    <row r="977">
      <c r="B977" s="19"/>
      <c r="C977" s="19"/>
      <c r="D977" s="19"/>
      <c r="E977" s="19"/>
      <c r="F977" s="19"/>
    </row>
    <row r="978">
      <c r="B978" s="19"/>
      <c r="C978" s="19"/>
      <c r="D978" s="19"/>
      <c r="E978" s="19"/>
      <c r="F978" s="19"/>
    </row>
    <row r="979">
      <c r="B979" s="19"/>
      <c r="C979" s="19"/>
      <c r="D979" s="19"/>
      <c r="E979" s="19"/>
      <c r="F979" s="19"/>
    </row>
    <row r="980">
      <c r="B980" s="19"/>
      <c r="C980" s="19"/>
      <c r="D980" s="19"/>
      <c r="E980" s="19"/>
      <c r="F980" s="19"/>
    </row>
    <row r="981">
      <c r="B981" s="19"/>
      <c r="C981" s="19"/>
      <c r="D981" s="19"/>
      <c r="E981" s="19"/>
      <c r="F981" s="19"/>
    </row>
    <row r="982">
      <c r="B982" s="19"/>
      <c r="C982" s="19"/>
      <c r="D982" s="19"/>
      <c r="E982" s="19"/>
      <c r="F982" s="19"/>
    </row>
    <row r="983">
      <c r="B983" s="19"/>
      <c r="C983" s="19"/>
      <c r="D983" s="19"/>
      <c r="E983" s="19"/>
      <c r="F983" s="19"/>
    </row>
    <row r="984">
      <c r="B984" s="19"/>
      <c r="C984" s="19"/>
      <c r="D984" s="19"/>
      <c r="E984" s="19"/>
      <c r="F984" s="19"/>
    </row>
    <row r="985">
      <c r="B985" s="19"/>
      <c r="C985" s="19"/>
      <c r="D985" s="19"/>
      <c r="E985" s="19"/>
      <c r="F985" s="19"/>
    </row>
    <row r="986">
      <c r="B986" s="19"/>
      <c r="C986" s="19"/>
      <c r="D986" s="19"/>
      <c r="E986" s="19"/>
      <c r="F986" s="19"/>
    </row>
    <row r="987">
      <c r="B987" s="19"/>
      <c r="C987" s="19"/>
      <c r="D987" s="19"/>
      <c r="E987" s="19"/>
      <c r="F987" s="19"/>
    </row>
    <row r="988">
      <c r="B988" s="19"/>
      <c r="C988" s="19"/>
      <c r="D988" s="19"/>
      <c r="E988" s="19"/>
      <c r="F988" s="19"/>
    </row>
    <row r="989">
      <c r="B989" s="19"/>
      <c r="C989" s="19"/>
      <c r="D989" s="19"/>
      <c r="E989" s="19"/>
      <c r="F989" s="19"/>
    </row>
    <row r="990">
      <c r="B990" s="19"/>
      <c r="C990" s="19"/>
      <c r="D990" s="19"/>
      <c r="E990" s="19"/>
      <c r="F990" s="19"/>
    </row>
    <row r="991">
      <c r="B991" s="19"/>
      <c r="C991" s="19"/>
      <c r="D991" s="19"/>
      <c r="E991" s="19"/>
      <c r="F991" s="19"/>
    </row>
    <row r="992">
      <c r="B992" s="19"/>
      <c r="C992" s="19"/>
      <c r="D992" s="19"/>
      <c r="E992" s="19"/>
      <c r="F992" s="19"/>
    </row>
    <row r="993">
      <c r="B993" s="19"/>
      <c r="C993" s="19"/>
      <c r="D993" s="19"/>
      <c r="E993" s="19"/>
      <c r="F993" s="19"/>
    </row>
    <row r="994">
      <c r="B994" s="19"/>
      <c r="C994" s="19"/>
      <c r="D994" s="19"/>
      <c r="E994" s="19"/>
      <c r="F994" s="19"/>
    </row>
    <row r="995">
      <c r="B995" s="19"/>
      <c r="C995" s="19"/>
      <c r="D995" s="19"/>
      <c r="E995" s="19"/>
      <c r="F995" s="19"/>
    </row>
    <row r="996">
      <c r="B996" s="19"/>
      <c r="C996" s="19"/>
      <c r="D996" s="19"/>
      <c r="E996" s="19"/>
      <c r="F996" s="19"/>
    </row>
    <row r="997">
      <c r="B997" s="19"/>
      <c r="C997" s="19"/>
      <c r="D997" s="19"/>
      <c r="E997" s="19"/>
      <c r="F997" s="19"/>
    </row>
    <row r="998">
      <c r="B998" s="19"/>
      <c r="C998" s="19"/>
      <c r="D998" s="19"/>
      <c r="E998" s="19"/>
      <c r="F998" s="19"/>
    </row>
    <row r="999">
      <c r="B999" s="19"/>
      <c r="C999" s="19"/>
      <c r="D999" s="19"/>
      <c r="E999" s="19"/>
      <c r="F999" s="19"/>
    </row>
    <row r="1000">
      <c r="B1000" s="19"/>
      <c r="C1000" s="19"/>
      <c r="D1000" s="19"/>
      <c r="E1000" s="19"/>
      <c r="F1000" s="19"/>
    </row>
    <row r="1001">
      <c r="B1001" s="19"/>
      <c r="C1001" s="19"/>
      <c r="D1001" s="19"/>
      <c r="E1001" s="19"/>
      <c r="F1001" s="19"/>
    </row>
  </sheetData>
  <mergeCells count="1">
    <mergeCell ref="A1:F1"/>
  </mergeCells>
  <dataValidations>
    <dataValidation type="list" allowBlank="1" sqref="C4">
      <formula1>Sheet1!$A$3:$A$183</formula1>
    </dataValidation>
    <dataValidation type="custom" allowBlank="1" showDropDown="1" sqref="D4:E4">
      <formula1>OR(NOT(ISERROR(DATEVALUE(D4))), AND(ISNUMBER(D4), LEFT(CELL("format", D4))="D"))</formula1>
    </dataValidation>
  </dataValidations>
  <drawing r:id="rId1"/>
</worksheet>
</file>